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Ex2.xml" ContentType="application/vnd.ms-office.chartex+xml"/>
  <Override PartName="/xl/charts/style2.xml" ContentType="application/vnd.ms-office.chartstyle+xml"/>
  <Override PartName="/xl/charts/colors2.xml" ContentType="application/vnd.ms-office.chartcolorstyle+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8.xml" ContentType="application/vnd.ms-excel.threadedcomments+xml"/>
  <Override PartName="/xl/comments10.xml" ContentType="application/vnd.openxmlformats-officedocument.spreadsheetml.comments+xml"/>
  <Override PartName="/xl/threadedComments/threadedComment9.xml" ContentType="application/vnd.ms-excel.threadedcomments+xml"/>
  <Override PartName="/xl/comments11.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https://d.docs.live.net/186593bc330ab858/Cambridge PhD/Thesis/8 Corrections/Files to Upload/To Github/Manuscript Variant Workbooks/"/>
    </mc:Choice>
  </mc:AlternateContent>
  <xr:revisionPtr revIDLastSave="1462" documentId="8_{3D28E710-CA76-4AD4-AD3E-95172EE828A4}" xr6:coauthVersionLast="47" xr6:coauthVersionMax="47" xr10:uidLastSave="{041B900C-097F-4A1D-B6EC-0EF9B4C5D22C}"/>
  <bookViews>
    <workbookView xWindow="-110" yWindow="-110" windowWidth="25820" windowHeight="15500" activeTab="2" xr2:uid="{5BB4D106-A247-41F8-A104-83D51E35EC09}"/>
  </bookViews>
  <sheets>
    <sheet name="Unfiltered Data" sheetId="4" r:id="rId1"/>
    <sheet name="Gen-filters" sheetId="7" r:id="rId2"/>
    <sheet name="AddOmits" sheetId="10" r:id="rId3"/>
    <sheet name="WF_AO_LM" sheetId="12" r:id="rId4"/>
    <sheet name="WF_AO_HM" sheetId="11" r:id="rId5"/>
    <sheet name="WF_SUB" sheetId="13" r:id="rId6"/>
    <sheet name="Harmonization" sheetId="14" r:id="rId7"/>
    <sheet name="Autograph Details" sheetId="18" r:id="rId8"/>
    <sheet name="Apograph Details" sheetId="19" r:id="rId9"/>
    <sheet name="Gen-Error-Rates" sheetId="15" r:id="rId10"/>
    <sheet name="Corrections" sheetId="23" r:id="rId11"/>
    <sheet name="Data Regularization" sheetId="2" r:id="rId12"/>
  </sheets>
  <definedNames>
    <definedName name="_xlnm._FilterDatabase" localSheetId="2" hidden="1">AddOmits!$A$1:$AD$550</definedName>
    <definedName name="_xlnm._FilterDatabase" localSheetId="1" hidden="1">'Gen-filters'!$A$1:$AC$1017</definedName>
    <definedName name="_xlnm._FilterDatabase" localSheetId="0" hidden="1">'Unfiltered Data'!$A$1:$AC$3950</definedName>
    <definedName name="_xlnm._FilterDatabase" localSheetId="4" hidden="1">WF_AO_HM!$A$1:$AD$1</definedName>
    <definedName name="_xlnm._FilterDatabase" localSheetId="5" hidden="1">WF_SUB!$A$1:$AF$234</definedName>
    <definedName name="_xlchart.v1.0" hidden="1">AddOmits!$Q$2:$Q$550</definedName>
    <definedName name="_xlchart.v1.1" hidden="1">WF_AO_HM!$Q$2:$Q$92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3" l="1"/>
  <c r="B12" i="23" l="1"/>
  <c r="B11" i="23"/>
  <c r="B10" i="23"/>
  <c r="B4" i="23"/>
  <c r="V232" i="13"/>
  <c r="V224" i="13"/>
  <c r="V223" i="13"/>
  <c r="V222" i="13"/>
  <c r="V216" i="13"/>
  <c r="V215" i="13"/>
  <c r="V214" i="13"/>
  <c r="V213" i="13"/>
  <c r="V208" i="13"/>
  <c r="V207" i="13"/>
  <c r="V206" i="13"/>
  <c r="V200" i="13"/>
  <c r="V199" i="13"/>
  <c r="V192" i="13"/>
  <c r="V191" i="13"/>
  <c r="V190" i="13"/>
  <c r="V184" i="13"/>
  <c r="V183" i="13"/>
  <c r="V182" i="13"/>
  <c r="V181" i="13"/>
  <c r="V176" i="13"/>
  <c r="V175" i="13"/>
  <c r="V174" i="13"/>
  <c r="V168" i="13"/>
  <c r="V160" i="13"/>
  <c r="V159" i="13"/>
  <c r="V158" i="13"/>
  <c r="V152" i="13"/>
  <c r="V151" i="13"/>
  <c r="V150" i="13"/>
  <c r="V149" i="13"/>
  <c r="V144" i="13"/>
  <c r="V143" i="13"/>
  <c r="V142" i="13"/>
  <c r="V136" i="13"/>
  <c r="V128" i="13"/>
  <c r="V127" i="13"/>
  <c r="V126" i="13"/>
  <c r="V121" i="13"/>
  <c r="V120" i="13"/>
  <c r="V119" i="13"/>
  <c r="V118" i="13"/>
  <c r="V117" i="13"/>
  <c r="V112" i="13"/>
  <c r="V111" i="13"/>
  <c r="V110" i="13"/>
  <c r="V104" i="13"/>
  <c r="V96" i="13"/>
  <c r="V95" i="13"/>
  <c r="V94" i="13"/>
  <c r="V88" i="13"/>
  <c r="V87" i="13"/>
  <c r="V86" i="13"/>
  <c r="V85" i="13"/>
  <c r="V80" i="13"/>
  <c r="V79" i="13"/>
  <c r="V78" i="13"/>
  <c r="V72" i="13"/>
  <c r="V64" i="13"/>
  <c r="V63" i="13"/>
  <c r="V62" i="13"/>
  <c r="V56" i="13"/>
  <c r="V55" i="13"/>
  <c r="V54" i="13"/>
  <c r="V53" i="13"/>
  <c r="V48" i="13"/>
  <c r="V47" i="13"/>
  <c r="V46" i="13"/>
  <c r="V40" i="13"/>
  <c r="V32" i="13"/>
  <c r="V31" i="13"/>
  <c r="V30" i="13"/>
  <c r="V24" i="13"/>
  <c r="V23" i="13"/>
  <c r="V22" i="13"/>
  <c r="V21" i="13"/>
  <c r="V16" i="13"/>
  <c r="V15" i="13"/>
  <c r="V14" i="13"/>
  <c r="V8" i="13"/>
  <c r="U234" i="13"/>
  <c r="V234" i="13" s="1"/>
  <c r="T234" i="13"/>
  <c r="U233" i="13"/>
  <c r="V233" i="13" s="1"/>
  <c r="T233" i="13"/>
  <c r="U232" i="13"/>
  <c r="T232" i="13"/>
  <c r="U231" i="13"/>
  <c r="T231" i="13"/>
  <c r="V231" i="13" s="1"/>
  <c r="U230" i="13"/>
  <c r="V230" i="13" s="1"/>
  <c r="T230" i="13"/>
  <c r="U229" i="13"/>
  <c r="V229" i="13" s="1"/>
  <c r="T229" i="13"/>
  <c r="U228" i="13"/>
  <c r="V228" i="13" s="1"/>
  <c r="T228" i="13"/>
  <c r="U227" i="13"/>
  <c r="V227" i="13" s="1"/>
  <c r="T227" i="13"/>
  <c r="U226" i="13"/>
  <c r="V226" i="13" s="1"/>
  <c r="T226" i="13"/>
  <c r="U225" i="13"/>
  <c r="V225" i="13" s="1"/>
  <c r="T225" i="13"/>
  <c r="U224" i="13"/>
  <c r="T224" i="13"/>
  <c r="U223" i="13"/>
  <c r="T223" i="13"/>
  <c r="U222" i="13"/>
  <c r="T222" i="13"/>
  <c r="U221" i="13"/>
  <c r="V221" i="13" s="1"/>
  <c r="T221" i="13"/>
  <c r="U220" i="13"/>
  <c r="V220" i="13" s="1"/>
  <c r="T220" i="13"/>
  <c r="U219" i="13"/>
  <c r="V219" i="13" s="1"/>
  <c r="T219" i="13"/>
  <c r="U218" i="13"/>
  <c r="V218" i="13" s="1"/>
  <c r="T218" i="13"/>
  <c r="U217" i="13"/>
  <c r="V217" i="13" s="1"/>
  <c r="T217" i="13"/>
  <c r="U216" i="13"/>
  <c r="T216" i="13"/>
  <c r="U215" i="13"/>
  <c r="T215" i="13"/>
  <c r="U214" i="13"/>
  <c r="T214" i="13"/>
  <c r="U213" i="13"/>
  <c r="T213" i="13"/>
  <c r="U212" i="13"/>
  <c r="T212" i="13"/>
  <c r="V212" i="13" s="1"/>
  <c r="U211" i="13"/>
  <c r="V211" i="13" s="1"/>
  <c r="T211" i="13"/>
  <c r="U210" i="13"/>
  <c r="V210" i="13" s="1"/>
  <c r="T210" i="13"/>
  <c r="U209" i="13"/>
  <c r="V209" i="13" s="1"/>
  <c r="T209" i="13"/>
  <c r="U208" i="13"/>
  <c r="T208" i="13"/>
  <c r="U207" i="13"/>
  <c r="T207" i="13"/>
  <c r="U206" i="13"/>
  <c r="T206" i="13"/>
  <c r="U205" i="13"/>
  <c r="V205" i="13" s="1"/>
  <c r="T205" i="13"/>
  <c r="U204" i="13"/>
  <c r="V204" i="13" s="1"/>
  <c r="T204" i="13"/>
  <c r="U203" i="13"/>
  <c r="V203" i="13" s="1"/>
  <c r="T203" i="13"/>
  <c r="U202" i="13"/>
  <c r="V202" i="13" s="1"/>
  <c r="T202" i="13"/>
  <c r="U201" i="13"/>
  <c r="V201" i="13" s="1"/>
  <c r="T201" i="13"/>
  <c r="U200" i="13"/>
  <c r="T200" i="13"/>
  <c r="U199" i="13"/>
  <c r="T199" i="13"/>
  <c r="U198" i="13"/>
  <c r="V198" i="13" s="1"/>
  <c r="T198" i="13"/>
  <c r="U197" i="13"/>
  <c r="V197" i="13" s="1"/>
  <c r="T197" i="13"/>
  <c r="U196" i="13"/>
  <c r="V196" i="13" s="1"/>
  <c r="T196" i="13"/>
  <c r="U195" i="13"/>
  <c r="V195" i="13" s="1"/>
  <c r="T195" i="13"/>
  <c r="U194" i="13"/>
  <c r="V194" i="13" s="1"/>
  <c r="T194" i="13"/>
  <c r="U193" i="13"/>
  <c r="V193" i="13" s="1"/>
  <c r="T193" i="13"/>
  <c r="U192" i="13"/>
  <c r="T192" i="13"/>
  <c r="U191" i="13"/>
  <c r="T191" i="13"/>
  <c r="U190" i="13"/>
  <c r="T190" i="13"/>
  <c r="U189" i="13"/>
  <c r="V189" i="13" s="1"/>
  <c r="T189" i="13"/>
  <c r="U188" i="13"/>
  <c r="V188" i="13" s="1"/>
  <c r="T188" i="13"/>
  <c r="U187" i="13"/>
  <c r="V187" i="13" s="1"/>
  <c r="T187" i="13"/>
  <c r="U186" i="13"/>
  <c r="V186" i="13" s="1"/>
  <c r="T186" i="13"/>
  <c r="U185" i="13"/>
  <c r="V185" i="13" s="1"/>
  <c r="T185" i="13"/>
  <c r="U184" i="13"/>
  <c r="T184" i="13"/>
  <c r="U183" i="13"/>
  <c r="T183" i="13"/>
  <c r="U182" i="13"/>
  <c r="T182" i="13"/>
  <c r="U181" i="13"/>
  <c r="T181" i="13"/>
  <c r="U180" i="13"/>
  <c r="T180" i="13"/>
  <c r="V180" i="13" s="1"/>
  <c r="U179" i="13"/>
  <c r="V179" i="13" s="1"/>
  <c r="T179" i="13"/>
  <c r="U178" i="13"/>
  <c r="V178" i="13" s="1"/>
  <c r="T178" i="13"/>
  <c r="U177" i="13"/>
  <c r="V177" i="13" s="1"/>
  <c r="T177" i="13"/>
  <c r="U176" i="13"/>
  <c r="T176" i="13"/>
  <c r="U175" i="13"/>
  <c r="T175" i="13"/>
  <c r="U174" i="13"/>
  <c r="T174" i="13"/>
  <c r="U173" i="13"/>
  <c r="V173" i="13" s="1"/>
  <c r="T173" i="13"/>
  <c r="U172" i="13"/>
  <c r="V172" i="13" s="1"/>
  <c r="T172" i="13"/>
  <c r="U171" i="13"/>
  <c r="V171" i="13" s="1"/>
  <c r="T171" i="13"/>
  <c r="U170" i="13"/>
  <c r="V170" i="13" s="1"/>
  <c r="T170" i="13"/>
  <c r="U169" i="13"/>
  <c r="V169" i="13" s="1"/>
  <c r="T169" i="13"/>
  <c r="U168" i="13"/>
  <c r="T168" i="13"/>
  <c r="U167" i="13"/>
  <c r="T167" i="13"/>
  <c r="V167" i="13" s="1"/>
  <c r="U166" i="13"/>
  <c r="V166" i="13" s="1"/>
  <c r="T166" i="13"/>
  <c r="U165" i="13"/>
  <c r="V165" i="13" s="1"/>
  <c r="T165" i="13"/>
  <c r="U164" i="13"/>
  <c r="V164" i="13" s="1"/>
  <c r="T164" i="13"/>
  <c r="U163" i="13"/>
  <c r="V163" i="13" s="1"/>
  <c r="T163" i="13"/>
  <c r="U162" i="13"/>
  <c r="V162" i="13" s="1"/>
  <c r="T162" i="13"/>
  <c r="U161" i="13"/>
  <c r="V161" i="13" s="1"/>
  <c r="T161" i="13"/>
  <c r="U160" i="13"/>
  <c r="T160" i="13"/>
  <c r="U159" i="13"/>
  <c r="T159" i="13"/>
  <c r="U158" i="13"/>
  <c r="T158" i="13"/>
  <c r="U157" i="13"/>
  <c r="V157" i="13" s="1"/>
  <c r="T157" i="13"/>
  <c r="U156" i="13"/>
  <c r="V156" i="13" s="1"/>
  <c r="T156" i="13"/>
  <c r="U155" i="13"/>
  <c r="V155" i="13" s="1"/>
  <c r="T155" i="13"/>
  <c r="U154" i="13"/>
  <c r="V154" i="13" s="1"/>
  <c r="T154" i="13"/>
  <c r="U153" i="13"/>
  <c r="V153" i="13" s="1"/>
  <c r="T153" i="13"/>
  <c r="U152" i="13"/>
  <c r="T152" i="13"/>
  <c r="U151" i="13"/>
  <c r="T151" i="13"/>
  <c r="U150" i="13"/>
  <c r="T150" i="13"/>
  <c r="U149" i="13"/>
  <c r="T149" i="13"/>
  <c r="U148" i="13"/>
  <c r="T148" i="13"/>
  <c r="V148" i="13" s="1"/>
  <c r="U147" i="13"/>
  <c r="V147" i="13" s="1"/>
  <c r="T147" i="13"/>
  <c r="U146" i="13"/>
  <c r="V146" i="13" s="1"/>
  <c r="T146" i="13"/>
  <c r="U145" i="13"/>
  <c r="V145" i="13" s="1"/>
  <c r="T145" i="13"/>
  <c r="U144" i="13"/>
  <c r="T144" i="13"/>
  <c r="U143" i="13"/>
  <c r="T143" i="13"/>
  <c r="U142" i="13"/>
  <c r="T142" i="13"/>
  <c r="U141" i="13"/>
  <c r="V141" i="13" s="1"/>
  <c r="T141" i="13"/>
  <c r="U140" i="13"/>
  <c r="V140" i="13" s="1"/>
  <c r="T140" i="13"/>
  <c r="U139" i="13"/>
  <c r="V139" i="13" s="1"/>
  <c r="T139" i="13"/>
  <c r="U138" i="13"/>
  <c r="V138" i="13" s="1"/>
  <c r="T138" i="13"/>
  <c r="U137" i="13"/>
  <c r="V137" i="13" s="1"/>
  <c r="T137" i="13"/>
  <c r="U136" i="13"/>
  <c r="T136" i="13"/>
  <c r="U135" i="13"/>
  <c r="T135" i="13"/>
  <c r="V135" i="13" s="1"/>
  <c r="U134" i="13"/>
  <c r="V134" i="13" s="1"/>
  <c r="T134" i="13"/>
  <c r="U133" i="13"/>
  <c r="V133" i="13" s="1"/>
  <c r="T133" i="13"/>
  <c r="U132" i="13"/>
  <c r="V132" i="13" s="1"/>
  <c r="T132" i="13"/>
  <c r="U131" i="13"/>
  <c r="V131" i="13" s="1"/>
  <c r="T131" i="13"/>
  <c r="U130" i="13"/>
  <c r="V130" i="13" s="1"/>
  <c r="T130" i="13"/>
  <c r="U129" i="13"/>
  <c r="V129" i="13" s="1"/>
  <c r="T129" i="13"/>
  <c r="U128" i="13"/>
  <c r="T128" i="13"/>
  <c r="U127" i="13"/>
  <c r="T127" i="13"/>
  <c r="U126" i="13"/>
  <c r="T126" i="13"/>
  <c r="U125" i="13"/>
  <c r="V125" i="13" s="1"/>
  <c r="T125" i="13"/>
  <c r="U124" i="13"/>
  <c r="V124" i="13" s="1"/>
  <c r="T124" i="13"/>
  <c r="U123" i="13"/>
  <c r="V123" i="13" s="1"/>
  <c r="T123" i="13"/>
  <c r="U122" i="13"/>
  <c r="V122" i="13" s="1"/>
  <c r="T122" i="13"/>
  <c r="U121" i="13"/>
  <c r="T121" i="13"/>
  <c r="U120" i="13"/>
  <c r="T120" i="13"/>
  <c r="U119" i="13"/>
  <c r="T119" i="13"/>
  <c r="U118" i="13"/>
  <c r="T118" i="13"/>
  <c r="U117" i="13"/>
  <c r="T117" i="13"/>
  <c r="U116" i="13"/>
  <c r="T116" i="13"/>
  <c r="V116" i="13" s="1"/>
  <c r="U115" i="13"/>
  <c r="V115" i="13" s="1"/>
  <c r="T115" i="13"/>
  <c r="U114" i="13"/>
  <c r="V114" i="13" s="1"/>
  <c r="T114" i="13"/>
  <c r="U113" i="13"/>
  <c r="V113" i="13" s="1"/>
  <c r="T113" i="13"/>
  <c r="U112" i="13"/>
  <c r="T112" i="13"/>
  <c r="U111" i="13"/>
  <c r="T111" i="13"/>
  <c r="U110" i="13"/>
  <c r="T110" i="13"/>
  <c r="U109" i="13"/>
  <c r="V109" i="13" s="1"/>
  <c r="T109" i="13"/>
  <c r="U108" i="13"/>
  <c r="V108" i="13" s="1"/>
  <c r="T108" i="13"/>
  <c r="U107" i="13"/>
  <c r="V107" i="13" s="1"/>
  <c r="T107" i="13"/>
  <c r="U106" i="13"/>
  <c r="V106" i="13" s="1"/>
  <c r="T106" i="13"/>
  <c r="U105" i="13"/>
  <c r="V105" i="13" s="1"/>
  <c r="T105" i="13"/>
  <c r="U104" i="13"/>
  <c r="T104" i="13"/>
  <c r="U103" i="13"/>
  <c r="T103" i="13"/>
  <c r="V103" i="13" s="1"/>
  <c r="U102" i="13"/>
  <c r="V102" i="13" s="1"/>
  <c r="T102" i="13"/>
  <c r="U101" i="13"/>
  <c r="V101" i="13" s="1"/>
  <c r="T101" i="13"/>
  <c r="U100" i="13"/>
  <c r="V100" i="13" s="1"/>
  <c r="T100" i="13"/>
  <c r="U99" i="13"/>
  <c r="V99" i="13" s="1"/>
  <c r="T99" i="13"/>
  <c r="U98" i="13"/>
  <c r="V98" i="13" s="1"/>
  <c r="T98" i="13"/>
  <c r="U97" i="13"/>
  <c r="V97" i="13" s="1"/>
  <c r="T97" i="13"/>
  <c r="U96" i="13"/>
  <c r="T96" i="13"/>
  <c r="U95" i="13"/>
  <c r="T95" i="13"/>
  <c r="U94" i="13"/>
  <c r="T94" i="13"/>
  <c r="U93" i="13"/>
  <c r="V93" i="13" s="1"/>
  <c r="T93" i="13"/>
  <c r="U92" i="13"/>
  <c r="V92" i="13" s="1"/>
  <c r="T92" i="13"/>
  <c r="U91" i="13"/>
  <c r="V91" i="13" s="1"/>
  <c r="T91" i="13"/>
  <c r="U90" i="13"/>
  <c r="V90" i="13" s="1"/>
  <c r="T90" i="13"/>
  <c r="U89" i="13"/>
  <c r="V89" i="13" s="1"/>
  <c r="T89" i="13"/>
  <c r="U88" i="13"/>
  <c r="T88" i="13"/>
  <c r="U87" i="13"/>
  <c r="T87" i="13"/>
  <c r="U86" i="13"/>
  <c r="T86" i="13"/>
  <c r="U85" i="13"/>
  <c r="T85" i="13"/>
  <c r="U84" i="13"/>
  <c r="T84" i="13"/>
  <c r="V84" i="13" s="1"/>
  <c r="U83" i="13"/>
  <c r="V83" i="13" s="1"/>
  <c r="T83" i="13"/>
  <c r="U82" i="13"/>
  <c r="V82" i="13" s="1"/>
  <c r="T82" i="13"/>
  <c r="U81" i="13"/>
  <c r="V81" i="13" s="1"/>
  <c r="T81" i="13"/>
  <c r="U80" i="13"/>
  <c r="T80" i="13"/>
  <c r="U79" i="13"/>
  <c r="T79" i="13"/>
  <c r="U78" i="13"/>
  <c r="T78" i="13"/>
  <c r="U77" i="13"/>
  <c r="V77" i="13" s="1"/>
  <c r="T77" i="13"/>
  <c r="U76" i="13"/>
  <c r="V76" i="13" s="1"/>
  <c r="T76" i="13"/>
  <c r="U75" i="13"/>
  <c r="V75" i="13" s="1"/>
  <c r="T75" i="13"/>
  <c r="U74" i="13"/>
  <c r="V74" i="13" s="1"/>
  <c r="T74" i="13"/>
  <c r="U73" i="13"/>
  <c r="V73" i="13" s="1"/>
  <c r="T73" i="13"/>
  <c r="U72" i="13"/>
  <c r="T72" i="13"/>
  <c r="U71" i="13"/>
  <c r="T71" i="13"/>
  <c r="V71" i="13" s="1"/>
  <c r="U70" i="13"/>
  <c r="V70" i="13" s="1"/>
  <c r="T70" i="13"/>
  <c r="U69" i="13"/>
  <c r="V69" i="13" s="1"/>
  <c r="T69" i="13"/>
  <c r="U68" i="13"/>
  <c r="V68" i="13" s="1"/>
  <c r="T68" i="13"/>
  <c r="U67" i="13"/>
  <c r="V67" i="13" s="1"/>
  <c r="T67" i="13"/>
  <c r="U66" i="13"/>
  <c r="V66" i="13" s="1"/>
  <c r="T66" i="13"/>
  <c r="U65" i="13"/>
  <c r="V65" i="13" s="1"/>
  <c r="T65" i="13"/>
  <c r="U64" i="13"/>
  <c r="T64" i="13"/>
  <c r="U63" i="13"/>
  <c r="T63" i="13"/>
  <c r="U62" i="13"/>
  <c r="T62" i="13"/>
  <c r="U61" i="13"/>
  <c r="V61" i="13" s="1"/>
  <c r="T61" i="13"/>
  <c r="U60" i="13"/>
  <c r="V60" i="13" s="1"/>
  <c r="T60" i="13"/>
  <c r="U59" i="13"/>
  <c r="V59" i="13" s="1"/>
  <c r="T59" i="13"/>
  <c r="U58" i="13"/>
  <c r="V58" i="13" s="1"/>
  <c r="T58" i="13"/>
  <c r="U57" i="13"/>
  <c r="V57" i="13" s="1"/>
  <c r="T57" i="13"/>
  <c r="U56" i="13"/>
  <c r="T56" i="13"/>
  <c r="U55" i="13"/>
  <c r="T55" i="13"/>
  <c r="U54" i="13"/>
  <c r="T54" i="13"/>
  <c r="U53" i="13"/>
  <c r="T53" i="13"/>
  <c r="U52" i="13"/>
  <c r="T52" i="13"/>
  <c r="V52" i="13" s="1"/>
  <c r="U51" i="13"/>
  <c r="V51" i="13" s="1"/>
  <c r="T51" i="13"/>
  <c r="U50" i="13"/>
  <c r="V50" i="13" s="1"/>
  <c r="T50" i="13"/>
  <c r="U49" i="13"/>
  <c r="V49" i="13" s="1"/>
  <c r="T49" i="13"/>
  <c r="U48" i="13"/>
  <c r="T48" i="13"/>
  <c r="U47" i="13"/>
  <c r="T47" i="13"/>
  <c r="U46" i="13"/>
  <c r="T46" i="13"/>
  <c r="U45" i="13"/>
  <c r="V45" i="13" s="1"/>
  <c r="T45" i="13"/>
  <c r="U44" i="13"/>
  <c r="V44" i="13" s="1"/>
  <c r="T44" i="13"/>
  <c r="U43" i="13"/>
  <c r="V43" i="13" s="1"/>
  <c r="T43" i="13"/>
  <c r="U42" i="13"/>
  <c r="V42" i="13" s="1"/>
  <c r="T42" i="13"/>
  <c r="U41" i="13"/>
  <c r="V41" i="13" s="1"/>
  <c r="T41" i="13"/>
  <c r="U40" i="13"/>
  <c r="T40" i="13"/>
  <c r="U39" i="13"/>
  <c r="T39" i="13"/>
  <c r="V39" i="13" s="1"/>
  <c r="U38" i="13"/>
  <c r="V38" i="13" s="1"/>
  <c r="T38" i="13"/>
  <c r="U37" i="13"/>
  <c r="V37" i="13" s="1"/>
  <c r="T37" i="13"/>
  <c r="U36" i="13"/>
  <c r="V36" i="13" s="1"/>
  <c r="T36" i="13"/>
  <c r="U35" i="13"/>
  <c r="V35" i="13" s="1"/>
  <c r="T35" i="13"/>
  <c r="U34" i="13"/>
  <c r="V34" i="13" s="1"/>
  <c r="T34" i="13"/>
  <c r="U33" i="13"/>
  <c r="V33" i="13" s="1"/>
  <c r="T33" i="13"/>
  <c r="U32" i="13"/>
  <c r="T32" i="13"/>
  <c r="U31" i="13"/>
  <c r="T31" i="13"/>
  <c r="U30" i="13"/>
  <c r="T30" i="13"/>
  <c r="U29" i="13"/>
  <c r="V29" i="13" s="1"/>
  <c r="T29" i="13"/>
  <c r="U28" i="13"/>
  <c r="V28" i="13" s="1"/>
  <c r="T28" i="13"/>
  <c r="U27" i="13"/>
  <c r="V27" i="13" s="1"/>
  <c r="T27" i="13"/>
  <c r="U26" i="13"/>
  <c r="V26" i="13" s="1"/>
  <c r="T26" i="13"/>
  <c r="U25" i="13"/>
  <c r="V25" i="13" s="1"/>
  <c r="T25" i="13"/>
  <c r="U24" i="13"/>
  <c r="T24" i="13"/>
  <c r="U23" i="13"/>
  <c r="T23" i="13"/>
  <c r="U22" i="13"/>
  <c r="T22" i="13"/>
  <c r="U21" i="13"/>
  <c r="T21" i="13"/>
  <c r="U20" i="13"/>
  <c r="T20" i="13"/>
  <c r="V20" i="13" s="1"/>
  <c r="U19" i="13"/>
  <c r="V19" i="13" s="1"/>
  <c r="T19" i="13"/>
  <c r="U18" i="13"/>
  <c r="V18" i="13" s="1"/>
  <c r="T18" i="13"/>
  <c r="U17" i="13"/>
  <c r="V17" i="13" s="1"/>
  <c r="T17" i="13"/>
  <c r="U16" i="13"/>
  <c r="T16" i="13"/>
  <c r="U15" i="13"/>
  <c r="T15" i="13"/>
  <c r="U14" i="13"/>
  <c r="T14" i="13"/>
  <c r="U13" i="13"/>
  <c r="V13" i="13" s="1"/>
  <c r="T13" i="13"/>
  <c r="U12" i="13"/>
  <c r="V12" i="13" s="1"/>
  <c r="T12" i="13"/>
  <c r="U11" i="13"/>
  <c r="V11" i="13" s="1"/>
  <c r="T11" i="13"/>
  <c r="U10" i="13"/>
  <c r="V10" i="13" s="1"/>
  <c r="T10" i="13"/>
  <c r="U9" i="13"/>
  <c r="V9" i="13" s="1"/>
  <c r="T9" i="13"/>
  <c r="U8" i="13"/>
  <c r="T8" i="13"/>
  <c r="U7" i="13"/>
  <c r="T7" i="13"/>
  <c r="V7" i="13" s="1"/>
  <c r="U6" i="13"/>
  <c r="V6" i="13" s="1"/>
  <c r="T6" i="13"/>
  <c r="U5" i="13"/>
  <c r="V5" i="13" s="1"/>
  <c r="T5" i="13"/>
  <c r="U4" i="13"/>
  <c r="V4" i="13" s="1"/>
  <c r="T4" i="13"/>
  <c r="U3" i="13"/>
  <c r="V3" i="13" s="1"/>
  <c r="T3" i="13"/>
  <c r="U2" i="13"/>
  <c r="V2" i="13" s="1"/>
  <c r="T2" i="13"/>
  <c r="D11" i="23" l="1"/>
  <c r="D12" i="23"/>
  <c r="D10" i="23"/>
  <c r="B5" i="23"/>
  <c r="E248" i="13"/>
  <c r="Q550" i="10" l="1"/>
  <c r="Q549" i="10"/>
  <c r="Q548" i="10"/>
  <c r="Q547" i="10"/>
  <c r="Q546" i="10"/>
  <c r="Q545" i="10"/>
  <c r="Q544" i="10"/>
  <c r="Q543" i="10"/>
  <c r="Q542" i="10"/>
  <c r="Q541" i="10"/>
  <c r="Q540" i="10"/>
  <c r="Q539" i="10"/>
  <c r="Q538" i="10"/>
  <c r="Q537" i="10"/>
  <c r="Q536" i="10"/>
  <c r="Q535" i="10"/>
  <c r="Q534" i="10"/>
  <c r="Q533" i="10"/>
  <c r="Q532" i="10"/>
  <c r="Q531" i="10"/>
  <c r="Q530" i="10"/>
  <c r="Q529" i="10"/>
  <c r="Q528" i="10"/>
  <c r="Q527" i="10"/>
  <c r="Q526" i="10"/>
  <c r="Q525" i="10"/>
  <c r="Q524" i="10"/>
  <c r="Q523" i="10"/>
  <c r="Q522" i="10"/>
  <c r="Q521" i="10"/>
  <c r="Q520" i="10"/>
  <c r="Q519" i="10"/>
  <c r="Q518" i="10"/>
  <c r="Q517" i="10"/>
  <c r="Q516" i="10"/>
  <c r="Q515" i="10"/>
  <c r="Q514" i="10"/>
  <c r="Q513" i="10"/>
  <c r="Q512" i="10"/>
  <c r="Q511" i="10"/>
  <c r="Q510" i="10"/>
  <c r="Q509" i="10"/>
  <c r="Q508" i="10"/>
  <c r="Q507" i="10"/>
  <c r="Q506" i="10"/>
  <c r="Q505" i="10"/>
  <c r="Q504" i="10"/>
  <c r="Q503" i="10"/>
  <c r="Q502" i="10"/>
  <c r="Q501" i="10"/>
  <c r="Q500" i="10"/>
  <c r="Q499" i="10"/>
  <c r="Q498" i="10"/>
  <c r="Q497" i="10"/>
  <c r="Q496" i="10"/>
  <c r="Q495" i="10"/>
  <c r="Q494" i="10"/>
  <c r="Q493" i="10"/>
  <c r="Q492" i="10"/>
  <c r="Q491" i="10"/>
  <c r="Q490" i="10"/>
  <c r="Q489" i="10"/>
  <c r="Q488" i="10"/>
  <c r="Q487" i="10"/>
  <c r="Q486" i="10"/>
  <c r="Q485" i="10"/>
  <c r="Q484" i="10"/>
  <c r="Q483" i="10"/>
  <c r="Q482" i="10"/>
  <c r="Q481" i="10"/>
  <c r="Q480" i="10"/>
  <c r="Q479" i="10"/>
  <c r="Q478" i="10"/>
  <c r="Q477" i="10"/>
  <c r="Q476" i="10"/>
  <c r="Q475" i="10"/>
  <c r="Q474" i="10"/>
  <c r="Q473" i="10"/>
  <c r="Q472" i="10"/>
  <c r="Q471" i="10"/>
  <c r="Q470" i="10"/>
  <c r="Q469" i="10"/>
  <c r="Q468" i="10"/>
  <c r="Q467" i="10"/>
  <c r="Q466" i="10"/>
  <c r="Q465" i="10"/>
  <c r="Q464" i="10"/>
  <c r="Q463" i="10"/>
  <c r="Q462" i="10"/>
  <c r="Q461" i="10"/>
  <c r="Q460" i="10"/>
  <c r="Q459" i="10"/>
  <c r="Q458" i="10"/>
  <c r="Q457" i="10"/>
  <c r="Q456" i="10"/>
  <c r="Q455" i="10"/>
  <c r="Q454" i="10"/>
  <c r="Q453" i="10"/>
  <c r="Q452" i="10"/>
  <c r="Q451" i="10"/>
  <c r="Q450" i="10"/>
  <c r="Q449" i="10"/>
  <c r="Q448" i="10"/>
  <c r="Q447" i="10"/>
  <c r="Q446" i="10"/>
  <c r="Q445" i="10"/>
  <c r="Q444" i="10"/>
  <c r="Q443" i="10"/>
  <c r="Q442" i="10"/>
  <c r="Q441" i="10"/>
  <c r="Q440" i="10"/>
  <c r="Q439" i="10"/>
  <c r="Q438" i="10"/>
  <c r="Q437" i="10"/>
  <c r="Q436" i="10"/>
  <c r="Q435" i="10"/>
  <c r="Q434" i="10"/>
  <c r="Q433" i="10"/>
  <c r="Q432" i="10"/>
  <c r="Q431" i="10"/>
  <c r="Q430" i="10"/>
  <c r="Q429" i="10"/>
  <c r="Q428" i="10"/>
  <c r="Q427" i="10"/>
  <c r="Q426" i="10"/>
  <c r="Q425" i="10"/>
  <c r="Q424" i="10"/>
  <c r="Q423" i="10"/>
  <c r="Q422" i="10"/>
  <c r="Q421" i="10"/>
  <c r="Q420" i="10"/>
  <c r="Q419" i="10"/>
  <c r="Q418" i="10"/>
  <c r="Q417" i="10"/>
  <c r="Q416" i="10"/>
  <c r="Q415" i="10"/>
  <c r="Q414" i="10"/>
  <c r="Q413" i="10"/>
  <c r="Q412" i="10"/>
  <c r="Q411" i="10"/>
  <c r="Q410" i="10"/>
  <c r="Q409" i="10"/>
  <c r="Q408" i="10"/>
  <c r="Q407" i="10"/>
  <c r="Q406" i="10"/>
  <c r="Q405" i="10"/>
  <c r="Q404" i="10"/>
  <c r="Q403" i="10"/>
  <c r="Q402" i="10"/>
  <c r="Q401" i="10"/>
  <c r="Q400" i="10"/>
  <c r="Q399" i="10"/>
  <c r="Q398" i="10"/>
  <c r="Q397" i="10"/>
  <c r="Q396" i="10"/>
  <c r="Q395" i="10"/>
  <c r="Q394" i="10"/>
  <c r="Q393" i="10"/>
  <c r="Q392" i="10"/>
  <c r="Q391" i="10"/>
  <c r="Q390" i="10"/>
  <c r="Q389" i="10"/>
  <c r="Q388" i="10"/>
  <c r="Q387" i="10"/>
  <c r="Q386" i="10"/>
  <c r="Q385" i="10"/>
  <c r="Q384" i="10"/>
  <c r="Q383" i="10"/>
  <c r="Q382" i="10"/>
  <c r="Q381" i="10"/>
  <c r="Q380" i="10"/>
  <c r="Q379" i="10"/>
  <c r="Q378" i="10"/>
  <c r="Q377" i="10"/>
  <c r="Q376" i="10"/>
  <c r="Q375" i="10"/>
  <c r="Q374" i="10"/>
  <c r="Q373" i="10"/>
  <c r="Q372" i="10"/>
  <c r="Q371" i="10"/>
  <c r="Q370" i="10"/>
  <c r="Q369" i="10"/>
  <c r="Q368" i="10"/>
  <c r="Q367" i="10"/>
  <c r="Q366" i="10"/>
  <c r="Q365" i="10"/>
  <c r="Q364" i="10"/>
  <c r="Q363" i="10"/>
  <c r="Q362" i="10"/>
  <c r="Q361" i="10"/>
  <c r="Q360" i="10"/>
  <c r="Q359" i="10"/>
  <c r="Q358" i="10"/>
  <c r="Q357" i="10"/>
  <c r="Q356" i="10"/>
  <c r="Q355" i="10"/>
  <c r="Q354" i="10"/>
  <c r="Q353" i="10"/>
  <c r="Q352" i="10"/>
  <c r="Q351" i="10"/>
  <c r="Q350" i="10"/>
  <c r="Q349" i="10"/>
  <c r="Q348" i="10"/>
  <c r="Q347" i="10"/>
  <c r="Q346" i="10"/>
  <c r="Q345" i="10"/>
  <c r="Q344" i="10"/>
  <c r="Q343" i="10"/>
  <c r="Q342" i="10"/>
  <c r="Q341" i="10"/>
  <c r="Q340" i="10"/>
  <c r="Q339" i="10"/>
  <c r="Q338" i="10"/>
  <c r="Q337" i="10"/>
  <c r="Q336" i="10"/>
  <c r="Q335" i="10"/>
  <c r="Q334" i="10"/>
  <c r="Q333" i="10"/>
  <c r="Q332" i="10"/>
  <c r="Q331" i="10"/>
  <c r="Q330" i="10"/>
  <c r="Q329" i="10"/>
  <c r="Q328" i="10"/>
  <c r="Q327" i="10"/>
  <c r="Q326" i="10"/>
  <c r="Q325" i="10"/>
  <c r="Q324" i="10"/>
  <c r="Q323" i="10"/>
  <c r="Q322" i="10"/>
  <c r="Q321" i="10"/>
  <c r="Q320" i="10"/>
  <c r="Q319" i="10"/>
  <c r="Q318" i="10"/>
  <c r="Q317" i="10"/>
  <c r="Q316" i="10"/>
  <c r="Q315" i="10"/>
  <c r="Q314" i="10"/>
  <c r="Q313" i="10"/>
  <c r="Q312" i="10"/>
  <c r="Q311" i="10"/>
  <c r="Q310" i="10"/>
  <c r="Q309" i="10"/>
  <c r="Q308" i="10"/>
  <c r="Q307" i="10"/>
  <c r="Q306" i="10"/>
  <c r="Q305" i="10"/>
  <c r="Q304" i="10"/>
  <c r="Q303" i="10"/>
  <c r="Q302" i="10"/>
  <c r="Q301" i="10"/>
  <c r="Q300" i="10"/>
  <c r="Q299" i="10"/>
  <c r="Q298" i="10"/>
  <c r="Q297" i="10"/>
  <c r="Q296" i="10"/>
  <c r="Q295" i="10"/>
  <c r="Q294" i="10"/>
  <c r="Q293" i="10"/>
  <c r="Q292" i="10"/>
  <c r="Q291" i="10"/>
  <c r="Q290" i="10"/>
  <c r="Q289" i="10"/>
  <c r="Q288" i="10"/>
  <c r="Q287" i="10"/>
  <c r="Q286" i="10"/>
  <c r="Q285" i="10"/>
  <c r="Q284" i="10"/>
  <c r="Q283" i="10"/>
  <c r="Q282" i="10"/>
  <c r="Q281" i="10"/>
  <c r="Q280" i="10"/>
  <c r="Q279" i="10"/>
  <c r="Q278" i="10"/>
  <c r="Q277" i="10"/>
  <c r="Q276" i="10"/>
  <c r="Q275" i="10"/>
  <c r="Q274" i="10"/>
  <c r="Q273" i="10"/>
  <c r="Q272" i="10"/>
  <c r="Q271" i="10"/>
  <c r="Q270" i="10"/>
  <c r="Q269" i="10"/>
  <c r="Q268" i="10"/>
  <c r="Q267" i="10"/>
  <c r="Q266" i="10"/>
  <c r="Q265" i="10"/>
  <c r="Q264" i="10"/>
  <c r="Q263" i="10"/>
  <c r="Q262" i="10"/>
  <c r="Q261" i="10"/>
  <c r="Q260" i="10"/>
  <c r="Q259" i="10"/>
  <c r="Q258" i="10"/>
  <c r="Q257" i="10"/>
  <c r="Q256" i="10"/>
  <c r="Q255" i="10"/>
  <c r="Q254" i="10"/>
  <c r="Q253" i="10"/>
  <c r="Q252" i="10"/>
  <c r="Q251" i="10"/>
  <c r="Q250" i="10"/>
  <c r="Q249" i="10"/>
  <c r="Q248" i="10"/>
  <c r="Q247" i="10"/>
  <c r="Q246" i="10"/>
  <c r="Q245" i="10"/>
  <c r="Q244" i="10"/>
  <c r="Q243" i="10"/>
  <c r="Q242" i="10"/>
  <c r="Q241" i="10"/>
  <c r="Q240" i="10"/>
  <c r="Q239" i="10"/>
  <c r="Q238" i="10"/>
  <c r="Q237" i="10"/>
  <c r="Q236" i="10"/>
  <c r="Q235" i="10"/>
  <c r="Q234" i="10"/>
  <c r="Q233" i="10"/>
  <c r="Q232" i="10"/>
  <c r="Q231" i="10"/>
  <c r="Q230" i="10"/>
  <c r="Q229" i="10"/>
  <c r="Q228" i="10"/>
  <c r="Q227" i="10"/>
  <c r="Q226" i="10"/>
  <c r="Q225" i="10"/>
  <c r="Q224" i="10"/>
  <c r="Q223" i="10"/>
  <c r="Q222" i="10"/>
  <c r="Q221" i="10"/>
  <c r="Q220" i="10"/>
  <c r="Q219" i="10"/>
  <c r="Q218" i="10"/>
  <c r="Q217" i="10"/>
  <c r="Q216" i="10"/>
  <c r="Q215" i="10"/>
  <c r="Q214" i="10"/>
  <c r="Q213" i="10"/>
  <c r="Q212" i="10"/>
  <c r="Q211" i="10"/>
  <c r="Q210" i="10"/>
  <c r="Q209" i="10"/>
  <c r="Q208" i="10"/>
  <c r="Q207" i="10"/>
  <c r="Q206" i="10"/>
  <c r="Q205" i="10"/>
  <c r="Q204" i="10"/>
  <c r="Q203" i="10"/>
  <c r="Q202" i="10"/>
  <c r="Q201" i="10"/>
  <c r="Q200" i="10"/>
  <c r="Q199" i="10"/>
  <c r="Q198" i="10"/>
  <c r="Q197" i="10"/>
  <c r="Q196" i="10"/>
  <c r="Q195" i="10"/>
  <c r="Q194" i="10"/>
  <c r="Q193" i="10"/>
  <c r="Q192" i="10"/>
  <c r="Q191" i="10"/>
  <c r="Q190" i="10"/>
  <c r="Q189" i="10"/>
  <c r="Q188" i="10"/>
  <c r="Q187" i="10"/>
  <c r="Q186" i="10"/>
  <c r="Q185" i="10"/>
  <c r="Q184" i="10"/>
  <c r="Q183" i="10"/>
  <c r="Q182" i="10"/>
  <c r="Q181" i="10"/>
  <c r="Q180" i="10"/>
  <c r="Q179" i="10"/>
  <c r="Q178" i="10"/>
  <c r="Q177" i="10"/>
  <c r="Q176" i="10"/>
  <c r="Q175" i="10"/>
  <c r="Q174" i="10"/>
  <c r="Q173" i="10"/>
  <c r="Q172" i="10"/>
  <c r="Q171" i="10"/>
  <c r="Q170" i="10"/>
  <c r="Q169" i="10"/>
  <c r="Q168" i="10"/>
  <c r="Q167" i="10"/>
  <c r="Q166" i="10"/>
  <c r="Q165" i="10"/>
  <c r="Q164" i="10"/>
  <c r="Q163" i="10"/>
  <c r="Q162" i="10"/>
  <c r="Q161" i="10"/>
  <c r="Q160" i="10"/>
  <c r="Q159" i="10"/>
  <c r="Q158" i="10"/>
  <c r="Q157" i="10"/>
  <c r="Q156" i="10"/>
  <c r="Q155" i="10"/>
  <c r="Q154" i="10"/>
  <c r="Q153" i="10"/>
  <c r="Q152" i="10"/>
  <c r="Q151" i="10"/>
  <c r="Q150" i="10"/>
  <c r="Q149" i="10"/>
  <c r="Q148" i="10"/>
  <c r="Q147" i="10"/>
  <c r="Q146" i="10"/>
  <c r="Q145" i="10"/>
  <c r="Q144" i="10"/>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Q2" i="10"/>
  <c r="S1397" i="4" l="1"/>
  <c r="U712" i="4"/>
  <c r="T712" i="4"/>
  <c r="S592" i="4"/>
  <c r="U413" i="4"/>
  <c r="T413" i="4"/>
  <c r="S279" i="4"/>
  <c r="U165" i="4"/>
  <c r="T165" i="4"/>
  <c r="T166" i="4"/>
  <c r="U166" i="4"/>
  <c r="U3441" i="4"/>
  <c r="T3441" i="4"/>
  <c r="U2355" i="4"/>
  <c r="T2355" i="4"/>
  <c r="U1994" i="4"/>
  <c r="T1994" i="4"/>
  <c r="T1780" i="4"/>
  <c r="U1780" i="4"/>
  <c r="U279" i="4"/>
  <c r="T279" i="4"/>
  <c r="U1397" i="4"/>
  <c r="B3" i="15" l="1"/>
  <c r="B6" i="15" s="1"/>
  <c r="B2" i="15"/>
  <c r="T1397" i="4"/>
  <c r="B5" i="15" l="1"/>
  <c r="C10" i="23"/>
  <c r="C11" i="23"/>
  <c r="C12" i="23"/>
  <c r="E82" i="14"/>
  <c r="E81" i="14"/>
  <c r="E83" i="14" l="1"/>
  <c r="E240" i="13"/>
  <c r="E245" i="13"/>
  <c r="E244" i="13"/>
  <c r="E241" i="13"/>
  <c r="E403" i="12"/>
  <c r="E402" i="12"/>
  <c r="E401" i="12"/>
  <c r="E96" i="11"/>
  <c r="E103" i="11" s="1"/>
  <c r="E242" i="13" l="1"/>
  <c r="E99" i="11"/>
  <c r="E100" i="11"/>
  <c r="E102" i="11"/>
  <c r="E104" i="11" s="1"/>
  <c r="E253" i="13" l="1"/>
  <c r="E249" i="13"/>
  <c r="E252" i="13"/>
  <c r="E101" i="11"/>
  <c r="E105" i="11" s="1"/>
  <c r="E598" i="10" l="1"/>
  <c r="D598" i="10"/>
  <c r="E597" i="10"/>
  <c r="D597" i="10"/>
  <c r="E596" i="10"/>
  <c r="D596" i="10"/>
  <c r="E595" i="10"/>
  <c r="D595" i="10"/>
  <c r="E594" i="10"/>
  <c r="D594" i="10"/>
  <c r="E590" i="10"/>
  <c r="D590" i="10"/>
  <c r="E589" i="10"/>
  <c r="D589" i="10"/>
  <c r="E588" i="10"/>
  <c r="D588" i="10"/>
  <c r="E583" i="10"/>
  <c r="D583" i="10"/>
  <c r="E582" i="10"/>
  <c r="D582" i="10"/>
  <c r="E577" i="10"/>
  <c r="D577" i="10"/>
  <c r="E576" i="10"/>
  <c r="D576" i="10"/>
  <c r="E571" i="10"/>
  <c r="D571" i="10"/>
  <c r="E570" i="10"/>
  <c r="D570" i="10"/>
  <c r="F564" i="10"/>
  <c r="F563" i="10"/>
  <c r="F559" i="10"/>
  <c r="F558" i="10"/>
  <c r="F554" i="10"/>
  <c r="F553" i="10"/>
  <c r="U3950" i="4"/>
  <c r="T3950" i="4"/>
  <c r="U3949" i="4"/>
  <c r="T3949" i="4"/>
  <c r="U3948" i="4"/>
  <c r="T3948" i="4"/>
  <c r="U3947" i="4"/>
  <c r="T3947" i="4"/>
  <c r="U3946" i="4"/>
  <c r="T3946" i="4"/>
  <c r="U3945" i="4"/>
  <c r="T3945" i="4"/>
  <c r="U3944" i="4"/>
  <c r="T3944" i="4"/>
  <c r="U3943" i="4"/>
  <c r="T3943" i="4"/>
  <c r="U3942" i="4"/>
  <c r="T3942" i="4"/>
  <c r="U3941" i="4"/>
  <c r="T3941" i="4"/>
  <c r="U3940" i="4"/>
  <c r="T3940" i="4"/>
  <c r="U3939" i="4"/>
  <c r="T3939" i="4"/>
  <c r="U3938" i="4"/>
  <c r="T3938" i="4"/>
  <c r="U3936" i="4"/>
  <c r="T3936" i="4"/>
  <c r="U3935" i="4"/>
  <c r="T3935" i="4"/>
  <c r="U3934" i="4"/>
  <c r="T3934" i="4"/>
  <c r="U3933" i="4"/>
  <c r="T3933" i="4"/>
  <c r="U3932" i="4"/>
  <c r="T3932" i="4"/>
  <c r="U3931" i="4"/>
  <c r="T3931" i="4"/>
  <c r="U3930" i="4"/>
  <c r="T3930" i="4"/>
  <c r="U3929" i="4"/>
  <c r="T3929" i="4"/>
  <c r="U3928" i="4"/>
  <c r="T3928" i="4"/>
  <c r="U3927" i="4"/>
  <c r="T3927" i="4"/>
  <c r="U3926" i="4"/>
  <c r="T3926" i="4"/>
  <c r="U3925" i="4"/>
  <c r="T3925" i="4"/>
  <c r="U3924" i="4"/>
  <c r="T3924" i="4"/>
  <c r="U3923" i="4"/>
  <c r="T3923" i="4"/>
  <c r="U3922" i="4"/>
  <c r="T3922" i="4"/>
  <c r="U3921" i="4"/>
  <c r="T3921" i="4"/>
  <c r="U3920" i="4"/>
  <c r="T3920" i="4"/>
  <c r="U3919" i="4"/>
  <c r="T3919" i="4"/>
  <c r="U3918" i="4"/>
  <c r="T3918" i="4"/>
  <c r="U3917" i="4"/>
  <c r="T3917" i="4"/>
  <c r="U3916" i="4"/>
  <c r="T3916" i="4"/>
  <c r="U3915" i="4"/>
  <c r="T3915" i="4"/>
  <c r="U3914" i="4"/>
  <c r="T3914" i="4"/>
  <c r="U3913" i="4"/>
  <c r="T3913" i="4"/>
  <c r="U3912" i="4"/>
  <c r="T3912" i="4"/>
  <c r="U3911" i="4"/>
  <c r="T3911" i="4"/>
  <c r="U3910" i="4"/>
  <c r="T3910" i="4"/>
  <c r="U3909" i="4"/>
  <c r="T3909" i="4"/>
  <c r="U3908" i="4"/>
  <c r="T3908" i="4"/>
  <c r="U3907" i="4"/>
  <c r="T3907" i="4"/>
  <c r="U3905" i="4"/>
  <c r="T3905" i="4"/>
  <c r="U3904" i="4"/>
  <c r="T3904" i="4"/>
  <c r="U3902" i="4"/>
  <c r="T3902" i="4"/>
  <c r="U3901" i="4"/>
  <c r="T3901" i="4"/>
  <c r="U3900" i="4"/>
  <c r="T3900" i="4"/>
  <c r="U3899" i="4"/>
  <c r="T3899" i="4"/>
  <c r="U3898" i="4"/>
  <c r="T3898" i="4"/>
  <c r="U3896" i="4"/>
  <c r="T3896" i="4"/>
  <c r="U3895" i="4"/>
  <c r="T3895" i="4"/>
  <c r="U3894" i="4"/>
  <c r="T3894" i="4"/>
  <c r="U3893" i="4"/>
  <c r="T3893" i="4"/>
  <c r="U3892" i="4"/>
  <c r="T3892" i="4"/>
  <c r="U3891" i="4"/>
  <c r="T3891" i="4"/>
  <c r="U3890" i="4"/>
  <c r="T3890" i="4"/>
  <c r="U3889" i="4"/>
  <c r="T3889" i="4"/>
  <c r="U3888" i="4"/>
  <c r="T3888" i="4"/>
  <c r="U3887" i="4"/>
  <c r="T3887" i="4"/>
  <c r="U3885" i="4"/>
  <c r="T3885" i="4"/>
  <c r="U3884" i="4"/>
  <c r="T3884" i="4"/>
  <c r="U3883" i="4"/>
  <c r="T3883" i="4"/>
  <c r="U3882" i="4"/>
  <c r="T3882" i="4"/>
  <c r="U3881" i="4"/>
  <c r="T3881" i="4"/>
  <c r="U3880" i="4"/>
  <c r="T3880" i="4"/>
  <c r="U3879" i="4"/>
  <c r="T3879" i="4"/>
  <c r="U3878" i="4"/>
  <c r="T3878" i="4"/>
  <c r="U3877" i="4"/>
  <c r="T3877" i="4"/>
  <c r="U3876" i="4"/>
  <c r="T3876" i="4"/>
  <c r="U3875" i="4"/>
  <c r="T3875" i="4"/>
  <c r="U3874" i="4"/>
  <c r="T3874" i="4"/>
  <c r="U3873" i="4"/>
  <c r="T3873" i="4"/>
  <c r="U3872" i="4"/>
  <c r="T3872" i="4"/>
  <c r="U3871" i="4"/>
  <c r="T3871" i="4"/>
  <c r="U3870" i="4"/>
  <c r="T3870" i="4"/>
  <c r="U3869" i="4"/>
  <c r="T3869" i="4"/>
  <c r="U3868" i="4"/>
  <c r="T3868" i="4"/>
  <c r="U3867" i="4"/>
  <c r="T3867" i="4"/>
  <c r="U3866" i="4"/>
  <c r="T3866" i="4"/>
  <c r="U3865" i="4"/>
  <c r="T3865" i="4"/>
  <c r="U3864" i="4"/>
  <c r="T3864" i="4"/>
  <c r="U3863" i="4"/>
  <c r="T3863" i="4"/>
  <c r="U3862" i="4"/>
  <c r="T3862" i="4"/>
  <c r="U3861" i="4"/>
  <c r="T3861" i="4"/>
  <c r="U3860" i="4"/>
  <c r="T3860" i="4"/>
  <c r="U3859" i="4"/>
  <c r="T3859" i="4"/>
  <c r="U3858" i="4"/>
  <c r="T3858" i="4"/>
  <c r="U3856" i="4"/>
  <c r="T3856" i="4"/>
  <c r="U3855" i="4"/>
  <c r="T3855" i="4"/>
  <c r="U3853" i="4"/>
  <c r="T3853" i="4"/>
  <c r="U3852" i="4"/>
  <c r="T3852" i="4"/>
  <c r="U3851" i="4"/>
  <c r="T3851" i="4"/>
  <c r="U3850" i="4"/>
  <c r="T3850" i="4"/>
  <c r="U3849" i="4"/>
  <c r="T3849" i="4"/>
  <c r="U3848" i="4"/>
  <c r="T3848" i="4"/>
  <c r="U3847" i="4"/>
  <c r="T3847" i="4"/>
  <c r="U3845" i="4"/>
  <c r="T3845" i="4"/>
  <c r="U3844" i="4"/>
  <c r="T3844" i="4"/>
  <c r="U3843" i="4"/>
  <c r="T3843" i="4"/>
  <c r="U3842" i="4"/>
  <c r="T3842" i="4"/>
  <c r="U3841" i="4"/>
  <c r="T3841" i="4"/>
  <c r="U3840" i="4"/>
  <c r="T3840" i="4"/>
  <c r="U3839" i="4"/>
  <c r="T3839" i="4"/>
  <c r="U3838" i="4"/>
  <c r="T3838" i="4"/>
  <c r="U3837" i="4"/>
  <c r="T3837" i="4"/>
  <c r="U3836" i="4"/>
  <c r="T3836" i="4"/>
  <c r="U3835" i="4"/>
  <c r="T3835" i="4"/>
  <c r="U3834" i="4"/>
  <c r="T3834" i="4"/>
  <c r="U3833" i="4"/>
  <c r="T3833" i="4"/>
  <c r="U3832" i="4"/>
  <c r="T3832" i="4"/>
  <c r="U3831" i="4"/>
  <c r="T3831" i="4"/>
  <c r="U3830" i="4"/>
  <c r="T3830" i="4"/>
  <c r="U3829" i="4"/>
  <c r="T3829" i="4"/>
  <c r="U3828" i="4"/>
  <c r="T3828" i="4"/>
  <c r="U3827" i="4"/>
  <c r="T3827" i="4"/>
  <c r="U3826" i="4"/>
  <c r="T3826" i="4"/>
  <c r="U3825" i="4"/>
  <c r="T3825" i="4"/>
  <c r="U3824" i="4"/>
  <c r="T3824" i="4"/>
  <c r="U3823" i="4"/>
  <c r="T3823" i="4"/>
  <c r="U3822" i="4"/>
  <c r="T3822" i="4"/>
  <c r="U3821" i="4"/>
  <c r="T3821" i="4"/>
  <c r="U3820" i="4"/>
  <c r="T3820" i="4"/>
  <c r="U3819" i="4"/>
  <c r="T3819" i="4"/>
  <c r="U3818" i="4"/>
  <c r="T3818" i="4"/>
  <c r="U3817" i="4"/>
  <c r="T3817" i="4"/>
  <c r="U3815" i="4"/>
  <c r="T3815" i="4"/>
  <c r="U3814" i="4"/>
  <c r="T3814" i="4"/>
  <c r="U3813" i="4"/>
  <c r="T3813" i="4"/>
  <c r="U3812" i="4"/>
  <c r="T3812" i="4"/>
  <c r="U3811" i="4"/>
  <c r="T3811" i="4"/>
  <c r="U3810" i="4"/>
  <c r="T3810" i="4"/>
  <c r="U3809" i="4"/>
  <c r="T3809" i="4"/>
  <c r="U3808" i="4"/>
  <c r="T3808" i="4"/>
  <c r="U3806" i="4"/>
  <c r="T3806" i="4"/>
  <c r="U3805" i="4"/>
  <c r="T3805" i="4"/>
  <c r="U3804" i="4"/>
  <c r="T3804" i="4"/>
  <c r="U3803" i="4"/>
  <c r="T3803" i="4"/>
  <c r="U3802" i="4"/>
  <c r="T3802" i="4"/>
  <c r="U3801" i="4"/>
  <c r="T3801" i="4"/>
  <c r="U3800" i="4"/>
  <c r="T3800" i="4"/>
  <c r="U3799" i="4"/>
  <c r="T3799" i="4"/>
  <c r="U3798" i="4"/>
  <c r="T3798" i="4"/>
  <c r="U3797" i="4"/>
  <c r="T3797" i="4"/>
  <c r="U3796" i="4"/>
  <c r="T3796" i="4"/>
  <c r="U3795" i="4"/>
  <c r="T3795" i="4"/>
  <c r="U3794" i="4"/>
  <c r="T3794" i="4"/>
  <c r="U3793" i="4"/>
  <c r="T3793" i="4"/>
  <c r="U3792" i="4"/>
  <c r="T3792" i="4"/>
  <c r="U3791" i="4"/>
  <c r="T3791" i="4"/>
  <c r="U3790" i="4"/>
  <c r="T3790" i="4"/>
  <c r="U3789" i="4"/>
  <c r="T3789" i="4"/>
  <c r="U3788" i="4"/>
  <c r="T3788" i="4"/>
  <c r="U3787" i="4"/>
  <c r="T3787" i="4"/>
  <c r="U3786" i="4"/>
  <c r="T3786" i="4"/>
  <c r="U3785" i="4"/>
  <c r="T3785" i="4"/>
  <c r="U3784" i="4"/>
  <c r="T3784" i="4"/>
  <c r="U3783" i="4"/>
  <c r="T3783" i="4"/>
  <c r="U3782" i="4"/>
  <c r="T3782" i="4"/>
  <c r="U3781" i="4"/>
  <c r="T3781" i="4"/>
  <c r="U3780" i="4"/>
  <c r="T3780" i="4"/>
  <c r="U3778" i="4"/>
  <c r="T3778" i="4"/>
  <c r="U3777" i="4"/>
  <c r="T3777" i="4"/>
  <c r="U3776" i="4"/>
  <c r="T3776" i="4"/>
  <c r="U3775" i="4"/>
  <c r="T3775" i="4"/>
  <c r="U3774" i="4"/>
  <c r="T3774" i="4"/>
  <c r="U3773" i="4"/>
  <c r="T3773" i="4"/>
  <c r="U3772" i="4"/>
  <c r="T3772" i="4"/>
  <c r="U3771" i="4"/>
  <c r="T3771" i="4"/>
  <c r="U3770" i="4"/>
  <c r="T3770" i="4"/>
  <c r="U3769" i="4"/>
  <c r="T3769" i="4"/>
  <c r="U3768" i="4"/>
  <c r="T3768" i="4"/>
  <c r="U3767" i="4"/>
  <c r="T3767" i="4"/>
  <c r="U3766" i="4"/>
  <c r="T3766" i="4"/>
  <c r="U3764" i="4"/>
  <c r="T3764" i="4"/>
  <c r="U3762" i="4"/>
  <c r="T3762" i="4"/>
  <c r="U3761" i="4"/>
  <c r="T3761" i="4"/>
  <c r="U3760" i="4"/>
  <c r="T3760" i="4"/>
  <c r="U3759" i="4"/>
  <c r="T3759" i="4"/>
  <c r="U3758" i="4"/>
  <c r="T3758" i="4"/>
  <c r="U3757" i="4"/>
  <c r="T3757" i="4"/>
  <c r="U3756" i="4"/>
  <c r="T3756" i="4"/>
  <c r="U3755" i="4"/>
  <c r="T3755" i="4"/>
  <c r="U3754" i="4"/>
  <c r="T3754" i="4"/>
  <c r="U3753" i="4"/>
  <c r="T3753" i="4"/>
  <c r="U3752" i="4"/>
  <c r="T3752" i="4"/>
  <c r="U3751" i="4"/>
  <c r="T3751" i="4"/>
  <c r="U3750" i="4"/>
  <c r="T3750" i="4"/>
  <c r="U3749" i="4"/>
  <c r="T3749" i="4"/>
  <c r="U3748" i="4"/>
  <c r="T3748" i="4"/>
  <c r="U3747" i="4"/>
  <c r="T3747" i="4"/>
  <c r="U3745" i="4"/>
  <c r="T3745" i="4"/>
  <c r="U3744" i="4"/>
  <c r="T3744" i="4"/>
  <c r="U3743" i="4"/>
  <c r="T3743" i="4"/>
  <c r="U3742" i="4"/>
  <c r="T3742" i="4"/>
  <c r="U3741" i="4"/>
  <c r="T3741" i="4"/>
  <c r="U3740" i="4"/>
  <c r="T3740" i="4"/>
  <c r="U3739" i="4"/>
  <c r="T3739" i="4"/>
  <c r="U3738" i="4"/>
  <c r="T3738" i="4"/>
  <c r="U3737" i="4"/>
  <c r="T3737" i="4"/>
  <c r="U3736" i="4"/>
  <c r="T3736" i="4"/>
  <c r="U3735" i="4"/>
  <c r="T3735" i="4"/>
  <c r="U3734" i="4"/>
  <c r="T3734" i="4"/>
  <c r="U3733" i="4"/>
  <c r="T3733" i="4"/>
  <c r="U3732" i="4"/>
  <c r="T3732" i="4"/>
  <c r="U3731" i="4"/>
  <c r="T3731" i="4"/>
  <c r="U3730" i="4"/>
  <c r="T3730" i="4"/>
  <c r="U3729" i="4"/>
  <c r="T3729" i="4"/>
  <c r="U3728" i="4"/>
  <c r="T3728" i="4"/>
  <c r="U3727" i="4"/>
  <c r="T3727" i="4"/>
  <c r="U3726" i="4"/>
  <c r="T3726" i="4"/>
  <c r="U3725" i="4"/>
  <c r="T3725" i="4"/>
  <c r="U3724" i="4"/>
  <c r="T3724" i="4"/>
  <c r="U3722" i="4"/>
  <c r="T3722" i="4"/>
  <c r="U3720" i="4"/>
  <c r="T3720" i="4"/>
  <c r="U3719" i="4"/>
  <c r="T3719" i="4"/>
  <c r="U3718" i="4"/>
  <c r="T3718" i="4"/>
  <c r="U3717" i="4"/>
  <c r="T3717" i="4"/>
  <c r="U3716" i="4"/>
  <c r="T3716" i="4"/>
  <c r="U3715" i="4"/>
  <c r="T3715" i="4"/>
  <c r="U3714" i="4"/>
  <c r="T3714" i="4"/>
  <c r="U3713" i="4"/>
  <c r="T3713" i="4"/>
  <c r="U3712" i="4"/>
  <c r="T3712" i="4"/>
  <c r="U3711" i="4"/>
  <c r="T3711" i="4"/>
  <c r="U3710" i="4"/>
  <c r="T3710" i="4"/>
  <c r="U3709" i="4"/>
  <c r="T3709" i="4"/>
  <c r="U3708" i="4"/>
  <c r="T3708" i="4"/>
  <c r="U3707" i="4"/>
  <c r="T3707" i="4"/>
  <c r="U3706" i="4"/>
  <c r="T3706" i="4"/>
  <c r="U3705" i="4"/>
  <c r="T3705" i="4"/>
  <c r="U3703" i="4"/>
  <c r="T3703" i="4"/>
  <c r="U3702" i="4"/>
  <c r="T3702" i="4"/>
  <c r="U3701" i="4"/>
  <c r="T3701" i="4"/>
  <c r="U3700" i="4"/>
  <c r="T3700" i="4"/>
  <c r="U3699" i="4"/>
  <c r="T3699" i="4"/>
  <c r="U3698" i="4"/>
  <c r="T3698" i="4"/>
  <c r="U3697" i="4"/>
  <c r="T3697" i="4"/>
  <c r="U3696" i="4"/>
  <c r="T3696" i="4"/>
  <c r="U3695" i="4"/>
  <c r="T3695" i="4"/>
  <c r="U3694" i="4"/>
  <c r="T3694" i="4"/>
  <c r="U3693" i="4"/>
  <c r="T3693" i="4"/>
  <c r="U3692" i="4"/>
  <c r="T3692" i="4"/>
  <c r="U3691" i="4"/>
  <c r="T3691" i="4"/>
  <c r="U3690" i="4"/>
  <c r="T3690" i="4"/>
  <c r="U3689" i="4"/>
  <c r="T3689" i="4"/>
  <c r="U3688" i="4"/>
  <c r="T3688" i="4"/>
  <c r="U3687" i="4"/>
  <c r="T3687" i="4"/>
  <c r="U3686" i="4"/>
  <c r="T3686" i="4"/>
  <c r="U3685" i="4"/>
  <c r="T3685" i="4"/>
  <c r="U3684" i="4"/>
  <c r="T3684" i="4"/>
  <c r="U3683" i="4"/>
  <c r="T3683" i="4"/>
  <c r="U3682" i="4"/>
  <c r="T3682" i="4"/>
  <c r="U3681" i="4"/>
  <c r="T3681" i="4"/>
  <c r="U3680" i="4"/>
  <c r="T3680" i="4"/>
  <c r="U3679" i="4"/>
  <c r="T3679" i="4"/>
  <c r="U3678" i="4"/>
  <c r="T3678" i="4"/>
  <c r="U3677" i="4"/>
  <c r="T3677" i="4"/>
  <c r="U3675" i="4"/>
  <c r="T3675" i="4"/>
  <c r="U3674" i="4"/>
  <c r="T3674" i="4"/>
  <c r="U3673" i="4"/>
  <c r="T3673" i="4"/>
  <c r="U3672" i="4"/>
  <c r="T3672" i="4"/>
  <c r="U3671" i="4"/>
  <c r="T3671" i="4"/>
  <c r="U3670" i="4"/>
  <c r="T3670" i="4"/>
  <c r="U3669" i="4"/>
  <c r="T3669" i="4"/>
  <c r="U3668" i="4"/>
  <c r="T3668" i="4"/>
  <c r="U3667" i="4"/>
  <c r="T3667" i="4"/>
  <c r="U3666" i="4"/>
  <c r="T3666" i="4"/>
  <c r="U3665" i="4"/>
  <c r="T3665" i="4"/>
  <c r="U3664" i="4"/>
  <c r="T3664" i="4"/>
  <c r="U3663" i="4"/>
  <c r="T3663" i="4"/>
  <c r="U3661" i="4"/>
  <c r="T3661" i="4"/>
  <c r="U3660" i="4"/>
  <c r="T3660" i="4"/>
  <c r="U3659" i="4"/>
  <c r="T3659" i="4"/>
  <c r="U3657" i="4"/>
  <c r="T3657" i="4"/>
  <c r="U3655" i="4"/>
  <c r="T3655" i="4"/>
  <c r="U3654" i="4"/>
  <c r="T3654" i="4"/>
  <c r="U3653" i="4"/>
  <c r="T3653" i="4"/>
  <c r="U3652" i="4"/>
  <c r="T3652" i="4"/>
  <c r="U3651" i="4"/>
  <c r="T3651" i="4"/>
  <c r="U3650" i="4"/>
  <c r="T3650" i="4"/>
  <c r="U3649" i="4"/>
  <c r="T3649" i="4"/>
  <c r="U3648" i="4"/>
  <c r="T3648" i="4"/>
  <c r="U3647" i="4"/>
  <c r="T3647" i="4"/>
  <c r="U3645" i="4"/>
  <c r="T3645" i="4"/>
  <c r="U3644" i="4"/>
  <c r="T3644" i="4"/>
  <c r="U3641" i="4"/>
  <c r="T3641" i="4"/>
  <c r="U3640" i="4"/>
  <c r="T3640" i="4"/>
  <c r="U3639" i="4"/>
  <c r="T3639" i="4"/>
  <c r="U3638" i="4"/>
  <c r="T3638" i="4"/>
  <c r="U3637" i="4"/>
  <c r="T3637" i="4"/>
  <c r="U3636" i="4"/>
  <c r="T3636" i="4"/>
  <c r="U3635" i="4"/>
  <c r="T3635" i="4"/>
  <c r="U3634" i="4"/>
  <c r="T3634" i="4"/>
  <c r="U3633" i="4"/>
  <c r="T3633" i="4"/>
  <c r="U3632" i="4"/>
  <c r="T3632" i="4"/>
  <c r="U3631" i="4"/>
  <c r="T3631" i="4"/>
  <c r="U3630" i="4"/>
  <c r="T3630" i="4"/>
  <c r="U3629" i="4"/>
  <c r="T3629" i="4"/>
  <c r="U3628" i="4"/>
  <c r="T3628" i="4"/>
  <c r="U3627" i="4"/>
  <c r="T3627" i="4"/>
  <c r="U3626" i="4"/>
  <c r="T3626" i="4"/>
  <c r="U3625" i="4"/>
  <c r="T3625" i="4"/>
  <c r="U3624" i="4"/>
  <c r="T3624" i="4"/>
  <c r="U3623" i="4"/>
  <c r="T3623" i="4"/>
  <c r="U3622" i="4"/>
  <c r="T3622" i="4"/>
  <c r="U3621" i="4"/>
  <c r="T3621" i="4"/>
  <c r="U3620" i="4"/>
  <c r="T3620" i="4"/>
  <c r="U3619" i="4"/>
  <c r="T3619" i="4"/>
  <c r="U3618" i="4"/>
  <c r="T3618" i="4"/>
  <c r="U3617" i="4"/>
  <c r="T3617" i="4"/>
  <c r="U3616" i="4"/>
  <c r="T3616" i="4"/>
  <c r="U3615" i="4"/>
  <c r="T3615" i="4"/>
  <c r="U3614" i="4"/>
  <c r="T3614" i="4"/>
  <c r="U3613" i="4"/>
  <c r="T3613" i="4"/>
  <c r="U3611" i="4"/>
  <c r="T3611" i="4"/>
  <c r="U3610" i="4"/>
  <c r="T3610" i="4"/>
  <c r="U3608" i="4"/>
  <c r="T3608" i="4"/>
  <c r="U3607" i="4"/>
  <c r="T3607" i="4"/>
  <c r="U3606" i="4"/>
  <c r="T3606" i="4"/>
  <c r="U3605" i="4"/>
  <c r="T3605" i="4"/>
  <c r="U3604" i="4"/>
  <c r="T3604" i="4"/>
  <c r="U3603" i="4"/>
  <c r="T3603" i="4"/>
  <c r="U3602" i="4"/>
  <c r="T3602" i="4"/>
  <c r="U3600" i="4"/>
  <c r="T3600" i="4"/>
  <c r="U3599" i="4"/>
  <c r="T3599" i="4"/>
  <c r="U3598" i="4"/>
  <c r="T3598" i="4"/>
  <c r="U3597" i="4"/>
  <c r="T3597" i="4"/>
  <c r="U3596" i="4"/>
  <c r="T3596" i="4"/>
  <c r="U3595" i="4"/>
  <c r="T3595" i="4"/>
  <c r="U3594" i="4"/>
  <c r="T3594" i="4"/>
  <c r="U3593" i="4"/>
  <c r="T3593" i="4"/>
  <c r="U3592" i="4"/>
  <c r="T3592" i="4"/>
  <c r="U3591" i="4"/>
  <c r="T3591" i="4"/>
  <c r="U3590" i="4"/>
  <c r="T3590" i="4"/>
  <c r="U3589" i="4"/>
  <c r="T3589" i="4"/>
  <c r="U3588" i="4"/>
  <c r="T3588" i="4"/>
  <c r="U3586" i="4"/>
  <c r="T3586" i="4"/>
  <c r="U3585" i="4"/>
  <c r="T3585" i="4"/>
  <c r="U3584" i="4"/>
  <c r="T3584" i="4"/>
  <c r="U3583" i="4"/>
  <c r="T3583" i="4"/>
  <c r="U3582" i="4"/>
  <c r="T3582" i="4"/>
  <c r="U3581" i="4"/>
  <c r="T3581" i="4"/>
  <c r="U3580" i="4"/>
  <c r="T3580" i="4"/>
  <c r="U3578" i="4"/>
  <c r="T3578" i="4"/>
  <c r="U3577" i="4"/>
  <c r="T3577" i="4"/>
  <c r="U3576" i="4"/>
  <c r="T3576" i="4"/>
  <c r="U3575" i="4"/>
  <c r="T3575" i="4"/>
  <c r="U3574" i="4"/>
  <c r="T3574" i="4"/>
  <c r="U3573" i="4"/>
  <c r="T3573" i="4"/>
  <c r="U3572" i="4"/>
  <c r="T3572" i="4"/>
  <c r="U3571" i="4"/>
  <c r="T3571" i="4"/>
  <c r="U3570" i="4"/>
  <c r="T3570" i="4"/>
  <c r="U3568" i="4"/>
  <c r="T3568" i="4"/>
  <c r="U3567" i="4"/>
  <c r="T3567" i="4"/>
  <c r="U3566" i="4"/>
  <c r="T3566" i="4"/>
  <c r="U3565" i="4"/>
  <c r="T3565" i="4"/>
  <c r="U3564" i="4"/>
  <c r="T3564" i="4"/>
  <c r="U3563" i="4"/>
  <c r="T3563" i="4"/>
  <c r="U3561" i="4"/>
  <c r="T3561" i="4"/>
  <c r="U3559" i="4"/>
  <c r="T3559" i="4"/>
  <c r="U3558" i="4"/>
  <c r="T3558" i="4"/>
  <c r="U3557" i="4"/>
  <c r="T3557" i="4"/>
  <c r="U3556" i="4"/>
  <c r="T3556" i="4"/>
  <c r="U3553" i="4"/>
  <c r="T3553" i="4"/>
  <c r="U3552" i="4"/>
  <c r="T3552" i="4"/>
  <c r="U3551" i="4"/>
  <c r="T3551" i="4"/>
  <c r="U3550" i="4"/>
  <c r="T3550" i="4"/>
  <c r="U3549" i="4"/>
  <c r="T3549" i="4"/>
  <c r="U3548" i="4"/>
  <c r="T3548" i="4"/>
  <c r="U3547" i="4"/>
  <c r="T3547" i="4"/>
  <c r="U3546" i="4"/>
  <c r="T3546" i="4"/>
  <c r="U3545" i="4"/>
  <c r="T3545" i="4"/>
  <c r="U3544" i="4"/>
  <c r="T3544" i="4"/>
  <c r="U3543" i="4"/>
  <c r="T3543" i="4"/>
  <c r="U3542" i="4"/>
  <c r="T3542" i="4"/>
  <c r="U3541" i="4"/>
  <c r="T3541" i="4"/>
  <c r="U3540" i="4"/>
  <c r="T3540" i="4"/>
  <c r="U3539" i="4"/>
  <c r="T3539" i="4"/>
  <c r="U3537" i="4"/>
  <c r="T3537" i="4"/>
  <c r="U3536" i="4"/>
  <c r="T3536" i="4"/>
  <c r="U3535" i="4"/>
  <c r="T3535" i="4"/>
  <c r="U3534" i="4"/>
  <c r="T3534" i="4"/>
  <c r="U3533" i="4"/>
  <c r="T3533" i="4"/>
  <c r="U3532" i="4"/>
  <c r="T3532" i="4"/>
  <c r="U3531" i="4"/>
  <c r="T3531" i="4"/>
  <c r="U3530" i="4"/>
  <c r="T3530" i="4"/>
  <c r="U3529" i="4"/>
  <c r="T3529" i="4"/>
  <c r="U3528" i="4"/>
  <c r="T3528" i="4"/>
  <c r="U3526" i="4"/>
  <c r="T3526" i="4"/>
  <c r="U3525" i="4"/>
  <c r="T3525" i="4"/>
  <c r="U3524" i="4"/>
  <c r="T3524" i="4"/>
  <c r="U3523" i="4"/>
  <c r="T3523" i="4"/>
  <c r="U3522" i="4"/>
  <c r="T3522" i="4"/>
  <c r="U3521" i="4"/>
  <c r="T3521" i="4"/>
  <c r="U3520" i="4"/>
  <c r="T3520" i="4"/>
  <c r="U3519" i="4"/>
  <c r="T3519" i="4"/>
  <c r="U3518" i="4"/>
  <c r="T3518" i="4"/>
  <c r="U3517" i="4"/>
  <c r="T3517" i="4"/>
  <c r="U3516" i="4"/>
  <c r="T3516" i="4"/>
  <c r="U3515" i="4"/>
  <c r="T3515" i="4"/>
  <c r="U3513" i="4"/>
  <c r="T3513" i="4"/>
  <c r="U3512" i="4"/>
  <c r="T3512" i="4"/>
  <c r="U3511" i="4"/>
  <c r="T3511" i="4"/>
  <c r="U3509" i="4"/>
  <c r="T3509" i="4"/>
  <c r="U3508" i="4"/>
  <c r="T3508" i="4"/>
  <c r="U3507" i="4"/>
  <c r="T3507" i="4"/>
  <c r="U3506" i="4"/>
  <c r="T3506" i="4"/>
  <c r="U3505" i="4"/>
  <c r="T3505" i="4"/>
  <c r="U3504" i="4"/>
  <c r="T3504" i="4"/>
  <c r="U3503" i="4"/>
  <c r="T3503" i="4"/>
  <c r="U3501" i="4"/>
  <c r="T3501" i="4"/>
  <c r="U3500" i="4"/>
  <c r="T3500" i="4"/>
  <c r="U3499" i="4"/>
  <c r="T3499" i="4"/>
  <c r="U3498" i="4"/>
  <c r="T3498" i="4"/>
  <c r="U3497" i="4"/>
  <c r="T3497" i="4"/>
  <c r="U3496" i="4"/>
  <c r="T3496" i="4"/>
  <c r="U3495" i="4"/>
  <c r="T3495" i="4"/>
  <c r="U3494" i="4"/>
  <c r="T3494" i="4"/>
  <c r="U3493" i="4"/>
  <c r="T3493" i="4"/>
  <c r="U3492" i="4"/>
  <c r="T3492" i="4"/>
  <c r="U3491" i="4"/>
  <c r="T3491" i="4"/>
  <c r="U3490" i="4"/>
  <c r="T3490" i="4"/>
  <c r="U3489" i="4"/>
  <c r="T3489" i="4"/>
  <c r="U3488" i="4"/>
  <c r="T3488" i="4"/>
  <c r="U3487" i="4"/>
  <c r="T3487" i="4"/>
  <c r="U3486" i="4"/>
  <c r="T3486" i="4"/>
  <c r="U3485" i="4"/>
  <c r="T3485" i="4"/>
  <c r="U3484" i="4"/>
  <c r="T3484" i="4"/>
  <c r="U3483" i="4"/>
  <c r="T3483" i="4"/>
  <c r="U3482" i="4"/>
  <c r="T3482" i="4"/>
  <c r="U3481" i="4"/>
  <c r="T3481" i="4"/>
  <c r="U3480" i="4"/>
  <c r="T3480" i="4"/>
  <c r="U3479" i="4"/>
  <c r="T3479" i="4"/>
  <c r="U3478" i="4"/>
  <c r="T3478" i="4"/>
  <c r="U3477" i="4"/>
  <c r="T3477" i="4"/>
  <c r="U3476" i="4"/>
  <c r="T3476" i="4"/>
  <c r="U3475" i="4"/>
  <c r="T3475" i="4"/>
  <c r="U3474" i="4"/>
  <c r="T3474" i="4"/>
  <c r="U3473" i="4"/>
  <c r="T3473" i="4"/>
  <c r="U3472" i="4"/>
  <c r="T3472" i="4"/>
  <c r="U3471" i="4"/>
  <c r="T3471" i="4"/>
  <c r="U3470" i="4"/>
  <c r="T3470" i="4"/>
  <c r="U3469" i="4"/>
  <c r="T3469" i="4"/>
  <c r="U3468" i="4"/>
  <c r="T3468" i="4"/>
  <c r="U3467" i="4"/>
  <c r="T3467" i="4"/>
  <c r="U3466" i="4"/>
  <c r="T3466" i="4"/>
  <c r="U3465" i="4"/>
  <c r="T3465" i="4"/>
  <c r="U3464" i="4"/>
  <c r="T3464" i="4"/>
  <c r="U3463" i="4"/>
  <c r="T3463" i="4"/>
  <c r="U3462" i="4"/>
  <c r="T3462" i="4"/>
  <c r="U3461" i="4"/>
  <c r="T3461" i="4"/>
  <c r="U3460" i="4"/>
  <c r="T3460" i="4"/>
  <c r="U3459" i="4"/>
  <c r="T3459" i="4"/>
  <c r="U3458" i="4"/>
  <c r="T3458" i="4"/>
  <c r="U3457" i="4"/>
  <c r="T3457" i="4"/>
  <c r="U3456" i="4"/>
  <c r="T3456" i="4"/>
  <c r="U3455" i="4"/>
  <c r="T3455" i="4"/>
  <c r="U3454" i="4"/>
  <c r="T3454" i="4"/>
  <c r="U3453" i="4"/>
  <c r="T3453" i="4"/>
  <c r="U3452" i="4"/>
  <c r="T3452" i="4"/>
  <c r="U3451" i="4"/>
  <c r="T3451" i="4"/>
  <c r="U3450" i="4"/>
  <c r="T3450" i="4"/>
  <c r="U3449" i="4"/>
  <c r="T3449" i="4"/>
  <c r="U3448" i="4"/>
  <c r="T3448" i="4"/>
  <c r="U3447" i="4"/>
  <c r="T3447" i="4"/>
  <c r="U3446" i="4"/>
  <c r="T3446" i="4"/>
  <c r="U3445" i="4"/>
  <c r="T3445" i="4"/>
  <c r="U3444" i="4"/>
  <c r="T3444" i="4"/>
  <c r="U3443" i="4"/>
  <c r="T3443" i="4"/>
  <c r="U3442" i="4"/>
  <c r="T3442" i="4"/>
  <c r="U3440" i="4"/>
  <c r="T3440" i="4"/>
  <c r="U3439" i="4"/>
  <c r="T3439" i="4"/>
  <c r="U3438" i="4"/>
  <c r="T3438" i="4"/>
  <c r="U3436" i="4"/>
  <c r="T3436" i="4"/>
  <c r="U3435" i="4"/>
  <c r="T3435" i="4"/>
  <c r="U3434" i="4"/>
  <c r="T3434" i="4"/>
  <c r="U3433" i="4"/>
  <c r="T3433" i="4"/>
  <c r="U3432" i="4"/>
  <c r="T3432" i="4"/>
  <c r="U3431" i="4"/>
  <c r="T3431" i="4"/>
  <c r="U3430" i="4"/>
  <c r="T3430" i="4"/>
  <c r="U3429" i="4"/>
  <c r="T3429" i="4"/>
  <c r="U3428" i="4"/>
  <c r="T3428" i="4"/>
  <c r="U3427" i="4"/>
  <c r="T3427" i="4"/>
  <c r="U3426" i="4"/>
  <c r="T3426" i="4"/>
  <c r="U3424" i="4"/>
  <c r="T3424" i="4"/>
  <c r="U3422" i="4"/>
  <c r="T3422" i="4"/>
  <c r="U3421" i="4"/>
  <c r="T3421" i="4"/>
  <c r="U3420" i="4"/>
  <c r="T3420" i="4"/>
  <c r="U3417" i="4"/>
  <c r="T3417" i="4"/>
  <c r="U3416" i="4"/>
  <c r="T3416" i="4"/>
  <c r="U3415" i="4"/>
  <c r="T3415" i="4"/>
  <c r="U3414" i="4"/>
  <c r="T3414" i="4"/>
  <c r="U3413" i="4"/>
  <c r="T3413" i="4"/>
  <c r="U3412" i="4"/>
  <c r="T3412" i="4"/>
  <c r="U3411" i="4"/>
  <c r="T3411" i="4"/>
  <c r="U3409" i="4"/>
  <c r="T3409" i="4"/>
  <c r="U3408" i="4"/>
  <c r="T3408" i="4"/>
  <c r="U3407" i="4"/>
  <c r="T3407" i="4"/>
  <c r="U3406" i="4"/>
  <c r="T3406" i="4"/>
  <c r="U3405" i="4"/>
  <c r="T3405" i="4"/>
  <c r="U3404" i="4"/>
  <c r="T3404" i="4"/>
  <c r="U3403" i="4"/>
  <c r="T3403" i="4"/>
  <c r="U3402" i="4"/>
  <c r="T3402" i="4"/>
  <c r="U3401" i="4"/>
  <c r="T3401" i="4"/>
  <c r="U3399" i="4"/>
  <c r="T3399" i="4"/>
  <c r="U3398" i="4"/>
  <c r="T3398" i="4"/>
  <c r="U3397" i="4"/>
  <c r="T3397" i="4"/>
  <c r="U3396" i="4"/>
  <c r="T3396" i="4"/>
  <c r="U3395" i="4"/>
  <c r="T3395" i="4"/>
  <c r="U3394" i="4"/>
  <c r="T3394" i="4"/>
  <c r="U3393" i="4"/>
  <c r="T3393" i="4"/>
  <c r="U3392" i="4"/>
  <c r="T3392" i="4"/>
  <c r="U3391" i="4"/>
  <c r="T3391" i="4"/>
  <c r="U3390" i="4"/>
  <c r="T3390" i="4"/>
  <c r="U3389" i="4"/>
  <c r="T3389" i="4"/>
  <c r="U3387" i="4"/>
  <c r="T3387" i="4"/>
  <c r="U3386" i="4"/>
  <c r="T3386" i="4"/>
  <c r="U3385" i="4"/>
  <c r="T3385" i="4"/>
  <c r="U3384" i="4"/>
  <c r="T3384" i="4"/>
  <c r="U3382" i="4"/>
  <c r="T3382" i="4"/>
  <c r="U3381" i="4"/>
  <c r="T3381" i="4"/>
  <c r="U3376" i="4"/>
  <c r="T3376" i="4"/>
  <c r="U3375" i="4"/>
  <c r="T3375" i="4"/>
  <c r="U3374" i="4"/>
  <c r="T3374" i="4"/>
  <c r="U3372" i="4"/>
  <c r="T3372" i="4"/>
  <c r="U3371" i="4"/>
  <c r="T3371" i="4"/>
  <c r="U3370" i="4"/>
  <c r="T3370" i="4"/>
  <c r="U3369" i="4"/>
  <c r="T3369" i="4"/>
  <c r="U3368" i="4"/>
  <c r="T3368" i="4"/>
  <c r="U3367" i="4"/>
  <c r="T3367" i="4"/>
  <c r="U3366" i="4"/>
  <c r="T3366" i="4"/>
  <c r="U3364" i="4"/>
  <c r="T3364" i="4"/>
  <c r="U3363" i="4"/>
  <c r="T3363" i="4"/>
  <c r="U3362" i="4"/>
  <c r="T3362" i="4"/>
  <c r="U3360" i="4"/>
  <c r="T3360" i="4"/>
  <c r="U3359" i="4"/>
  <c r="T3359" i="4"/>
  <c r="U3357" i="4"/>
  <c r="T3357" i="4"/>
  <c r="U3356" i="4"/>
  <c r="T3356" i="4"/>
  <c r="U3355" i="4"/>
  <c r="T3355" i="4"/>
  <c r="U3354" i="4"/>
  <c r="T3354" i="4"/>
  <c r="U3353" i="4"/>
  <c r="T3353" i="4"/>
  <c r="U3352" i="4"/>
  <c r="T3352" i="4"/>
  <c r="U3350" i="4"/>
  <c r="T3350" i="4"/>
  <c r="U3349" i="4"/>
  <c r="T3349" i="4"/>
  <c r="U3348" i="4"/>
  <c r="T3348" i="4"/>
  <c r="U3347" i="4"/>
  <c r="T3347" i="4"/>
  <c r="U3346" i="4"/>
  <c r="T3346" i="4"/>
  <c r="U3345" i="4"/>
  <c r="T3345" i="4"/>
  <c r="U3344" i="4"/>
  <c r="T3344" i="4"/>
  <c r="U3343" i="4"/>
  <c r="T3343" i="4"/>
  <c r="U3342" i="4"/>
  <c r="T3342" i="4"/>
  <c r="U3341" i="4"/>
  <c r="T3341" i="4"/>
  <c r="U3340" i="4"/>
  <c r="T3340" i="4"/>
  <c r="U3339" i="4"/>
  <c r="T3339" i="4"/>
  <c r="U3338" i="4"/>
  <c r="T3338" i="4"/>
  <c r="U3337" i="4"/>
  <c r="T3337" i="4"/>
  <c r="U3336" i="4"/>
  <c r="T3336" i="4"/>
  <c r="U3335" i="4"/>
  <c r="T3335" i="4"/>
  <c r="U3334" i="4"/>
  <c r="T3334" i="4"/>
  <c r="U3333" i="4"/>
  <c r="T3333" i="4"/>
  <c r="U3332" i="4"/>
  <c r="T3332" i="4"/>
  <c r="U3331" i="4"/>
  <c r="T3331" i="4"/>
  <c r="U3330" i="4"/>
  <c r="T3330" i="4"/>
  <c r="U3329" i="4"/>
  <c r="T3329" i="4"/>
  <c r="U3328" i="4"/>
  <c r="T3328" i="4"/>
  <c r="U3326" i="4"/>
  <c r="T3326" i="4"/>
  <c r="U3325" i="4"/>
  <c r="T3325" i="4"/>
  <c r="U3324" i="4"/>
  <c r="T3324" i="4"/>
  <c r="U3323" i="4"/>
  <c r="T3323" i="4"/>
  <c r="U3322" i="4"/>
  <c r="T3322" i="4"/>
  <c r="U3321" i="4"/>
  <c r="T3321" i="4"/>
  <c r="U3320" i="4"/>
  <c r="T3320" i="4"/>
  <c r="U3319" i="4"/>
  <c r="T3319" i="4"/>
  <c r="U3318" i="4"/>
  <c r="T3318" i="4"/>
  <c r="U3316" i="4"/>
  <c r="T3316" i="4"/>
  <c r="U3315" i="4"/>
  <c r="T3315" i="4"/>
  <c r="U3314" i="4"/>
  <c r="T3314" i="4"/>
  <c r="U3313" i="4"/>
  <c r="T3313" i="4"/>
  <c r="U3311" i="4"/>
  <c r="T3311" i="4"/>
  <c r="U3310" i="4"/>
  <c r="T3310" i="4"/>
  <c r="U3308" i="4"/>
  <c r="T3308" i="4"/>
  <c r="U3307" i="4"/>
  <c r="T3307" i="4"/>
  <c r="U3306" i="4"/>
  <c r="T3306" i="4"/>
  <c r="U3305" i="4"/>
  <c r="T3305" i="4"/>
  <c r="U3304" i="4"/>
  <c r="T3304" i="4"/>
  <c r="U3303" i="4"/>
  <c r="T3303" i="4"/>
  <c r="U3302" i="4"/>
  <c r="T3302" i="4"/>
  <c r="U3301" i="4"/>
  <c r="T3301" i="4"/>
  <c r="U3300" i="4"/>
  <c r="T3300" i="4"/>
  <c r="U3299" i="4"/>
  <c r="T3299" i="4"/>
  <c r="U3298" i="4"/>
  <c r="T3298" i="4"/>
  <c r="U3297" i="4"/>
  <c r="T3297" i="4"/>
  <c r="U3296" i="4"/>
  <c r="T3296" i="4"/>
  <c r="U3295" i="4"/>
  <c r="T3295" i="4"/>
  <c r="U3294" i="4"/>
  <c r="T3294" i="4"/>
  <c r="U3293" i="4"/>
  <c r="T3293" i="4"/>
  <c r="U3292" i="4"/>
  <c r="T3292" i="4"/>
  <c r="U3291" i="4"/>
  <c r="T3291" i="4"/>
  <c r="U3290" i="4"/>
  <c r="T3290" i="4"/>
  <c r="U3289" i="4"/>
  <c r="T3289" i="4"/>
  <c r="U3288" i="4"/>
  <c r="T3288" i="4"/>
  <c r="U3287" i="4"/>
  <c r="T3287" i="4"/>
  <c r="U3286" i="4"/>
  <c r="T3286" i="4"/>
  <c r="U3285" i="4"/>
  <c r="T3285" i="4"/>
  <c r="U3284" i="4"/>
  <c r="T3284" i="4"/>
  <c r="U3283" i="4"/>
  <c r="T3283" i="4"/>
  <c r="U3282" i="4"/>
  <c r="T3282" i="4"/>
  <c r="U3281" i="4"/>
  <c r="T3281" i="4"/>
  <c r="U3280" i="4"/>
  <c r="T3280" i="4"/>
  <c r="U3279" i="4"/>
  <c r="T3279" i="4"/>
  <c r="U3278" i="4"/>
  <c r="T3278" i="4"/>
  <c r="U3277" i="4"/>
  <c r="T3277" i="4"/>
  <c r="U3276" i="4"/>
  <c r="T3276" i="4"/>
  <c r="U3275" i="4"/>
  <c r="T3275" i="4"/>
  <c r="U3273" i="4"/>
  <c r="T3273" i="4"/>
  <c r="U3272" i="4"/>
  <c r="T3272" i="4"/>
  <c r="U3271" i="4"/>
  <c r="T3271" i="4"/>
  <c r="U3270" i="4"/>
  <c r="T3270" i="4"/>
  <c r="U3268" i="4"/>
  <c r="T3268" i="4"/>
  <c r="U3267" i="4"/>
  <c r="T3267" i="4"/>
  <c r="U3266" i="4"/>
  <c r="T3266" i="4"/>
  <c r="U3265" i="4"/>
  <c r="T3265" i="4"/>
  <c r="U3264" i="4"/>
  <c r="T3264" i="4"/>
  <c r="U3263" i="4"/>
  <c r="T3263" i="4"/>
  <c r="U3262" i="4"/>
  <c r="T3262" i="4"/>
  <c r="U3261" i="4"/>
  <c r="T3261" i="4"/>
  <c r="U3260" i="4"/>
  <c r="T3260" i="4"/>
  <c r="U3258" i="4"/>
  <c r="T3258" i="4"/>
  <c r="U3257" i="4"/>
  <c r="T3257" i="4"/>
  <c r="U3256" i="4"/>
  <c r="T3256" i="4"/>
  <c r="U3255" i="4"/>
  <c r="T3255" i="4"/>
  <c r="U3254" i="4"/>
  <c r="T3254" i="4"/>
  <c r="U3253" i="4"/>
  <c r="T3253" i="4"/>
  <c r="U3252" i="4"/>
  <c r="T3252" i="4"/>
  <c r="U3251" i="4"/>
  <c r="T3251" i="4"/>
  <c r="U3250" i="4"/>
  <c r="T3250" i="4"/>
  <c r="U3249" i="4"/>
  <c r="T3249" i="4"/>
  <c r="U3248" i="4"/>
  <c r="T3248" i="4"/>
  <c r="U3244" i="4"/>
  <c r="T3244" i="4"/>
  <c r="U3243" i="4"/>
  <c r="T3243" i="4"/>
  <c r="U3242" i="4"/>
  <c r="T3242" i="4"/>
  <c r="U3241" i="4"/>
  <c r="T3241" i="4"/>
  <c r="U3240" i="4"/>
  <c r="T3240" i="4"/>
  <c r="U3239" i="4"/>
  <c r="T3239" i="4"/>
  <c r="U3238" i="4"/>
  <c r="T3238" i="4"/>
  <c r="U3237" i="4"/>
  <c r="T3237" i="4"/>
  <c r="U3236" i="4"/>
  <c r="T3236" i="4"/>
  <c r="U3235" i="4"/>
  <c r="T3235" i="4"/>
  <c r="U3234" i="4"/>
  <c r="T3234" i="4"/>
  <c r="U3233" i="4"/>
  <c r="T3233" i="4"/>
  <c r="U3232" i="4"/>
  <c r="T3232" i="4"/>
  <c r="U3231" i="4"/>
  <c r="T3231" i="4"/>
  <c r="U3230" i="4"/>
  <c r="T3230" i="4"/>
  <c r="U3229" i="4"/>
  <c r="T3229" i="4"/>
  <c r="U3228" i="4"/>
  <c r="T3228" i="4"/>
  <c r="U3226" i="4"/>
  <c r="T3226" i="4"/>
  <c r="U3225" i="4"/>
  <c r="T3225" i="4"/>
  <c r="U3224" i="4"/>
  <c r="T3224" i="4"/>
  <c r="U3223" i="4"/>
  <c r="T3223" i="4"/>
  <c r="U3222" i="4"/>
  <c r="T3222" i="4"/>
  <c r="U3220" i="4"/>
  <c r="T3220" i="4"/>
  <c r="U3219" i="4"/>
  <c r="T3219" i="4"/>
  <c r="U3217" i="4"/>
  <c r="T3217" i="4"/>
  <c r="U3216" i="4"/>
  <c r="T3216" i="4"/>
  <c r="U3215" i="4"/>
  <c r="T3215" i="4"/>
  <c r="U3214" i="4"/>
  <c r="T3214" i="4"/>
  <c r="U3213" i="4"/>
  <c r="T3213" i="4"/>
  <c r="U3212" i="4"/>
  <c r="T3212" i="4"/>
  <c r="U3211" i="4"/>
  <c r="T3211" i="4"/>
  <c r="U3210" i="4"/>
  <c r="T3210" i="4"/>
  <c r="U3209" i="4"/>
  <c r="T3209" i="4"/>
  <c r="U3208" i="4"/>
  <c r="T3208" i="4"/>
  <c r="U3207" i="4"/>
  <c r="T3207" i="4"/>
  <c r="U3206" i="4"/>
  <c r="T3206" i="4"/>
  <c r="U3205" i="4"/>
  <c r="T3205" i="4"/>
  <c r="U3203" i="4"/>
  <c r="T3203" i="4"/>
  <c r="U3202" i="4"/>
  <c r="T3202" i="4"/>
  <c r="U3201" i="4"/>
  <c r="T3201" i="4"/>
  <c r="U3200" i="4"/>
  <c r="T3200" i="4"/>
  <c r="U3199" i="4"/>
  <c r="T3199" i="4"/>
  <c r="U3198" i="4"/>
  <c r="T3198" i="4"/>
  <c r="U3197" i="4"/>
  <c r="T3197" i="4"/>
  <c r="U3194" i="4"/>
  <c r="T3194" i="4"/>
  <c r="U3193" i="4"/>
  <c r="T3193" i="4"/>
  <c r="U3191" i="4"/>
  <c r="T3191" i="4"/>
  <c r="U3190" i="4"/>
  <c r="T3190" i="4"/>
  <c r="U3189" i="4"/>
  <c r="T3189" i="4"/>
  <c r="U3188" i="4"/>
  <c r="T3188" i="4"/>
  <c r="U3187" i="4"/>
  <c r="T3187" i="4"/>
  <c r="U3186" i="4"/>
  <c r="T3186" i="4"/>
  <c r="U3185" i="4"/>
  <c r="T3185" i="4"/>
  <c r="U3184" i="4"/>
  <c r="T3184" i="4"/>
  <c r="U3183" i="4"/>
  <c r="T3183" i="4"/>
  <c r="U3182" i="4"/>
  <c r="T3182" i="4"/>
  <c r="U3181" i="4"/>
  <c r="T3181" i="4"/>
  <c r="U3180" i="4"/>
  <c r="T3180" i="4"/>
  <c r="U3179" i="4"/>
  <c r="T3179" i="4"/>
  <c r="U3178" i="4"/>
  <c r="T3178" i="4"/>
  <c r="U3177" i="4"/>
  <c r="T3177" i="4"/>
  <c r="U3176" i="4"/>
  <c r="T3176" i="4"/>
  <c r="U3175" i="4"/>
  <c r="T3175" i="4"/>
  <c r="U3174" i="4"/>
  <c r="T3174" i="4"/>
  <c r="U3173" i="4"/>
  <c r="T3173" i="4"/>
  <c r="U3172" i="4"/>
  <c r="T3172" i="4"/>
  <c r="U3171" i="4"/>
  <c r="T3171" i="4"/>
  <c r="U3170" i="4"/>
  <c r="T3170" i="4"/>
  <c r="U3169" i="4"/>
  <c r="T3169" i="4"/>
  <c r="U3168" i="4"/>
  <c r="T3168" i="4"/>
  <c r="U3167" i="4"/>
  <c r="T3167" i="4"/>
  <c r="U3166" i="4"/>
  <c r="T3166" i="4"/>
  <c r="U3164" i="4"/>
  <c r="T3164" i="4"/>
  <c r="U3163" i="4"/>
  <c r="T3163" i="4"/>
  <c r="U3161" i="4"/>
  <c r="T3161" i="4"/>
  <c r="U3160" i="4"/>
  <c r="T3160" i="4"/>
  <c r="U3159" i="4"/>
  <c r="T3159" i="4"/>
  <c r="U3158" i="4"/>
  <c r="T3158" i="4"/>
  <c r="U3157" i="4"/>
  <c r="T3157" i="4"/>
  <c r="U3156" i="4"/>
  <c r="T3156" i="4"/>
  <c r="U3154" i="4"/>
  <c r="T3154" i="4"/>
  <c r="U3153" i="4"/>
  <c r="T3153" i="4"/>
  <c r="U3152" i="4"/>
  <c r="T3152" i="4"/>
  <c r="U3151" i="4"/>
  <c r="T3151" i="4"/>
  <c r="U3150" i="4"/>
  <c r="T3150" i="4"/>
  <c r="U3148" i="4"/>
  <c r="T3148" i="4"/>
  <c r="U3147" i="4"/>
  <c r="T3147" i="4"/>
  <c r="U3146" i="4"/>
  <c r="T3146" i="4"/>
  <c r="U3145" i="4"/>
  <c r="T3145" i="4"/>
  <c r="U3144" i="4"/>
  <c r="T3144" i="4"/>
  <c r="U3143" i="4"/>
  <c r="T3143" i="4"/>
  <c r="U3141" i="4"/>
  <c r="T3141" i="4"/>
  <c r="U3140" i="4"/>
  <c r="T3140" i="4"/>
  <c r="U3138" i="4"/>
  <c r="T3138" i="4"/>
  <c r="U3137" i="4"/>
  <c r="T3137" i="4"/>
  <c r="U3136" i="4"/>
  <c r="T3136" i="4"/>
  <c r="U3135" i="4"/>
  <c r="T3135" i="4"/>
  <c r="U3134" i="4"/>
  <c r="T3134" i="4"/>
  <c r="U3133" i="4"/>
  <c r="T3133" i="4"/>
  <c r="U3132" i="4"/>
  <c r="T3132" i="4"/>
  <c r="U3131" i="4"/>
  <c r="T3131" i="4"/>
  <c r="U3130" i="4"/>
  <c r="T3130" i="4"/>
  <c r="U3129" i="4"/>
  <c r="T3129" i="4"/>
  <c r="U3128" i="4"/>
  <c r="T3128" i="4"/>
  <c r="U3127" i="4"/>
  <c r="T3127" i="4"/>
  <c r="U3126" i="4"/>
  <c r="T3126" i="4"/>
  <c r="U3125" i="4"/>
  <c r="T3125" i="4"/>
  <c r="U3124" i="4"/>
  <c r="T3124" i="4"/>
  <c r="U3123" i="4"/>
  <c r="T3123" i="4"/>
  <c r="U3122" i="4"/>
  <c r="T3122" i="4"/>
  <c r="U3121" i="4"/>
  <c r="T3121" i="4"/>
  <c r="U3120" i="4"/>
  <c r="T3120" i="4"/>
  <c r="U3119" i="4"/>
  <c r="T3119" i="4"/>
  <c r="U3118" i="4"/>
  <c r="T3118" i="4"/>
  <c r="U3117" i="4"/>
  <c r="T3117" i="4"/>
  <c r="U3115" i="4"/>
  <c r="T3115" i="4"/>
  <c r="U3114" i="4"/>
  <c r="T3114" i="4"/>
  <c r="U3113" i="4"/>
  <c r="T3113" i="4"/>
  <c r="U3111" i="4"/>
  <c r="T3111" i="4"/>
  <c r="U3110" i="4"/>
  <c r="T3110" i="4"/>
  <c r="U3109" i="4"/>
  <c r="T3109" i="4"/>
  <c r="U3108" i="4"/>
  <c r="T3108" i="4"/>
  <c r="U3107" i="4"/>
  <c r="T3107" i="4"/>
  <c r="U3106" i="4"/>
  <c r="T3106" i="4"/>
  <c r="U3105" i="4"/>
  <c r="T3105" i="4"/>
  <c r="U3103" i="4"/>
  <c r="T3103" i="4"/>
  <c r="U3102" i="4"/>
  <c r="T3102" i="4"/>
  <c r="U3101" i="4"/>
  <c r="T3101" i="4"/>
  <c r="U3100" i="4"/>
  <c r="T3100" i="4"/>
  <c r="U3099" i="4"/>
  <c r="T3099" i="4"/>
  <c r="U3098" i="4"/>
  <c r="T3098" i="4"/>
  <c r="U3097" i="4"/>
  <c r="T3097" i="4"/>
  <c r="U3096" i="4"/>
  <c r="T3096" i="4"/>
  <c r="U3095" i="4"/>
  <c r="T3095" i="4"/>
  <c r="U3093" i="4"/>
  <c r="T3093" i="4"/>
  <c r="U3092" i="4"/>
  <c r="T3092" i="4"/>
  <c r="U3091" i="4"/>
  <c r="T3091" i="4"/>
  <c r="U3090" i="4"/>
  <c r="T3090" i="4"/>
  <c r="U3089" i="4"/>
  <c r="T3089" i="4"/>
  <c r="U3087" i="4"/>
  <c r="T3087" i="4"/>
  <c r="U3086" i="4"/>
  <c r="T3086" i="4"/>
  <c r="U3085" i="4"/>
  <c r="T3085" i="4"/>
  <c r="U3084" i="4"/>
  <c r="T3084" i="4"/>
  <c r="U3083" i="4"/>
  <c r="T3083" i="4"/>
  <c r="U3082" i="4"/>
  <c r="T3082" i="4"/>
  <c r="U3081" i="4"/>
  <c r="T3081" i="4"/>
  <c r="U3080" i="4"/>
  <c r="T3080" i="4"/>
  <c r="U3079" i="4"/>
  <c r="T3079" i="4"/>
  <c r="U3078" i="4"/>
  <c r="T3078" i="4"/>
  <c r="U3077" i="4"/>
  <c r="T3077" i="4"/>
  <c r="U3076" i="4"/>
  <c r="T3076" i="4"/>
  <c r="U3075" i="4"/>
  <c r="T3075" i="4"/>
  <c r="U3073" i="4"/>
  <c r="T3073" i="4"/>
  <c r="U3072" i="4"/>
  <c r="T3072" i="4"/>
  <c r="U3071" i="4"/>
  <c r="T3071" i="4"/>
  <c r="U3070" i="4"/>
  <c r="T3070" i="4"/>
  <c r="U3069" i="4"/>
  <c r="T3069" i="4"/>
  <c r="U3068" i="4"/>
  <c r="T3068" i="4"/>
  <c r="U3067" i="4"/>
  <c r="T3067" i="4"/>
  <c r="U3066" i="4"/>
  <c r="T3066" i="4"/>
  <c r="U3065" i="4"/>
  <c r="T3065" i="4"/>
  <c r="U3064" i="4"/>
  <c r="T3064" i="4"/>
  <c r="U3063" i="4"/>
  <c r="T3063" i="4"/>
  <c r="U3062" i="4"/>
  <c r="T3062" i="4"/>
  <c r="U3061" i="4"/>
  <c r="T3061" i="4"/>
  <c r="U3060" i="4"/>
  <c r="T3060" i="4"/>
  <c r="U3059" i="4"/>
  <c r="T3059" i="4"/>
  <c r="U3058" i="4"/>
  <c r="T3058" i="4"/>
  <c r="U3057" i="4"/>
  <c r="T3057" i="4"/>
  <c r="U3056" i="4"/>
  <c r="T3056" i="4"/>
  <c r="U3055" i="4"/>
  <c r="T3055" i="4"/>
  <c r="U3054" i="4"/>
  <c r="T3054" i="4"/>
  <c r="U3052" i="4"/>
  <c r="T3052" i="4"/>
  <c r="U3051" i="4"/>
  <c r="T3051" i="4"/>
  <c r="U3050" i="4"/>
  <c r="T3050" i="4"/>
  <c r="U3049" i="4"/>
  <c r="T3049" i="4"/>
  <c r="U3048" i="4"/>
  <c r="T3048" i="4"/>
  <c r="U3047" i="4"/>
  <c r="T3047" i="4"/>
  <c r="U3046" i="4"/>
  <c r="T3046" i="4"/>
  <c r="U3044" i="4"/>
  <c r="T3044" i="4"/>
  <c r="U3043" i="4"/>
  <c r="T3043" i="4"/>
  <c r="U3042" i="4"/>
  <c r="T3042" i="4"/>
  <c r="U3040" i="4"/>
  <c r="T3040" i="4"/>
  <c r="U3039" i="4"/>
  <c r="T3039" i="4"/>
  <c r="U3038" i="4"/>
  <c r="T3038" i="4"/>
  <c r="U3037" i="4"/>
  <c r="T3037" i="4"/>
  <c r="U3036" i="4"/>
  <c r="T3036" i="4"/>
  <c r="U3035" i="4"/>
  <c r="T3035" i="4"/>
  <c r="U3034" i="4"/>
  <c r="T3034" i="4"/>
  <c r="U3033" i="4"/>
  <c r="T3033" i="4"/>
  <c r="U3032" i="4"/>
  <c r="T3032" i="4"/>
  <c r="U3031" i="4"/>
  <c r="T3031" i="4"/>
  <c r="U3030" i="4"/>
  <c r="T3030" i="4"/>
  <c r="U3029" i="4"/>
  <c r="T3029" i="4"/>
  <c r="U3028" i="4"/>
  <c r="T3028" i="4"/>
  <c r="U3027" i="4"/>
  <c r="T3027" i="4"/>
  <c r="U3026" i="4"/>
  <c r="T3026" i="4"/>
  <c r="U3025" i="4"/>
  <c r="T3025" i="4"/>
  <c r="U3024" i="4"/>
  <c r="T3024" i="4"/>
  <c r="U3023" i="4"/>
  <c r="T3023" i="4"/>
  <c r="U3022" i="4"/>
  <c r="T3022" i="4"/>
  <c r="U3021" i="4"/>
  <c r="T3021" i="4"/>
  <c r="U3020" i="4"/>
  <c r="T3020" i="4"/>
  <c r="U3019" i="4"/>
  <c r="T3019" i="4"/>
  <c r="U3018" i="4"/>
  <c r="T3018" i="4"/>
  <c r="U3017" i="4"/>
  <c r="T3017" i="4"/>
  <c r="U3016" i="4"/>
  <c r="T3016" i="4"/>
  <c r="U3015" i="4"/>
  <c r="T3015" i="4"/>
  <c r="U3014" i="4"/>
  <c r="T3014" i="4"/>
  <c r="U3013" i="4"/>
  <c r="T3013" i="4"/>
  <c r="U3012" i="4"/>
  <c r="T3012" i="4"/>
  <c r="U3011" i="4"/>
  <c r="T3011" i="4"/>
  <c r="U3010" i="4"/>
  <c r="T3010" i="4"/>
  <c r="U3008" i="4"/>
  <c r="T3008" i="4"/>
  <c r="U3007" i="4"/>
  <c r="T3007" i="4"/>
  <c r="U3006" i="4"/>
  <c r="T3006" i="4"/>
  <c r="U3005" i="4"/>
  <c r="T3005" i="4"/>
  <c r="U3004" i="4"/>
  <c r="T3004" i="4"/>
  <c r="U3003" i="4"/>
  <c r="T3003" i="4"/>
  <c r="U3001" i="4"/>
  <c r="T3001" i="4"/>
  <c r="U3000" i="4"/>
  <c r="T3000" i="4"/>
  <c r="U2999" i="4"/>
  <c r="T2999" i="4"/>
  <c r="U2998" i="4"/>
  <c r="T2998" i="4"/>
  <c r="U2996" i="4"/>
  <c r="T2996" i="4"/>
  <c r="U2995" i="4"/>
  <c r="T2995" i="4"/>
  <c r="U2994" i="4"/>
  <c r="T2994" i="4"/>
  <c r="U2993" i="4"/>
  <c r="T2993" i="4"/>
  <c r="U2992" i="4"/>
  <c r="T2992" i="4"/>
  <c r="U2991" i="4"/>
  <c r="T2991" i="4"/>
  <c r="U2990" i="4"/>
  <c r="T2990" i="4"/>
  <c r="U2989" i="4"/>
  <c r="T2989" i="4"/>
  <c r="U2988" i="4"/>
  <c r="T2988" i="4"/>
  <c r="U2987" i="4"/>
  <c r="T2987" i="4"/>
  <c r="U2986" i="4"/>
  <c r="T2986" i="4"/>
  <c r="U2985" i="4"/>
  <c r="T2985" i="4"/>
  <c r="U2984" i="4"/>
  <c r="T2984" i="4"/>
  <c r="U2983" i="4"/>
  <c r="T2983" i="4"/>
  <c r="U2982" i="4"/>
  <c r="T2982" i="4"/>
  <c r="U2981" i="4"/>
  <c r="T2981" i="4"/>
  <c r="U2979" i="4"/>
  <c r="T2979" i="4"/>
  <c r="U2978" i="4"/>
  <c r="T2978" i="4"/>
  <c r="U2977" i="4"/>
  <c r="T2977" i="4"/>
  <c r="U2976" i="4"/>
  <c r="T2976" i="4"/>
  <c r="U2975" i="4"/>
  <c r="T2975" i="4"/>
  <c r="U2974" i="4"/>
  <c r="T2974" i="4"/>
  <c r="U2973" i="4"/>
  <c r="T2973" i="4"/>
  <c r="U2972" i="4"/>
  <c r="T2972" i="4"/>
  <c r="U2971" i="4"/>
  <c r="T2971" i="4"/>
  <c r="U2970" i="4"/>
  <c r="T2970" i="4"/>
  <c r="U2969" i="4"/>
  <c r="T2969" i="4"/>
  <c r="U2968" i="4"/>
  <c r="T2968" i="4"/>
  <c r="U2967" i="4"/>
  <c r="T2967" i="4"/>
  <c r="U2966" i="4"/>
  <c r="T2966" i="4"/>
  <c r="U2965" i="4"/>
  <c r="T2965" i="4"/>
  <c r="U2964" i="4"/>
  <c r="T2964" i="4"/>
  <c r="U2963" i="4"/>
  <c r="T2963" i="4"/>
  <c r="U2962" i="4"/>
  <c r="T2962" i="4"/>
  <c r="U2961" i="4"/>
  <c r="T2961" i="4"/>
  <c r="U2960" i="4"/>
  <c r="T2960" i="4"/>
  <c r="U2959" i="4"/>
  <c r="T2959" i="4"/>
  <c r="U2957" i="4"/>
  <c r="T2957" i="4"/>
  <c r="U2956" i="4"/>
  <c r="T2956" i="4"/>
  <c r="U2955" i="4"/>
  <c r="T2955" i="4"/>
  <c r="U2954" i="4"/>
  <c r="T2954" i="4"/>
  <c r="U2953" i="4"/>
  <c r="T2953" i="4"/>
  <c r="U2952" i="4"/>
  <c r="T2952" i="4"/>
  <c r="U2951" i="4"/>
  <c r="T2951" i="4"/>
  <c r="U2950" i="4"/>
  <c r="T2950" i="4"/>
  <c r="U2949" i="4"/>
  <c r="T2949" i="4"/>
  <c r="U2948" i="4"/>
  <c r="T2948" i="4"/>
  <c r="U2946" i="4"/>
  <c r="T2946" i="4"/>
  <c r="U2945" i="4"/>
  <c r="T2945" i="4"/>
  <c r="U2943" i="4"/>
  <c r="T2943" i="4"/>
  <c r="U2942" i="4"/>
  <c r="T2942" i="4"/>
  <c r="U2941" i="4"/>
  <c r="T2941" i="4"/>
  <c r="U2940" i="4"/>
  <c r="T2940" i="4"/>
  <c r="U2939" i="4"/>
  <c r="T2939" i="4"/>
  <c r="U2937" i="4"/>
  <c r="T2937" i="4"/>
  <c r="U2936" i="4"/>
  <c r="T2936" i="4"/>
  <c r="U2935" i="4"/>
  <c r="T2935" i="4"/>
  <c r="U2934" i="4"/>
  <c r="T2934" i="4"/>
  <c r="U2933" i="4"/>
  <c r="T2933" i="4"/>
  <c r="U2932" i="4"/>
  <c r="T2932" i="4"/>
  <c r="U2931" i="4"/>
  <c r="T2931" i="4"/>
  <c r="U2930" i="4"/>
  <c r="T2930" i="4"/>
  <c r="U2929" i="4"/>
  <c r="T2929" i="4"/>
  <c r="U2927" i="4"/>
  <c r="T2927" i="4"/>
  <c r="U2926" i="4"/>
  <c r="T2926" i="4"/>
  <c r="U2925" i="4"/>
  <c r="T2925" i="4"/>
  <c r="U2924" i="4"/>
  <c r="T2924" i="4"/>
  <c r="U2923" i="4"/>
  <c r="T2923" i="4"/>
  <c r="U2922" i="4"/>
  <c r="T2922" i="4"/>
  <c r="U2921" i="4"/>
  <c r="T2921" i="4"/>
  <c r="U2920" i="4"/>
  <c r="T2920" i="4"/>
  <c r="U2918" i="4"/>
  <c r="T2918" i="4"/>
  <c r="U2917" i="4"/>
  <c r="T2917" i="4"/>
  <c r="U2916" i="4"/>
  <c r="T2916" i="4"/>
  <c r="U2915" i="4"/>
  <c r="T2915" i="4"/>
  <c r="U2914" i="4"/>
  <c r="T2914" i="4"/>
  <c r="U2913" i="4"/>
  <c r="T2913" i="4"/>
  <c r="U2911" i="4"/>
  <c r="T2911" i="4"/>
  <c r="U2910" i="4"/>
  <c r="T2910" i="4"/>
  <c r="U2909" i="4"/>
  <c r="T2909" i="4"/>
  <c r="U2908" i="4"/>
  <c r="T2908" i="4"/>
  <c r="U2907" i="4"/>
  <c r="T2907" i="4"/>
  <c r="U2906" i="4"/>
  <c r="T2906" i="4"/>
  <c r="U2905" i="4"/>
  <c r="T2905" i="4"/>
  <c r="U2904" i="4"/>
  <c r="T2904" i="4"/>
  <c r="U2903" i="4"/>
  <c r="T2903" i="4"/>
  <c r="U2902" i="4"/>
  <c r="T2902" i="4"/>
  <c r="U2901" i="4"/>
  <c r="T2901" i="4"/>
  <c r="U2900" i="4"/>
  <c r="T2900" i="4"/>
  <c r="U2899" i="4"/>
  <c r="T2899" i="4"/>
  <c r="U2898" i="4"/>
  <c r="T2898" i="4"/>
  <c r="U2897" i="4"/>
  <c r="T2897" i="4"/>
  <c r="U2896" i="4"/>
  <c r="T2896" i="4"/>
  <c r="U2895" i="4"/>
  <c r="T2895" i="4"/>
  <c r="U2894" i="4"/>
  <c r="T2894" i="4"/>
  <c r="U2893" i="4"/>
  <c r="T2893" i="4"/>
  <c r="U2892" i="4"/>
  <c r="T2892" i="4"/>
  <c r="U2891" i="4"/>
  <c r="T2891" i="4"/>
  <c r="U2890" i="4"/>
  <c r="T2890" i="4"/>
  <c r="U2889" i="4"/>
  <c r="T2889" i="4"/>
  <c r="U2888" i="4"/>
  <c r="T2888" i="4"/>
  <c r="U2887" i="4"/>
  <c r="T2887" i="4"/>
  <c r="U2886" i="4"/>
  <c r="T2886" i="4"/>
  <c r="U2885" i="4"/>
  <c r="T2885" i="4"/>
  <c r="U2884" i="4"/>
  <c r="T2884" i="4"/>
  <c r="U2883" i="4"/>
  <c r="T2883" i="4"/>
  <c r="U2882" i="4"/>
  <c r="T2882" i="4"/>
  <c r="U2881" i="4"/>
  <c r="T2881" i="4"/>
  <c r="U2880" i="4"/>
  <c r="T2880" i="4"/>
  <c r="U2879" i="4"/>
  <c r="T2879" i="4"/>
  <c r="U2878" i="4"/>
  <c r="T2878" i="4"/>
  <c r="U2877" i="4"/>
  <c r="T2877" i="4"/>
  <c r="U2876" i="4"/>
  <c r="T2876" i="4"/>
  <c r="U2875" i="4"/>
  <c r="T2875" i="4"/>
  <c r="U2874" i="4"/>
  <c r="T2874" i="4"/>
  <c r="U2873" i="4"/>
  <c r="T2873" i="4"/>
  <c r="U2872" i="4"/>
  <c r="T2872" i="4"/>
  <c r="U2871" i="4"/>
  <c r="T2871" i="4"/>
  <c r="U2870" i="4"/>
  <c r="T2870" i="4"/>
  <c r="U2869" i="4"/>
  <c r="T2869" i="4"/>
  <c r="U2868" i="4"/>
  <c r="T2868" i="4"/>
  <c r="U2865" i="4"/>
  <c r="T2865" i="4"/>
  <c r="U2864" i="4"/>
  <c r="T2864" i="4"/>
  <c r="U2863" i="4"/>
  <c r="T2863" i="4"/>
  <c r="U2862" i="4"/>
  <c r="T2862" i="4"/>
  <c r="U2861" i="4"/>
  <c r="T2861" i="4"/>
  <c r="U2860" i="4"/>
  <c r="T2860" i="4"/>
  <c r="U2859" i="4"/>
  <c r="T2859" i="4"/>
  <c r="U2858" i="4"/>
  <c r="T2858" i="4"/>
  <c r="U2857" i="4"/>
  <c r="T2857" i="4"/>
  <c r="U2855" i="4"/>
  <c r="T2855" i="4"/>
  <c r="U2854" i="4"/>
  <c r="T2854" i="4"/>
  <c r="U2853" i="4"/>
  <c r="T2853" i="4"/>
  <c r="U2852" i="4"/>
  <c r="T2852" i="4"/>
  <c r="U2850" i="4"/>
  <c r="T2850" i="4"/>
  <c r="U2849" i="4"/>
  <c r="T2849" i="4"/>
  <c r="U2847" i="4"/>
  <c r="T2847" i="4"/>
  <c r="U2846" i="4"/>
  <c r="T2846" i="4"/>
  <c r="U2845" i="4"/>
  <c r="T2845" i="4"/>
  <c r="U2844" i="4"/>
  <c r="T2844" i="4"/>
  <c r="U2843" i="4"/>
  <c r="T2843" i="4"/>
  <c r="U2842" i="4"/>
  <c r="T2842" i="4"/>
  <c r="U2841" i="4"/>
  <c r="T2841" i="4"/>
  <c r="U2840" i="4"/>
  <c r="T2840" i="4"/>
  <c r="U2839" i="4"/>
  <c r="T2839" i="4"/>
  <c r="U2838" i="4"/>
  <c r="T2838" i="4"/>
  <c r="U2837" i="4"/>
  <c r="T2837" i="4"/>
  <c r="U2836" i="4"/>
  <c r="T2836" i="4"/>
  <c r="U2835" i="4"/>
  <c r="T2835" i="4"/>
  <c r="U2834" i="4"/>
  <c r="T2834" i="4"/>
  <c r="U2833" i="4"/>
  <c r="T2833" i="4"/>
  <c r="U2832" i="4"/>
  <c r="T2832" i="4"/>
  <c r="U2831" i="4"/>
  <c r="T2831" i="4"/>
  <c r="U2830" i="4"/>
  <c r="T2830" i="4"/>
  <c r="U2829" i="4"/>
  <c r="T2829" i="4"/>
  <c r="U2828" i="4"/>
  <c r="T2828" i="4"/>
  <c r="U2827" i="4"/>
  <c r="T2827" i="4"/>
  <c r="U2826" i="4"/>
  <c r="T2826" i="4"/>
  <c r="U2825" i="4"/>
  <c r="T2825" i="4"/>
  <c r="U2823" i="4"/>
  <c r="T2823" i="4"/>
  <c r="U2822" i="4"/>
  <c r="T2822" i="4"/>
  <c r="U2821" i="4"/>
  <c r="T2821" i="4"/>
  <c r="U2820" i="4"/>
  <c r="T2820" i="4"/>
  <c r="U2819" i="4"/>
  <c r="T2819" i="4"/>
  <c r="U2818" i="4"/>
  <c r="T2818" i="4"/>
  <c r="U2817" i="4"/>
  <c r="T2817" i="4"/>
  <c r="U2816" i="4"/>
  <c r="T2816" i="4"/>
  <c r="U2815" i="4"/>
  <c r="T2815" i="4"/>
  <c r="U2814" i="4"/>
  <c r="T2814" i="4"/>
  <c r="U2813" i="4"/>
  <c r="T2813" i="4"/>
  <c r="U2812" i="4"/>
  <c r="T2812" i="4"/>
  <c r="U2811" i="4"/>
  <c r="T2811" i="4"/>
  <c r="U2810" i="4"/>
  <c r="T2810" i="4"/>
  <c r="U2809" i="4"/>
  <c r="T2809" i="4"/>
  <c r="U2808" i="4"/>
  <c r="T2808" i="4"/>
  <c r="U2807" i="4"/>
  <c r="T2807" i="4"/>
  <c r="U2806" i="4"/>
  <c r="T2806" i="4"/>
  <c r="U2805" i="4"/>
  <c r="T2805" i="4"/>
  <c r="U2804" i="4"/>
  <c r="T2804" i="4"/>
  <c r="U2803" i="4"/>
  <c r="T2803" i="4"/>
  <c r="U2802" i="4"/>
  <c r="T2802" i="4"/>
  <c r="U2801" i="4"/>
  <c r="T2801" i="4"/>
  <c r="U2800" i="4"/>
  <c r="T2800" i="4"/>
  <c r="U2799" i="4"/>
  <c r="T2799" i="4"/>
  <c r="U2798" i="4"/>
  <c r="T2798" i="4"/>
  <c r="U2797" i="4"/>
  <c r="T2797" i="4"/>
  <c r="U2796" i="4"/>
  <c r="T2796" i="4"/>
  <c r="U2795" i="4"/>
  <c r="T2795" i="4"/>
  <c r="U2794" i="4"/>
  <c r="T2794" i="4"/>
  <c r="U2793" i="4"/>
  <c r="T2793" i="4"/>
  <c r="U2792" i="4"/>
  <c r="T2792" i="4"/>
  <c r="U2791" i="4"/>
  <c r="T2791" i="4"/>
  <c r="U2790" i="4"/>
  <c r="T2790" i="4"/>
  <c r="U2788" i="4"/>
  <c r="T2788" i="4"/>
  <c r="U2787" i="4"/>
  <c r="T2787" i="4"/>
  <c r="U2786" i="4"/>
  <c r="T2786" i="4"/>
  <c r="U2785" i="4"/>
  <c r="T2785" i="4"/>
  <c r="U2784" i="4"/>
  <c r="T2784" i="4"/>
  <c r="U2783" i="4"/>
  <c r="T2783" i="4"/>
  <c r="U2782" i="4"/>
  <c r="T2782" i="4"/>
  <c r="U2781" i="4"/>
  <c r="T2781" i="4"/>
  <c r="U2780" i="4"/>
  <c r="T2780" i="4"/>
  <c r="U2779" i="4"/>
  <c r="T2779" i="4"/>
  <c r="U2778" i="4"/>
  <c r="T2778" i="4"/>
  <c r="U2777" i="4"/>
  <c r="T2777" i="4"/>
  <c r="U2776" i="4"/>
  <c r="T2776" i="4"/>
  <c r="U2775" i="4"/>
  <c r="T2775" i="4"/>
  <c r="U2774" i="4"/>
  <c r="T2774" i="4"/>
  <c r="U2773" i="4"/>
  <c r="T2773" i="4"/>
  <c r="U2772" i="4"/>
  <c r="T2772" i="4"/>
  <c r="U2771" i="4"/>
  <c r="T2771" i="4"/>
  <c r="U2770" i="4"/>
  <c r="T2770" i="4"/>
  <c r="U2767" i="4"/>
  <c r="T2767" i="4"/>
  <c r="U2766" i="4"/>
  <c r="T2766" i="4"/>
  <c r="U2765" i="4"/>
  <c r="T2765" i="4"/>
  <c r="U2764" i="4"/>
  <c r="T2764" i="4"/>
  <c r="U2762" i="4"/>
  <c r="T2762" i="4"/>
  <c r="U2761" i="4"/>
  <c r="T2761" i="4"/>
  <c r="U2760" i="4"/>
  <c r="T2760" i="4"/>
  <c r="U2759" i="4"/>
  <c r="T2759" i="4"/>
  <c r="U2758" i="4"/>
  <c r="T2758" i="4"/>
  <c r="U2757" i="4"/>
  <c r="T2757" i="4"/>
  <c r="U2756" i="4"/>
  <c r="T2756" i="4"/>
  <c r="U2755" i="4"/>
  <c r="T2755" i="4"/>
  <c r="U2754" i="4"/>
  <c r="T2754" i="4"/>
  <c r="U2753" i="4"/>
  <c r="T2753" i="4"/>
  <c r="U2752" i="4"/>
  <c r="T2752" i="4"/>
  <c r="U2751" i="4"/>
  <c r="T2751" i="4"/>
  <c r="U2750" i="4"/>
  <c r="T2750" i="4"/>
  <c r="U2749" i="4"/>
  <c r="T2749" i="4"/>
  <c r="U2748" i="4"/>
  <c r="T2748" i="4"/>
  <c r="U2747" i="4"/>
  <c r="T2747" i="4"/>
  <c r="U2746" i="4"/>
  <c r="T2746" i="4"/>
  <c r="U2745" i="4"/>
  <c r="T2745" i="4"/>
  <c r="U2744" i="4"/>
  <c r="T2744" i="4"/>
  <c r="U2743" i="4"/>
  <c r="T2743" i="4"/>
  <c r="U2742" i="4"/>
  <c r="T2742" i="4"/>
  <c r="U2741" i="4"/>
  <c r="T2741" i="4"/>
  <c r="U2740" i="4"/>
  <c r="T2740" i="4"/>
  <c r="U2739" i="4"/>
  <c r="T2739" i="4"/>
  <c r="U2737" i="4"/>
  <c r="T2737" i="4"/>
  <c r="U2736" i="4"/>
  <c r="T2736" i="4"/>
  <c r="U2735" i="4"/>
  <c r="T2735" i="4"/>
  <c r="U2733" i="4"/>
  <c r="T2733" i="4"/>
  <c r="U2732" i="4"/>
  <c r="T2732" i="4"/>
  <c r="U2731" i="4"/>
  <c r="T2731" i="4"/>
  <c r="U2729" i="4"/>
  <c r="T2729" i="4"/>
  <c r="U2728" i="4"/>
  <c r="T2728" i="4"/>
  <c r="U2727" i="4"/>
  <c r="T2727" i="4"/>
  <c r="U2726" i="4"/>
  <c r="T2726" i="4"/>
  <c r="U2724" i="4"/>
  <c r="T2724" i="4"/>
  <c r="U2723" i="4"/>
  <c r="T2723" i="4"/>
  <c r="U2722" i="4"/>
  <c r="T2722" i="4"/>
  <c r="U2720" i="4"/>
  <c r="T2720" i="4"/>
  <c r="U2719" i="4"/>
  <c r="T2719" i="4"/>
  <c r="U2718" i="4"/>
  <c r="T2718" i="4"/>
  <c r="U2717" i="4"/>
  <c r="T2717" i="4"/>
  <c r="U2715" i="4"/>
  <c r="T2715" i="4"/>
  <c r="U2714" i="4"/>
  <c r="T2714" i="4"/>
  <c r="U2713" i="4"/>
  <c r="T2713" i="4"/>
  <c r="U2712" i="4"/>
  <c r="T2712" i="4"/>
  <c r="U2711" i="4"/>
  <c r="T2711" i="4"/>
  <c r="U2710" i="4"/>
  <c r="T2710" i="4"/>
  <c r="U2708" i="4"/>
  <c r="T2708" i="4"/>
  <c r="U2707" i="4"/>
  <c r="T2707" i="4"/>
  <c r="U2706" i="4"/>
  <c r="T2706" i="4"/>
  <c r="U2705" i="4"/>
  <c r="T2705" i="4"/>
  <c r="U2704" i="4"/>
  <c r="T2704" i="4"/>
  <c r="U2703" i="4"/>
  <c r="T2703" i="4"/>
  <c r="U2702" i="4"/>
  <c r="T2702" i="4"/>
  <c r="U2701" i="4"/>
  <c r="T2701" i="4"/>
  <c r="U2700" i="4"/>
  <c r="T2700" i="4"/>
  <c r="U2699" i="4"/>
  <c r="T2699" i="4"/>
  <c r="U2698" i="4"/>
  <c r="T2698" i="4"/>
  <c r="U2697" i="4"/>
  <c r="T2697" i="4"/>
  <c r="U2696" i="4"/>
  <c r="T2696" i="4"/>
  <c r="U2695" i="4"/>
  <c r="T2695" i="4"/>
  <c r="U2694" i="4"/>
  <c r="T2694" i="4"/>
  <c r="U2693" i="4"/>
  <c r="T2693" i="4"/>
  <c r="U2692" i="4"/>
  <c r="T2692" i="4"/>
  <c r="U2691" i="4"/>
  <c r="T2691" i="4"/>
  <c r="U2690" i="4"/>
  <c r="T2690" i="4"/>
  <c r="U2689" i="4"/>
  <c r="T2689" i="4"/>
  <c r="U2687" i="4"/>
  <c r="T2687" i="4"/>
  <c r="U2686" i="4"/>
  <c r="T2686" i="4"/>
  <c r="U2685" i="4"/>
  <c r="T2685" i="4"/>
  <c r="U2684" i="4"/>
  <c r="T2684" i="4"/>
  <c r="U2683" i="4"/>
  <c r="T2683" i="4"/>
  <c r="U2682" i="4"/>
  <c r="T2682" i="4"/>
  <c r="U2681" i="4"/>
  <c r="T2681" i="4"/>
  <c r="U2680" i="4"/>
  <c r="T2680" i="4"/>
  <c r="U2679" i="4"/>
  <c r="T2679" i="4"/>
  <c r="U2678" i="4"/>
  <c r="T2678" i="4"/>
  <c r="U2677" i="4"/>
  <c r="T2677" i="4"/>
  <c r="U2676" i="4"/>
  <c r="T2676" i="4"/>
  <c r="U2675" i="4"/>
  <c r="T2675" i="4"/>
  <c r="U2674" i="4"/>
  <c r="T2674" i="4"/>
  <c r="U2673" i="4"/>
  <c r="T2673" i="4"/>
  <c r="U2671" i="4"/>
  <c r="T2671" i="4"/>
  <c r="U2670" i="4"/>
  <c r="T2670" i="4"/>
  <c r="U2669" i="4"/>
  <c r="T2669" i="4"/>
  <c r="U2668" i="4"/>
  <c r="T2668" i="4"/>
  <c r="U2667" i="4"/>
  <c r="T2667" i="4"/>
  <c r="U2666" i="4"/>
  <c r="T2666" i="4"/>
  <c r="U2665" i="4"/>
  <c r="T2665" i="4"/>
  <c r="U2664" i="4"/>
  <c r="T2664" i="4"/>
  <c r="U2663" i="4"/>
  <c r="T2663" i="4"/>
  <c r="U2662" i="4"/>
  <c r="T2662" i="4"/>
  <c r="U2661" i="4"/>
  <c r="T2661" i="4"/>
  <c r="U2660" i="4"/>
  <c r="T2660" i="4"/>
  <c r="U2659" i="4"/>
  <c r="T2659" i="4"/>
  <c r="U2658" i="4"/>
  <c r="T2658" i="4"/>
  <c r="U2657" i="4"/>
  <c r="T2657" i="4"/>
  <c r="U2656" i="4"/>
  <c r="T2656" i="4"/>
  <c r="U2655" i="4"/>
  <c r="T2655" i="4"/>
  <c r="U2654" i="4"/>
  <c r="T2654" i="4"/>
  <c r="U2653" i="4"/>
  <c r="T2653" i="4"/>
  <c r="U2652" i="4"/>
  <c r="T2652" i="4"/>
  <c r="U2651" i="4"/>
  <c r="T2651" i="4"/>
  <c r="U2649" i="4"/>
  <c r="T2649" i="4"/>
  <c r="U2648" i="4"/>
  <c r="T2648" i="4"/>
  <c r="U2647" i="4"/>
  <c r="T2647" i="4"/>
  <c r="U2646" i="4"/>
  <c r="T2646" i="4"/>
  <c r="U2645" i="4"/>
  <c r="T2645" i="4"/>
  <c r="U2644" i="4"/>
  <c r="T2644" i="4"/>
  <c r="U2643" i="4"/>
  <c r="T2643" i="4"/>
  <c r="U2642" i="4"/>
  <c r="T2642" i="4"/>
  <c r="U2641" i="4"/>
  <c r="T2641" i="4"/>
  <c r="U2639" i="4"/>
  <c r="T2639" i="4"/>
  <c r="U2638" i="4"/>
  <c r="T2638" i="4"/>
  <c r="U2637" i="4"/>
  <c r="T2637" i="4"/>
  <c r="U2636" i="4"/>
  <c r="T2636" i="4"/>
  <c r="U2635" i="4"/>
  <c r="T2635" i="4"/>
  <c r="U2634" i="4"/>
  <c r="T2634" i="4"/>
  <c r="U2633" i="4"/>
  <c r="T2633" i="4"/>
  <c r="U2632" i="4"/>
  <c r="T2632" i="4"/>
  <c r="U2631" i="4"/>
  <c r="T2631" i="4"/>
  <c r="U2630" i="4"/>
  <c r="T2630" i="4"/>
  <c r="U2629" i="4"/>
  <c r="T2629" i="4"/>
  <c r="U2628" i="4"/>
  <c r="T2628" i="4"/>
  <c r="U2627" i="4"/>
  <c r="T2627" i="4"/>
  <c r="U2626" i="4"/>
  <c r="T2626" i="4"/>
  <c r="U2625" i="4"/>
  <c r="T2625" i="4"/>
  <c r="U2623" i="4"/>
  <c r="T2623" i="4"/>
  <c r="U2622" i="4"/>
  <c r="T2622" i="4"/>
  <c r="U2621" i="4"/>
  <c r="T2621" i="4"/>
  <c r="U2620" i="4"/>
  <c r="T2620" i="4"/>
  <c r="U2619" i="4"/>
  <c r="T2619" i="4"/>
  <c r="U2618" i="4"/>
  <c r="T2618" i="4"/>
  <c r="U2617" i="4"/>
  <c r="T2617" i="4"/>
  <c r="U2615" i="4"/>
  <c r="T2615" i="4"/>
  <c r="U2613" i="4"/>
  <c r="T2613" i="4"/>
  <c r="U2612" i="4"/>
  <c r="T2612" i="4"/>
  <c r="U2611" i="4"/>
  <c r="T2611" i="4"/>
  <c r="U2610" i="4"/>
  <c r="T2610" i="4"/>
  <c r="U2609" i="4"/>
  <c r="T2609" i="4"/>
  <c r="U2608" i="4"/>
  <c r="T2608" i="4"/>
  <c r="U2607" i="4"/>
  <c r="T2607" i="4"/>
  <c r="U2606" i="4"/>
  <c r="T2606" i="4"/>
  <c r="U2605" i="4"/>
  <c r="T2605" i="4"/>
  <c r="U2604" i="4"/>
  <c r="T2604" i="4"/>
  <c r="U2603" i="4"/>
  <c r="T2603" i="4"/>
  <c r="U2602" i="4"/>
  <c r="T2602" i="4"/>
  <c r="U2601" i="4"/>
  <c r="T2601" i="4"/>
  <c r="U2600" i="4"/>
  <c r="T2600" i="4"/>
  <c r="U2599" i="4"/>
  <c r="T2599" i="4"/>
  <c r="U2598" i="4"/>
  <c r="T2598" i="4"/>
  <c r="U2597" i="4"/>
  <c r="T2597" i="4"/>
  <c r="U2596" i="4"/>
  <c r="T2596" i="4"/>
  <c r="U2595" i="4"/>
  <c r="T2595" i="4"/>
  <c r="U2594" i="4"/>
  <c r="T2594" i="4"/>
  <c r="U2593" i="4"/>
  <c r="T2593" i="4"/>
  <c r="U2592" i="4"/>
  <c r="T2592" i="4"/>
  <c r="U2591" i="4"/>
  <c r="T2591" i="4"/>
  <c r="U2590" i="4"/>
  <c r="T2590" i="4"/>
  <c r="U2589" i="4"/>
  <c r="T2589" i="4"/>
  <c r="U2588" i="4"/>
  <c r="T2588" i="4"/>
  <c r="U2586" i="4"/>
  <c r="T2586" i="4"/>
  <c r="U2585" i="4"/>
  <c r="T2585" i="4"/>
  <c r="U2584" i="4"/>
  <c r="T2584" i="4"/>
  <c r="U2583" i="4"/>
  <c r="T2583" i="4"/>
  <c r="U2581" i="4"/>
  <c r="T2581" i="4"/>
  <c r="U2580" i="4"/>
  <c r="T2580" i="4"/>
  <c r="U2579" i="4"/>
  <c r="T2579" i="4"/>
  <c r="U2578" i="4"/>
  <c r="T2578" i="4"/>
  <c r="U2577" i="4"/>
  <c r="T2577" i="4"/>
  <c r="U2576" i="4"/>
  <c r="T2576" i="4"/>
  <c r="U2575" i="4"/>
  <c r="T2575" i="4"/>
  <c r="U2574" i="4"/>
  <c r="T2574" i="4"/>
  <c r="U2573" i="4"/>
  <c r="T2573" i="4"/>
  <c r="U2571" i="4"/>
  <c r="T2571" i="4"/>
  <c r="U2569" i="4"/>
  <c r="T2569" i="4"/>
  <c r="U2568" i="4"/>
  <c r="T2568" i="4"/>
  <c r="U2567" i="4"/>
  <c r="T2567" i="4"/>
  <c r="U2566" i="4"/>
  <c r="T2566" i="4"/>
  <c r="U2565" i="4"/>
  <c r="T2565" i="4"/>
  <c r="U2564" i="4"/>
  <c r="T2564" i="4"/>
  <c r="U2562" i="4"/>
  <c r="T2562" i="4"/>
  <c r="U2561" i="4"/>
  <c r="T2561" i="4"/>
  <c r="U2560" i="4"/>
  <c r="T2560" i="4"/>
  <c r="U2559" i="4"/>
  <c r="T2559" i="4"/>
  <c r="U2558" i="4"/>
  <c r="T2558" i="4"/>
  <c r="U2557" i="4"/>
  <c r="T2557" i="4"/>
  <c r="U2556" i="4"/>
  <c r="T2556" i="4"/>
  <c r="U2555" i="4"/>
  <c r="T2555" i="4"/>
  <c r="U2554" i="4"/>
  <c r="T2554" i="4"/>
  <c r="U2553" i="4"/>
  <c r="T2553" i="4"/>
  <c r="U2552" i="4"/>
  <c r="T2552" i="4"/>
  <c r="U2551" i="4"/>
  <c r="T2551" i="4"/>
  <c r="U2549" i="4"/>
  <c r="T2549" i="4"/>
  <c r="U2548" i="4"/>
  <c r="T2548" i="4"/>
  <c r="U2547" i="4"/>
  <c r="T2547" i="4"/>
  <c r="U2546" i="4"/>
  <c r="T2546" i="4"/>
  <c r="U2544" i="4"/>
  <c r="T2544" i="4"/>
  <c r="U2543" i="4"/>
  <c r="T2543" i="4"/>
  <c r="U2542" i="4"/>
  <c r="T2542" i="4"/>
  <c r="U2540" i="4"/>
  <c r="T2540" i="4"/>
  <c r="U2539" i="4"/>
  <c r="T2539" i="4"/>
  <c r="U2538" i="4"/>
  <c r="T2538" i="4"/>
  <c r="U2537" i="4"/>
  <c r="T2537" i="4"/>
  <c r="U2536" i="4"/>
  <c r="T2536" i="4"/>
  <c r="U2535" i="4"/>
  <c r="T2535" i="4"/>
  <c r="U2534" i="4"/>
  <c r="T2534" i="4"/>
  <c r="U2533" i="4"/>
  <c r="T2533" i="4"/>
  <c r="U2532" i="4"/>
  <c r="T2532" i="4"/>
  <c r="U2531" i="4"/>
  <c r="T2531" i="4"/>
  <c r="U2530" i="4"/>
  <c r="T2530" i="4"/>
  <c r="U2529" i="4"/>
  <c r="T2529" i="4"/>
  <c r="U2528" i="4"/>
  <c r="T2528" i="4"/>
  <c r="U2527" i="4"/>
  <c r="T2527" i="4"/>
  <c r="U2526" i="4"/>
  <c r="T2526" i="4"/>
  <c r="U2525" i="4"/>
  <c r="T2525" i="4"/>
  <c r="U2524" i="4"/>
  <c r="T2524" i="4"/>
  <c r="U2523" i="4"/>
  <c r="T2523" i="4"/>
  <c r="U2522" i="4"/>
  <c r="T2522" i="4"/>
  <c r="U2521" i="4"/>
  <c r="T2521" i="4"/>
  <c r="U2520" i="4"/>
  <c r="T2520" i="4"/>
  <c r="U2519" i="4"/>
  <c r="T2519" i="4"/>
  <c r="U2517" i="4"/>
  <c r="T2517" i="4"/>
  <c r="U2516" i="4"/>
  <c r="T2516" i="4"/>
  <c r="U2515" i="4"/>
  <c r="T2515" i="4"/>
  <c r="U2514" i="4"/>
  <c r="T2514" i="4"/>
  <c r="U2513" i="4"/>
  <c r="T2513" i="4"/>
  <c r="U2512" i="4"/>
  <c r="T2512" i="4"/>
  <c r="U2511" i="4"/>
  <c r="T2511" i="4"/>
  <c r="U2510" i="4"/>
  <c r="T2510" i="4"/>
  <c r="U2509" i="4"/>
  <c r="T2509" i="4"/>
  <c r="U2508" i="4"/>
  <c r="T2508" i="4"/>
  <c r="U2507" i="4"/>
  <c r="T2507" i="4"/>
  <c r="U2506" i="4"/>
  <c r="T2506" i="4"/>
  <c r="U2505" i="4"/>
  <c r="T2505" i="4"/>
  <c r="U2504" i="4"/>
  <c r="T2504" i="4"/>
  <c r="U2503" i="4"/>
  <c r="T2503" i="4"/>
  <c r="U2502" i="4"/>
  <c r="T2502" i="4"/>
  <c r="U2501" i="4"/>
  <c r="T2501" i="4"/>
  <c r="U2500" i="4"/>
  <c r="T2500" i="4"/>
  <c r="U2499" i="4"/>
  <c r="T2499" i="4"/>
  <c r="U2498" i="4"/>
  <c r="T2498" i="4"/>
  <c r="U2497" i="4"/>
  <c r="T2497" i="4"/>
  <c r="U2496" i="4"/>
  <c r="T2496" i="4"/>
  <c r="U2495" i="4"/>
  <c r="T2495" i="4"/>
  <c r="U2494" i="4"/>
  <c r="T2494" i="4"/>
  <c r="U2493" i="4"/>
  <c r="T2493" i="4"/>
  <c r="U2491" i="4"/>
  <c r="T2491" i="4"/>
  <c r="U2490" i="4"/>
  <c r="T2490" i="4"/>
  <c r="U2488" i="4"/>
  <c r="T2488" i="4"/>
  <c r="U2487" i="4"/>
  <c r="T2487" i="4"/>
  <c r="U2486" i="4"/>
  <c r="T2486" i="4"/>
  <c r="U2485" i="4"/>
  <c r="T2485" i="4"/>
  <c r="U2484" i="4"/>
  <c r="T2484" i="4"/>
  <c r="U2483" i="4"/>
  <c r="T2483" i="4"/>
  <c r="U2482" i="4"/>
  <c r="T2482" i="4"/>
  <c r="U2481" i="4"/>
  <c r="T2481" i="4"/>
  <c r="U2480" i="4"/>
  <c r="T2480" i="4"/>
  <c r="U2479" i="4"/>
  <c r="T2479" i="4"/>
  <c r="U2478" i="4"/>
  <c r="T2478" i="4"/>
  <c r="U2477" i="4"/>
  <c r="T2477" i="4"/>
  <c r="U2476" i="4"/>
  <c r="T2476" i="4"/>
  <c r="U2475" i="4"/>
  <c r="T2475" i="4"/>
  <c r="U2474" i="4"/>
  <c r="T2474" i="4"/>
  <c r="U2473" i="4"/>
  <c r="T2473" i="4"/>
  <c r="U2472" i="4"/>
  <c r="T2472" i="4"/>
  <c r="U2471" i="4"/>
  <c r="T2471" i="4"/>
  <c r="U2470" i="4"/>
  <c r="T2470" i="4"/>
  <c r="U2469" i="4"/>
  <c r="T2469" i="4"/>
  <c r="U2468" i="4"/>
  <c r="T2468" i="4"/>
  <c r="U2467" i="4"/>
  <c r="T2467" i="4"/>
  <c r="U2466" i="4"/>
  <c r="T2466" i="4"/>
  <c r="U2465" i="4"/>
  <c r="T2465" i="4"/>
  <c r="U2464" i="4"/>
  <c r="T2464" i="4"/>
  <c r="U2463" i="4"/>
  <c r="T2463" i="4"/>
  <c r="U2462" i="4"/>
  <c r="T2462" i="4"/>
  <c r="U2461" i="4"/>
  <c r="T2461" i="4"/>
  <c r="U2460" i="4"/>
  <c r="T2460" i="4"/>
  <c r="U2459" i="4"/>
  <c r="T2459" i="4"/>
  <c r="U2458" i="4"/>
  <c r="T2458" i="4"/>
  <c r="U2457" i="4"/>
  <c r="T2457" i="4"/>
  <c r="U2455" i="4"/>
  <c r="T2455" i="4"/>
  <c r="U2454" i="4"/>
  <c r="T2454" i="4"/>
  <c r="U2453" i="4"/>
  <c r="T2453" i="4"/>
  <c r="U2452" i="4"/>
  <c r="T2452" i="4"/>
  <c r="U2451" i="4"/>
  <c r="T2451" i="4"/>
  <c r="U2450" i="4"/>
  <c r="T2450" i="4"/>
  <c r="U2449" i="4"/>
  <c r="T2449" i="4"/>
  <c r="U2448" i="4"/>
  <c r="T2448" i="4"/>
  <c r="U2447" i="4"/>
  <c r="T2447" i="4"/>
  <c r="U2446" i="4"/>
  <c r="T2446" i="4"/>
  <c r="U2445" i="4"/>
  <c r="T2445" i="4"/>
  <c r="U2444" i="4"/>
  <c r="T2444" i="4"/>
  <c r="U2443" i="4"/>
  <c r="T2443" i="4"/>
  <c r="U2442" i="4"/>
  <c r="T2442" i="4"/>
  <c r="U2440" i="4"/>
  <c r="T2440" i="4"/>
  <c r="U2439" i="4"/>
  <c r="T2439" i="4"/>
  <c r="U2438" i="4"/>
  <c r="T2438" i="4"/>
  <c r="U2437" i="4"/>
  <c r="T2437" i="4"/>
  <c r="U2436" i="4"/>
  <c r="T2436" i="4"/>
  <c r="U2435" i="4"/>
  <c r="T2435" i="4"/>
  <c r="U2434" i="4"/>
  <c r="T2434" i="4"/>
  <c r="U2433" i="4"/>
  <c r="T2433" i="4"/>
  <c r="U2431" i="4"/>
  <c r="T2431" i="4"/>
  <c r="U2430" i="4"/>
  <c r="T2430" i="4"/>
  <c r="U2429" i="4"/>
  <c r="T2429" i="4"/>
  <c r="U2428" i="4"/>
  <c r="T2428" i="4"/>
  <c r="U2427" i="4"/>
  <c r="T2427" i="4"/>
  <c r="U2426" i="4"/>
  <c r="T2426" i="4"/>
  <c r="U2425" i="4"/>
  <c r="T2425" i="4"/>
  <c r="U2424" i="4"/>
  <c r="T2424" i="4"/>
  <c r="U2423" i="4"/>
  <c r="T2423" i="4"/>
  <c r="U2422" i="4"/>
  <c r="T2422" i="4"/>
  <c r="U2421" i="4"/>
  <c r="T2421" i="4"/>
  <c r="U2420" i="4"/>
  <c r="T2420" i="4"/>
  <c r="U2419" i="4"/>
  <c r="T2419" i="4"/>
  <c r="U2418" i="4"/>
  <c r="T2418" i="4"/>
  <c r="U2417" i="4"/>
  <c r="T2417" i="4"/>
  <c r="U2416" i="4"/>
  <c r="T2416" i="4"/>
  <c r="U2415" i="4"/>
  <c r="T2415" i="4"/>
  <c r="U2414" i="4"/>
  <c r="T2414" i="4"/>
  <c r="U2413" i="4"/>
  <c r="T2413" i="4"/>
  <c r="U2411" i="4"/>
  <c r="T2411" i="4"/>
  <c r="U2410" i="4"/>
  <c r="T2410" i="4"/>
  <c r="U2409" i="4"/>
  <c r="T2409" i="4"/>
  <c r="U2407" i="4"/>
  <c r="T2407" i="4"/>
  <c r="U2405" i="4"/>
  <c r="T2405" i="4"/>
  <c r="U2404" i="4"/>
  <c r="T2404" i="4"/>
  <c r="U2403" i="4"/>
  <c r="T2403" i="4"/>
  <c r="U2402" i="4"/>
  <c r="T2402" i="4"/>
  <c r="U2401" i="4"/>
  <c r="T2401" i="4"/>
  <c r="U2400" i="4"/>
  <c r="T2400" i="4"/>
  <c r="U2399" i="4"/>
  <c r="T2399" i="4"/>
  <c r="U2398" i="4"/>
  <c r="T2398" i="4"/>
  <c r="U2397" i="4"/>
  <c r="T2397" i="4"/>
  <c r="U2396" i="4"/>
  <c r="T2396" i="4"/>
  <c r="U2395" i="4"/>
  <c r="T2395" i="4"/>
  <c r="U2394" i="4"/>
  <c r="T2394" i="4"/>
  <c r="U2393" i="4"/>
  <c r="T2393" i="4"/>
  <c r="U2391" i="4"/>
  <c r="T2391" i="4"/>
  <c r="U2390" i="4"/>
  <c r="T2390" i="4"/>
  <c r="U2389" i="4"/>
  <c r="T2389" i="4"/>
  <c r="U2388" i="4"/>
  <c r="T2388" i="4"/>
  <c r="U2387" i="4"/>
  <c r="T2387" i="4"/>
  <c r="U2386" i="4"/>
  <c r="T2386" i="4"/>
  <c r="U2385" i="4"/>
  <c r="T2385" i="4"/>
  <c r="U2384" i="4"/>
  <c r="T2384" i="4"/>
  <c r="U2383" i="4"/>
  <c r="T2383" i="4"/>
  <c r="U2382" i="4"/>
  <c r="T2382" i="4"/>
  <c r="U2381" i="4"/>
  <c r="T2381" i="4"/>
  <c r="U2380" i="4"/>
  <c r="T2380" i="4"/>
  <c r="U2379" i="4"/>
  <c r="T2379" i="4"/>
  <c r="U2377" i="4"/>
  <c r="T2377" i="4"/>
  <c r="U2376" i="4"/>
  <c r="T2376" i="4"/>
  <c r="U2375" i="4"/>
  <c r="T2375" i="4"/>
  <c r="U2374" i="4"/>
  <c r="T2374" i="4"/>
  <c r="U2373" i="4"/>
  <c r="T2373" i="4"/>
  <c r="U2372" i="4"/>
  <c r="T2372" i="4"/>
  <c r="U2371" i="4"/>
  <c r="T2371" i="4"/>
  <c r="U2370" i="4"/>
  <c r="T2370" i="4"/>
  <c r="U2369" i="4"/>
  <c r="T2369" i="4"/>
  <c r="U2368" i="4"/>
  <c r="T2368" i="4"/>
  <c r="U2367" i="4"/>
  <c r="T2367" i="4"/>
  <c r="U2366" i="4"/>
  <c r="T2366" i="4"/>
  <c r="U2365" i="4"/>
  <c r="T2365" i="4"/>
  <c r="U2364" i="4"/>
  <c r="T2364" i="4"/>
  <c r="U2363" i="4"/>
  <c r="T2363" i="4"/>
  <c r="U2361" i="4"/>
  <c r="T2361" i="4"/>
  <c r="U2360" i="4"/>
  <c r="T2360" i="4"/>
  <c r="U2358" i="4"/>
  <c r="T2358" i="4"/>
  <c r="U2357" i="4"/>
  <c r="T2357" i="4"/>
  <c r="U2356" i="4"/>
  <c r="T2356" i="4"/>
  <c r="U2354" i="4"/>
  <c r="T2354" i="4"/>
  <c r="U2353" i="4"/>
  <c r="T2353" i="4"/>
  <c r="U2352" i="4"/>
  <c r="T2352" i="4"/>
  <c r="U2351" i="4"/>
  <c r="T2351" i="4"/>
  <c r="U2350" i="4"/>
  <c r="T2350" i="4"/>
  <c r="U2349" i="4"/>
  <c r="T2349" i="4"/>
  <c r="U2348" i="4"/>
  <c r="T2348" i="4"/>
  <c r="U2347" i="4"/>
  <c r="T2347" i="4"/>
  <c r="U2346" i="4"/>
  <c r="T2346" i="4"/>
  <c r="U2345" i="4"/>
  <c r="T2345" i="4"/>
  <c r="U2344" i="4"/>
  <c r="T2344" i="4"/>
  <c r="U2343" i="4"/>
  <c r="T2343" i="4"/>
  <c r="U2342" i="4"/>
  <c r="T2342" i="4"/>
  <c r="U2341" i="4"/>
  <c r="T2341" i="4"/>
  <c r="U2340" i="4"/>
  <c r="T2340" i="4"/>
  <c r="U2339" i="4"/>
  <c r="T2339" i="4"/>
  <c r="U2338" i="4"/>
  <c r="T2338" i="4"/>
  <c r="U2337" i="4"/>
  <c r="T2337" i="4"/>
  <c r="U2336" i="4"/>
  <c r="T2336" i="4"/>
  <c r="U2335" i="4"/>
  <c r="T2335" i="4"/>
  <c r="U2334" i="4"/>
  <c r="T2334" i="4"/>
  <c r="U2333" i="4"/>
  <c r="T2333" i="4"/>
  <c r="U2332" i="4"/>
  <c r="T2332" i="4"/>
  <c r="U2331" i="4"/>
  <c r="T2331" i="4"/>
  <c r="U2330" i="4"/>
  <c r="T2330" i="4"/>
  <c r="U2329" i="4"/>
  <c r="T2329" i="4"/>
  <c r="U2328" i="4"/>
  <c r="T2328" i="4"/>
  <c r="U2327" i="4"/>
  <c r="T2327" i="4"/>
  <c r="U2326" i="4"/>
  <c r="T2326" i="4"/>
  <c r="U2325" i="4"/>
  <c r="T2325" i="4"/>
  <c r="U2324" i="4"/>
  <c r="T2324" i="4"/>
  <c r="U2323" i="4"/>
  <c r="T2323" i="4"/>
  <c r="U2322" i="4"/>
  <c r="T2322" i="4"/>
  <c r="U2321" i="4"/>
  <c r="T2321" i="4"/>
  <c r="U2320" i="4"/>
  <c r="T2320" i="4"/>
  <c r="U2319" i="4"/>
  <c r="T2319" i="4"/>
  <c r="U2318" i="4"/>
  <c r="T2318" i="4"/>
  <c r="U2317" i="4"/>
  <c r="T2317" i="4"/>
  <c r="U2316" i="4"/>
  <c r="T2316" i="4"/>
  <c r="U2315" i="4"/>
  <c r="T2315" i="4"/>
  <c r="U2313" i="4"/>
  <c r="T2313" i="4"/>
  <c r="U2312" i="4"/>
  <c r="T2312" i="4"/>
  <c r="U2311" i="4"/>
  <c r="T2311" i="4"/>
  <c r="U2310" i="4"/>
  <c r="T2310" i="4"/>
  <c r="U2309" i="4"/>
  <c r="T2309" i="4"/>
  <c r="U2308" i="4"/>
  <c r="T2308" i="4"/>
  <c r="U2307" i="4"/>
  <c r="T2307" i="4"/>
  <c r="U2306" i="4"/>
  <c r="T2306" i="4"/>
  <c r="U2305" i="4"/>
  <c r="T2305" i="4"/>
  <c r="U2304" i="4"/>
  <c r="T2304" i="4"/>
  <c r="U2303" i="4"/>
  <c r="T2303" i="4"/>
  <c r="U2302" i="4"/>
  <c r="T2302" i="4"/>
  <c r="U2301" i="4"/>
  <c r="T2301" i="4"/>
  <c r="U2299" i="4"/>
  <c r="T2299" i="4"/>
  <c r="U2298" i="4"/>
  <c r="T2298" i="4"/>
  <c r="U2296" i="4"/>
  <c r="T2296" i="4"/>
  <c r="U2293" i="4"/>
  <c r="T2293" i="4"/>
  <c r="U2292" i="4"/>
  <c r="T2292" i="4"/>
  <c r="U2291" i="4"/>
  <c r="T2291" i="4"/>
  <c r="U2290" i="4"/>
  <c r="T2290" i="4"/>
  <c r="U2289" i="4"/>
  <c r="T2289" i="4"/>
  <c r="U2288" i="4"/>
  <c r="T2288" i="4"/>
  <c r="U2287" i="4"/>
  <c r="T2287" i="4"/>
  <c r="U2286" i="4"/>
  <c r="T2286" i="4"/>
  <c r="U2285" i="4"/>
  <c r="T2285" i="4"/>
  <c r="U2284" i="4"/>
  <c r="T2284" i="4"/>
  <c r="U2283" i="4"/>
  <c r="T2283" i="4"/>
  <c r="U2282" i="4"/>
  <c r="T2282" i="4"/>
  <c r="U2280" i="4"/>
  <c r="T2280" i="4"/>
  <c r="U2279" i="4"/>
  <c r="T2279" i="4"/>
  <c r="U2278" i="4"/>
  <c r="T2278" i="4"/>
  <c r="U2277" i="4"/>
  <c r="T2277" i="4"/>
  <c r="U2276" i="4"/>
  <c r="T2276" i="4"/>
  <c r="U2275" i="4"/>
  <c r="T2275" i="4"/>
  <c r="U2274" i="4"/>
  <c r="T2274" i="4"/>
  <c r="U2273" i="4"/>
  <c r="T2273" i="4"/>
  <c r="U2272" i="4"/>
  <c r="T2272" i="4"/>
  <c r="U2271" i="4"/>
  <c r="T2271" i="4"/>
  <c r="U2270" i="4"/>
  <c r="T2270" i="4"/>
  <c r="U2269" i="4"/>
  <c r="T2269" i="4"/>
  <c r="U2268" i="4"/>
  <c r="T2268" i="4"/>
  <c r="U2267" i="4"/>
  <c r="T2267" i="4"/>
  <c r="U2266" i="4"/>
  <c r="T2266" i="4"/>
  <c r="U2265" i="4"/>
  <c r="T2265" i="4"/>
  <c r="U2264" i="4"/>
  <c r="T2264" i="4"/>
  <c r="U2263" i="4"/>
  <c r="T2263" i="4"/>
  <c r="U2262" i="4"/>
  <c r="T2262" i="4"/>
  <c r="U2261" i="4"/>
  <c r="T2261" i="4"/>
  <c r="U2259" i="4"/>
  <c r="T2259" i="4"/>
  <c r="U2258" i="4"/>
  <c r="T2258" i="4"/>
  <c r="U2257" i="4"/>
  <c r="T2257" i="4"/>
  <c r="U2256" i="4"/>
  <c r="T2256" i="4"/>
  <c r="U2255" i="4"/>
  <c r="T2255" i="4"/>
  <c r="U2254" i="4"/>
  <c r="T2254" i="4"/>
  <c r="U2253" i="4"/>
  <c r="T2253" i="4"/>
  <c r="U2252" i="4"/>
  <c r="T2252" i="4"/>
  <c r="U2251" i="4"/>
  <c r="T2251" i="4"/>
  <c r="U2250" i="4"/>
  <c r="T2250" i="4"/>
  <c r="U2249" i="4"/>
  <c r="T2249" i="4"/>
  <c r="U2248" i="4"/>
  <c r="T2248" i="4"/>
  <c r="U2247" i="4"/>
  <c r="T2247" i="4"/>
  <c r="U2246" i="4"/>
  <c r="T2246" i="4"/>
  <c r="U2245" i="4"/>
  <c r="T2245" i="4"/>
  <c r="U2244" i="4"/>
  <c r="T2244" i="4"/>
  <c r="U2243" i="4"/>
  <c r="T2243" i="4"/>
  <c r="U2242" i="4"/>
  <c r="T2242" i="4"/>
  <c r="U2241" i="4"/>
  <c r="T2241" i="4"/>
  <c r="U2240" i="4"/>
  <c r="T2240" i="4"/>
  <c r="U2239" i="4"/>
  <c r="T2239" i="4"/>
  <c r="U2238" i="4"/>
  <c r="T2238" i="4"/>
  <c r="U2237" i="4"/>
  <c r="T2237" i="4"/>
  <c r="U2236" i="4"/>
  <c r="T2236" i="4"/>
  <c r="U2235" i="4"/>
  <c r="T2235" i="4"/>
  <c r="U2233" i="4"/>
  <c r="T2233" i="4"/>
  <c r="U2232" i="4"/>
  <c r="T2232" i="4"/>
  <c r="U2231" i="4"/>
  <c r="T2231" i="4"/>
  <c r="U2230" i="4"/>
  <c r="T2230" i="4"/>
  <c r="U2229" i="4"/>
  <c r="T2229" i="4"/>
  <c r="U2228" i="4"/>
  <c r="T2228" i="4"/>
  <c r="U2227" i="4"/>
  <c r="T2227" i="4"/>
  <c r="U2226" i="4"/>
  <c r="T2226" i="4"/>
  <c r="U2225" i="4"/>
  <c r="T2225" i="4"/>
  <c r="U2224" i="4"/>
  <c r="T2224" i="4"/>
  <c r="U2223" i="4"/>
  <c r="T2223" i="4"/>
  <c r="U2222" i="4"/>
  <c r="T2222" i="4"/>
  <c r="U2221" i="4"/>
  <c r="T2221" i="4"/>
  <c r="U2220" i="4"/>
  <c r="T2220" i="4"/>
  <c r="U2217" i="4"/>
  <c r="T2217" i="4"/>
  <c r="U2216" i="4"/>
  <c r="T2216" i="4"/>
  <c r="U2215" i="4"/>
  <c r="T2215" i="4"/>
  <c r="U2214" i="4"/>
  <c r="T2214" i="4"/>
  <c r="U2213" i="4"/>
  <c r="T2213" i="4"/>
  <c r="U2211" i="4"/>
  <c r="T2211" i="4"/>
  <c r="U2210" i="4"/>
  <c r="T2210" i="4"/>
  <c r="U2209" i="4"/>
  <c r="T2209" i="4"/>
  <c r="U2208" i="4"/>
  <c r="T2208" i="4"/>
  <c r="U2207" i="4"/>
  <c r="T2207" i="4"/>
  <c r="U2206" i="4"/>
  <c r="T2206" i="4"/>
  <c r="U2205" i="4"/>
  <c r="T2205" i="4"/>
  <c r="U2204" i="4"/>
  <c r="T2204" i="4"/>
  <c r="U2203" i="4"/>
  <c r="T2203" i="4"/>
  <c r="U2202" i="4"/>
  <c r="T2202" i="4"/>
  <c r="U2201" i="4"/>
  <c r="T2201" i="4"/>
  <c r="U2200" i="4"/>
  <c r="T2200" i="4"/>
  <c r="U2199" i="4"/>
  <c r="T2199" i="4"/>
  <c r="U2198" i="4"/>
  <c r="T2198" i="4"/>
  <c r="U2197" i="4"/>
  <c r="T2197" i="4"/>
  <c r="U2196" i="4"/>
  <c r="T2196" i="4"/>
  <c r="U2195" i="4"/>
  <c r="T2195" i="4"/>
  <c r="U2194" i="4"/>
  <c r="T2194" i="4"/>
  <c r="U2193" i="4"/>
  <c r="T2193" i="4"/>
  <c r="U2192" i="4"/>
  <c r="T2192" i="4"/>
  <c r="U2191" i="4"/>
  <c r="T2191" i="4"/>
  <c r="U2190" i="4"/>
  <c r="T2190" i="4"/>
  <c r="U2189" i="4"/>
  <c r="T2189" i="4"/>
  <c r="U2188" i="4"/>
  <c r="T2188" i="4"/>
  <c r="U2187" i="4"/>
  <c r="T2187" i="4"/>
  <c r="U2186" i="4"/>
  <c r="T2186" i="4"/>
  <c r="U2185" i="4"/>
  <c r="T2185" i="4"/>
  <c r="U2184" i="4"/>
  <c r="T2184" i="4"/>
  <c r="U2183" i="4"/>
  <c r="T2183" i="4"/>
  <c r="U2182" i="4"/>
  <c r="T2182" i="4"/>
  <c r="U2181" i="4"/>
  <c r="T2181" i="4"/>
  <c r="U2180" i="4"/>
  <c r="T2180" i="4"/>
  <c r="U2179" i="4"/>
  <c r="T2179" i="4"/>
  <c r="U2178" i="4"/>
  <c r="T2178" i="4"/>
  <c r="U2177" i="4"/>
  <c r="T2177" i="4"/>
  <c r="U2176" i="4"/>
  <c r="T2176" i="4"/>
  <c r="U2175" i="4"/>
  <c r="T2175" i="4"/>
  <c r="U2174" i="4"/>
  <c r="T2174" i="4"/>
  <c r="U2173" i="4"/>
  <c r="T2173" i="4"/>
  <c r="U2172" i="4"/>
  <c r="T2172" i="4"/>
  <c r="U2171" i="4"/>
  <c r="T2171" i="4"/>
  <c r="U2169" i="4"/>
  <c r="T2169" i="4"/>
  <c r="U2168" i="4"/>
  <c r="T2168" i="4"/>
  <c r="U2166" i="4"/>
  <c r="T2166" i="4"/>
  <c r="U2165" i="4"/>
  <c r="T2165" i="4"/>
  <c r="U2164" i="4"/>
  <c r="T2164" i="4"/>
  <c r="U2163" i="4"/>
  <c r="T2163" i="4"/>
  <c r="U2162" i="4"/>
  <c r="T2162" i="4"/>
  <c r="U2160" i="4"/>
  <c r="T2160" i="4"/>
  <c r="U2159" i="4"/>
  <c r="T2159" i="4"/>
  <c r="U2158" i="4"/>
  <c r="T2158" i="4"/>
  <c r="U2157" i="4"/>
  <c r="T2157" i="4"/>
  <c r="U2155" i="4"/>
  <c r="T2155" i="4"/>
  <c r="U2154" i="4"/>
  <c r="T2154" i="4"/>
  <c r="U2153" i="4"/>
  <c r="T2153" i="4"/>
  <c r="U2152" i="4"/>
  <c r="T2152" i="4"/>
  <c r="U2148" i="4"/>
  <c r="T2148" i="4"/>
  <c r="U2147" i="4"/>
  <c r="T2147" i="4"/>
  <c r="U2146" i="4"/>
  <c r="T2146" i="4"/>
  <c r="U2145" i="4"/>
  <c r="T2145" i="4"/>
  <c r="U2144" i="4"/>
  <c r="T2144" i="4"/>
  <c r="U2143" i="4"/>
  <c r="T2143" i="4"/>
  <c r="U2142" i="4"/>
  <c r="T2142" i="4"/>
  <c r="U2141" i="4"/>
  <c r="T2141" i="4"/>
  <c r="U2140" i="4"/>
  <c r="T2140" i="4"/>
  <c r="U2139" i="4"/>
  <c r="T2139" i="4"/>
  <c r="U2137" i="4"/>
  <c r="T2137" i="4"/>
  <c r="U2136" i="4"/>
  <c r="T2136" i="4"/>
  <c r="U2135" i="4"/>
  <c r="T2135" i="4"/>
  <c r="U2134" i="4"/>
  <c r="T2134" i="4"/>
  <c r="U2133" i="4"/>
  <c r="T2133" i="4"/>
  <c r="U2132" i="4"/>
  <c r="T2132" i="4"/>
  <c r="U2131" i="4"/>
  <c r="T2131" i="4"/>
  <c r="U2130" i="4"/>
  <c r="T2130" i="4"/>
  <c r="U2129" i="4"/>
  <c r="T2129" i="4"/>
  <c r="U2128" i="4"/>
  <c r="T2128" i="4"/>
  <c r="U2127" i="4"/>
  <c r="T2127" i="4"/>
  <c r="U2126" i="4"/>
  <c r="T2126" i="4"/>
  <c r="U2125" i="4"/>
  <c r="T2125" i="4"/>
  <c r="U2124" i="4"/>
  <c r="T2124" i="4"/>
  <c r="U2123" i="4"/>
  <c r="T2123" i="4"/>
  <c r="U2122" i="4"/>
  <c r="T2122" i="4"/>
  <c r="U2121" i="4"/>
  <c r="T2121" i="4"/>
  <c r="U2120" i="4"/>
  <c r="T2120" i="4"/>
  <c r="U2119" i="4"/>
  <c r="T2119" i="4"/>
  <c r="U2118" i="4"/>
  <c r="T2118" i="4"/>
  <c r="U2117" i="4"/>
  <c r="T2117" i="4"/>
  <c r="U2116" i="4"/>
  <c r="T2116" i="4"/>
  <c r="U2115" i="4"/>
  <c r="T2115" i="4"/>
  <c r="U2114" i="4"/>
  <c r="T2114" i="4"/>
  <c r="U2112" i="4"/>
  <c r="T2112" i="4"/>
  <c r="U2111" i="4"/>
  <c r="T2111" i="4"/>
  <c r="U2110" i="4"/>
  <c r="T2110" i="4"/>
  <c r="U2109" i="4"/>
  <c r="T2109" i="4"/>
  <c r="U2108" i="4"/>
  <c r="T2108" i="4"/>
  <c r="U2107" i="4"/>
  <c r="T2107" i="4"/>
  <c r="U2106" i="4"/>
  <c r="T2106" i="4"/>
  <c r="U2105" i="4"/>
  <c r="T2105" i="4"/>
  <c r="U2104" i="4"/>
  <c r="T2104" i="4"/>
  <c r="U2103" i="4"/>
  <c r="T2103" i="4"/>
  <c r="U2102" i="4"/>
  <c r="T2102" i="4"/>
  <c r="U2101" i="4"/>
  <c r="T2101" i="4"/>
  <c r="U2100" i="4"/>
  <c r="T2100" i="4"/>
  <c r="U2098" i="4"/>
  <c r="T2098" i="4"/>
  <c r="U2097" i="4"/>
  <c r="T2097" i="4"/>
  <c r="U2096" i="4"/>
  <c r="T2096" i="4"/>
  <c r="U2095" i="4"/>
  <c r="T2095" i="4"/>
  <c r="U2094" i="4"/>
  <c r="T2094" i="4"/>
  <c r="U2093" i="4"/>
  <c r="T2093" i="4"/>
  <c r="U2092" i="4"/>
  <c r="T2092" i="4"/>
  <c r="U2091" i="4"/>
  <c r="T2091" i="4"/>
  <c r="U2090" i="4"/>
  <c r="T2090" i="4"/>
  <c r="U2089" i="4"/>
  <c r="T2089" i="4"/>
  <c r="U2087" i="4"/>
  <c r="T2087" i="4"/>
  <c r="U2086" i="4"/>
  <c r="T2086" i="4"/>
  <c r="U2085" i="4"/>
  <c r="T2085" i="4"/>
  <c r="U2084" i="4"/>
  <c r="T2084" i="4"/>
  <c r="U2083" i="4"/>
  <c r="T2083" i="4"/>
  <c r="U2082" i="4"/>
  <c r="T2082" i="4"/>
  <c r="U2081" i="4"/>
  <c r="T2081" i="4"/>
  <c r="U2079" i="4"/>
  <c r="T2079" i="4"/>
  <c r="U2078" i="4"/>
  <c r="T2078" i="4"/>
  <c r="U2077" i="4"/>
  <c r="T2077" i="4"/>
  <c r="U2076" i="4"/>
  <c r="T2076" i="4"/>
  <c r="U2075" i="4"/>
  <c r="T2075" i="4"/>
  <c r="U2073" i="4"/>
  <c r="T2073" i="4"/>
  <c r="U2072" i="4"/>
  <c r="T2072" i="4"/>
  <c r="U2071" i="4"/>
  <c r="T2071" i="4"/>
  <c r="U2070" i="4"/>
  <c r="T2070" i="4"/>
  <c r="U2069" i="4"/>
  <c r="T2069" i="4"/>
  <c r="U2068" i="4"/>
  <c r="T2068" i="4"/>
  <c r="U2067" i="4"/>
  <c r="T2067" i="4"/>
  <c r="U2066" i="4"/>
  <c r="T2066" i="4"/>
  <c r="U2065" i="4"/>
  <c r="T2065" i="4"/>
  <c r="U2064" i="4"/>
  <c r="T2064" i="4"/>
  <c r="U2063" i="4"/>
  <c r="T2063" i="4"/>
  <c r="U2062" i="4"/>
  <c r="T2062" i="4"/>
  <c r="U2061" i="4"/>
  <c r="T2061" i="4"/>
  <c r="U2060" i="4"/>
  <c r="T2060" i="4"/>
  <c r="U2059" i="4"/>
  <c r="T2059" i="4"/>
  <c r="U2058" i="4"/>
  <c r="T2058" i="4"/>
  <c r="U2057" i="4"/>
  <c r="T2057" i="4"/>
  <c r="U2056" i="4"/>
  <c r="T2056" i="4"/>
  <c r="U2055" i="4"/>
  <c r="T2055" i="4"/>
  <c r="U2054" i="4"/>
  <c r="T2054" i="4"/>
  <c r="U2053" i="4"/>
  <c r="T2053" i="4"/>
  <c r="U2052" i="4"/>
  <c r="T2052" i="4"/>
  <c r="U2051" i="4"/>
  <c r="T2051" i="4"/>
  <c r="U2050" i="4"/>
  <c r="T2050" i="4"/>
  <c r="U2049" i="4"/>
  <c r="T2049" i="4"/>
  <c r="U2047" i="4"/>
  <c r="T2047" i="4"/>
  <c r="U2045" i="4"/>
  <c r="T2045" i="4"/>
  <c r="U2044" i="4"/>
  <c r="T2044" i="4"/>
  <c r="U2043" i="4"/>
  <c r="T2043" i="4"/>
  <c r="U2042" i="4"/>
  <c r="T2042" i="4"/>
  <c r="U2041" i="4"/>
  <c r="T2041" i="4"/>
  <c r="U2040" i="4"/>
  <c r="T2040" i="4"/>
  <c r="U2039" i="4"/>
  <c r="T2039" i="4"/>
  <c r="U2038" i="4"/>
  <c r="T2038" i="4"/>
  <c r="U2037" i="4"/>
  <c r="T2037" i="4"/>
  <c r="U2036" i="4"/>
  <c r="T2036" i="4"/>
  <c r="U2035" i="4"/>
  <c r="T2035" i="4"/>
  <c r="U2034" i="4"/>
  <c r="T2034" i="4"/>
  <c r="U2033" i="4"/>
  <c r="T2033" i="4"/>
  <c r="U2032" i="4"/>
  <c r="T2032" i="4"/>
  <c r="U2031" i="4"/>
  <c r="T2031" i="4"/>
  <c r="U2030" i="4"/>
  <c r="T2030" i="4"/>
  <c r="U2029" i="4"/>
  <c r="T2029" i="4"/>
  <c r="U2028" i="4"/>
  <c r="T2028" i="4"/>
  <c r="U2027" i="4"/>
  <c r="T2027" i="4"/>
  <c r="U2026" i="4"/>
  <c r="T2026" i="4"/>
  <c r="U2025" i="4"/>
  <c r="T2025" i="4"/>
  <c r="U2024" i="4"/>
  <c r="T2024" i="4"/>
  <c r="U2023" i="4"/>
  <c r="T2023" i="4"/>
  <c r="U2021" i="4"/>
  <c r="T2021" i="4"/>
  <c r="U2020" i="4"/>
  <c r="T2020" i="4"/>
  <c r="U2018" i="4"/>
  <c r="T2018" i="4"/>
  <c r="U2017" i="4"/>
  <c r="T2017" i="4"/>
  <c r="U2015" i="4"/>
  <c r="T2015" i="4"/>
  <c r="U2013" i="4"/>
  <c r="T2013" i="4"/>
  <c r="U2012" i="4"/>
  <c r="T2012" i="4"/>
  <c r="U2010" i="4"/>
  <c r="T2010" i="4"/>
  <c r="U2009" i="4"/>
  <c r="T2009" i="4"/>
  <c r="U2006" i="4"/>
  <c r="T2006" i="4"/>
  <c r="U2005" i="4"/>
  <c r="T2005" i="4"/>
  <c r="U2004" i="4"/>
  <c r="T2004" i="4"/>
  <c r="U2003" i="4"/>
  <c r="T2003" i="4"/>
  <c r="U2002" i="4"/>
  <c r="T2002" i="4"/>
  <c r="U2001" i="4"/>
  <c r="T2001" i="4"/>
  <c r="U2000" i="4"/>
  <c r="T2000" i="4"/>
  <c r="U1999" i="4"/>
  <c r="T1999" i="4"/>
  <c r="U1998" i="4"/>
  <c r="T1998" i="4"/>
  <c r="U1997" i="4"/>
  <c r="T1997" i="4"/>
  <c r="U1996" i="4"/>
  <c r="T1996" i="4"/>
  <c r="U1995" i="4"/>
  <c r="T1995" i="4"/>
  <c r="U1993" i="4"/>
  <c r="T1993" i="4"/>
  <c r="U1992" i="4"/>
  <c r="T1992" i="4"/>
  <c r="U1991" i="4"/>
  <c r="T1991" i="4"/>
  <c r="U1990" i="4"/>
  <c r="T1990" i="4"/>
  <c r="U1989" i="4"/>
  <c r="T1989" i="4"/>
  <c r="U1988" i="4"/>
  <c r="T1988" i="4"/>
  <c r="U1987" i="4"/>
  <c r="T1987" i="4"/>
  <c r="U1986" i="4"/>
  <c r="T1986" i="4"/>
  <c r="U1985" i="4"/>
  <c r="T1985" i="4"/>
  <c r="U1984" i="4"/>
  <c r="T1984" i="4"/>
  <c r="U1983" i="4"/>
  <c r="T1983" i="4"/>
  <c r="U1982" i="4"/>
  <c r="T1982" i="4"/>
  <c r="U1981" i="4"/>
  <c r="T1981" i="4"/>
  <c r="U1980" i="4"/>
  <c r="T1980" i="4"/>
  <c r="U1978" i="4"/>
  <c r="T1978" i="4"/>
  <c r="U1977" i="4"/>
  <c r="T1977" i="4"/>
  <c r="U1976" i="4"/>
  <c r="T1976" i="4"/>
  <c r="U1975" i="4"/>
  <c r="T1975" i="4"/>
  <c r="U1974" i="4"/>
  <c r="T1974" i="4"/>
  <c r="U1973" i="4"/>
  <c r="T1973" i="4"/>
  <c r="U1972" i="4"/>
  <c r="T1972" i="4"/>
  <c r="U1971" i="4"/>
  <c r="T1971" i="4"/>
  <c r="U1970" i="4"/>
  <c r="T1970" i="4"/>
  <c r="U1969" i="4"/>
  <c r="T1969" i="4"/>
  <c r="U1968" i="4"/>
  <c r="T1968" i="4"/>
  <c r="U1967" i="4"/>
  <c r="T1967" i="4"/>
  <c r="U1966" i="4"/>
  <c r="T1966" i="4"/>
  <c r="U1965" i="4"/>
  <c r="T1965" i="4"/>
  <c r="U1964" i="4"/>
  <c r="T1964" i="4"/>
  <c r="U1963" i="4"/>
  <c r="T1963" i="4"/>
  <c r="U1962" i="4"/>
  <c r="T1962" i="4"/>
  <c r="U1961" i="4"/>
  <c r="T1961" i="4"/>
  <c r="U1959" i="4"/>
  <c r="T1959" i="4"/>
  <c r="U1958" i="4"/>
  <c r="T1958" i="4"/>
  <c r="U1957" i="4"/>
  <c r="T1957" i="4"/>
  <c r="U1956" i="4"/>
  <c r="T1956" i="4"/>
  <c r="U1955" i="4"/>
  <c r="T1955" i="4"/>
  <c r="U1954" i="4"/>
  <c r="T1954" i="4"/>
  <c r="U1953" i="4"/>
  <c r="T1953" i="4"/>
  <c r="U1952" i="4"/>
  <c r="T1952" i="4"/>
  <c r="U1951" i="4"/>
  <c r="T1951" i="4"/>
  <c r="U1950" i="4"/>
  <c r="T1950" i="4"/>
  <c r="U1949" i="4"/>
  <c r="T1949" i="4"/>
  <c r="U1948" i="4"/>
  <c r="T1948" i="4"/>
  <c r="U1947" i="4"/>
  <c r="T1947" i="4"/>
  <c r="U1945" i="4"/>
  <c r="T1945" i="4"/>
  <c r="U1944" i="4"/>
  <c r="T1944" i="4"/>
  <c r="U1943" i="4"/>
  <c r="T1943" i="4"/>
  <c r="U1942" i="4"/>
  <c r="T1942" i="4"/>
  <c r="U1940" i="4"/>
  <c r="T1940" i="4"/>
  <c r="U1939" i="4"/>
  <c r="T1939" i="4"/>
  <c r="U1938" i="4"/>
  <c r="T1938" i="4"/>
  <c r="U1937" i="4"/>
  <c r="T1937" i="4"/>
  <c r="U1936" i="4"/>
  <c r="T1936" i="4"/>
  <c r="U1935" i="4"/>
  <c r="T1935" i="4"/>
  <c r="U1934" i="4"/>
  <c r="T1934" i="4"/>
  <c r="U1933" i="4"/>
  <c r="T1933" i="4"/>
  <c r="U1932" i="4"/>
  <c r="T1932" i="4"/>
  <c r="U1931" i="4"/>
  <c r="T1931" i="4"/>
  <c r="U1930" i="4"/>
  <c r="T1930" i="4"/>
  <c r="U1929" i="4"/>
  <c r="T1929" i="4"/>
  <c r="U1928" i="4"/>
  <c r="T1928" i="4"/>
  <c r="U1927" i="4"/>
  <c r="T1927" i="4"/>
  <c r="U1926" i="4"/>
  <c r="T1926" i="4"/>
  <c r="U1925" i="4"/>
  <c r="T1925" i="4"/>
  <c r="U1924" i="4"/>
  <c r="T1924" i="4"/>
  <c r="U1923" i="4"/>
  <c r="T1923" i="4"/>
  <c r="U1922" i="4"/>
  <c r="T1922" i="4"/>
  <c r="U1921" i="4"/>
  <c r="T1921" i="4"/>
  <c r="U1920" i="4"/>
  <c r="T1920" i="4"/>
  <c r="U1919" i="4"/>
  <c r="T1919" i="4"/>
  <c r="U1918" i="4"/>
  <c r="T1918" i="4"/>
  <c r="U1917" i="4"/>
  <c r="T1917" i="4"/>
  <c r="U1916" i="4"/>
  <c r="T1916" i="4"/>
  <c r="U1915" i="4"/>
  <c r="T1915" i="4"/>
  <c r="U1913" i="4"/>
  <c r="T1913" i="4"/>
  <c r="U1912" i="4"/>
  <c r="T1912" i="4"/>
  <c r="U1910" i="4"/>
  <c r="T1910" i="4"/>
  <c r="U1909" i="4"/>
  <c r="T1909" i="4"/>
  <c r="U1908" i="4"/>
  <c r="T1908" i="4"/>
  <c r="U1907" i="4"/>
  <c r="T1907" i="4"/>
  <c r="U1906" i="4"/>
  <c r="T1906" i="4"/>
  <c r="U1904" i="4"/>
  <c r="T1904" i="4"/>
  <c r="U1903" i="4"/>
  <c r="T1903" i="4"/>
  <c r="U1902" i="4"/>
  <c r="T1902" i="4"/>
  <c r="U1901" i="4"/>
  <c r="T1901" i="4"/>
  <c r="U1899" i="4"/>
  <c r="T1899" i="4"/>
  <c r="U1898" i="4"/>
  <c r="T1898" i="4"/>
  <c r="U1897" i="4"/>
  <c r="T1897" i="4"/>
  <c r="U1896" i="4"/>
  <c r="T1896" i="4"/>
  <c r="U1895" i="4"/>
  <c r="T1895" i="4"/>
  <c r="U1894" i="4"/>
  <c r="T1894" i="4"/>
  <c r="U1893" i="4"/>
  <c r="T1893" i="4"/>
  <c r="U1892" i="4"/>
  <c r="T1892" i="4"/>
  <c r="U1890" i="4"/>
  <c r="T1890" i="4"/>
  <c r="U1889" i="4"/>
  <c r="T1889" i="4"/>
  <c r="U1888" i="4"/>
  <c r="T1888" i="4"/>
  <c r="U1887" i="4"/>
  <c r="T1887" i="4"/>
  <c r="U1885" i="4"/>
  <c r="T1885" i="4"/>
  <c r="U1884" i="4"/>
  <c r="T1884" i="4"/>
  <c r="U1883" i="4"/>
  <c r="T1883" i="4"/>
  <c r="U1882" i="4"/>
  <c r="T1882" i="4"/>
  <c r="U1881" i="4"/>
  <c r="T1881" i="4"/>
  <c r="U1880" i="4"/>
  <c r="T1880" i="4"/>
  <c r="U1879" i="4"/>
  <c r="T1879" i="4"/>
  <c r="U1878" i="4"/>
  <c r="T1878" i="4"/>
  <c r="U1877" i="4"/>
  <c r="T1877" i="4"/>
  <c r="U1876" i="4"/>
  <c r="T1876" i="4"/>
  <c r="U1875" i="4"/>
  <c r="T1875" i="4"/>
  <c r="U1874" i="4"/>
  <c r="T1874" i="4"/>
  <c r="U1873" i="4"/>
  <c r="T1873" i="4"/>
  <c r="U1872" i="4"/>
  <c r="T1872" i="4"/>
  <c r="U1871" i="4"/>
  <c r="T1871" i="4"/>
  <c r="U1870" i="4"/>
  <c r="T1870" i="4"/>
  <c r="U1869" i="4"/>
  <c r="T1869" i="4"/>
  <c r="U1868" i="4"/>
  <c r="T1868" i="4"/>
  <c r="U1867" i="4"/>
  <c r="T1867" i="4"/>
  <c r="U1866" i="4"/>
  <c r="T1866" i="4"/>
  <c r="U1865" i="4"/>
  <c r="T1865" i="4"/>
  <c r="U1864" i="4"/>
  <c r="T1864" i="4"/>
  <c r="U1863" i="4"/>
  <c r="T1863" i="4"/>
  <c r="U1862" i="4"/>
  <c r="T1862" i="4"/>
  <c r="U1861" i="4"/>
  <c r="T1861" i="4"/>
  <c r="U1860" i="4"/>
  <c r="T1860" i="4"/>
  <c r="U1859" i="4"/>
  <c r="T1859" i="4"/>
  <c r="U1858" i="4"/>
  <c r="T1858" i="4"/>
  <c r="U1857" i="4"/>
  <c r="T1857" i="4"/>
  <c r="U1856" i="4"/>
  <c r="T1856" i="4"/>
  <c r="U1855" i="4"/>
  <c r="T1855" i="4"/>
  <c r="U1854" i="4"/>
  <c r="T1854" i="4"/>
  <c r="U1853" i="4"/>
  <c r="T1853" i="4"/>
  <c r="U1852" i="4"/>
  <c r="T1852" i="4"/>
  <c r="U1851" i="4"/>
  <c r="T1851" i="4"/>
  <c r="U1850" i="4"/>
  <c r="T1850" i="4"/>
  <c r="U1849" i="4"/>
  <c r="T1849" i="4"/>
  <c r="U1848" i="4"/>
  <c r="T1848" i="4"/>
  <c r="U1847" i="4"/>
  <c r="T1847" i="4"/>
  <c r="U1846" i="4"/>
  <c r="T1846" i="4"/>
  <c r="U1845" i="4"/>
  <c r="T1845" i="4"/>
  <c r="U1844" i="4"/>
  <c r="T1844" i="4"/>
  <c r="U1843" i="4"/>
  <c r="T1843" i="4"/>
  <c r="U1842" i="4"/>
  <c r="T1842" i="4"/>
  <c r="U1841" i="4"/>
  <c r="T1841" i="4"/>
  <c r="U1840" i="4"/>
  <c r="T1840" i="4"/>
  <c r="U1839" i="4"/>
  <c r="T1839" i="4"/>
  <c r="U1838" i="4"/>
  <c r="T1838" i="4"/>
  <c r="U1837" i="4"/>
  <c r="T1837" i="4"/>
  <c r="U1836" i="4"/>
  <c r="T1836" i="4"/>
  <c r="U1835" i="4"/>
  <c r="T1835" i="4"/>
  <c r="U1834" i="4"/>
  <c r="T1834" i="4"/>
  <c r="U1833" i="4"/>
  <c r="T1833" i="4"/>
  <c r="U1832" i="4"/>
  <c r="T1832" i="4"/>
  <c r="U1831" i="4"/>
  <c r="T1831" i="4"/>
  <c r="U1830" i="4"/>
  <c r="T1830" i="4"/>
  <c r="U1829" i="4"/>
  <c r="T1829" i="4"/>
  <c r="U1828" i="4"/>
  <c r="T1828" i="4"/>
  <c r="U1827" i="4"/>
  <c r="T1827" i="4"/>
  <c r="U1826" i="4"/>
  <c r="T1826" i="4"/>
  <c r="U1825" i="4"/>
  <c r="T1825" i="4"/>
  <c r="U1824" i="4"/>
  <c r="T1824" i="4"/>
  <c r="U1823" i="4"/>
  <c r="T1823" i="4"/>
  <c r="U1822" i="4"/>
  <c r="T1822" i="4"/>
  <c r="U1820" i="4"/>
  <c r="T1820" i="4"/>
  <c r="U1819" i="4"/>
  <c r="T1819" i="4"/>
  <c r="U1818" i="4"/>
  <c r="T1818" i="4"/>
  <c r="U1817" i="4"/>
  <c r="T1817" i="4"/>
  <c r="U1815" i="4"/>
  <c r="T1815" i="4"/>
  <c r="U1814" i="4"/>
  <c r="T1814" i="4"/>
  <c r="U1812" i="4"/>
  <c r="T1812" i="4"/>
  <c r="U1811" i="4"/>
  <c r="T1811" i="4"/>
  <c r="U1810" i="4"/>
  <c r="T1810" i="4"/>
  <c r="U1809" i="4"/>
  <c r="T1809" i="4"/>
  <c r="U1808" i="4"/>
  <c r="T1808" i="4"/>
  <c r="U1807" i="4"/>
  <c r="T1807" i="4"/>
  <c r="U1806" i="4"/>
  <c r="T1806" i="4"/>
  <c r="U1805" i="4"/>
  <c r="T1805" i="4"/>
  <c r="U1804" i="4"/>
  <c r="T1804" i="4"/>
  <c r="U1803" i="4"/>
  <c r="T1803" i="4"/>
  <c r="U1802" i="4"/>
  <c r="T1802" i="4"/>
  <c r="U1801" i="4"/>
  <c r="T1801" i="4"/>
  <c r="U1800" i="4"/>
  <c r="T1800" i="4"/>
  <c r="U1799" i="4"/>
  <c r="T1799" i="4"/>
  <c r="U1798" i="4"/>
  <c r="T1798" i="4"/>
  <c r="U1797" i="4"/>
  <c r="T1797" i="4"/>
  <c r="U1796" i="4"/>
  <c r="T1796" i="4"/>
  <c r="U1795" i="4"/>
  <c r="T1795" i="4"/>
  <c r="U1794" i="4"/>
  <c r="T1794" i="4"/>
  <c r="U1793" i="4"/>
  <c r="T1793" i="4"/>
  <c r="U1791" i="4"/>
  <c r="T1791" i="4"/>
  <c r="U1790" i="4"/>
  <c r="T1790" i="4"/>
  <c r="U1789" i="4"/>
  <c r="T1789" i="4"/>
  <c r="U1788" i="4"/>
  <c r="T1788" i="4"/>
  <c r="U1787" i="4"/>
  <c r="T1787" i="4"/>
  <c r="U1786" i="4"/>
  <c r="T1786" i="4"/>
  <c r="U1785" i="4"/>
  <c r="T1785" i="4"/>
  <c r="U1784" i="4"/>
  <c r="T1784" i="4"/>
  <c r="U1783" i="4"/>
  <c r="T1783" i="4"/>
  <c r="U1782" i="4"/>
  <c r="T1782" i="4"/>
  <c r="U1779" i="4"/>
  <c r="T1779" i="4"/>
  <c r="U1778" i="4"/>
  <c r="T1778" i="4"/>
  <c r="U1777" i="4"/>
  <c r="T1777" i="4"/>
  <c r="U1776" i="4"/>
  <c r="T1776" i="4"/>
  <c r="U1774" i="4"/>
  <c r="T1774" i="4"/>
  <c r="U1772" i="4"/>
  <c r="T1772" i="4"/>
  <c r="U1771" i="4"/>
  <c r="T1771" i="4"/>
  <c r="U1770" i="4"/>
  <c r="T1770" i="4"/>
  <c r="U1769" i="4"/>
  <c r="T1769" i="4"/>
  <c r="U1768" i="4"/>
  <c r="T1768" i="4"/>
  <c r="U1767" i="4"/>
  <c r="T1767" i="4"/>
  <c r="U1766" i="4"/>
  <c r="T1766" i="4"/>
  <c r="U1765" i="4"/>
  <c r="T1765" i="4"/>
  <c r="U1764" i="4"/>
  <c r="T1764" i="4"/>
  <c r="U1763" i="4"/>
  <c r="T1763" i="4"/>
  <c r="U1762" i="4"/>
  <c r="T1762" i="4"/>
  <c r="U1761" i="4"/>
  <c r="T1761" i="4"/>
  <c r="U1760" i="4"/>
  <c r="T1760" i="4"/>
  <c r="U1759" i="4"/>
  <c r="T1759" i="4"/>
  <c r="U1758" i="4"/>
  <c r="T1758" i="4"/>
  <c r="U1757" i="4"/>
  <c r="T1757" i="4"/>
  <c r="U1755" i="4"/>
  <c r="T1755" i="4"/>
  <c r="U1754" i="4"/>
  <c r="T1754" i="4"/>
  <c r="U1753" i="4"/>
  <c r="T1753" i="4"/>
  <c r="U1752" i="4"/>
  <c r="T1752" i="4"/>
  <c r="U1751" i="4"/>
  <c r="T1751" i="4"/>
  <c r="U1750" i="4"/>
  <c r="T1750" i="4"/>
  <c r="U1749" i="4"/>
  <c r="T1749" i="4"/>
  <c r="U1748" i="4"/>
  <c r="T1748" i="4"/>
  <c r="U1747" i="4"/>
  <c r="T1747" i="4"/>
  <c r="U1746" i="4"/>
  <c r="T1746" i="4"/>
  <c r="U1745" i="4"/>
  <c r="T1745" i="4"/>
  <c r="U1743" i="4"/>
  <c r="T1743" i="4"/>
  <c r="U1742" i="4"/>
  <c r="T1742" i="4"/>
  <c r="U1741" i="4"/>
  <c r="T1741" i="4"/>
  <c r="U1740" i="4"/>
  <c r="T1740" i="4"/>
  <c r="U1739" i="4"/>
  <c r="T1739" i="4"/>
  <c r="U1738" i="4"/>
  <c r="T1738" i="4"/>
  <c r="U1736" i="4"/>
  <c r="T1736" i="4"/>
  <c r="U1735" i="4"/>
  <c r="T1735" i="4"/>
  <c r="U1734" i="4"/>
  <c r="T1734" i="4"/>
  <c r="U1733" i="4"/>
  <c r="T1733" i="4"/>
  <c r="U1732" i="4"/>
  <c r="T1732" i="4"/>
  <c r="U1731" i="4"/>
  <c r="T1731" i="4"/>
  <c r="U1730" i="4"/>
  <c r="T1730" i="4"/>
  <c r="U1728" i="4"/>
  <c r="T1728" i="4"/>
  <c r="U1726" i="4"/>
  <c r="T1726" i="4"/>
  <c r="U1725" i="4"/>
  <c r="T1725" i="4"/>
  <c r="U1724" i="4"/>
  <c r="T1724" i="4"/>
  <c r="U1723" i="4"/>
  <c r="T1723" i="4"/>
  <c r="U1722" i="4"/>
  <c r="T1722" i="4"/>
  <c r="U1721" i="4"/>
  <c r="T1721" i="4"/>
  <c r="U1720" i="4"/>
  <c r="T1720" i="4"/>
  <c r="U1719" i="4"/>
  <c r="T1719" i="4"/>
  <c r="U1718" i="4"/>
  <c r="T1718" i="4"/>
  <c r="U1717" i="4"/>
  <c r="T1717" i="4"/>
  <c r="U1716" i="4"/>
  <c r="T1716" i="4"/>
  <c r="U1715" i="4"/>
  <c r="T1715" i="4"/>
  <c r="U1714" i="4"/>
  <c r="T1714" i="4"/>
  <c r="U1713" i="4"/>
  <c r="T1713" i="4"/>
  <c r="U1712" i="4"/>
  <c r="T1712" i="4"/>
  <c r="U1711" i="4"/>
  <c r="T1711" i="4"/>
  <c r="U1710" i="4"/>
  <c r="T1710" i="4"/>
  <c r="U1709" i="4"/>
  <c r="T1709" i="4"/>
  <c r="U1708" i="4"/>
  <c r="T1708" i="4"/>
  <c r="U1707" i="4"/>
  <c r="T1707" i="4"/>
  <c r="U1706" i="4"/>
  <c r="T1706" i="4"/>
  <c r="U1705" i="4"/>
  <c r="T1705" i="4"/>
  <c r="U1703" i="4"/>
  <c r="T1703" i="4"/>
  <c r="U1702" i="4"/>
  <c r="T1702" i="4"/>
  <c r="U1701" i="4"/>
  <c r="T1701" i="4"/>
  <c r="U1700" i="4"/>
  <c r="T1700" i="4"/>
  <c r="U1699" i="4"/>
  <c r="T1699" i="4"/>
  <c r="U1698" i="4"/>
  <c r="T1698" i="4"/>
  <c r="U1697" i="4"/>
  <c r="T1697" i="4"/>
  <c r="U1696" i="4"/>
  <c r="T1696" i="4"/>
  <c r="U1695" i="4"/>
  <c r="T1695" i="4"/>
  <c r="U1694" i="4"/>
  <c r="T1694" i="4"/>
  <c r="U1693" i="4"/>
  <c r="T1693" i="4"/>
  <c r="U1692" i="4"/>
  <c r="T1692" i="4"/>
  <c r="U1691" i="4"/>
  <c r="T1691" i="4"/>
  <c r="U1689" i="4"/>
  <c r="T1689" i="4"/>
  <c r="U1688" i="4"/>
  <c r="T1688" i="4"/>
  <c r="U1687" i="4"/>
  <c r="T1687" i="4"/>
  <c r="U1686" i="4"/>
  <c r="T1686" i="4"/>
  <c r="U1684" i="4"/>
  <c r="T1684" i="4"/>
  <c r="U1683" i="4"/>
  <c r="T1683" i="4"/>
  <c r="U1682" i="4"/>
  <c r="T1682" i="4"/>
  <c r="U1681" i="4"/>
  <c r="T1681" i="4"/>
  <c r="U1680" i="4"/>
  <c r="T1680" i="4"/>
  <c r="U1679" i="4"/>
  <c r="T1679" i="4"/>
  <c r="U1678" i="4"/>
  <c r="T1678" i="4"/>
  <c r="U1677" i="4"/>
  <c r="T1677" i="4"/>
  <c r="U1676" i="4"/>
  <c r="T1676" i="4"/>
  <c r="U1675" i="4"/>
  <c r="T1675" i="4"/>
  <c r="U1674" i="4"/>
  <c r="T1674" i="4"/>
  <c r="U1673" i="4"/>
  <c r="T1673" i="4"/>
  <c r="U1672" i="4"/>
  <c r="T1672" i="4"/>
  <c r="U1671" i="4"/>
  <c r="T1671" i="4"/>
  <c r="U1670" i="4"/>
  <c r="T1670" i="4"/>
  <c r="U1669" i="4"/>
  <c r="T1669" i="4"/>
  <c r="U1668" i="4"/>
  <c r="T1668" i="4"/>
  <c r="U1667" i="4"/>
  <c r="T1667" i="4"/>
  <c r="U1666" i="4"/>
  <c r="T1666" i="4"/>
  <c r="U1665" i="4"/>
  <c r="T1665" i="4"/>
  <c r="U1664" i="4"/>
  <c r="T1664" i="4"/>
  <c r="U1662" i="4"/>
  <c r="T1662" i="4"/>
  <c r="U1661" i="4"/>
  <c r="T1661" i="4"/>
  <c r="U1660" i="4"/>
  <c r="T1660" i="4"/>
  <c r="U1659" i="4"/>
  <c r="T1659" i="4"/>
  <c r="U1658" i="4"/>
  <c r="T1658" i="4"/>
  <c r="U1657" i="4"/>
  <c r="T1657" i="4"/>
  <c r="U1656" i="4"/>
  <c r="T1656" i="4"/>
  <c r="U1655" i="4"/>
  <c r="T1655" i="4"/>
  <c r="U1653" i="4"/>
  <c r="T1653" i="4"/>
  <c r="U1652" i="4"/>
  <c r="T1652" i="4"/>
  <c r="U1651" i="4"/>
  <c r="T1651" i="4"/>
  <c r="U1650" i="4"/>
  <c r="T1650" i="4"/>
  <c r="U1649" i="4"/>
  <c r="T1649" i="4"/>
  <c r="U1647" i="4"/>
  <c r="T1647" i="4"/>
  <c r="U1646" i="4"/>
  <c r="T1646" i="4"/>
  <c r="U1645" i="4"/>
  <c r="T1645" i="4"/>
  <c r="U1642" i="4"/>
  <c r="T1642" i="4"/>
  <c r="U1641" i="4"/>
  <c r="T1641" i="4"/>
  <c r="U1638" i="4"/>
  <c r="T1638" i="4"/>
  <c r="U1637" i="4"/>
  <c r="T1637" i="4"/>
  <c r="U1636" i="4"/>
  <c r="T1636" i="4"/>
  <c r="U1635" i="4"/>
  <c r="T1635" i="4"/>
  <c r="U1634" i="4"/>
  <c r="T1634" i="4"/>
  <c r="U1633" i="4"/>
  <c r="T1633" i="4"/>
  <c r="U1632" i="4"/>
  <c r="T1632" i="4"/>
  <c r="U1631" i="4"/>
  <c r="T1631" i="4"/>
  <c r="U1630" i="4"/>
  <c r="T1630" i="4"/>
  <c r="U1629" i="4"/>
  <c r="T1629" i="4"/>
  <c r="U1628" i="4"/>
  <c r="T1628" i="4"/>
  <c r="U1627" i="4"/>
  <c r="T1627" i="4"/>
  <c r="U1625" i="4"/>
  <c r="T1625" i="4"/>
  <c r="U1623" i="4"/>
  <c r="T1623" i="4"/>
  <c r="U1622" i="4"/>
  <c r="T1622" i="4"/>
  <c r="U1621" i="4"/>
  <c r="T1621" i="4"/>
  <c r="U1620" i="4"/>
  <c r="T1620" i="4"/>
  <c r="U1619" i="4"/>
  <c r="T1619" i="4"/>
  <c r="U1618" i="4"/>
  <c r="T1618" i="4"/>
  <c r="U1617" i="4"/>
  <c r="T1617" i="4"/>
  <c r="U1616" i="4"/>
  <c r="T1616" i="4"/>
  <c r="U1613" i="4"/>
  <c r="T1613" i="4"/>
  <c r="U1612" i="4"/>
  <c r="T1612" i="4"/>
  <c r="U1611" i="4"/>
  <c r="T1611" i="4"/>
  <c r="U1610" i="4"/>
  <c r="T1610" i="4"/>
  <c r="U1609" i="4"/>
  <c r="T1609" i="4"/>
  <c r="U1608" i="4"/>
  <c r="T1608" i="4"/>
  <c r="U1607" i="4"/>
  <c r="T1607" i="4"/>
  <c r="U1606" i="4"/>
  <c r="T1606" i="4"/>
  <c r="U1605" i="4"/>
  <c r="T1605" i="4"/>
  <c r="U1604" i="4"/>
  <c r="T1604" i="4"/>
  <c r="U1603" i="4"/>
  <c r="T1603" i="4"/>
  <c r="U1602" i="4"/>
  <c r="T1602" i="4"/>
  <c r="U1601" i="4"/>
  <c r="T1601" i="4"/>
  <c r="U1600" i="4"/>
  <c r="T1600" i="4"/>
  <c r="U1599" i="4"/>
  <c r="T1599" i="4"/>
  <c r="U1598" i="4"/>
  <c r="T1598" i="4"/>
  <c r="U1597" i="4"/>
  <c r="T1597" i="4"/>
  <c r="U1595" i="4"/>
  <c r="T1595" i="4"/>
  <c r="U1594" i="4"/>
  <c r="T1594" i="4"/>
  <c r="U1593" i="4"/>
  <c r="T1593" i="4"/>
  <c r="U1590" i="4"/>
  <c r="T1590" i="4"/>
  <c r="U1589" i="4"/>
  <c r="T1589" i="4"/>
  <c r="U1588" i="4"/>
  <c r="T1588" i="4"/>
  <c r="U1587" i="4"/>
  <c r="T1587" i="4"/>
  <c r="U1586" i="4"/>
  <c r="T1586" i="4"/>
  <c r="U1585" i="4"/>
  <c r="T1585" i="4"/>
  <c r="U1584" i="4"/>
  <c r="T1584" i="4"/>
  <c r="U1583" i="4"/>
  <c r="T1583" i="4"/>
  <c r="U1582" i="4"/>
  <c r="T1582" i="4"/>
  <c r="U1581" i="4"/>
  <c r="T1581" i="4"/>
  <c r="U1580" i="4"/>
  <c r="T1580" i="4"/>
  <c r="U1579" i="4"/>
  <c r="T1579" i="4"/>
  <c r="U1578" i="4"/>
  <c r="T1578" i="4"/>
  <c r="U1577" i="4"/>
  <c r="T1577" i="4"/>
  <c r="U1576" i="4"/>
  <c r="T1576" i="4"/>
  <c r="U1575" i="4"/>
  <c r="T1575" i="4"/>
  <c r="U1574" i="4"/>
  <c r="T1574" i="4"/>
  <c r="U1573" i="4"/>
  <c r="T1573" i="4"/>
  <c r="U1572" i="4"/>
  <c r="T1572" i="4"/>
  <c r="U1571" i="4"/>
  <c r="T1571" i="4"/>
  <c r="U1570" i="4"/>
  <c r="T1570" i="4"/>
  <c r="U1569" i="4"/>
  <c r="T1569" i="4"/>
  <c r="U1568" i="4"/>
  <c r="T1568" i="4"/>
  <c r="U1567" i="4"/>
  <c r="T1567" i="4"/>
  <c r="U1566" i="4"/>
  <c r="T1566" i="4"/>
  <c r="U1565" i="4"/>
  <c r="T1565" i="4"/>
  <c r="U1564" i="4"/>
  <c r="T1564" i="4"/>
  <c r="U1563" i="4"/>
  <c r="T1563" i="4"/>
  <c r="U1562" i="4"/>
  <c r="T1562" i="4"/>
  <c r="U1561" i="4"/>
  <c r="T1561" i="4"/>
  <c r="U1560" i="4"/>
  <c r="T1560" i="4"/>
  <c r="U1559" i="4"/>
  <c r="T1559" i="4"/>
  <c r="U1558" i="4"/>
  <c r="T1558" i="4"/>
  <c r="U1557" i="4"/>
  <c r="T1557" i="4"/>
  <c r="U1556" i="4"/>
  <c r="T1556" i="4"/>
  <c r="U1555" i="4"/>
  <c r="T1555" i="4"/>
  <c r="U1554" i="4"/>
  <c r="T1554" i="4"/>
  <c r="U1553" i="4"/>
  <c r="T1553" i="4"/>
  <c r="U1552" i="4"/>
  <c r="T1552" i="4"/>
  <c r="U1551" i="4"/>
  <c r="T1551" i="4"/>
  <c r="U1550" i="4"/>
  <c r="T1550" i="4"/>
  <c r="U1548" i="4"/>
  <c r="T1548" i="4"/>
  <c r="U1547" i="4"/>
  <c r="T1547" i="4"/>
  <c r="U1546" i="4"/>
  <c r="T1546" i="4"/>
  <c r="U1545" i="4"/>
  <c r="T1545" i="4"/>
  <c r="U1543" i="4"/>
  <c r="T1543" i="4"/>
  <c r="U1542" i="4"/>
  <c r="T1542" i="4"/>
  <c r="U1541" i="4"/>
  <c r="T1541" i="4"/>
  <c r="U1540" i="4"/>
  <c r="T1540" i="4"/>
  <c r="U1539" i="4"/>
  <c r="T1539" i="4"/>
  <c r="U1538" i="4"/>
  <c r="T1538" i="4"/>
  <c r="U1537" i="4"/>
  <c r="T1537" i="4"/>
  <c r="U1536" i="4"/>
  <c r="T1536" i="4"/>
  <c r="U1534" i="4"/>
  <c r="T1534" i="4"/>
  <c r="U1533" i="4"/>
  <c r="T1533" i="4"/>
  <c r="U1532" i="4"/>
  <c r="T1532" i="4"/>
  <c r="U1531" i="4"/>
  <c r="T1531" i="4"/>
  <c r="U1530" i="4"/>
  <c r="T1530" i="4"/>
  <c r="U1529" i="4"/>
  <c r="T1529" i="4"/>
  <c r="U1528" i="4"/>
  <c r="T1528" i="4"/>
  <c r="U1527" i="4"/>
  <c r="T1527" i="4"/>
  <c r="U1526" i="4"/>
  <c r="T1526" i="4"/>
  <c r="U1525" i="4"/>
  <c r="T1525" i="4"/>
  <c r="U1524" i="4"/>
  <c r="T1524" i="4"/>
  <c r="U1523" i="4"/>
  <c r="T1523" i="4"/>
  <c r="U1522" i="4"/>
  <c r="T1522" i="4"/>
  <c r="U1521" i="4"/>
  <c r="T1521" i="4"/>
  <c r="U1520" i="4"/>
  <c r="T1520" i="4"/>
  <c r="U1519" i="4"/>
  <c r="T1519" i="4"/>
  <c r="U1518" i="4"/>
  <c r="T1518" i="4"/>
  <c r="U1517" i="4"/>
  <c r="T1517" i="4"/>
  <c r="U1516" i="4"/>
  <c r="T1516" i="4"/>
  <c r="U1515" i="4"/>
  <c r="T1515" i="4"/>
  <c r="U1514" i="4"/>
  <c r="T1514" i="4"/>
  <c r="U1513" i="4"/>
  <c r="T1513" i="4"/>
  <c r="U1512" i="4"/>
  <c r="T1512" i="4"/>
  <c r="U1511" i="4"/>
  <c r="T1511" i="4"/>
  <c r="U1510" i="4"/>
  <c r="T1510" i="4"/>
  <c r="U1509" i="4"/>
  <c r="T1509" i="4"/>
  <c r="U1508" i="4"/>
  <c r="T1508" i="4"/>
  <c r="U1507" i="4"/>
  <c r="T1507" i="4"/>
  <c r="U1506" i="4"/>
  <c r="T1506" i="4"/>
  <c r="U1505" i="4"/>
  <c r="T1505" i="4"/>
  <c r="U1504" i="4"/>
  <c r="T1504" i="4"/>
  <c r="U1503" i="4"/>
  <c r="T1503" i="4"/>
  <c r="U1502" i="4"/>
  <c r="T1502" i="4"/>
  <c r="U1501" i="4"/>
  <c r="T1501" i="4"/>
  <c r="U1500" i="4"/>
  <c r="T1500" i="4"/>
  <c r="U1499" i="4"/>
  <c r="T1499" i="4"/>
  <c r="U1498" i="4"/>
  <c r="T1498" i="4"/>
  <c r="U1497" i="4"/>
  <c r="T1497" i="4"/>
  <c r="U1495" i="4"/>
  <c r="T1495" i="4"/>
  <c r="U1494" i="4"/>
  <c r="T1494" i="4"/>
  <c r="U1493" i="4"/>
  <c r="T1493" i="4"/>
  <c r="U1492" i="4"/>
  <c r="T1492" i="4"/>
  <c r="U1490" i="4"/>
  <c r="T1490" i="4"/>
  <c r="U1489" i="4"/>
  <c r="T1489" i="4"/>
  <c r="U1488" i="4"/>
  <c r="T1488" i="4"/>
  <c r="U1487" i="4"/>
  <c r="T1487" i="4"/>
  <c r="U1486" i="4"/>
  <c r="T1486" i="4"/>
  <c r="U1485" i="4"/>
  <c r="T1485" i="4"/>
  <c r="U1483" i="4"/>
  <c r="T1483" i="4"/>
  <c r="U1482" i="4"/>
  <c r="T1482" i="4"/>
  <c r="U1481" i="4"/>
  <c r="T1481" i="4"/>
  <c r="U1480" i="4"/>
  <c r="T1480" i="4"/>
  <c r="U1479" i="4"/>
  <c r="T1479" i="4"/>
  <c r="U1478" i="4"/>
  <c r="T1478" i="4"/>
  <c r="U1477" i="4"/>
  <c r="T1477" i="4"/>
  <c r="U1475" i="4"/>
  <c r="T1475" i="4"/>
  <c r="U1474" i="4"/>
  <c r="T1474" i="4"/>
  <c r="U1472" i="4"/>
  <c r="T1472" i="4"/>
  <c r="U1470" i="4"/>
  <c r="T1470" i="4"/>
  <c r="U1469" i="4"/>
  <c r="T1469" i="4"/>
  <c r="U1468" i="4"/>
  <c r="T1468" i="4"/>
  <c r="U1467" i="4"/>
  <c r="T1467" i="4"/>
  <c r="U1466" i="4"/>
  <c r="T1466" i="4"/>
  <c r="U1465" i="4"/>
  <c r="T1465" i="4"/>
  <c r="U1464" i="4"/>
  <c r="T1464" i="4"/>
  <c r="U1462" i="4"/>
  <c r="T1462" i="4"/>
  <c r="U1461" i="4"/>
  <c r="T1461" i="4"/>
  <c r="U1460" i="4"/>
  <c r="T1460" i="4"/>
  <c r="U1459" i="4"/>
  <c r="T1459" i="4"/>
  <c r="U1457" i="4"/>
  <c r="T1457" i="4"/>
  <c r="U1455" i="4"/>
  <c r="T1455" i="4"/>
  <c r="U1454" i="4"/>
  <c r="T1454" i="4"/>
  <c r="U1453" i="4"/>
  <c r="T1453" i="4"/>
  <c r="U1451" i="4"/>
  <c r="T1451" i="4"/>
  <c r="U1450" i="4"/>
  <c r="T1450" i="4"/>
  <c r="U1449" i="4"/>
  <c r="T1449" i="4"/>
  <c r="U1447" i="4"/>
  <c r="T1447" i="4"/>
  <c r="U1446" i="4"/>
  <c r="T1446" i="4"/>
  <c r="U1445" i="4"/>
  <c r="T1445" i="4"/>
  <c r="U1443" i="4"/>
  <c r="T1443" i="4"/>
  <c r="U1442" i="4"/>
  <c r="T1442" i="4"/>
  <c r="U1441" i="4"/>
  <c r="T1441" i="4"/>
  <c r="U1440" i="4"/>
  <c r="T1440" i="4"/>
  <c r="U1439" i="4"/>
  <c r="T1439" i="4"/>
  <c r="U1438" i="4"/>
  <c r="T1438" i="4"/>
  <c r="U1437" i="4"/>
  <c r="T1437" i="4"/>
  <c r="U1436" i="4"/>
  <c r="T1436" i="4"/>
  <c r="U1435" i="4"/>
  <c r="T1435" i="4"/>
  <c r="U1434" i="4"/>
  <c r="T1434" i="4"/>
  <c r="U1432" i="4"/>
  <c r="T1432" i="4"/>
  <c r="U1431" i="4"/>
  <c r="T1431" i="4"/>
  <c r="U1430" i="4"/>
  <c r="T1430" i="4"/>
  <c r="U1429" i="4"/>
  <c r="T1429" i="4"/>
  <c r="U1426" i="4"/>
  <c r="T1426" i="4"/>
  <c r="U1425" i="4"/>
  <c r="T1425" i="4"/>
  <c r="U1424" i="4"/>
  <c r="T1424" i="4"/>
  <c r="U1423" i="4"/>
  <c r="T1423" i="4"/>
  <c r="U1422" i="4"/>
  <c r="T1422" i="4"/>
  <c r="U1420" i="4"/>
  <c r="T1420" i="4"/>
  <c r="U1419" i="4"/>
  <c r="T1419" i="4"/>
  <c r="U1418" i="4"/>
  <c r="T1418" i="4"/>
  <c r="U1417" i="4"/>
  <c r="T1417" i="4"/>
  <c r="U1416" i="4"/>
  <c r="T1416" i="4"/>
  <c r="U1415" i="4"/>
  <c r="T1415" i="4"/>
  <c r="U1414" i="4"/>
  <c r="T1414" i="4"/>
  <c r="U1413" i="4"/>
  <c r="T1413" i="4"/>
  <c r="U1412" i="4"/>
  <c r="T1412" i="4"/>
  <c r="U1411" i="4"/>
  <c r="T1411" i="4"/>
  <c r="U1409" i="4"/>
  <c r="T1409" i="4"/>
  <c r="U1408" i="4"/>
  <c r="T1408" i="4"/>
  <c r="U1407" i="4"/>
  <c r="T1407" i="4"/>
  <c r="U1406" i="4"/>
  <c r="T1406" i="4"/>
  <c r="U1405" i="4"/>
  <c r="T1405" i="4"/>
  <c r="U1404" i="4"/>
  <c r="T1404" i="4"/>
  <c r="U1403" i="4"/>
  <c r="T1403" i="4"/>
  <c r="U1402" i="4"/>
  <c r="T1402" i="4"/>
  <c r="U1401" i="4"/>
  <c r="T1401" i="4"/>
  <c r="U1399" i="4"/>
  <c r="T1399" i="4"/>
  <c r="U1395" i="4"/>
  <c r="T1395" i="4"/>
  <c r="U1394" i="4"/>
  <c r="T1394" i="4"/>
  <c r="U1393" i="4"/>
  <c r="T1393" i="4"/>
  <c r="U1392" i="4"/>
  <c r="T1392" i="4"/>
  <c r="U1391" i="4"/>
  <c r="T1391" i="4"/>
  <c r="U1390" i="4"/>
  <c r="T1390" i="4"/>
  <c r="U1389" i="4"/>
  <c r="T1389" i="4"/>
  <c r="U1388" i="4"/>
  <c r="T1388" i="4"/>
  <c r="U1387" i="4"/>
  <c r="T1387" i="4"/>
  <c r="U1386" i="4"/>
  <c r="T1386" i="4"/>
  <c r="U1385" i="4"/>
  <c r="T1385" i="4"/>
  <c r="U1384" i="4"/>
  <c r="T1384" i="4"/>
  <c r="U1383" i="4"/>
  <c r="T1383" i="4"/>
  <c r="U1382" i="4"/>
  <c r="T1382" i="4"/>
  <c r="U1379" i="4"/>
  <c r="T1379" i="4"/>
  <c r="U1378" i="4"/>
  <c r="T1378" i="4"/>
  <c r="U1377" i="4"/>
  <c r="T1377" i="4"/>
  <c r="U1376" i="4"/>
  <c r="T1376" i="4"/>
  <c r="U1375" i="4"/>
  <c r="T1375" i="4"/>
  <c r="U1373" i="4"/>
  <c r="T1373" i="4"/>
  <c r="U1372" i="4"/>
  <c r="T1372" i="4"/>
  <c r="U1371" i="4"/>
  <c r="T1371" i="4"/>
  <c r="U1370" i="4"/>
  <c r="T1370" i="4"/>
  <c r="U1369" i="4"/>
  <c r="T1369" i="4"/>
  <c r="U1368" i="4"/>
  <c r="T1368" i="4"/>
  <c r="U1367" i="4"/>
  <c r="T1367" i="4"/>
  <c r="U1366" i="4"/>
  <c r="T1366" i="4"/>
  <c r="U1365" i="4"/>
  <c r="T1365" i="4"/>
  <c r="U1364" i="4"/>
  <c r="T1364" i="4"/>
  <c r="U1363" i="4"/>
  <c r="T1363" i="4"/>
  <c r="U1362" i="4"/>
  <c r="T1362" i="4"/>
  <c r="U1361" i="4"/>
  <c r="T1361" i="4"/>
  <c r="U1360" i="4"/>
  <c r="T1360" i="4"/>
  <c r="U1359" i="4"/>
  <c r="T1359" i="4"/>
  <c r="U1358" i="4"/>
  <c r="T1358" i="4"/>
  <c r="U1356" i="4"/>
  <c r="T1356" i="4"/>
  <c r="U1354" i="4"/>
  <c r="T1354" i="4"/>
  <c r="U1353" i="4"/>
  <c r="T1353" i="4"/>
  <c r="U1352" i="4"/>
  <c r="T1352" i="4"/>
  <c r="U1351" i="4"/>
  <c r="T1351" i="4"/>
  <c r="U1350" i="4"/>
  <c r="T1350" i="4"/>
  <c r="U1349" i="4"/>
  <c r="T1349" i="4"/>
  <c r="U1348" i="4"/>
  <c r="T1348" i="4"/>
  <c r="U1347" i="4"/>
  <c r="T1347" i="4"/>
  <c r="U1346" i="4"/>
  <c r="T1346" i="4"/>
  <c r="U1345" i="4"/>
  <c r="T1345" i="4"/>
  <c r="U1344" i="4"/>
  <c r="T1344" i="4"/>
  <c r="U1343" i="4"/>
  <c r="T1343" i="4"/>
  <c r="U1342" i="4"/>
  <c r="T1342" i="4"/>
  <c r="U1341" i="4"/>
  <c r="T1341" i="4"/>
  <c r="U1340" i="4"/>
  <c r="T1340" i="4"/>
  <c r="U1338" i="4"/>
  <c r="T1338" i="4"/>
  <c r="U1337" i="4"/>
  <c r="T1337" i="4"/>
  <c r="U1335" i="4"/>
  <c r="T1335" i="4"/>
  <c r="U1334" i="4"/>
  <c r="T1334" i="4"/>
  <c r="U1333" i="4"/>
  <c r="T1333" i="4"/>
  <c r="U1332" i="4"/>
  <c r="T1332" i="4"/>
  <c r="U1331" i="4"/>
  <c r="T1331" i="4"/>
  <c r="U1330" i="4"/>
  <c r="T1330" i="4"/>
  <c r="U1329" i="4"/>
  <c r="T1329" i="4"/>
  <c r="U1328" i="4"/>
  <c r="T1328" i="4"/>
  <c r="U1327" i="4"/>
  <c r="T1327" i="4"/>
  <c r="U1326" i="4"/>
  <c r="T1326" i="4"/>
  <c r="U1325" i="4"/>
  <c r="T1325" i="4"/>
  <c r="U1323" i="4"/>
  <c r="T1323" i="4"/>
  <c r="U1322" i="4"/>
  <c r="T1322" i="4"/>
  <c r="U1321" i="4"/>
  <c r="T1321" i="4"/>
  <c r="U1320" i="4"/>
  <c r="T1320" i="4"/>
  <c r="U1319" i="4"/>
  <c r="T1319" i="4"/>
  <c r="U1318" i="4"/>
  <c r="T1318" i="4"/>
  <c r="U1317" i="4"/>
  <c r="T1317" i="4"/>
  <c r="U1315" i="4"/>
  <c r="T1315" i="4"/>
  <c r="U1314" i="4"/>
  <c r="T1314" i="4"/>
  <c r="U1313" i="4"/>
  <c r="T1313" i="4"/>
  <c r="U1312" i="4"/>
  <c r="T1312" i="4"/>
  <c r="U1311" i="4"/>
  <c r="T1311" i="4"/>
  <c r="U1310" i="4"/>
  <c r="T1310" i="4"/>
  <c r="U1309" i="4"/>
  <c r="T1309" i="4"/>
  <c r="U1308" i="4"/>
  <c r="T1308" i="4"/>
  <c r="U1307" i="4"/>
  <c r="T1307" i="4"/>
  <c r="U1306" i="4"/>
  <c r="T1306" i="4"/>
  <c r="U1305" i="4"/>
  <c r="T1305" i="4"/>
  <c r="U1304" i="4"/>
  <c r="T1304" i="4"/>
  <c r="U1303" i="4"/>
  <c r="T1303" i="4"/>
  <c r="U1302" i="4"/>
  <c r="T1302" i="4"/>
  <c r="U1301" i="4"/>
  <c r="T1301" i="4"/>
  <c r="U1299" i="4"/>
  <c r="T1299" i="4"/>
  <c r="U1298" i="4"/>
  <c r="T1298" i="4"/>
  <c r="U1297" i="4"/>
  <c r="T1297" i="4"/>
  <c r="U1296" i="4"/>
  <c r="T1296" i="4"/>
  <c r="U1295" i="4"/>
  <c r="T1295" i="4"/>
  <c r="U1294" i="4"/>
  <c r="T1294" i="4"/>
  <c r="U1293" i="4"/>
  <c r="T1293" i="4"/>
  <c r="U1291" i="4"/>
  <c r="T1291" i="4"/>
  <c r="U1290" i="4"/>
  <c r="T1290" i="4"/>
  <c r="U1289" i="4"/>
  <c r="T1289" i="4"/>
  <c r="U1287" i="4"/>
  <c r="T1287" i="4"/>
  <c r="U1286" i="4"/>
  <c r="T1286" i="4"/>
  <c r="U1285" i="4"/>
  <c r="T1285" i="4"/>
  <c r="U1284" i="4"/>
  <c r="T1284" i="4"/>
  <c r="U1283" i="4"/>
  <c r="T1283" i="4"/>
  <c r="U1281" i="4"/>
  <c r="T1281" i="4"/>
  <c r="U1280" i="4"/>
  <c r="T1280" i="4"/>
  <c r="U1279" i="4"/>
  <c r="T1279" i="4"/>
  <c r="U1278" i="4"/>
  <c r="T1278" i="4"/>
  <c r="U1277" i="4"/>
  <c r="T1277" i="4"/>
  <c r="U1276" i="4"/>
  <c r="T1276" i="4"/>
  <c r="U1275" i="4"/>
  <c r="T1275" i="4"/>
  <c r="U1274" i="4"/>
  <c r="T1274" i="4"/>
  <c r="U1273" i="4"/>
  <c r="T1273" i="4"/>
  <c r="U1272" i="4"/>
  <c r="T1272" i="4"/>
  <c r="U1271" i="4"/>
  <c r="T1271" i="4"/>
  <c r="U1270" i="4"/>
  <c r="T1270" i="4"/>
  <c r="U1269" i="4"/>
  <c r="T1269" i="4"/>
  <c r="U1268" i="4"/>
  <c r="T1268" i="4"/>
  <c r="U1267" i="4"/>
  <c r="T1267" i="4"/>
  <c r="U1265" i="4"/>
  <c r="T1265" i="4"/>
  <c r="U1264" i="4"/>
  <c r="T1264" i="4"/>
  <c r="U1263" i="4"/>
  <c r="T1263" i="4"/>
  <c r="U1262" i="4"/>
  <c r="T1262" i="4"/>
  <c r="U1261" i="4"/>
  <c r="T1261" i="4"/>
  <c r="U1260" i="4"/>
  <c r="T1260" i="4"/>
  <c r="U1259" i="4"/>
  <c r="T1259" i="4"/>
  <c r="U1258" i="4"/>
  <c r="T1258" i="4"/>
  <c r="U1257" i="4"/>
  <c r="T1257" i="4"/>
  <c r="U1256" i="4"/>
  <c r="T1256" i="4"/>
  <c r="U1255" i="4"/>
  <c r="T1255" i="4"/>
  <c r="U1254" i="4"/>
  <c r="T1254" i="4"/>
  <c r="U1253" i="4"/>
  <c r="T1253" i="4"/>
  <c r="U1252" i="4"/>
  <c r="T1252" i="4"/>
  <c r="U1251" i="4"/>
  <c r="T1251" i="4"/>
  <c r="U1250" i="4"/>
  <c r="T1250" i="4"/>
  <c r="U1249" i="4"/>
  <c r="T1249" i="4"/>
  <c r="U1248" i="4"/>
  <c r="T1248" i="4"/>
  <c r="U1247" i="4"/>
  <c r="T1247" i="4"/>
  <c r="U1246" i="4"/>
  <c r="T1246" i="4"/>
  <c r="U1245" i="4"/>
  <c r="T1245" i="4"/>
  <c r="U1244" i="4"/>
  <c r="T1244" i="4"/>
  <c r="U1243" i="4"/>
  <c r="T1243" i="4"/>
  <c r="U1242" i="4"/>
  <c r="T1242" i="4"/>
  <c r="U1241" i="4"/>
  <c r="T1241" i="4"/>
  <c r="U1240" i="4"/>
  <c r="T1240" i="4"/>
  <c r="U1239" i="4"/>
  <c r="T1239" i="4"/>
  <c r="U1238" i="4"/>
  <c r="T1238" i="4"/>
  <c r="U1237" i="4"/>
  <c r="T1237" i="4"/>
  <c r="U1236" i="4"/>
  <c r="T1236" i="4"/>
  <c r="U1235" i="4"/>
  <c r="T1235" i="4"/>
  <c r="U1234" i="4"/>
  <c r="T1234" i="4"/>
  <c r="U1233" i="4"/>
  <c r="T1233" i="4"/>
  <c r="U1232" i="4"/>
  <c r="T1232" i="4"/>
  <c r="U1231" i="4"/>
  <c r="T1231" i="4"/>
  <c r="U1230" i="4"/>
  <c r="T1230" i="4"/>
  <c r="U1228" i="4"/>
  <c r="T1228" i="4"/>
  <c r="U1227" i="4"/>
  <c r="T1227" i="4"/>
  <c r="U1226" i="4"/>
  <c r="T1226" i="4"/>
  <c r="U1225" i="4"/>
  <c r="T1225" i="4"/>
  <c r="U1224" i="4"/>
  <c r="T1224" i="4"/>
  <c r="U1223" i="4"/>
  <c r="T1223" i="4"/>
  <c r="U1221" i="4"/>
  <c r="T1221" i="4"/>
  <c r="U1220" i="4"/>
  <c r="T1220" i="4"/>
  <c r="U1219" i="4"/>
  <c r="T1219" i="4"/>
  <c r="U1218" i="4"/>
  <c r="T1218" i="4"/>
  <c r="U1217" i="4"/>
  <c r="T1217" i="4"/>
  <c r="U1216" i="4"/>
  <c r="T1216" i="4"/>
  <c r="U1215" i="4"/>
  <c r="T1215" i="4"/>
  <c r="U1214" i="4"/>
  <c r="T1214" i="4"/>
  <c r="U1213" i="4"/>
  <c r="T1213" i="4"/>
  <c r="U1212" i="4"/>
  <c r="T1212" i="4"/>
  <c r="U1211" i="4"/>
  <c r="T1211" i="4"/>
  <c r="U1210" i="4"/>
  <c r="T1210" i="4"/>
  <c r="U1208" i="4"/>
  <c r="T1208" i="4"/>
  <c r="U1207" i="4"/>
  <c r="T1207" i="4"/>
  <c r="U1206" i="4"/>
  <c r="T1206" i="4"/>
  <c r="U1205" i="4"/>
  <c r="T1205" i="4"/>
  <c r="U1204" i="4"/>
  <c r="T1204" i="4"/>
  <c r="U1203" i="4"/>
  <c r="T1203" i="4"/>
  <c r="U1202" i="4"/>
  <c r="T1202" i="4"/>
  <c r="U1200" i="4"/>
  <c r="T1200" i="4"/>
  <c r="U1199" i="4"/>
  <c r="T1199" i="4"/>
  <c r="U1198" i="4"/>
  <c r="T1198" i="4"/>
  <c r="U1197" i="4"/>
  <c r="T1197" i="4"/>
  <c r="U1196" i="4"/>
  <c r="T1196" i="4"/>
  <c r="U1195" i="4"/>
  <c r="T1195" i="4"/>
  <c r="U1193" i="4"/>
  <c r="T1193" i="4"/>
  <c r="U1192" i="4"/>
  <c r="T1192" i="4"/>
  <c r="U1191" i="4"/>
  <c r="T1191" i="4"/>
  <c r="U1190" i="4"/>
  <c r="T1190" i="4"/>
  <c r="U1189" i="4"/>
  <c r="T1189" i="4"/>
  <c r="U1188" i="4"/>
  <c r="T1188" i="4"/>
  <c r="U1187" i="4"/>
  <c r="T1187" i="4"/>
  <c r="U1186" i="4"/>
  <c r="T1186" i="4"/>
  <c r="U1185" i="4"/>
  <c r="T1185" i="4"/>
  <c r="U1183" i="4"/>
  <c r="T1183" i="4"/>
  <c r="U1182" i="4"/>
  <c r="T1182" i="4"/>
  <c r="U1181" i="4"/>
  <c r="T1181" i="4"/>
  <c r="U1179" i="4"/>
  <c r="T1179" i="4"/>
  <c r="U1178" i="4"/>
  <c r="T1178" i="4"/>
  <c r="U1175" i="4"/>
  <c r="T1175" i="4"/>
  <c r="U1174" i="4"/>
  <c r="T1174" i="4"/>
  <c r="U1172" i="4"/>
  <c r="T1172" i="4"/>
  <c r="U1171" i="4"/>
  <c r="T1171" i="4"/>
  <c r="U1170" i="4"/>
  <c r="T1170" i="4"/>
  <c r="U1169" i="4"/>
  <c r="T1169" i="4"/>
  <c r="U1168" i="4"/>
  <c r="T1168" i="4"/>
  <c r="U1167" i="4"/>
  <c r="T1167" i="4"/>
  <c r="U1166" i="4"/>
  <c r="T1166" i="4"/>
  <c r="U1165" i="4"/>
  <c r="T1165" i="4"/>
  <c r="U1164" i="4"/>
  <c r="T1164" i="4"/>
  <c r="U1163" i="4"/>
  <c r="T1163" i="4"/>
  <c r="U1162" i="4"/>
  <c r="T1162" i="4"/>
  <c r="U1161" i="4"/>
  <c r="T1161" i="4"/>
  <c r="U1160" i="4"/>
  <c r="T1160" i="4"/>
  <c r="U1159" i="4"/>
  <c r="T1159" i="4"/>
  <c r="U1158" i="4"/>
  <c r="T1158" i="4"/>
  <c r="U1157" i="4"/>
  <c r="T1157" i="4"/>
  <c r="U1155" i="4"/>
  <c r="T1155" i="4"/>
  <c r="U1154" i="4"/>
  <c r="T1154" i="4"/>
  <c r="U1153" i="4"/>
  <c r="T1153" i="4"/>
  <c r="U1152" i="4"/>
  <c r="T1152" i="4"/>
  <c r="U1151" i="4"/>
  <c r="T1151" i="4"/>
  <c r="U1150" i="4"/>
  <c r="T1150" i="4"/>
  <c r="U1149" i="4"/>
  <c r="T1149" i="4"/>
  <c r="U1148" i="4"/>
  <c r="T1148" i="4"/>
  <c r="U1147" i="4"/>
  <c r="T1147" i="4"/>
  <c r="U1146" i="4"/>
  <c r="T1146" i="4"/>
  <c r="U1145" i="4"/>
  <c r="T1145" i="4"/>
  <c r="U1144" i="4"/>
  <c r="T1144" i="4"/>
  <c r="U1143" i="4"/>
  <c r="T1143" i="4"/>
  <c r="U1142" i="4"/>
  <c r="T1142" i="4"/>
  <c r="U1141" i="4"/>
  <c r="T1141" i="4"/>
  <c r="U1140" i="4"/>
  <c r="T1140" i="4"/>
  <c r="U1139" i="4"/>
  <c r="T1139" i="4"/>
  <c r="U1138" i="4"/>
  <c r="T1138" i="4"/>
  <c r="U1137" i="4"/>
  <c r="T1137" i="4"/>
  <c r="U1136" i="4"/>
  <c r="T1136" i="4"/>
  <c r="U1134" i="4"/>
  <c r="T1134" i="4"/>
  <c r="U1132" i="4"/>
  <c r="T1132" i="4"/>
  <c r="U1131" i="4"/>
  <c r="T1131" i="4"/>
  <c r="U1130" i="4"/>
  <c r="T1130" i="4"/>
  <c r="U1129" i="4"/>
  <c r="T1129" i="4"/>
  <c r="U1128" i="4"/>
  <c r="T1128" i="4"/>
  <c r="U1127" i="4"/>
  <c r="T1127" i="4"/>
  <c r="U1126" i="4"/>
  <c r="T1126" i="4"/>
  <c r="U1125" i="4"/>
  <c r="T1125" i="4"/>
  <c r="U1124" i="4"/>
  <c r="T1124" i="4"/>
  <c r="U1122" i="4"/>
  <c r="T1122" i="4"/>
  <c r="U1121" i="4"/>
  <c r="T1121" i="4"/>
  <c r="U1120" i="4"/>
  <c r="T1120" i="4"/>
  <c r="U1118" i="4"/>
  <c r="T1118" i="4"/>
  <c r="U1117" i="4"/>
  <c r="T1117" i="4"/>
  <c r="U1116" i="4"/>
  <c r="T1116" i="4"/>
  <c r="U1115" i="4"/>
  <c r="T1115" i="4"/>
  <c r="U1114" i="4"/>
  <c r="T1114" i="4"/>
  <c r="U1113" i="4"/>
  <c r="T1113" i="4"/>
  <c r="U1112" i="4"/>
  <c r="T1112" i="4"/>
  <c r="U1110" i="4"/>
  <c r="T1110" i="4"/>
  <c r="U1109" i="4"/>
  <c r="T1109" i="4"/>
  <c r="U1108" i="4"/>
  <c r="T1108" i="4"/>
  <c r="U1107" i="4"/>
  <c r="T1107" i="4"/>
  <c r="U1106" i="4"/>
  <c r="T1106" i="4"/>
  <c r="U1105" i="4"/>
  <c r="T1105" i="4"/>
  <c r="U1104" i="4"/>
  <c r="T1104" i="4"/>
  <c r="U1103" i="4"/>
  <c r="T1103" i="4"/>
  <c r="U1102" i="4"/>
  <c r="T1102" i="4"/>
  <c r="U1101" i="4"/>
  <c r="T1101" i="4"/>
  <c r="U1100" i="4"/>
  <c r="T1100" i="4"/>
  <c r="U1099" i="4"/>
  <c r="T1099" i="4"/>
  <c r="U1098" i="4"/>
  <c r="T1098" i="4"/>
  <c r="U1097" i="4"/>
  <c r="T1097" i="4"/>
  <c r="U1096" i="4"/>
  <c r="T1096" i="4"/>
  <c r="U1095" i="4"/>
  <c r="T1095" i="4"/>
  <c r="U1094" i="4"/>
  <c r="T1094" i="4"/>
  <c r="U1093" i="4"/>
  <c r="T1093" i="4"/>
  <c r="U1092" i="4"/>
  <c r="T1092" i="4"/>
  <c r="U1091" i="4"/>
  <c r="T1091" i="4"/>
  <c r="U1090" i="4"/>
  <c r="T1090" i="4"/>
  <c r="U1089" i="4"/>
  <c r="T1089" i="4"/>
  <c r="U1088" i="4"/>
  <c r="T1088" i="4"/>
  <c r="U1087" i="4"/>
  <c r="T1087" i="4"/>
  <c r="U1086" i="4"/>
  <c r="T1086" i="4"/>
  <c r="U1085" i="4"/>
  <c r="T1085" i="4"/>
  <c r="U1083" i="4"/>
  <c r="T1083" i="4"/>
  <c r="U1082" i="4"/>
  <c r="T1082" i="4"/>
  <c r="U1081" i="4"/>
  <c r="T1081" i="4"/>
  <c r="U1080" i="4"/>
  <c r="T1080" i="4"/>
  <c r="U1079" i="4"/>
  <c r="T1079" i="4"/>
  <c r="U1078" i="4"/>
  <c r="T1078" i="4"/>
  <c r="U1077" i="4"/>
  <c r="T1077" i="4"/>
  <c r="U1076" i="4"/>
  <c r="T1076" i="4"/>
  <c r="U1075" i="4"/>
  <c r="T1075" i="4"/>
  <c r="U1074" i="4"/>
  <c r="T1074" i="4"/>
  <c r="U1073" i="4"/>
  <c r="T1073" i="4"/>
  <c r="U1072" i="4"/>
  <c r="T1072" i="4"/>
  <c r="U1071" i="4"/>
  <c r="T1071" i="4"/>
  <c r="U1070" i="4"/>
  <c r="T1070" i="4"/>
  <c r="U1069" i="4"/>
  <c r="T1069" i="4"/>
  <c r="U1068" i="4"/>
  <c r="T1068" i="4"/>
  <c r="U1067" i="4"/>
  <c r="T1067" i="4"/>
  <c r="U1066" i="4"/>
  <c r="T1066" i="4"/>
  <c r="U1065" i="4"/>
  <c r="T1065" i="4"/>
  <c r="U1064" i="4"/>
  <c r="T1064" i="4"/>
  <c r="U1063" i="4"/>
  <c r="T1063" i="4"/>
  <c r="U1062" i="4"/>
  <c r="T1062" i="4"/>
  <c r="U1061" i="4"/>
  <c r="T1061" i="4"/>
  <c r="U1060" i="4"/>
  <c r="T1060" i="4"/>
  <c r="U1059" i="4"/>
  <c r="T1059" i="4"/>
  <c r="U1058" i="4"/>
  <c r="T1058" i="4"/>
  <c r="U1057" i="4"/>
  <c r="T1057" i="4"/>
  <c r="U1056" i="4"/>
  <c r="T1056" i="4"/>
  <c r="U1054" i="4"/>
  <c r="T1054" i="4"/>
  <c r="U1053" i="4"/>
  <c r="T1053" i="4"/>
  <c r="U1052" i="4"/>
  <c r="T1052" i="4"/>
  <c r="U1051" i="4"/>
  <c r="T1051" i="4"/>
  <c r="U1050" i="4"/>
  <c r="T1050" i="4"/>
  <c r="U1049" i="4"/>
  <c r="T1049" i="4"/>
  <c r="U1048" i="4"/>
  <c r="T1048" i="4"/>
  <c r="U1047" i="4"/>
  <c r="T1047" i="4"/>
  <c r="U1046" i="4"/>
  <c r="T1046" i="4"/>
  <c r="U1045" i="4"/>
  <c r="T1045" i="4"/>
  <c r="U1044" i="4"/>
  <c r="T1044" i="4"/>
  <c r="U1043" i="4"/>
  <c r="T1043" i="4"/>
  <c r="U1042" i="4"/>
  <c r="T1042" i="4"/>
  <c r="U1041" i="4"/>
  <c r="T1041" i="4"/>
  <c r="U1040" i="4"/>
  <c r="T1040" i="4"/>
  <c r="U1039" i="4"/>
  <c r="T1039" i="4"/>
  <c r="U1038" i="4"/>
  <c r="T1038" i="4"/>
  <c r="U1037" i="4"/>
  <c r="T1037" i="4"/>
  <c r="U1036" i="4"/>
  <c r="T1036" i="4"/>
  <c r="U1035" i="4"/>
  <c r="T1035" i="4"/>
  <c r="U1034" i="4"/>
  <c r="T1034" i="4"/>
  <c r="U1033" i="4"/>
  <c r="T1033" i="4"/>
  <c r="U1032" i="4"/>
  <c r="T1032" i="4"/>
  <c r="U1031" i="4"/>
  <c r="T1031" i="4"/>
  <c r="U1028" i="4"/>
  <c r="T1028" i="4"/>
  <c r="U1027" i="4"/>
  <c r="T1027" i="4"/>
  <c r="U1026" i="4"/>
  <c r="T1026" i="4"/>
  <c r="U1025" i="4"/>
  <c r="T1025" i="4"/>
  <c r="U1024" i="4"/>
  <c r="T1024" i="4"/>
  <c r="U1023" i="4"/>
  <c r="T1023" i="4"/>
  <c r="U1022" i="4"/>
  <c r="T1022" i="4"/>
  <c r="U1021" i="4"/>
  <c r="T1021" i="4"/>
  <c r="U1019" i="4"/>
  <c r="T1019" i="4"/>
  <c r="U1018" i="4"/>
  <c r="T1018" i="4"/>
  <c r="U1017" i="4"/>
  <c r="T1017" i="4"/>
  <c r="U1016" i="4"/>
  <c r="T1016" i="4"/>
  <c r="U1015" i="4"/>
  <c r="T1015" i="4"/>
  <c r="U1014" i="4"/>
  <c r="T1014" i="4"/>
  <c r="U1013" i="4"/>
  <c r="T1013" i="4"/>
  <c r="U1012" i="4"/>
  <c r="T1012" i="4"/>
  <c r="U1011" i="4"/>
  <c r="T1011" i="4"/>
  <c r="U1010" i="4"/>
  <c r="T1010" i="4"/>
  <c r="U1009" i="4"/>
  <c r="T1009" i="4"/>
  <c r="U1008" i="4"/>
  <c r="T1008" i="4"/>
  <c r="U1007" i="4"/>
  <c r="T1007" i="4"/>
  <c r="U1006" i="4"/>
  <c r="T1006" i="4"/>
  <c r="U1005" i="4"/>
  <c r="T1005" i="4"/>
  <c r="U1004" i="4"/>
  <c r="T1004" i="4"/>
  <c r="U1003" i="4"/>
  <c r="T1003" i="4"/>
  <c r="U1002" i="4"/>
  <c r="T1002" i="4"/>
  <c r="U1001" i="4"/>
  <c r="T1001" i="4"/>
  <c r="U1000" i="4"/>
  <c r="T1000" i="4"/>
  <c r="U999" i="4"/>
  <c r="T999" i="4"/>
  <c r="U997" i="4"/>
  <c r="T997" i="4"/>
  <c r="U996" i="4"/>
  <c r="T996" i="4"/>
  <c r="U995" i="4"/>
  <c r="T995" i="4"/>
  <c r="U994" i="4"/>
  <c r="T994" i="4"/>
  <c r="U993" i="4"/>
  <c r="T993" i="4"/>
  <c r="U992" i="4"/>
  <c r="T992" i="4"/>
  <c r="U991" i="4"/>
  <c r="T991" i="4"/>
  <c r="U990" i="4"/>
  <c r="T990" i="4"/>
  <c r="U989" i="4"/>
  <c r="T989" i="4"/>
  <c r="U988" i="4"/>
  <c r="T988" i="4"/>
  <c r="U987" i="4"/>
  <c r="T987" i="4"/>
  <c r="U986" i="4"/>
  <c r="T986" i="4"/>
  <c r="U984" i="4"/>
  <c r="T984" i="4"/>
  <c r="U983" i="4"/>
  <c r="T983" i="4"/>
  <c r="U982" i="4"/>
  <c r="T982" i="4"/>
  <c r="U981" i="4"/>
  <c r="T981" i="4"/>
  <c r="U980" i="4"/>
  <c r="T980" i="4"/>
  <c r="U979" i="4"/>
  <c r="T979" i="4"/>
  <c r="U978" i="4"/>
  <c r="T978" i="4"/>
  <c r="U977" i="4"/>
  <c r="T977" i="4"/>
  <c r="U976" i="4"/>
  <c r="T976" i="4"/>
  <c r="U975" i="4"/>
  <c r="T975" i="4"/>
  <c r="U974" i="4"/>
  <c r="T974" i="4"/>
  <c r="U973" i="4"/>
  <c r="T973" i="4"/>
  <c r="U972" i="4"/>
  <c r="T972" i="4"/>
  <c r="U971" i="4"/>
  <c r="T971" i="4"/>
  <c r="U970" i="4"/>
  <c r="T970" i="4"/>
  <c r="U969" i="4"/>
  <c r="T969" i="4"/>
  <c r="U968" i="4"/>
  <c r="T968" i="4"/>
  <c r="U966" i="4"/>
  <c r="T966" i="4"/>
  <c r="U965" i="4"/>
  <c r="T965" i="4"/>
  <c r="U964" i="4"/>
  <c r="T964" i="4"/>
  <c r="U963" i="4"/>
  <c r="T963" i="4"/>
  <c r="U962" i="4"/>
  <c r="T962" i="4"/>
  <c r="U961" i="4"/>
  <c r="T961" i="4"/>
  <c r="U959" i="4"/>
  <c r="T959" i="4"/>
  <c r="U958" i="4"/>
  <c r="T958" i="4"/>
  <c r="U957" i="4"/>
  <c r="T957" i="4"/>
  <c r="U956" i="4"/>
  <c r="T956" i="4"/>
  <c r="U955" i="4"/>
  <c r="T955" i="4"/>
  <c r="U954" i="4"/>
  <c r="T954" i="4"/>
  <c r="U953" i="4"/>
  <c r="T953" i="4"/>
  <c r="U952" i="4"/>
  <c r="T952" i="4"/>
  <c r="U951" i="4"/>
  <c r="T951" i="4"/>
  <c r="U950" i="4"/>
  <c r="T950" i="4"/>
  <c r="U949" i="4"/>
  <c r="T949" i="4"/>
  <c r="U948" i="4"/>
  <c r="T948" i="4"/>
  <c r="U947" i="4"/>
  <c r="T947" i="4"/>
  <c r="U946" i="4"/>
  <c r="T946" i="4"/>
  <c r="U943" i="4"/>
  <c r="T943" i="4"/>
  <c r="U942" i="4"/>
  <c r="T942" i="4"/>
  <c r="U941" i="4"/>
  <c r="T941" i="4"/>
  <c r="U940" i="4"/>
  <c r="T940" i="4"/>
  <c r="U939" i="4"/>
  <c r="T939" i="4"/>
  <c r="U938" i="4"/>
  <c r="T938" i="4"/>
  <c r="U936" i="4"/>
  <c r="T936" i="4"/>
  <c r="U935" i="4"/>
  <c r="T935" i="4"/>
  <c r="U934" i="4"/>
  <c r="T934" i="4"/>
  <c r="U933" i="4"/>
  <c r="T933" i="4"/>
  <c r="U932" i="4"/>
  <c r="T932" i="4"/>
  <c r="U931" i="4"/>
  <c r="T931" i="4"/>
  <c r="U930" i="4"/>
  <c r="T930" i="4"/>
  <c r="U929" i="4"/>
  <c r="T929" i="4"/>
  <c r="U928" i="4"/>
  <c r="T928" i="4"/>
  <c r="U927" i="4"/>
  <c r="T927" i="4"/>
  <c r="U926" i="4"/>
  <c r="T926" i="4"/>
  <c r="U925" i="4"/>
  <c r="T925" i="4"/>
  <c r="U924" i="4"/>
  <c r="T924" i="4"/>
  <c r="U923" i="4"/>
  <c r="T923" i="4"/>
  <c r="U921" i="4"/>
  <c r="T921" i="4"/>
  <c r="U920" i="4"/>
  <c r="T920" i="4"/>
  <c r="U919" i="4"/>
  <c r="T919" i="4"/>
  <c r="U918" i="4"/>
  <c r="T918" i="4"/>
  <c r="U917" i="4"/>
  <c r="T917" i="4"/>
  <c r="U916" i="4"/>
  <c r="T916" i="4"/>
  <c r="U915" i="4"/>
  <c r="T915" i="4"/>
  <c r="U914" i="4"/>
  <c r="T914" i="4"/>
  <c r="U913" i="4"/>
  <c r="T913" i="4"/>
  <c r="U912" i="4"/>
  <c r="T912" i="4"/>
  <c r="U911" i="4"/>
  <c r="T911" i="4"/>
  <c r="U910" i="4"/>
  <c r="T910" i="4"/>
  <c r="U909" i="4"/>
  <c r="T909" i="4"/>
  <c r="U908" i="4"/>
  <c r="T908" i="4"/>
  <c r="U907" i="4"/>
  <c r="T907" i="4"/>
  <c r="U906" i="4"/>
  <c r="T906" i="4"/>
  <c r="U905" i="4"/>
  <c r="T905" i="4"/>
  <c r="U904" i="4"/>
  <c r="T904" i="4"/>
  <c r="U903" i="4"/>
  <c r="T903" i="4"/>
  <c r="U902" i="4"/>
  <c r="T902" i="4"/>
  <c r="U901" i="4"/>
  <c r="T901" i="4"/>
  <c r="U900" i="4"/>
  <c r="T900" i="4"/>
  <c r="U899" i="4"/>
  <c r="T899" i="4"/>
  <c r="U898" i="4"/>
  <c r="T898" i="4"/>
  <c r="U897" i="4"/>
  <c r="T897" i="4"/>
  <c r="U896" i="4"/>
  <c r="T896" i="4"/>
  <c r="U894" i="4"/>
  <c r="T894" i="4"/>
  <c r="U893" i="4"/>
  <c r="T893" i="4"/>
  <c r="U892" i="4"/>
  <c r="T892" i="4"/>
  <c r="U891" i="4"/>
  <c r="T891" i="4"/>
  <c r="U890" i="4"/>
  <c r="T890" i="4"/>
  <c r="U889" i="4"/>
  <c r="T889" i="4"/>
  <c r="U887" i="4"/>
  <c r="T887" i="4"/>
  <c r="U886" i="4"/>
  <c r="T886" i="4"/>
  <c r="U885" i="4"/>
  <c r="T885" i="4"/>
  <c r="U884" i="4"/>
  <c r="T884" i="4"/>
  <c r="U883" i="4"/>
  <c r="T883" i="4"/>
  <c r="U882" i="4"/>
  <c r="T882" i="4"/>
  <c r="U881" i="4"/>
  <c r="T881" i="4"/>
  <c r="U880" i="4"/>
  <c r="T880" i="4"/>
  <c r="U879" i="4"/>
  <c r="T879" i="4"/>
  <c r="U878" i="4"/>
  <c r="T878" i="4"/>
  <c r="U877" i="4"/>
  <c r="T877" i="4"/>
  <c r="U876" i="4"/>
  <c r="T876" i="4"/>
  <c r="U875" i="4"/>
  <c r="T875" i="4"/>
  <c r="U874" i="4"/>
  <c r="T874" i="4"/>
  <c r="U873" i="4"/>
  <c r="T873" i="4"/>
  <c r="U872" i="4"/>
  <c r="T872" i="4"/>
  <c r="U871" i="4"/>
  <c r="T871" i="4"/>
  <c r="U870" i="4"/>
  <c r="T870" i="4"/>
  <c r="U869" i="4"/>
  <c r="T869" i="4"/>
  <c r="U868" i="4"/>
  <c r="T868" i="4"/>
  <c r="U867" i="4"/>
  <c r="T867" i="4"/>
  <c r="U866" i="4"/>
  <c r="T866" i="4"/>
  <c r="U865" i="4"/>
  <c r="T865" i="4"/>
  <c r="U864" i="4"/>
  <c r="T864" i="4"/>
  <c r="U863" i="4"/>
  <c r="T863" i="4"/>
  <c r="U862" i="4"/>
  <c r="T862" i="4"/>
  <c r="U861" i="4"/>
  <c r="T861" i="4"/>
  <c r="U860" i="4"/>
  <c r="T860" i="4"/>
  <c r="U859" i="4"/>
  <c r="T859" i="4"/>
  <c r="U858" i="4"/>
  <c r="T858" i="4"/>
  <c r="U856" i="4"/>
  <c r="T856" i="4"/>
  <c r="U855" i="4"/>
  <c r="T855" i="4"/>
  <c r="U854" i="4"/>
  <c r="T854" i="4"/>
  <c r="U853" i="4"/>
  <c r="T853" i="4"/>
  <c r="U852" i="4"/>
  <c r="T852" i="4"/>
  <c r="U850" i="4"/>
  <c r="T850" i="4"/>
  <c r="U849" i="4"/>
  <c r="T849" i="4"/>
  <c r="U848" i="4"/>
  <c r="T848" i="4"/>
  <c r="U847" i="4"/>
  <c r="T847" i="4"/>
  <c r="U846" i="4"/>
  <c r="T846" i="4"/>
  <c r="U845" i="4"/>
  <c r="T845" i="4"/>
  <c r="U844" i="4"/>
  <c r="T844" i="4"/>
  <c r="U843" i="4"/>
  <c r="T843" i="4"/>
  <c r="U842" i="4"/>
  <c r="T842" i="4"/>
  <c r="U841" i="4"/>
  <c r="T841" i="4"/>
  <c r="U840" i="4"/>
  <c r="T840" i="4"/>
  <c r="U839" i="4"/>
  <c r="T839" i="4"/>
  <c r="U838" i="4"/>
  <c r="T838" i="4"/>
  <c r="U837" i="4"/>
  <c r="T837" i="4"/>
  <c r="U836" i="4"/>
  <c r="T836" i="4"/>
  <c r="U835" i="4"/>
  <c r="T835" i="4"/>
  <c r="U834" i="4"/>
  <c r="T834" i="4"/>
  <c r="U833" i="4"/>
  <c r="T833" i="4"/>
  <c r="U832" i="4"/>
  <c r="T832" i="4"/>
  <c r="U831" i="4"/>
  <c r="T831" i="4"/>
  <c r="U830" i="4"/>
  <c r="T830" i="4"/>
  <c r="U829" i="4"/>
  <c r="T829" i="4"/>
  <c r="U828" i="4"/>
  <c r="T828" i="4"/>
  <c r="U827" i="4"/>
  <c r="T827" i="4"/>
  <c r="U826" i="4"/>
  <c r="T826" i="4"/>
  <c r="U825" i="4"/>
  <c r="T825" i="4"/>
  <c r="U824" i="4"/>
  <c r="T824" i="4"/>
  <c r="U823" i="4"/>
  <c r="T823" i="4"/>
  <c r="U822" i="4"/>
  <c r="T822" i="4"/>
  <c r="U821" i="4"/>
  <c r="T821" i="4"/>
  <c r="U820" i="4"/>
  <c r="T820" i="4"/>
  <c r="U819" i="4"/>
  <c r="T819" i="4"/>
  <c r="U818" i="4"/>
  <c r="T818" i="4"/>
  <c r="U817" i="4"/>
  <c r="T817" i="4"/>
  <c r="U816" i="4"/>
  <c r="T816" i="4"/>
  <c r="U815" i="4"/>
  <c r="T815" i="4"/>
  <c r="U814" i="4"/>
  <c r="T814" i="4"/>
  <c r="U813" i="4"/>
  <c r="T813" i="4"/>
  <c r="U812" i="4"/>
  <c r="T812" i="4"/>
  <c r="U811" i="4"/>
  <c r="T811" i="4"/>
  <c r="U810" i="4"/>
  <c r="T810" i="4"/>
  <c r="U809" i="4"/>
  <c r="T809" i="4"/>
  <c r="U808" i="4"/>
  <c r="T808" i="4"/>
  <c r="U807" i="4"/>
  <c r="T807" i="4"/>
  <c r="U806" i="4"/>
  <c r="T806" i="4"/>
  <c r="U805" i="4"/>
  <c r="T805" i="4"/>
  <c r="U804" i="4"/>
  <c r="T804" i="4"/>
  <c r="U803" i="4"/>
  <c r="T803" i="4"/>
  <c r="U802" i="4"/>
  <c r="T802" i="4"/>
  <c r="U801" i="4"/>
  <c r="T801" i="4"/>
  <c r="U800" i="4"/>
  <c r="T800" i="4"/>
  <c r="U799" i="4"/>
  <c r="T799" i="4"/>
  <c r="U797" i="4"/>
  <c r="T797" i="4"/>
  <c r="U796" i="4"/>
  <c r="T796" i="4"/>
  <c r="U795" i="4"/>
  <c r="T795" i="4"/>
  <c r="U794" i="4"/>
  <c r="T794" i="4"/>
  <c r="U793" i="4"/>
  <c r="T793" i="4"/>
  <c r="U792" i="4"/>
  <c r="T792" i="4"/>
  <c r="U791" i="4"/>
  <c r="T791" i="4"/>
  <c r="U790" i="4"/>
  <c r="T790" i="4"/>
  <c r="U789" i="4"/>
  <c r="T789" i="4"/>
  <c r="U788" i="4"/>
  <c r="T788" i="4"/>
  <c r="U787" i="4"/>
  <c r="T787" i="4"/>
  <c r="U786" i="4"/>
  <c r="T786" i="4"/>
  <c r="U785" i="4"/>
  <c r="T785" i="4"/>
  <c r="U784" i="4"/>
  <c r="T784" i="4"/>
  <c r="U783" i="4"/>
  <c r="T783" i="4"/>
  <c r="U782" i="4"/>
  <c r="T782" i="4"/>
  <c r="U781" i="4"/>
  <c r="T781" i="4"/>
  <c r="U780" i="4"/>
  <c r="T780" i="4"/>
  <c r="U779" i="4"/>
  <c r="T779" i="4"/>
  <c r="U778" i="4"/>
  <c r="T778" i="4"/>
  <c r="U777" i="4"/>
  <c r="T777" i="4"/>
  <c r="U776" i="4"/>
  <c r="T776" i="4"/>
  <c r="U775" i="4"/>
  <c r="T775" i="4"/>
  <c r="U774" i="4"/>
  <c r="T774" i="4"/>
  <c r="U773" i="4"/>
  <c r="T773" i="4"/>
  <c r="U772" i="4"/>
  <c r="T772" i="4"/>
  <c r="U771" i="4"/>
  <c r="T771" i="4"/>
  <c r="U770" i="4"/>
  <c r="T770" i="4"/>
  <c r="U769" i="4"/>
  <c r="T769" i="4"/>
  <c r="U768" i="4"/>
  <c r="T768" i="4"/>
  <c r="U767" i="4"/>
  <c r="T767" i="4"/>
  <c r="U766" i="4"/>
  <c r="T766" i="4"/>
  <c r="U765" i="4"/>
  <c r="T765" i="4"/>
  <c r="U764" i="4"/>
  <c r="T764" i="4"/>
  <c r="U763" i="4"/>
  <c r="T763" i="4"/>
  <c r="U762" i="4"/>
  <c r="T762" i="4"/>
  <c r="U761" i="4"/>
  <c r="T761" i="4"/>
  <c r="U760" i="4"/>
  <c r="T760" i="4"/>
  <c r="U759" i="4"/>
  <c r="T759" i="4"/>
  <c r="U758" i="4"/>
  <c r="T758" i="4"/>
  <c r="U757" i="4"/>
  <c r="T757" i="4"/>
  <c r="U756" i="4"/>
  <c r="T756" i="4"/>
  <c r="U755" i="4"/>
  <c r="T755" i="4"/>
  <c r="U753" i="4"/>
  <c r="T753" i="4"/>
  <c r="U752" i="4"/>
  <c r="T752" i="4"/>
  <c r="U751" i="4"/>
  <c r="T751" i="4"/>
  <c r="U750" i="4"/>
  <c r="T750" i="4"/>
  <c r="U749" i="4"/>
  <c r="T749" i="4"/>
  <c r="U748" i="4"/>
  <c r="T748" i="4"/>
  <c r="U747" i="4"/>
  <c r="T747" i="4"/>
  <c r="U746" i="4"/>
  <c r="T746" i="4"/>
  <c r="U745" i="4"/>
  <c r="T745" i="4"/>
  <c r="U744" i="4"/>
  <c r="T744" i="4"/>
  <c r="U743" i="4"/>
  <c r="T743" i="4"/>
  <c r="U742" i="4"/>
  <c r="T742" i="4"/>
  <c r="U741" i="4"/>
  <c r="T741" i="4"/>
  <c r="U739" i="4"/>
  <c r="T739" i="4"/>
  <c r="U738" i="4"/>
  <c r="T738" i="4"/>
  <c r="U737" i="4"/>
  <c r="T737" i="4"/>
  <c r="U736" i="4"/>
  <c r="T736" i="4"/>
  <c r="U735" i="4"/>
  <c r="T735" i="4"/>
  <c r="U734" i="4"/>
  <c r="T734" i="4"/>
  <c r="U733" i="4"/>
  <c r="T733" i="4"/>
  <c r="U732" i="4"/>
  <c r="T732" i="4"/>
  <c r="U731" i="4"/>
  <c r="T731" i="4"/>
  <c r="U730" i="4"/>
  <c r="T730" i="4"/>
  <c r="U728" i="4"/>
  <c r="T728" i="4"/>
  <c r="U727" i="4"/>
  <c r="T727" i="4"/>
  <c r="U726" i="4"/>
  <c r="T726" i="4"/>
  <c r="U725" i="4"/>
  <c r="T725" i="4"/>
  <c r="U724" i="4"/>
  <c r="T724" i="4"/>
  <c r="U723" i="4"/>
  <c r="T723" i="4"/>
  <c r="U722" i="4"/>
  <c r="T722" i="4"/>
  <c r="U721" i="4"/>
  <c r="T721" i="4"/>
  <c r="U720" i="4"/>
  <c r="T720" i="4"/>
  <c r="U719" i="4"/>
  <c r="T719" i="4"/>
  <c r="U717" i="4"/>
  <c r="T717" i="4"/>
  <c r="U716" i="4"/>
  <c r="T716" i="4"/>
  <c r="U715" i="4"/>
  <c r="T715" i="4"/>
  <c r="U714" i="4"/>
  <c r="T714" i="4"/>
  <c r="U713" i="4"/>
  <c r="T713" i="4"/>
  <c r="U711" i="4"/>
  <c r="T711" i="4"/>
  <c r="U710" i="4"/>
  <c r="T710" i="4"/>
  <c r="U709" i="4"/>
  <c r="T709" i="4"/>
  <c r="U707" i="4"/>
  <c r="T707" i="4"/>
  <c r="U706" i="4"/>
  <c r="T706" i="4"/>
  <c r="U705" i="4"/>
  <c r="T705" i="4"/>
  <c r="U704" i="4"/>
  <c r="T704" i="4"/>
  <c r="U703" i="4"/>
  <c r="T703" i="4"/>
  <c r="U702" i="4"/>
  <c r="T702" i="4"/>
  <c r="U701" i="4"/>
  <c r="T701" i="4"/>
  <c r="U700" i="4"/>
  <c r="T700" i="4"/>
  <c r="U699" i="4"/>
  <c r="T699" i="4"/>
  <c r="U698" i="4"/>
  <c r="T698" i="4"/>
  <c r="U697" i="4"/>
  <c r="T697" i="4"/>
  <c r="U696" i="4"/>
  <c r="T696" i="4"/>
  <c r="U695" i="4"/>
  <c r="T695" i="4"/>
  <c r="U694" i="4"/>
  <c r="T694" i="4"/>
  <c r="U692" i="4"/>
  <c r="T692" i="4"/>
  <c r="U691" i="4"/>
  <c r="T691" i="4"/>
  <c r="U690" i="4"/>
  <c r="T690" i="4"/>
  <c r="U689" i="4"/>
  <c r="T689" i="4"/>
  <c r="U688" i="4"/>
  <c r="T688" i="4"/>
  <c r="U685" i="4"/>
  <c r="T685" i="4"/>
  <c r="U683" i="4"/>
  <c r="T683" i="4"/>
  <c r="U682" i="4"/>
  <c r="T682" i="4"/>
  <c r="U681" i="4"/>
  <c r="T681" i="4"/>
  <c r="U680" i="4"/>
  <c r="T680" i="4"/>
  <c r="U679" i="4"/>
  <c r="T679" i="4"/>
  <c r="U678" i="4"/>
  <c r="T678" i="4"/>
  <c r="U677" i="4"/>
  <c r="T677" i="4"/>
  <c r="U676" i="4"/>
  <c r="T676" i="4"/>
  <c r="U675" i="4"/>
  <c r="T675" i="4"/>
  <c r="U674" i="4"/>
  <c r="T674" i="4"/>
  <c r="U673" i="4"/>
  <c r="T673" i="4"/>
  <c r="U672" i="4"/>
  <c r="T672" i="4"/>
  <c r="U669" i="4"/>
  <c r="T669" i="4"/>
  <c r="U668" i="4"/>
  <c r="T668" i="4"/>
  <c r="U666" i="4"/>
  <c r="T666" i="4"/>
  <c r="U665" i="4"/>
  <c r="T665" i="4"/>
  <c r="U664" i="4"/>
  <c r="T664" i="4"/>
  <c r="U663" i="4"/>
  <c r="T663" i="4"/>
  <c r="U662" i="4"/>
  <c r="T662" i="4"/>
  <c r="U661" i="4"/>
  <c r="T661" i="4"/>
  <c r="U659" i="4"/>
  <c r="T659" i="4"/>
  <c r="U658" i="4"/>
  <c r="T658" i="4"/>
  <c r="U657" i="4"/>
  <c r="T657" i="4"/>
  <c r="U656" i="4"/>
  <c r="T656" i="4"/>
  <c r="U655" i="4"/>
  <c r="T655" i="4"/>
  <c r="U654" i="4"/>
  <c r="T654" i="4"/>
  <c r="U653" i="4"/>
  <c r="T653" i="4"/>
  <c r="U652" i="4"/>
  <c r="T652" i="4"/>
  <c r="U650" i="4"/>
  <c r="T650" i="4"/>
  <c r="U649" i="4"/>
  <c r="T649" i="4"/>
  <c r="U648" i="4"/>
  <c r="T648" i="4"/>
  <c r="U647" i="4"/>
  <c r="T647" i="4"/>
  <c r="U646" i="4"/>
  <c r="T646" i="4"/>
  <c r="U644" i="4"/>
  <c r="T644" i="4"/>
  <c r="U643" i="4"/>
  <c r="T643" i="4"/>
  <c r="U642" i="4"/>
  <c r="T642" i="4"/>
  <c r="U641" i="4"/>
  <c r="T641" i="4"/>
  <c r="U640" i="4"/>
  <c r="T640" i="4"/>
  <c r="U639" i="4"/>
  <c r="T639" i="4"/>
  <c r="U638" i="4"/>
  <c r="T638" i="4"/>
  <c r="U637" i="4"/>
  <c r="T637" i="4"/>
  <c r="U636" i="4"/>
  <c r="T636" i="4"/>
  <c r="U635" i="4"/>
  <c r="T635" i="4"/>
  <c r="U634" i="4"/>
  <c r="T634" i="4"/>
  <c r="U633" i="4"/>
  <c r="T633" i="4"/>
  <c r="U632" i="4"/>
  <c r="T632" i="4"/>
  <c r="U631" i="4"/>
  <c r="T631" i="4"/>
  <c r="U630" i="4"/>
  <c r="T630" i="4"/>
  <c r="U629" i="4"/>
  <c r="T629" i="4"/>
  <c r="U628" i="4"/>
  <c r="T628" i="4"/>
  <c r="U627" i="4"/>
  <c r="T627" i="4"/>
  <c r="U626" i="4"/>
  <c r="T626" i="4"/>
  <c r="U625" i="4"/>
  <c r="T625" i="4"/>
  <c r="U624" i="4"/>
  <c r="T624" i="4"/>
  <c r="U623" i="4"/>
  <c r="T623" i="4"/>
  <c r="U622" i="4"/>
  <c r="T622" i="4"/>
  <c r="U621" i="4"/>
  <c r="T621" i="4"/>
  <c r="U619" i="4"/>
  <c r="T619" i="4"/>
  <c r="U618" i="4"/>
  <c r="T618" i="4"/>
  <c r="U617" i="4"/>
  <c r="T617" i="4"/>
  <c r="U615" i="4"/>
  <c r="T615" i="4"/>
  <c r="U614" i="4"/>
  <c r="T614" i="4"/>
  <c r="U613" i="4"/>
  <c r="T613" i="4"/>
  <c r="U612" i="4"/>
  <c r="T612" i="4"/>
  <c r="U611" i="4"/>
  <c r="T611" i="4"/>
  <c r="U610" i="4"/>
  <c r="T610" i="4"/>
  <c r="U609" i="4"/>
  <c r="T609" i="4"/>
  <c r="U607" i="4"/>
  <c r="T607" i="4"/>
  <c r="U606" i="4"/>
  <c r="T606" i="4"/>
  <c r="U605" i="4"/>
  <c r="T605" i="4"/>
  <c r="U604" i="4"/>
  <c r="T604" i="4"/>
  <c r="U603" i="4"/>
  <c r="T603" i="4"/>
  <c r="U600" i="4"/>
  <c r="T600" i="4"/>
  <c r="U598" i="4"/>
  <c r="T598" i="4"/>
  <c r="U597" i="4"/>
  <c r="T597" i="4"/>
  <c r="U596" i="4"/>
  <c r="T596" i="4"/>
  <c r="U595" i="4"/>
  <c r="T595" i="4"/>
  <c r="U594" i="4"/>
  <c r="T594" i="4"/>
  <c r="U593" i="4"/>
  <c r="T593" i="4"/>
  <c r="U591" i="4"/>
  <c r="T591" i="4"/>
  <c r="U590" i="4"/>
  <c r="T590" i="4"/>
  <c r="U588" i="4"/>
  <c r="T588" i="4"/>
  <c r="U587" i="4"/>
  <c r="T587" i="4"/>
  <c r="U586" i="4"/>
  <c r="T586" i="4"/>
  <c r="U585" i="4"/>
  <c r="T585" i="4"/>
  <c r="U584" i="4"/>
  <c r="T584" i="4"/>
  <c r="U583" i="4"/>
  <c r="T583" i="4"/>
  <c r="U582" i="4"/>
  <c r="T582" i="4"/>
  <c r="U581" i="4"/>
  <c r="T581" i="4"/>
  <c r="U580" i="4"/>
  <c r="T580" i="4"/>
  <c r="U578" i="4"/>
  <c r="T578" i="4"/>
  <c r="U577" i="4"/>
  <c r="T577" i="4"/>
  <c r="U576" i="4"/>
  <c r="T576" i="4"/>
  <c r="U574" i="4"/>
  <c r="T574" i="4"/>
  <c r="U573" i="4"/>
  <c r="T573" i="4"/>
  <c r="U571" i="4"/>
  <c r="T571" i="4"/>
  <c r="U570" i="4"/>
  <c r="T570" i="4"/>
  <c r="U569" i="4"/>
  <c r="T569" i="4"/>
  <c r="U568" i="4"/>
  <c r="T568" i="4"/>
  <c r="U567" i="4"/>
  <c r="T567" i="4"/>
  <c r="U566" i="4"/>
  <c r="T566" i="4"/>
  <c r="U565" i="4"/>
  <c r="T565" i="4"/>
  <c r="U564" i="4"/>
  <c r="T564" i="4"/>
  <c r="U563" i="4"/>
  <c r="T563" i="4"/>
  <c r="U562" i="4"/>
  <c r="T562" i="4"/>
  <c r="U561" i="4"/>
  <c r="T561" i="4"/>
  <c r="U560" i="4"/>
  <c r="T560" i="4"/>
  <c r="U559" i="4"/>
  <c r="T559" i="4"/>
  <c r="U558" i="4"/>
  <c r="T558" i="4"/>
  <c r="U557" i="4"/>
  <c r="T557" i="4"/>
  <c r="U556" i="4"/>
  <c r="T556" i="4"/>
  <c r="U555" i="4"/>
  <c r="T555" i="4"/>
  <c r="U554" i="4"/>
  <c r="T554" i="4"/>
  <c r="U553" i="4"/>
  <c r="T553" i="4"/>
  <c r="U552" i="4"/>
  <c r="T552" i="4"/>
  <c r="U551" i="4"/>
  <c r="T551" i="4"/>
  <c r="U550" i="4"/>
  <c r="T550" i="4"/>
  <c r="U549" i="4"/>
  <c r="T549" i="4"/>
  <c r="U548" i="4"/>
  <c r="T548" i="4"/>
  <c r="U547" i="4"/>
  <c r="T547" i="4"/>
  <c r="U546" i="4"/>
  <c r="T546" i="4"/>
  <c r="U545" i="4"/>
  <c r="T545" i="4"/>
  <c r="U544" i="4"/>
  <c r="T544" i="4"/>
  <c r="U543" i="4"/>
  <c r="T543" i="4"/>
  <c r="U542" i="4"/>
  <c r="T542" i="4"/>
  <c r="U541" i="4"/>
  <c r="T541" i="4"/>
  <c r="U540" i="4"/>
  <c r="T540" i="4"/>
  <c r="U539" i="4"/>
  <c r="T539" i="4"/>
  <c r="U538" i="4"/>
  <c r="T538" i="4"/>
  <c r="U537" i="4"/>
  <c r="T537" i="4"/>
  <c r="U536" i="4"/>
  <c r="T536" i="4"/>
  <c r="U535" i="4"/>
  <c r="T535" i="4"/>
  <c r="U534" i="4"/>
  <c r="T534" i="4"/>
  <c r="U533" i="4"/>
  <c r="T533" i="4"/>
  <c r="U532" i="4"/>
  <c r="T532" i="4"/>
  <c r="U531" i="4"/>
  <c r="T531" i="4"/>
  <c r="U530" i="4"/>
  <c r="T530" i="4"/>
  <c r="U529" i="4"/>
  <c r="T529" i="4"/>
  <c r="U528" i="4"/>
  <c r="T528" i="4"/>
  <c r="U527" i="4"/>
  <c r="T527" i="4"/>
  <c r="U526" i="4"/>
  <c r="T526" i="4"/>
  <c r="U525" i="4"/>
  <c r="T525" i="4"/>
  <c r="U524" i="4"/>
  <c r="T524" i="4"/>
  <c r="U523" i="4"/>
  <c r="T523" i="4"/>
  <c r="U522" i="4"/>
  <c r="T522" i="4"/>
  <c r="U521" i="4"/>
  <c r="T521" i="4"/>
  <c r="U520" i="4"/>
  <c r="T520" i="4"/>
  <c r="U519" i="4"/>
  <c r="T519" i="4"/>
  <c r="U517" i="4"/>
  <c r="T517" i="4"/>
  <c r="U516" i="4"/>
  <c r="T516" i="4"/>
  <c r="U515" i="4"/>
  <c r="T515" i="4"/>
  <c r="U514" i="4"/>
  <c r="T514" i="4"/>
  <c r="U513" i="4"/>
  <c r="T513" i="4"/>
  <c r="U512" i="4"/>
  <c r="T512" i="4"/>
  <c r="U510" i="4"/>
  <c r="T510" i="4"/>
  <c r="U509" i="4"/>
  <c r="T509" i="4"/>
  <c r="U508" i="4"/>
  <c r="T508" i="4"/>
  <c r="U507" i="4"/>
  <c r="T507" i="4"/>
  <c r="U506" i="4"/>
  <c r="T506" i="4"/>
  <c r="U505" i="4"/>
  <c r="T505" i="4"/>
  <c r="U504" i="4"/>
  <c r="T504" i="4"/>
  <c r="U502" i="4"/>
  <c r="T502" i="4"/>
  <c r="U501" i="4"/>
  <c r="T501" i="4"/>
  <c r="U500" i="4"/>
  <c r="T500" i="4"/>
  <c r="U496" i="4"/>
  <c r="T496" i="4"/>
  <c r="U495" i="4"/>
  <c r="T495" i="4"/>
  <c r="U494" i="4"/>
  <c r="T494" i="4"/>
  <c r="U493" i="4"/>
  <c r="T493" i="4"/>
  <c r="U492" i="4"/>
  <c r="T492" i="4"/>
  <c r="U491" i="4"/>
  <c r="T491" i="4"/>
  <c r="U490" i="4"/>
  <c r="T490" i="4"/>
  <c r="U489" i="4"/>
  <c r="T489" i="4"/>
  <c r="U487" i="4"/>
  <c r="T487" i="4"/>
  <c r="U486" i="4"/>
  <c r="T486" i="4"/>
  <c r="U485" i="4"/>
  <c r="T485" i="4"/>
  <c r="U484" i="4"/>
  <c r="T484" i="4"/>
  <c r="U483" i="4"/>
  <c r="T483" i="4"/>
  <c r="U482" i="4"/>
  <c r="T482" i="4"/>
  <c r="U480" i="4"/>
  <c r="T480" i="4"/>
  <c r="U479" i="4"/>
  <c r="T479" i="4"/>
  <c r="U477" i="4"/>
  <c r="T477" i="4"/>
  <c r="U476" i="4"/>
  <c r="T476" i="4"/>
  <c r="U475" i="4"/>
  <c r="T475" i="4"/>
  <c r="U474" i="4"/>
  <c r="T474" i="4"/>
  <c r="U473" i="4"/>
  <c r="T473" i="4"/>
  <c r="U472" i="4"/>
  <c r="T472" i="4"/>
  <c r="U471" i="4"/>
  <c r="T471" i="4"/>
  <c r="U470" i="4"/>
  <c r="T470" i="4"/>
  <c r="U469" i="4"/>
  <c r="T469" i="4"/>
  <c r="U468" i="4"/>
  <c r="T468" i="4"/>
  <c r="U467" i="4"/>
  <c r="T467" i="4"/>
  <c r="U466" i="4"/>
  <c r="T466" i="4"/>
  <c r="U465" i="4"/>
  <c r="T465" i="4"/>
  <c r="U464" i="4"/>
  <c r="T464" i="4"/>
  <c r="U463" i="4"/>
  <c r="T463" i="4"/>
  <c r="U462" i="4"/>
  <c r="T462" i="4"/>
  <c r="U461" i="4"/>
  <c r="T461" i="4"/>
  <c r="U460" i="4"/>
  <c r="T460" i="4"/>
  <c r="U459" i="4"/>
  <c r="T459" i="4"/>
  <c r="U458" i="4"/>
  <c r="T458" i="4"/>
  <c r="U457" i="4"/>
  <c r="T457" i="4"/>
  <c r="U456" i="4"/>
  <c r="T456" i="4"/>
  <c r="U455" i="4"/>
  <c r="T455" i="4"/>
  <c r="U454" i="4"/>
  <c r="T454" i="4"/>
  <c r="U453" i="4"/>
  <c r="T453" i="4"/>
  <c r="U451" i="4"/>
  <c r="T451" i="4"/>
  <c r="U450" i="4"/>
  <c r="T450" i="4"/>
  <c r="U449" i="4"/>
  <c r="T449" i="4"/>
  <c r="U448" i="4"/>
  <c r="T448" i="4"/>
  <c r="U447" i="4"/>
  <c r="T447" i="4"/>
  <c r="U446" i="4"/>
  <c r="T446" i="4"/>
  <c r="U444" i="4"/>
  <c r="T444" i="4"/>
  <c r="U443" i="4"/>
  <c r="T443" i="4"/>
  <c r="U442" i="4"/>
  <c r="T442" i="4"/>
  <c r="U440" i="4"/>
  <c r="T440" i="4"/>
  <c r="U439" i="4"/>
  <c r="T439" i="4"/>
  <c r="U438" i="4"/>
  <c r="T438" i="4"/>
  <c r="U437" i="4"/>
  <c r="T437" i="4"/>
  <c r="U436" i="4"/>
  <c r="T436" i="4"/>
  <c r="U435" i="4"/>
  <c r="T435" i="4"/>
  <c r="U434" i="4"/>
  <c r="T434" i="4"/>
  <c r="U433" i="4"/>
  <c r="T433" i="4"/>
  <c r="U432" i="4"/>
  <c r="T432" i="4"/>
  <c r="U431" i="4"/>
  <c r="T431" i="4"/>
  <c r="U430" i="4"/>
  <c r="T430" i="4"/>
  <c r="U429" i="4"/>
  <c r="T429" i="4"/>
  <c r="U428" i="4"/>
  <c r="T428" i="4"/>
  <c r="U426" i="4"/>
  <c r="T426" i="4"/>
  <c r="U425" i="4"/>
  <c r="T425" i="4"/>
  <c r="U424" i="4"/>
  <c r="T424" i="4"/>
  <c r="U423" i="4"/>
  <c r="T423" i="4"/>
  <c r="U422" i="4"/>
  <c r="T422" i="4"/>
  <c r="U421" i="4"/>
  <c r="T421" i="4"/>
  <c r="U420" i="4"/>
  <c r="T420" i="4"/>
  <c r="U419" i="4"/>
  <c r="T419" i="4"/>
  <c r="U417" i="4"/>
  <c r="T417" i="4"/>
  <c r="U416" i="4"/>
  <c r="T416" i="4"/>
  <c r="U415" i="4"/>
  <c r="T415" i="4"/>
  <c r="U414" i="4"/>
  <c r="T414" i="4"/>
  <c r="U412" i="4"/>
  <c r="T412" i="4"/>
  <c r="U411" i="4"/>
  <c r="T411" i="4"/>
  <c r="U409" i="4"/>
  <c r="T409" i="4"/>
  <c r="U408" i="4"/>
  <c r="T408" i="4"/>
  <c r="U407" i="4"/>
  <c r="T407" i="4"/>
  <c r="U406" i="4"/>
  <c r="T406" i="4"/>
  <c r="U405" i="4"/>
  <c r="T405" i="4"/>
  <c r="U404" i="4"/>
  <c r="T404" i="4"/>
  <c r="U403" i="4"/>
  <c r="T403" i="4"/>
  <c r="U402" i="4"/>
  <c r="T402" i="4"/>
  <c r="U401" i="4"/>
  <c r="T401" i="4"/>
  <c r="U400" i="4"/>
  <c r="T400" i="4"/>
  <c r="U399" i="4"/>
  <c r="T399" i="4"/>
  <c r="U398" i="4"/>
  <c r="T398" i="4"/>
  <c r="U396" i="4"/>
  <c r="T396" i="4"/>
  <c r="U395" i="4"/>
  <c r="T395" i="4"/>
  <c r="U394" i="4"/>
  <c r="T394" i="4"/>
  <c r="U393" i="4"/>
  <c r="T393" i="4"/>
  <c r="U392" i="4"/>
  <c r="T392" i="4"/>
  <c r="U391" i="4"/>
  <c r="T391" i="4"/>
  <c r="U389" i="4"/>
  <c r="T389" i="4"/>
  <c r="U388" i="4"/>
  <c r="T388" i="4"/>
  <c r="U387" i="4"/>
  <c r="T387" i="4"/>
  <c r="U386" i="4"/>
  <c r="T386" i="4"/>
  <c r="U385" i="4"/>
  <c r="T385" i="4"/>
  <c r="U384" i="4"/>
  <c r="T384" i="4"/>
  <c r="U383" i="4"/>
  <c r="T383" i="4"/>
  <c r="U382" i="4"/>
  <c r="T382" i="4"/>
  <c r="U381" i="4"/>
  <c r="T381" i="4"/>
  <c r="U380" i="4"/>
  <c r="T380" i="4"/>
  <c r="U379" i="4"/>
  <c r="T379" i="4"/>
  <c r="U378" i="4"/>
  <c r="T378" i="4"/>
  <c r="U377" i="4"/>
  <c r="T377" i="4"/>
  <c r="U376" i="4"/>
  <c r="T376" i="4"/>
  <c r="U375" i="4"/>
  <c r="T375" i="4"/>
  <c r="U374" i="4"/>
  <c r="T374" i="4"/>
  <c r="U373" i="4"/>
  <c r="T373" i="4"/>
  <c r="U371" i="4"/>
  <c r="T371" i="4"/>
  <c r="U369" i="4"/>
  <c r="T369" i="4"/>
  <c r="U367" i="4"/>
  <c r="T367" i="4"/>
  <c r="U366" i="4"/>
  <c r="T366" i="4"/>
  <c r="U365" i="4"/>
  <c r="T365" i="4"/>
  <c r="U363" i="4"/>
  <c r="T363" i="4"/>
  <c r="U362" i="4"/>
  <c r="T362" i="4"/>
  <c r="U361" i="4"/>
  <c r="T361" i="4"/>
  <c r="U360" i="4"/>
  <c r="T360" i="4"/>
  <c r="U359" i="4"/>
  <c r="T359" i="4"/>
  <c r="U358" i="4"/>
  <c r="T358" i="4"/>
  <c r="U356" i="4"/>
  <c r="T356" i="4"/>
  <c r="U355" i="4"/>
  <c r="T355" i="4"/>
  <c r="U354" i="4"/>
  <c r="T354" i="4"/>
  <c r="U353" i="4"/>
  <c r="T353" i="4"/>
  <c r="U352" i="4"/>
  <c r="T352" i="4"/>
  <c r="U351" i="4"/>
  <c r="T351" i="4"/>
  <c r="U350" i="4"/>
  <c r="T350" i="4"/>
  <c r="U349" i="4"/>
  <c r="T349" i="4"/>
  <c r="U348" i="4"/>
  <c r="T348" i="4"/>
  <c r="U346" i="4"/>
  <c r="T346" i="4"/>
  <c r="U345" i="4"/>
  <c r="T345" i="4"/>
  <c r="U344" i="4"/>
  <c r="T344" i="4"/>
  <c r="U342" i="4"/>
  <c r="T342" i="4"/>
  <c r="U341" i="4"/>
  <c r="T341" i="4"/>
  <c r="U340" i="4"/>
  <c r="T340" i="4"/>
  <c r="U339" i="4"/>
  <c r="T339" i="4"/>
  <c r="U338" i="4"/>
  <c r="T338" i="4"/>
  <c r="U337" i="4"/>
  <c r="T337" i="4"/>
  <c r="U336" i="4"/>
  <c r="T336" i="4"/>
  <c r="U335" i="4"/>
  <c r="T335" i="4"/>
  <c r="U334" i="4"/>
  <c r="T334" i="4"/>
  <c r="U333" i="4"/>
  <c r="T333" i="4"/>
  <c r="U332" i="4"/>
  <c r="T332" i="4"/>
  <c r="U331" i="4"/>
  <c r="T331" i="4"/>
  <c r="U330" i="4"/>
  <c r="T330" i="4"/>
  <c r="U329" i="4"/>
  <c r="T329" i="4"/>
  <c r="U328" i="4"/>
  <c r="T328" i="4"/>
  <c r="U327" i="4"/>
  <c r="T327" i="4"/>
  <c r="U326" i="4"/>
  <c r="T326" i="4"/>
  <c r="U325" i="4"/>
  <c r="T325" i="4"/>
  <c r="U324" i="4"/>
  <c r="T324" i="4"/>
  <c r="U323" i="4"/>
  <c r="T323" i="4"/>
  <c r="U322" i="4"/>
  <c r="T322" i="4"/>
  <c r="U321" i="4"/>
  <c r="T321" i="4"/>
  <c r="U320" i="4"/>
  <c r="T320" i="4"/>
  <c r="U319" i="4"/>
  <c r="T319" i="4"/>
  <c r="U318" i="4"/>
  <c r="T318" i="4"/>
  <c r="U317" i="4"/>
  <c r="T317" i="4"/>
  <c r="U316" i="4"/>
  <c r="T316" i="4"/>
  <c r="U314" i="4"/>
  <c r="T314" i="4"/>
  <c r="U313" i="4"/>
  <c r="T313" i="4"/>
  <c r="U311" i="4"/>
  <c r="T311" i="4"/>
  <c r="U309" i="4"/>
  <c r="T309" i="4"/>
  <c r="U308" i="4"/>
  <c r="T308" i="4"/>
  <c r="U307" i="4"/>
  <c r="T307" i="4"/>
  <c r="U306" i="4"/>
  <c r="T306" i="4"/>
  <c r="U304" i="4"/>
  <c r="T304" i="4"/>
  <c r="U303" i="4"/>
  <c r="T303" i="4"/>
  <c r="U302" i="4"/>
  <c r="T302" i="4"/>
  <c r="U301" i="4"/>
  <c r="T301" i="4"/>
  <c r="U300" i="4"/>
  <c r="T300" i="4"/>
  <c r="U299" i="4"/>
  <c r="T299" i="4"/>
  <c r="U298" i="4"/>
  <c r="T298" i="4"/>
  <c r="U297" i="4"/>
  <c r="T297" i="4"/>
  <c r="U296" i="4"/>
  <c r="T296" i="4"/>
  <c r="U295" i="4"/>
  <c r="T295" i="4"/>
  <c r="U294" i="4"/>
  <c r="T294" i="4"/>
  <c r="U293" i="4"/>
  <c r="T293" i="4"/>
  <c r="U292" i="4"/>
  <c r="T292" i="4"/>
  <c r="U291" i="4"/>
  <c r="T291" i="4"/>
  <c r="U290" i="4"/>
  <c r="T290" i="4"/>
  <c r="U289" i="4"/>
  <c r="T289" i="4"/>
  <c r="U288" i="4"/>
  <c r="T288" i="4"/>
  <c r="U287" i="4"/>
  <c r="T287" i="4"/>
  <c r="U286" i="4"/>
  <c r="T286" i="4"/>
  <c r="U285" i="4"/>
  <c r="T285" i="4"/>
  <c r="U284" i="4"/>
  <c r="T284" i="4"/>
  <c r="U283" i="4"/>
  <c r="T283" i="4"/>
  <c r="U282" i="4"/>
  <c r="T282" i="4"/>
  <c r="U281" i="4"/>
  <c r="T281" i="4"/>
  <c r="U280" i="4"/>
  <c r="T280" i="4"/>
  <c r="U277" i="4"/>
  <c r="T277" i="4"/>
  <c r="U276" i="4"/>
  <c r="T276" i="4"/>
  <c r="U275" i="4"/>
  <c r="T275" i="4"/>
  <c r="U274" i="4"/>
  <c r="T274" i="4"/>
  <c r="U273" i="4"/>
  <c r="T273" i="4"/>
  <c r="U272" i="4"/>
  <c r="T272" i="4"/>
  <c r="U271" i="4"/>
  <c r="T271" i="4"/>
  <c r="U270" i="4"/>
  <c r="T270" i="4"/>
  <c r="U269" i="4"/>
  <c r="T269" i="4"/>
  <c r="U267" i="4"/>
  <c r="T267" i="4"/>
  <c r="U266" i="4"/>
  <c r="T266" i="4"/>
  <c r="U265" i="4"/>
  <c r="T265" i="4"/>
  <c r="U264" i="4"/>
  <c r="T264" i="4"/>
  <c r="U263" i="4"/>
  <c r="T263" i="4"/>
  <c r="U262" i="4"/>
  <c r="T262" i="4"/>
  <c r="U261" i="4"/>
  <c r="T261" i="4"/>
  <c r="U258" i="4"/>
  <c r="T258" i="4"/>
  <c r="U257" i="4"/>
  <c r="T257" i="4"/>
  <c r="U256" i="4"/>
  <c r="T256" i="4"/>
  <c r="U255" i="4"/>
  <c r="T255" i="4"/>
  <c r="U254" i="4"/>
  <c r="T254" i="4"/>
  <c r="U252" i="4"/>
  <c r="T252" i="4"/>
  <c r="U251" i="4"/>
  <c r="T251" i="4"/>
  <c r="U249" i="4"/>
  <c r="T249" i="4"/>
  <c r="U248" i="4"/>
  <c r="T248" i="4"/>
  <c r="U247" i="4"/>
  <c r="T247" i="4"/>
  <c r="U246" i="4"/>
  <c r="T246" i="4"/>
  <c r="U245" i="4"/>
  <c r="T245" i="4"/>
  <c r="U244" i="4"/>
  <c r="T244" i="4"/>
  <c r="U243" i="4"/>
  <c r="T243" i="4"/>
  <c r="U242" i="4"/>
  <c r="T242" i="4"/>
  <c r="U241" i="4"/>
  <c r="T241" i="4"/>
  <c r="U240" i="4"/>
  <c r="T240" i="4"/>
  <c r="U239" i="4"/>
  <c r="T239" i="4"/>
  <c r="U238" i="4"/>
  <c r="T238" i="4"/>
  <c r="U237" i="4"/>
  <c r="T237" i="4"/>
  <c r="U236" i="4"/>
  <c r="T236" i="4"/>
  <c r="U235" i="4"/>
  <c r="T235" i="4"/>
  <c r="U234" i="4"/>
  <c r="T234" i="4"/>
  <c r="U233" i="4"/>
  <c r="T233" i="4"/>
  <c r="U232" i="4"/>
  <c r="T232" i="4"/>
  <c r="U230" i="4"/>
  <c r="T230" i="4"/>
  <c r="U229" i="4"/>
  <c r="T229" i="4"/>
  <c r="U228" i="4"/>
  <c r="T228" i="4"/>
  <c r="U227" i="4"/>
  <c r="T227" i="4"/>
  <c r="U226" i="4"/>
  <c r="T226" i="4"/>
  <c r="U225" i="4"/>
  <c r="T225" i="4"/>
  <c r="U224" i="4"/>
  <c r="T224" i="4"/>
  <c r="U223" i="4"/>
  <c r="T223" i="4"/>
  <c r="U222" i="4"/>
  <c r="T222" i="4"/>
  <c r="U221" i="4"/>
  <c r="T221" i="4"/>
  <c r="U220" i="4"/>
  <c r="T220" i="4"/>
  <c r="U219" i="4"/>
  <c r="T219" i="4"/>
  <c r="U218" i="4"/>
  <c r="T218" i="4"/>
  <c r="U217" i="4"/>
  <c r="T217" i="4"/>
  <c r="U216" i="4"/>
  <c r="T216" i="4"/>
  <c r="U215" i="4"/>
  <c r="T215" i="4"/>
  <c r="U213" i="4"/>
  <c r="T213" i="4"/>
  <c r="U212" i="4"/>
  <c r="T212" i="4"/>
  <c r="U211" i="4"/>
  <c r="T211" i="4"/>
  <c r="U210" i="4"/>
  <c r="T210" i="4"/>
  <c r="U209" i="4"/>
  <c r="T209" i="4"/>
  <c r="U208" i="4"/>
  <c r="T208" i="4"/>
  <c r="U206" i="4"/>
  <c r="T206" i="4"/>
  <c r="U205" i="4"/>
  <c r="T205" i="4"/>
  <c r="U204" i="4"/>
  <c r="T204" i="4"/>
  <c r="U203" i="4"/>
  <c r="T203" i="4"/>
  <c r="U202" i="4"/>
  <c r="T202" i="4"/>
  <c r="U201" i="4"/>
  <c r="T201" i="4"/>
  <c r="U200" i="4"/>
  <c r="T200" i="4"/>
  <c r="U199" i="4"/>
  <c r="T199" i="4"/>
  <c r="U198" i="4"/>
  <c r="T198" i="4"/>
  <c r="U197" i="4"/>
  <c r="T197" i="4"/>
  <c r="U195" i="4"/>
  <c r="T195" i="4"/>
  <c r="U194" i="4"/>
  <c r="T194" i="4"/>
  <c r="U193" i="4"/>
  <c r="T193" i="4"/>
  <c r="U192" i="4"/>
  <c r="T192" i="4"/>
  <c r="U191" i="4"/>
  <c r="T191" i="4"/>
  <c r="U190" i="4"/>
  <c r="T190" i="4"/>
  <c r="U189" i="4"/>
  <c r="T189" i="4"/>
  <c r="U188" i="4"/>
  <c r="T188" i="4"/>
  <c r="U187" i="4"/>
  <c r="T187" i="4"/>
  <c r="U185" i="4"/>
  <c r="T185" i="4"/>
  <c r="U183" i="4"/>
  <c r="T183" i="4"/>
  <c r="U181" i="4"/>
  <c r="T181" i="4"/>
  <c r="U180" i="4"/>
  <c r="T180" i="4"/>
  <c r="U179" i="4"/>
  <c r="T179" i="4"/>
  <c r="U178" i="4"/>
  <c r="T178" i="4"/>
  <c r="U177" i="4"/>
  <c r="T177" i="4"/>
  <c r="U176" i="4"/>
  <c r="T176" i="4"/>
  <c r="U175" i="4"/>
  <c r="T175" i="4"/>
  <c r="U174" i="4"/>
  <c r="T174" i="4"/>
  <c r="U172" i="4"/>
  <c r="T172" i="4"/>
  <c r="U171" i="4"/>
  <c r="T171" i="4"/>
  <c r="U170" i="4"/>
  <c r="T170" i="4"/>
  <c r="U169" i="4"/>
  <c r="T169" i="4"/>
  <c r="U168" i="4"/>
  <c r="T168" i="4"/>
  <c r="U167" i="4"/>
  <c r="T167" i="4"/>
  <c r="U164" i="4"/>
  <c r="T164" i="4"/>
  <c r="U163" i="4"/>
  <c r="T163" i="4"/>
  <c r="U162" i="4"/>
  <c r="T162" i="4"/>
  <c r="U161" i="4"/>
  <c r="T161" i="4"/>
  <c r="U160" i="4"/>
  <c r="T160" i="4"/>
  <c r="U159" i="4"/>
  <c r="T159" i="4"/>
  <c r="U158" i="4"/>
  <c r="T158" i="4"/>
  <c r="U157" i="4"/>
  <c r="T157" i="4"/>
  <c r="U156" i="4"/>
  <c r="T156" i="4"/>
  <c r="U155" i="4"/>
  <c r="T155" i="4"/>
  <c r="U154" i="4"/>
  <c r="T154" i="4"/>
  <c r="U153" i="4"/>
  <c r="T153" i="4"/>
  <c r="U152" i="4"/>
  <c r="T152" i="4"/>
  <c r="U151" i="4"/>
  <c r="T151" i="4"/>
  <c r="U150" i="4"/>
  <c r="T150" i="4"/>
  <c r="U149" i="4"/>
  <c r="T149" i="4"/>
  <c r="U148" i="4"/>
  <c r="T148" i="4"/>
  <c r="U147" i="4"/>
  <c r="T147" i="4"/>
  <c r="U146" i="4"/>
  <c r="T146" i="4"/>
  <c r="U145" i="4"/>
  <c r="T145" i="4"/>
  <c r="U144" i="4"/>
  <c r="T144" i="4"/>
  <c r="U143" i="4"/>
  <c r="T143" i="4"/>
  <c r="U142" i="4"/>
  <c r="T142" i="4"/>
  <c r="U141" i="4"/>
  <c r="T141" i="4"/>
  <c r="U140" i="4"/>
  <c r="T140" i="4"/>
  <c r="U139" i="4"/>
  <c r="T139" i="4"/>
  <c r="U138" i="4"/>
  <c r="T138" i="4"/>
  <c r="U137" i="4"/>
  <c r="T137" i="4"/>
  <c r="U136" i="4"/>
  <c r="T136" i="4"/>
  <c r="U135" i="4"/>
  <c r="T135" i="4"/>
  <c r="U134" i="4"/>
  <c r="T134" i="4"/>
  <c r="U133" i="4"/>
  <c r="T133" i="4"/>
  <c r="U132" i="4"/>
  <c r="T132" i="4"/>
  <c r="U131" i="4"/>
  <c r="T131" i="4"/>
  <c r="U130" i="4"/>
  <c r="T130" i="4"/>
  <c r="U129" i="4"/>
  <c r="T129" i="4"/>
  <c r="U128" i="4"/>
  <c r="T128" i="4"/>
  <c r="U127" i="4"/>
  <c r="T127" i="4"/>
  <c r="U126" i="4"/>
  <c r="T126" i="4"/>
  <c r="U125" i="4"/>
  <c r="T125" i="4"/>
  <c r="U124" i="4"/>
  <c r="T124" i="4"/>
  <c r="U123" i="4"/>
  <c r="T123" i="4"/>
  <c r="U122" i="4"/>
  <c r="T122" i="4"/>
  <c r="U121" i="4"/>
  <c r="T121" i="4"/>
  <c r="U120" i="4"/>
  <c r="T120" i="4"/>
  <c r="U119" i="4"/>
  <c r="T119" i="4"/>
  <c r="U118" i="4"/>
  <c r="T118" i="4"/>
  <c r="U117" i="4"/>
  <c r="T117" i="4"/>
  <c r="U116" i="4"/>
  <c r="T116" i="4"/>
  <c r="U115" i="4"/>
  <c r="T115" i="4"/>
  <c r="U114" i="4"/>
  <c r="T114" i="4"/>
  <c r="U113" i="4"/>
  <c r="T113" i="4"/>
  <c r="U112" i="4"/>
  <c r="T112" i="4"/>
  <c r="U111" i="4"/>
  <c r="T111" i="4"/>
  <c r="U110" i="4"/>
  <c r="T110" i="4"/>
  <c r="U109" i="4"/>
  <c r="T109" i="4"/>
  <c r="U108" i="4"/>
  <c r="T108" i="4"/>
  <c r="U107" i="4"/>
  <c r="T107" i="4"/>
  <c r="U106" i="4"/>
  <c r="T106" i="4"/>
  <c r="U105" i="4"/>
  <c r="T105" i="4"/>
  <c r="U104" i="4"/>
  <c r="T104" i="4"/>
  <c r="U103" i="4"/>
  <c r="T103" i="4"/>
  <c r="U102" i="4"/>
  <c r="T102" i="4"/>
  <c r="U101" i="4"/>
  <c r="T101" i="4"/>
  <c r="U100" i="4"/>
  <c r="T100" i="4"/>
  <c r="U99" i="4"/>
  <c r="T99" i="4"/>
  <c r="U98" i="4"/>
  <c r="T98" i="4"/>
  <c r="U97" i="4"/>
  <c r="T97" i="4"/>
  <c r="U96" i="4"/>
  <c r="T96" i="4"/>
  <c r="U95" i="4"/>
  <c r="T95" i="4"/>
  <c r="U94" i="4"/>
  <c r="T94" i="4"/>
  <c r="U93" i="4"/>
  <c r="T93" i="4"/>
  <c r="U92" i="4"/>
  <c r="T92" i="4"/>
  <c r="U91" i="4"/>
  <c r="T91" i="4"/>
  <c r="U89" i="4"/>
  <c r="T89" i="4"/>
  <c r="U88" i="4"/>
  <c r="T88" i="4"/>
  <c r="U87" i="4"/>
  <c r="T87" i="4"/>
  <c r="U86" i="4"/>
  <c r="T86" i="4"/>
  <c r="U85" i="4"/>
  <c r="T85" i="4"/>
  <c r="U84" i="4"/>
  <c r="T84" i="4"/>
  <c r="U83" i="4"/>
  <c r="T83" i="4"/>
  <c r="U82" i="4"/>
  <c r="T82" i="4"/>
  <c r="U81" i="4"/>
  <c r="T81" i="4"/>
  <c r="U80" i="4"/>
  <c r="T80" i="4"/>
  <c r="U79" i="4"/>
  <c r="T79" i="4"/>
  <c r="U78" i="4"/>
  <c r="T78" i="4"/>
  <c r="U77" i="4"/>
  <c r="T77" i="4"/>
  <c r="U76" i="4"/>
  <c r="T76" i="4"/>
  <c r="U75" i="4"/>
  <c r="T75" i="4"/>
  <c r="U73" i="4"/>
  <c r="T73" i="4"/>
  <c r="U72" i="4"/>
  <c r="T72" i="4"/>
  <c r="U71" i="4"/>
  <c r="T71" i="4"/>
  <c r="U70" i="4"/>
  <c r="T70" i="4"/>
  <c r="U69" i="4"/>
  <c r="T69" i="4"/>
  <c r="U68" i="4"/>
  <c r="T68" i="4"/>
  <c r="U67" i="4"/>
  <c r="T67" i="4"/>
  <c r="U66" i="4"/>
  <c r="T66" i="4"/>
  <c r="U64" i="4"/>
  <c r="T64" i="4"/>
  <c r="U63" i="4"/>
  <c r="T63" i="4"/>
  <c r="U62" i="4"/>
  <c r="T62" i="4"/>
  <c r="U60" i="4"/>
  <c r="T60" i="4"/>
  <c r="U59" i="4"/>
  <c r="T59" i="4"/>
  <c r="U58" i="4"/>
  <c r="T58" i="4"/>
  <c r="U57" i="4"/>
  <c r="T57" i="4"/>
  <c r="U56" i="4"/>
  <c r="T56" i="4"/>
  <c r="U55" i="4"/>
  <c r="T55" i="4"/>
  <c r="U54" i="4"/>
  <c r="T54" i="4"/>
  <c r="U53" i="4"/>
  <c r="T53" i="4"/>
  <c r="U52" i="4"/>
  <c r="T52" i="4"/>
  <c r="U49" i="4"/>
  <c r="T49" i="4"/>
  <c r="U48" i="4"/>
  <c r="T48" i="4"/>
  <c r="U47" i="4"/>
  <c r="T47" i="4"/>
  <c r="U46" i="4"/>
  <c r="T46" i="4"/>
  <c r="U45" i="4"/>
  <c r="T45" i="4"/>
  <c r="U44" i="4"/>
  <c r="T44" i="4"/>
  <c r="U43" i="4"/>
  <c r="T43" i="4"/>
  <c r="U42" i="4"/>
  <c r="T42" i="4"/>
  <c r="U41" i="4"/>
  <c r="T41" i="4"/>
  <c r="U40" i="4"/>
  <c r="T40" i="4"/>
  <c r="U39" i="4"/>
  <c r="T39" i="4"/>
  <c r="U37" i="4"/>
  <c r="T37" i="4"/>
  <c r="U36" i="4"/>
  <c r="T36" i="4"/>
  <c r="U34" i="4"/>
  <c r="T34" i="4"/>
  <c r="U33" i="4"/>
  <c r="T33" i="4"/>
  <c r="U32" i="4"/>
  <c r="T32" i="4"/>
  <c r="U31" i="4"/>
  <c r="T31" i="4"/>
  <c r="U30" i="4"/>
  <c r="T30" i="4"/>
  <c r="U29" i="4"/>
  <c r="T29" i="4"/>
  <c r="U28" i="4"/>
  <c r="T28" i="4"/>
  <c r="U27" i="4"/>
  <c r="T27" i="4"/>
  <c r="U26" i="4"/>
  <c r="T26" i="4"/>
  <c r="U25" i="4"/>
  <c r="T25" i="4"/>
  <c r="U24" i="4"/>
  <c r="T24" i="4"/>
  <c r="U23" i="4"/>
  <c r="T23" i="4"/>
  <c r="U22" i="4"/>
  <c r="T22" i="4"/>
  <c r="U21" i="4"/>
  <c r="T21" i="4"/>
  <c r="U20" i="4"/>
  <c r="T20" i="4"/>
  <c r="U19" i="4"/>
  <c r="T19" i="4"/>
  <c r="U18" i="4"/>
  <c r="T18" i="4"/>
  <c r="U17" i="4"/>
  <c r="T17" i="4"/>
  <c r="U15" i="4"/>
  <c r="T15" i="4"/>
  <c r="U14" i="4"/>
  <c r="T14" i="4"/>
  <c r="U13" i="4"/>
  <c r="T13" i="4"/>
  <c r="U11" i="4"/>
  <c r="T11" i="4"/>
  <c r="U10" i="4"/>
  <c r="T10" i="4"/>
  <c r="U9" i="4"/>
  <c r="T9" i="4"/>
  <c r="U8" i="4"/>
  <c r="T8" i="4"/>
  <c r="U6" i="4"/>
  <c r="T6" i="4"/>
  <c r="U5" i="4"/>
  <c r="T5" i="4"/>
  <c r="U4" i="4"/>
  <c r="T4" i="4"/>
  <c r="U3" i="4"/>
  <c r="T3" i="4"/>
  <c r="U2" i="4"/>
  <c r="T2" i="4"/>
  <c r="F596" i="10" l="1"/>
  <c r="F555" i="10"/>
  <c r="F594" i="10"/>
  <c r="F582" i="10"/>
  <c r="F590" i="10"/>
  <c r="F560" i="10"/>
  <c r="F576" i="10"/>
  <c r="F565" i="10"/>
  <c r="F577" i="10"/>
  <c r="D572" i="10"/>
  <c r="F598" i="10"/>
  <c r="F588" i="10"/>
  <c r="F595" i="10"/>
  <c r="F570" i="10"/>
  <c r="F571" i="10"/>
  <c r="F589" i="10"/>
  <c r="F597" i="10"/>
  <c r="F583" i="10"/>
  <c r="E572" i="10"/>
  <c r="F566" i="10" l="1"/>
  <c r="F584" i="10"/>
  <c r="F572" i="10"/>
  <c r="F578" i="10"/>
  <c r="S445" i="4" l="1"/>
  <c r="S1288" i="4"/>
  <c r="S740" i="4"/>
  <c r="S3937" i="4"/>
  <c r="S3906" i="4"/>
  <c r="S3903" i="4"/>
  <c r="S3897" i="4"/>
  <c r="S3886" i="4"/>
  <c r="S3857" i="4"/>
  <c r="S3854" i="4"/>
  <c r="S3846" i="4"/>
  <c r="S3816" i="4"/>
  <c r="S3807" i="4"/>
  <c r="S3779" i="4"/>
  <c r="S3765" i="4"/>
  <c r="S3763" i="4"/>
  <c r="S3746" i="4"/>
  <c r="S3723" i="4"/>
  <c r="S3721" i="4"/>
  <c r="S3704" i="4"/>
  <c r="S3676" i="4"/>
  <c r="S3662" i="4"/>
  <c r="S3658" i="4"/>
  <c r="S3656" i="4"/>
  <c r="S3646" i="4"/>
  <c r="S3643" i="4"/>
  <c r="S3642" i="4"/>
  <c r="S3612" i="4"/>
  <c r="S3609" i="4"/>
  <c r="S3601" i="4"/>
  <c r="S3587" i="4"/>
  <c r="S3579" i="4"/>
  <c r="S3569" i="4"/>
  <c r="S3562" i="4"/>
  <c r="S3560" i="4"/>
  <c r="S3555" i="4"/>
  <c r="S3554" i="4"/>
  <c r="S3538" i="4"/>
  <c r="S3527" i="4"/>
  <c r="S3514" i="4"/>
  <c r="S3510" i="4"/>
  <c r="S3502" i="4"/>
  <c r="S3437" i="4"/>
  <c r="S3425" i="4"/>
  <c r="S3423" i="4"/>
  <c r="S3419" i="4"/>
  <c r="S3418" i="4"/>
  <c r="S3410" i="4"/>
  <c r="S3400" i="4"/>
  <c r="S3388" i="4"/>
  <c r="S3383" i="4"/>
  <c r="S3380" i="4"/>
  <c r="S3379" i="4"/>
  <c r="S3378" i="4"/>
  <c r="S3377" i="4"/>
  <c r="S3373" i="4"/>
  <c r="S3365" i="4"/>
  <c r="S3361" i="4"/>
  <c r="S3358" i="4"/>
  <c r="S3351" i="4"/>
  <c r="S3327" i="4"/>
  <c r="S3317" i="4"/>
  <c r="S3312" i="4"/>
  <c r="S3309" i="4"/>
  <c r="S3274" i="4"/>
  <c r="S3269" i="4"/>
  <c r="S3259" i="4"/>
  <c r="S3247" i="4"/>
  <c r="S3245" i="4"/>
  <c r="S3227" i="4"/>
  <c r="S3221" i="4"/>
  <c r="S3218" i="4"/>
  <c r="S3204" i="4"/>
  <c r="S3196" i="4"/>
  <c r="S3195" i="4"/>
  <c r="S3192" i="4"/>
  <c r="S3165" i="4"/>
  <c r="S3162" i="4"/>
  <c r="S3155" i="4"/>
  <c r="S3149" i="4"/>
  <c r="S3142" i="4"/>
  <c r="S3139" i="4"/>
  <c r="S3116" i="4"/>
  <c r="S3112" i="4"/>
  <c r="E3953" i="4"/>
  <c r="E3952" i="4"/>
  <c r="S3104" i="4"/>
  <c r="S3094" i="4"/>
  <c r="S3088" i="4"/>
  <c r="S3074" i="4"/>
  <c r="S3053" i="4"/>
  <c r="S3045" i="4"/>
  <c r="S3041" i="4"/>
  <c r="S3009" i="4"/>
  <c r="S3002" i="4"/>
  <c r="S2997" i="4"/>
  <c r="S2980" i="4"/>
  <c r="S2958" i="4"/>
  <c r="S2947" i="4"/>
  <c r="S2944" i="4"/>
  <c r="S2938" i="4"/>
  <c r="S2928" i="4"/>
  <c r="S2919" i="4"/>
  <c r="S2912" i="4"/>
  <c r="S2867" i="4"/>
  <c r="S2866" i="4"/>
  <c r="S2856" i="4"/>
  <c r="S2851" i="4"/>
  <c r="S2848" i="4"/>
  <c r="S2824" i="4"/>
  <c r="S2789" i="4"/>
  <c r="S2769" i="4"/>
  <c r="S2768" i="4"/>
  <c r="S2763" i="4"/>
  <c r="S2738" i="4"/>
  <c r="S2734" i="4"/>
  <c r="S2730" i="4"/>
  <c r="S2725" i="4"/>
  <c r="S2721" i="4"/>
  <c r="S2716" i="4"/>
  <c r="S2709" i="4"/>
  <c r="S2688" i="4"/>
  <c r="S2672" i="4"/>
  <c r="S2650" i="4"/>
  <c r="S2640" i="4"/>
  <c r="S2624" i="4"/>
  <c r="S2616" i="4"/>
  <c r="S2614" i="4"/>
  <c r="S2587" i="4"/>
  <c r="S2582" i="4"/>
  <c r="S2572" i="4"/>
  <c r="S2570" i="4"/>
  <c r="S2563" i="4"/>
  <c r="S2550" i="4"/>
  <c r="S2545" i="4"/>
  <c r="S2541" i="4"/>
  <c r="S2518" i="4"/>
  <c r="S2492" i="4"/>
  <c r="S2489" i="4"/>
  <c r="S2456" i="4"/>
  <c r="S2441" i="4"/>
  <c r="S2432" i="4"/>
  <c r="S2412" i="4"/>
  <c r="S2408" i="4"/>
  <c r="S2406" i="4"/>
  <c r="S2392" i="4"/>
  <c r="S2378" i="4"/>
  <c r="S2362" i="4"/>
  <c r="S2359" i="4"/>
  <c r="S2314" i="4"/>
  <c r="S2300" i="4"/>
  <c r="S2297" i="4"/>
  <c r="S2295" i="4"/>
  <c r="S2294" i="4"/>
  <c r="S2281" i="4"/>
  <c r="S2260" i="4"/>
  <c r="S2234" i="4"/>
  <c r="S2219" i="4"/>
  <c r="S2218" i="4"/>
  <c r="S2212" i="4"/>
  <c r="S2170" i="4"/>
  <c r="S2167" i="4"/>
  <c r="S2161" i="4"/>
  <c r="S2156" i="4"/>
  <c r="S2151" i="4"/>
  <c r="S2150" i="4"/>
  <c r="S2149" i="4"/>
  <c r="S2138" i="4"/>
  <c r="S2113" i="4"/>
  <c r="S2099" i="4"/>
  <c r="S2088" i="4"/>
  <c r="S2080" i="4"/>
  <c r="S2074" i="4"/>
  <c r="S2048" i="4"/>
  <c r="S2046" i="4"/>
  <c r="S2022" i="4"/>
  <c r="S2019" i="4"/>
  <c r="S2016" i="4"/>
  <c r="S2014" i="4"/>
  <c r="S2011" i="4"/>
  <c r="S2008" i="4"/>
  <c r="S2007" i="4"/>
  <c r="S1979" i="4"/>
  <c r="S1960" i="4"/>
  <c r="S1946" i="4"/>
  <c r="S1941" i="4"/>
  <c r="S1914" i="4"/>
  <c r="S1911" i="4"/>
  <c r="S1905" i="4"/>
  <c r="S1900" i="4"/>
  <c r="S1891" i="4"/>
  <c r="S1886" i="4"/>
  <c r="S1821" i="4"/>
  <c r="S1816" i="4"/>
  <c r="S1813" i="4"/>
  <c r="S1792" i="4"/>
  <c r="S1775" i="4"/>
  <c r="S1773" i="4"/>
  <c r="S1756" i="4"/>
  <c r="S1744" i="4"/>
  <c r="S1737" i="4"/>
  <c r="S1729" i="4"/>
  <c r="S1727" i="4"/>
  <c r="S1704" i="4"/>
  <c r="S1690" i="4"/>
  <c r="S1685" i="4"/>
  <c r="S1663" i="4"/>
  <c r="S1654" i="4"/>
  <c r="S1648" i="4"/>
  <c r="S1644" i="4"/>
  <c r="S1643" i="4"/>
  <c r="S1640" i="4"/>
  <c r="S1639" i="4"/>
  <c r="S1626" i="4"/>
  <c r="S1624" i="4"/>
  <c r="S1615" i="4"/>
  <c r="S1614" i="4"/>
  <c r="S1596" i="4"/>
  <c r="S1592" i="4"/>
  <c r="S1591" i="4"/>
  <c r="S1549" i="4"/>
  <c r="S1544" i="4"/>
  <c r="S1535" i="4"/>
  <c r="S1496" i="4"/>
  <c r="S1491" i="4"/>
  <c r="S1484" i="4"/>
  <c r="S1476" i="4"/>
  <c r="S1473" i="4"/>
  <c r="S1471" i="4"/>
  <c r="S1463" i="4"/>
  <c r="S1458" i="4"/>
  <c r="S1456" i="4"/>
  <c r="S1452" i="4"/>
  <c r="S1448" i="4"/>
  <c r="S1444" i="4"/>
  <c r="S1433" i="4"/>
  <c r="S1428" i="4"/>
  <c r="S1427" i="4"/>
  <c r="S1421" i="4"/>
  <c r="S1410" i="4"/>
  <c r="S1400" i="4"/>
  <c r="S1398" i="4"/>
  <c r="S1396" i="4"/>
  <c r="S1381" i="4"/>
  <c r="S1380" i="4"/>
  <c r="S1374" i="4"/>
  <c r="S1357" i="4"/>
  <c r="S1355" i="4"/>
  <c r="S1339" i="4"/>
  <c r="S1336" i="4"/>
  <c r="S1324" i="4"/>
  <c r="S1316" i="4"/>
  <c r="S1300" i="4"/>
  <c r="S1292" i="4"/>
  <c r="S1282" i="4"/>
  <c r="S1266" i="4"/>
  <c r="S1229" i="4"/>
  <c r="S1222" i="4"/>
  <c r="R1212" i="4"/>
  <c r="S1209" i="4"/>
  <c r="S1201" i="4"/>
  <c r="S1194" i="4"/>
  <c r="S1184" i="4"/>
  <c r="S1180" i="4"/>
  <c r="S1177" i="4"/>
  <c r="S1176" i="4"/>
  <c r="S1173" i="4"/>
  <c r="S1156" i="4"/>
  <c r="S1135" i="4"/>
  <c r="S1133" i="4"/>
  <c r="S1123" i="4"/>
  <c r="S1119" i="4"/>
  <c r="S1111" i="4"/>
  <c r="S1084" i="4"/>
  <c r="S1055" i="4"/>
  <c r="S1030" i="4"/>
  <c r="S1029" i="4"/>
  <c r="S1020" i="4"/>
  <c r="S998" i="4"/>
  <c r="S985" i="4"/>
  <c r="S967" i="4"/>
  <c r="S960" i="4"/>
  <c r="S945" i="4"/>
  <c r="S944" i="4"/>
  <c r="S937" i="4"/>
  <c r="S922" i="4"/>
  <c r="S895" i="4"/>
  <c r="S888" i="4"/>
  <c r="S857" i="4"/>
  <c r="S851" i="4"/>
  <c r="S798" i="4"/>
  <c r="S754" i="4"/>
  <c r="S729" i="4"/>
  <c r="S718" i="4"/>
  <c r="S708" i="4"/>
  <c r="S693" i="4"/>
  <c r="S687" i="4"/>
  <c r="S686" i="4"/>
  <c r="S684" i="4"/>
  <c r="S671" i="4"/>
  <c r="S667" i="4"/>
  <c r="S660" i="4"/>
  <c r="S651" i="4"/>
  <c r="S645" i="4"/>
  <c r="S620" i="4"/>
  <c r="S616" i="4"/>
  <c r="S608" i="4"/>
  <c r="S602" i="4"/>
  <c r="S601" i="4"/>
  <c r="S599" i="4"/>
  <c r="S589" i="4"/>
  <c r="S579" i="4"/>
  <c r="S575" i="4"/>
  <c r="S572" i="4"/>
  <c r="S518" i="4"/>
  <c r="S511" i="4"/>
  <c r="S503" i="4"/>
  <c r="S499" i="4"/>
  <c r="S498" i="4"/>
  <c r="S497" i="4"/>
  <c r="S488" i="4"/>
  <c r="S481" i="4"/>
  <c r="S478" i="4"/>
  <c r="S452" i="4"/>
  <c r="S441" i="4"/>
  <c r="S427" i="4"/>
  <c r="S418" i="4"/>
  <c r="S410" i="4"/>
  <c r="S397" i="4"/>
  <c r="S390" i="4"/>
  <c r="S372" i="4"/>
  <c r="S370" i="4"/>
  <c r="S368" i="4"/>
  <c r="S364" i="4"/>
  <c r="S357" i="4"/>
  <c r="S343" i="4"/>
  <c r="S315" i="4"/>
  <c r="S312" i="4"/>
  <c r="S310" i="4"/>
  <c r="S305" i="4"/>
  <c r="S278" i="4"/>
  <c r="S268" i="4"/>
  <c r="S260" i="4"/>
  <c r="S259" i="4"/>
  <c r="S253" i="4"/>
  <c r="S250" i="4"/>
  <c r="S231" i="4"/>
  <c r="S214" i="4"/>
  <c r="S207" i="4"/>
  <c r="S196" i="4"/>
  <c r="S184" i="4"/>
  <c r="S182" i="4"/>
  <c r="S173" i="4"/>
  <c r="S90" i="4"/>
  <c r="S74" i="4"/>
  <c r="S65" i="4"/>
  <c r="S61" i="4"/>
  <c r="S51" i="4"/>
  <c r="S50" i="4"/>
  <c r="S38" i="4"/>
  <c r="S35" i="4"/>
  <c r="S16" i="4"/>
  <c r="S12" i="4"/>
  <c r="S7" i="4"/>
  <c r="E390" i="12"/>
  <c r="E397" i="12" l="1"/>
  <c r="E396" i="12"/>
  <c r="E393" i="12"/>
  <c r="E394" i="12"/>
  <c r="E398" i="12" l="1"/>
  <c r="E395" i="12"/>
  <c r="U1266" i="4"/>
  <c r="T2170" i="4"/>
  <c r="U3041" i="4"/>
  <c r="T1111" i="4"/>
  <c r="U2614" i="4"/>
  <c r="U1180" i="4"/>
  <c r="T2297" i="4"/>
  <c r="T1643" i="4"/>
  <c r="U1591" i="4"/>
  <c r="T1596" i="4"/>
  <c r="T3662" i="4"/>
  <c r="T3538" i="4"/>
  <c r="T2980" i="4"/>
  <c r="U3104" i="4"/>
  <c r="U1156" i="4"/>
  <c r="U343" i="4"/>
  <c r="T1544" i="4"/>
  <c r="T2640" i="4"/>
  <c r="T1444" i="4"/>
  <c r="T1591" i="4"/>
  <c r="U2912" i="4"/>
  <c r="U1756" i="4"/>
  <c r="U2300" i="4"/>
  <c r="U3514" i="4"/>
  <c r="T3723" i="4"/>
  <c r="T2234" i="4"/>
  <c r="T3906" i="4"/>
  <c r="U3437" i="4"/>
  <c r="U3373" i="4"/>
  <c r="T3418" i="4"/>
  <c r="U1615" i="4"/>
  <c r="U985" i="4"/>
  <c r="T3247" i="4"/>
  <c r="T851" i="4"/>
  <c r="U445" i="4"/>
  <c r="U2518" i="4"/>
  <c r="U2432" i="4"/>
  <c r="U2848" i="4"/>
  <c r="U259" i="4"/>
  <c r="T2138" i="4"/>
  <c r="T1180" i="4"/>
  <c r="U2938" i="4"/>
  <c r="U2721" i="4"/>
  <c r="T2789" i="4"/>
  <c r="U3560" i="4"/>
  <c r="T2007" i="4"/>
  <c r="U2167" i="4"/>
  <c r="U3388" i="4"/>
  <c r="T2161" i="4"/>
  <c r="T888" i="4"/>
  <c r="U1111" i="4"/>
  <c r="U3192" i="4"/>
  <c r="T1727" i="4"/>
  <c r="T12" i="4"/>
  <c r="U2769" i="4"/>
  <c r="T754" i="4"/>
  <c r="U1288" i="4"/>
  <c r="U3763" i="4"/>
  <c r="U1775" i="4"/>
  <c r="T1484" i="4"/>
  <c r="U2587" i="4"/>
  <c r="U2725" i="4"/>
  <c r="T602" i="4"/>
  <c r="U3165" i="4"/>
  <c r="U2314" i="4"/>
  <c r="T2856" i="4"/>
  <c r="T2763" i="4"/>
  <c r="U2295" i="4"/>
  <c r="U740" i="4"/>
  <c r="T1433" i="4"/>
  <c r="T3388" i="4"/>
  <c r="T3088" i="4"/>
  <c r="U616" i="4"/>
  <c r="T2492" i="4"/>
  <c r="U2297" i="4"/>
  <c r="U2958" i="4"/>
  <c r="T2378" i="4"/>
  <c r="T1324" i="4"/>
  <c r="U1444" i="4"/>
  <c r="U3269" i="4"/>
  <c r="T3142" i="4"/>
  <c r="U1476" i="4"/>
  <c r="T315" i="4"/>
  <c r="T1176" i="4"/>
  <c r="T1744" i="4"/>
  <c r="U184" i="4"/>
  <c r="T3656" i="4"/>
  <c r="U3419" i="4"/>
  <c r="U372" i="4"/>
  <c r="U572" i="4"/>
  <c r="T2046" i="4"/>
  <c r="U1473" i="4"/>
  <c r="T3601" i="4"/>
  <c r="U3579" i="4"/>
  <c r="T1398" i="4"/>
  <c r="T2151" i="4"/>
  <c r="T1821" i="4"/>
  <c r="U214" i="4"/>
  <c r="U499" i="4"/>
  <c r="T2218" i="4"/>
  <c r="U1941" i="4"/>
  <c r="U2824" i="4"/>
  <c r="T2672" i="4"/>
  <c r="U3053" i="4"/>
  <c r="T2734" i="4"/>
  <c r="U2489" i="4"/>
  <c r="U1905" i="4"/>
  <c r="T2716" i="4"/>
  <c r="U684" i="4"/>
  <c r="U3218" i="4"/>
  <c r="U3204" i="4"/>
  <c r="T1496" i="4"/>
  <c r="T1201" i="4"/>
  <c r="T651" i="4"/>
  <c r="U2980" i="4"/>
  <c r="T645" i="4"/>
  <c r="U3377" i="4"/>
  <c r="T1476" i="4"/>
  <c r="T1300" i="4"/>
  <c r="U2359" i="4"/>
  <c r="U2218" i="4"/>
  <c r="U1123" i="4"/>
  <c r="U3327" i="4"/>
  <c r="T608" i="4"/>
  <c r="T895" i="4"/>
  <c r="T499" i="4"/>
  <c r="T2294" i="4"/>
  <c r="T2412" i="4"/>
  <c r="T3218" i="4"/>
  <c r="U1427" i="4"/>
  <c r="T1592" i="4"/>
  <c r="U231" i="4"/>
  <c r="T2441" i="4"/>
  <c r="T2518" i="4"/>
  <c r="U253" i="4"/>
  <c r="T305" i="4"/>
  <c r="T2769" i="4"/>
  <c r="T3658" i="4"/>
  <c r="U1644" i="4"/>
  <c r="T1266" i="4"/>
  <c r="U1421" i="4"/>
  <c r="U3662" i="4"/>
  <c r="T3192" i="4"/>
  <c r="T7" i="4"/>
  <c r="T1177" i="4"/>
  <c r="U1496" i="4"/>
  <c r="T671" i="4"/>
  <c r="T2406" i="4"/>
  <c r="T1456" i="4"/>
  <c r="T575" i="4"/>
  <c r="T268" i="4"/>
  <c r="T498" i="4"/>
  <c r="U1282" i="4"/>
  <c r="T3365" i="4"/>
  <c r="T410" i="4"/>
  <c r="T1648" i="4"/>
  <c r="U3045" i="4"/>
  <c r="U798" i="4"/>
  <c r="U945" i="4"/>
  <c r="U1400" i="4"/>
  <c r="U2492" i="4"/>
  <c r="T1626" i="4"/>
  <c r="U2392" i="4"/>
  <c r="T1119" i="4"/>
  <c r="T857" i="4"/>
  <c r="U3162" i="4"/>
  <c r="U305" i="4"/>
  <c r="U3854" i="4"/>
  <c r="T74" i="4"/>
  <c r="U1194" i="4"/>
  <c r="U1624" i="4"/>
  <c r="T1535" i="4"/>
  <c r="U1463" i="4"/>
  <c r="T2113" i="4"/>
  <c r="T2362" i="4"/>
  <c r="U3807" i="4"/>
  <c r="T481" i="4"/>
  <c r="T3380" i="4"/>
  <c r="U2441" i="4"/>
  <c r="U1685" i="4"/>
  <c r="U3569" i="4"/>
  <c r="T572" i="4"/>
  <c r="T3642" i="4"/>
  <c r="U1792" i="4"/>
  <c r="T922" i="4"/>
  <c r="U2281" i="4"/>
  <c r="U3383" i="4"/>
  <c r="U2234" i="4"/>
  <c r="T3094" i="4"/>
  <c r="T3053" i="4"/>
  <c r="T2456" i="4"/>
  <c r="U3221" i="4"/>
  <c r="U922" i="4"/>
  <c r="U3361" i="4"/>
  <c r="T1055" i="4"/>
  <c r="U1119" i="4"/>
  <c r="T1339" i="4"/>
  <c r="U967" i="4"/>
  <c r="T2614" i="4"/>
  <c r="U3139" i="4"/>
  <c r="U1648" i="4"/>
  <c r="U3196" i="4"/>
  <c r="T253" i="4"/>
  <c r="T3195" i="4"/>
  <c r="T343" i="4"/>
  <c r="U207" i="4"/>
  <c r="U3601" i="4"/>
  <c r="T38" i="4"/>
  <c r="U357" i="4"/>
  <c r="U3312" i="4"/>
  <c r="U2362" i="4"/>
  <c r="T2099" i="4"/>
  <c r="T1156" i="4"/>
  <c r="T3643" i="4"/>
  <c r="U1535" i="4"/>
  <c r="T1491" i="4"/>
  <c r="U2582" i="4"/>
  <c r="U3149" i="4"/>
  <c r="U3358" i="4"/>
  <c r="T3309" i="4"/>
  <c r="T1209" i="4"/>
  <c r="U2947" i="4"/>
  <c r="T3274" i="4"/>
  <c r="T960" i="4"/>
  <c r="U686" i="4"/>
  <c r="U2738" i="4"/>
  <c r="T1421" i="4"/>
  <c r="U1729" i="4"/>
  <c r="T601" i="4"/>
  <c r="U2113" i="4"/>
  <c r="U1549" i="4"/>
  <c r="U1690" i="4"/>
  <c r="U2008" i="4"/>
  <c r="T985" i="4"/>
  <c r="U1410" i="4"/>
  <c r="T2011" i="4"/>
  <c r="U1744" i="4"/>
  <c r="T3358" i="4"/>
  <c r="T518" i="4"/>
  <c r="U2099" i="4"/>
  <c r="U3554" i="4"/>
  <c r="U1433" i="4"/>
  <c r="U1737" i="4"/>
  <c r="U2456" i="4"/>
  <c r="T1960" i="4"/>
  <c r="T2088" i="4"/>
  <c r="T3221" i="4"/>
  <c r="T998" i="4"/>
  <c r="U1654" i="4"/>
  <c r="T1427" i="4"/>
  <c r="U3378" i="4"/>
  <c r="T231" i="4"/>
  <c r="T1900" i="4"/>
  <c r="T2392" i="4"/>
  <c r="T2541" i="4"/>
  <c r="T2768" i="4"/>
  <c r="U1292" i="4"/>
  <c r="U488" i="4"/>
  <c r="T937" i="4"/>
  <c r="T1639" i="4"/>
  <c r="T1029" i="4"/>
  <c r="U1177" i="4"/>
  <c r="U3317" i="4"/>
  <c r="T196" i="4"/>
  <c r="U3612" i="4"/>
  <c r="T3555" i="4"/>
  <c r="T589" i="4"/>
  <c r="T1690" i="4"/>
  <c r="U390" i="4"/>
  <c r="U3112" i="4"/>
  <c r="T1663" i="4"/>
  <c r="U693" i="4"/>
  <c r="T2295" i="4"/>
  <c r="U687" i="4"/>
  <c r="U2570" i="4"/>
  <c r="T1400" i="4"/>
  <c r="U3142" i="4"/>
  <c r="T182" i="4"/>
  <c r="T1886" i="4"/>
  <c r="T3009" i="4"/>
  <c r="T390" i="4"/>
  <c r="T3162" i="4"/>
  <c r="T2928" i="4"/>
  <c r="U2851" i="4"/>
  <c r="T616" i="4"/>
  <c r="U1914" i="4"/>
  <c r="U2294" i="4"/>
  <c r="U35" i="4"/>
  <c r="U599" i="4"/>
  <c r="T3112" i="4"/>
  <c r="T184" i="4"/>
  <c r="T16" i="4"/>
  <c r="T1410" i="4"/>
  <c r="U1643" i="4"/>
  <c r="U452" i="4"/>
  <c r="T3227" i="4"/>
  <c r="U1448" i="4"/>
  <c r="T173" i="4"/>
  <c r="U1614" i="4"/>
  <c r="U2019" i="4"/>
  <c r="U3423" i="4"/>
  <c r="T3074" i="4"/>
  <c r="T35" i="4"/>
  <c r="U3555" i="4"/>
  <c r="U651" i="4"/>
  <c r="U441" i="4"/>
  <c r="U1471" i="4"/>
  <c r="T718" i="4"/>
  <c r="T3327" i="4"/>
  <c r="U1813" i="4"/>
  <c r="U2768" i="4"/>
  <c r="T3196" i="4"/>
  <c r="U1316" i="4"/>
  <c r="U3765" i="4"/>
  <c r="U173" i="4"/>
  <c r="U1135" i="4"/>
  <c r="U2149" i="4"/>
  <c r="T3419" i="4"/>
  <c r="U503" i="4"/>
  <c r="T2016" i="4"/>
  <c r="U1900" i="4"/>
  <c r="T1463" i="4"/>
  <c r="U3897" i="4"/>
  <c r="U579" i="4"/>
  <c r="U2219" i="4"/>
  <c r="T693" i="4"/>
  <c r="T2616" i="4"/>
  <c r="T1775" i="4"/>
  <c r="U2170" i="4"/>
  <c r="U418" i="4"/>
  <c r="U3425" i="4"/>
  <c r="U1484" i="4"/>
  <c r="T310" i="4"/>
  <c r="U960" i="4"/>
  <c r="T2408" i="4"/>
  <c r="U3009" i="4"/>
  <c r="U3365" i="4"/>
  <c r="T2545" i="4"/>
  <c r="U895" i="4"/>
  <c r="U2080" i="4"/>
  <c r="T2314" i="4"/>
  <c r="U7" i="4"/>
  <c r="T3763" i="4"/>
  <c r="U1201" i="4"/>
  <c r="U3816" i="4"/>
  <c r="T1458" i="4"/>
  <c r="T798" i="4"/>
  <c r="U3642" i="4"/>
  <c r="U1336" i="4"/>
  <c r="T497" i="4"/>
  <c r="T441" i="4"/>
  <c r="U3379" i="4"/>
  <c r="T2080" i="4"/>
  <c r="T3646" i="4"/>
  <c r="U2734" i="4"/>
  <c r="T2008" i="4"/>
  <c r="T397" i="4"/>
  <c r="T3410" i="4"/>
  <c r="T3204" i="4"/>
  <c r="U3074" i="4"/>
  <c r="T3587" i="4"/>
  <c r="T1357" i="4"/>
  <c r="U1184" i="4"/>
  <c r="T687" i="4"/>
  <c r="U2074" i="4"/>
  <c r="T1813" i="4"/>
  <c r="T2156" i="4"/>
  <c r="U2541" i="4"/>
  <c r="T3846" i="4"/>
  <c r="U2545" i="4"/>
  <c r="T1891" i="4"/>
  <c r="U3587" i="4"/>
  <c r="U1380" i="4"/>
  <c r="T1428" i="4"/>
  <c r="T3378" i="4"/>
  <c r="U1374" i="4"/>
  <c r="T1194" i="4"/>
  <c r="T1173" i="4"/>
  <c r="U1339" i="4"/>
  <c r="U50" i="4"/>
  <c r="U2616" i="4"/>
  <c r="T3312" i="4"/>
  <c r="U2156" i="4"/>
  <c r="T599" i="4"/>
  <c r="T3437" i="4"/>
  <c r="U250" i="4"/>
  <c r="T1773" i="4"/>
  <c r="T2048" i="4"/>
  <c r="T2919" i="4"/>
  <c r="T3746" i="4"/>
  <c r="U1639" i="4"/>
  <c r="T1911" i="4"/>
  <c r="U3410" i="4"/>
  <c r="U2688" i="4"/>
  <c r="T2624" i="4"/>
  <c r="U260" i="4"/>
  <c r="T2014" i="4"/>
  <c r="T3423" i="4"/>
  <c r="U410" i="4"/>
  <c r="U1592" i="4"/>
  <c r="U575" i="4"/>
  <c r="U364" i="4"/>
  <c r="U3094" i="4"/>
  <c r="T1184" i="4"/>
  <c r="U754" i="4"/>
  <c r="T1452" i="4"/>
  <c r="U3002" i="4"/>
  <c r="T1473" i="4"/>
  <c r="U16" i="4"/>
  <c r="U1640" i="4"/>
  <c r="U3274" i="4"/>
  <c r="U2550" i="4"/>
  <c r="U2022" i="4"/>
  <c r="T1448" i="4"/>
  <c r="U1030" i="4"/>
  <c r="T3510" i="4"/>
  <c r="T2563" i="4"/>
  <c r="U74" i="4"/>
  <c r="U278" i="4"/>
  <c r="T364" i="4"/>
  <c r="U1960" i="4"/>
  <c r="U602" i="4"/>
  <c r="T207" i="4"/>
  <c r="T2572" i="4"/>
  <c r="U1209" i="4"/>
  <c r="T2688" i="4"/>
  <c r="T684" i="4"/>
  <c r="U3903" i="4"/>
  <c r="U1626" i="4"/>
  <c r="T3816" i="4"/>
  <c r="U2161" i="4"/>
  <c r="T1685" i="4"/>
  <c r="U3886" i="4"/>
  <c r="U2212" i="4"/>
  <c r="U518" i="4"/>
  <c r="U608" i="4"/>
  <c r="T1222" i="4"/>
  <c r="U51" i="4"/>
  <c r="U2944" i="4"/>
  <c r="T1355" i="4"/>
  <c r="T3857" i="4"/>
  <c r="T1615" i="4"/>
  <c r="U3195" i="4"/>
  <c r="U315" i="4"/>
  <c r="T3527" i="4"/>
  <c r="T1380" i="4"/>
  <c r="T2866" i="4"/>
  <c r="T944" i="4"/>
  <c r="T1624" i="4"/>
  <c r="T90" i="4"/>
  <c r="T3149" i="4"/>
  <c r="U3116" i="4"/>
  <c r="U2150" i="4"/>
  <c r="T2997" i="4"/>
  <c r="T3765" i="4"/>
  <c r="U2151" i="4"/>
  <c r="U397" i="4"/>
  <c r="U2650" i="4"/>
  <c r="U3656" i="4"/>
  <c r="T2022" i="4"/>
  <c r="T2300" i="4"/>
  <c r="T503" i="4"/>
  <c r="U186" i="4"/>
  <c r="T3361" i="4"/>
  <c r="T2867" i="4"/>
  <c r="U498" i="4"/>
  <c r="U2624" i="4"/>
  <c r="U3259" i="4"/>
  <c r="U2007" i="4"/>
  <c r="U888" i="4"/>
  <c r="T3351" i="4"/>
  <c r="T3676" i="4"/>
  <c r="T3269" i="4"/>
  <c r="U38" i="4"/>
  <c r="T1816" i="4"/>
  <c r="T2550" i="4"/>
  <c r="T3886" i="4"/>
  <c r="U620" i="4"/>
  <c r="T3002" i="4"/>
  <c r="U3658" i="4"/>
  <c r="T2958" i="4"/>
  <c r="T2260" i="4"/>
  <c r="T3155" i="4"/>
  <c r="T445" i="4"/>
  <c r="T214" i="4"/>
  <c r="T2432" i="4"/>
  <c r="U1979" i="4"/>
  <c r="T3116" i="4"/>
  <c r="U2088" i="4"/>
  <c r="U2716" i="4"/>
  <c r="U3562" i="4"/>
  <c r="T667" i="4"/>
  <c r="U1324" i="4"/>
  <c r="U729" i="4"/>
  <c r="T2074" i="4"/>
  <c r="T1396" i="4"/>
  <c r="T2738" i="4"/>
  <c r="U2563" i="4"/>
  <c r="T488" i="4"/>
  <c r="T1471" i="4"/>
  <c r="T2944" i="4"/>
  <c r="T1336" i="4"/>
  <c r="U3538" i="4"/>
  <c r="U1398" i="4"/>
  <c r="T357" i="4"/>
  <c r="T2582" i="4"/>
  <c r="U1886" i="4"/>
  <c r="U3609" i="4"/>
  <c r="U589" i="4"/>
  <c r="U3643" i="4"/>
  <c r="T50" i="4"/>
  <c r="U1911" i="4"/>
  <c r="T511" i="4"/>
  <c r="U1428" i="4"/>
  <c r="U2997" i="4"/>
  <c r="U1055" i="4"/>
  <c r="T740" i="4"/>
  <c r="T259" i="4"/>
  <c r="T1946" i="4"/>
  <c r="T2947" i="4"/>
  <c r="U851" i="4"/>
  <c r="U1452" i="4"/>
  <c r="T3373" i="4"/>
  <c r="U3676" i="4"/>
  <c r="T3903" i="4"/>
  <c r="T1084" i="4"/>
  <c r="U2016" i="4"/>
  <c r="T1020" i="4"/>
  <c r="U857" i="4"/>
  <c r="T3317" i="4"/>
  <c r="T2721" i="4"/>
  <c r="U1173" i="4"/>
  <c r="U2408" i="4"/>
  <c r="U1029" i="4"/>
  <c r="U1491" i="4"/>
  <c r="T2730" i="4"/>
  <c r="U481" i="4"/>
  <c r="T250" i="4"/>
  <c r="T3609" i="4"/>
  <c r="U3846" i="4"/>
  <c r="T1282" i="4"/>
  <c r="T1381" i="4"/>
  <c r="U2789" i="4"/>
  <c r="U2138" i="4"/>
  <c r="T3259" i="4"/>
  <c r="U3906" i="4"/>
  <c r="T2019" i="4"/>
  <c r="T1756" i="4"/>
  <c r="U2260" i="4"/>
  <c r="T2149" i="4"/>
  <c r="T3579" i="4"/>
  <c r="U718" i="4"/>
  <c r="U1133" i="4"/>
  <c r="T1374" i="4"/>
  <c r="U3227" i="4"/>
  <c r="U3245" i="4"/>
  <c r="U2856" i="4"/>
  <c r="U2928" i="4"/>
  <c r="U1773" i="4"/>
  <c r="U708" i="4"/>
  <c r="U645" i="4"/>
  <c r="T1123" i="4"/>
  <c r="T3165" i="4"/>
  <c r="T2650" i="4"/>
  <c r="U3746" i="4"/>
  <c r="U497" i="4"/>
  <c r="U3646" i="4"/>
  <c r="U1084" i="4"/>
  <c r="T3045" i="4"/>
  <c r="U3247" i="4"/>
  <c r="T620" i="4"/>
  <c r="T3554" i="4"/>
  <c r="T1288" i="4"/>
  <c r="T3779" i="4"/>
  <c r="T1292" i="4"/>
  <c r="U937" i="4"/>
  <c r="U1816" i="4"/>
  <c r="U2048" i="4"/>
  <c r="T1640" i="4"/>
  <c r="U3400" i="4"/>
  <c r="T1905" i="4"/>
  <c r="U1821" i="4"/>
  <c r="U2572" i="4"/>
  <c r="T2851" i="4"/>
  <c r="T2938" i="4"/>
  <c r="U1020" i="4"/>
  <c r="U2640" i="4"/>
  <c r="U1458" i="4"/>
  <c r="U1544" i="4"/>
  <c r="U511" i="4"/>
  <c r="U2709" i="4"/>
  <c r="T260" i="4"/>
  <c r="T452" i="4"/>
  <c r="T3854" i="4"/>
  <c r="U2412" i="4"/>
  <c r="T3400" i="4"/>
  <c r="T660" i="4"/>
  <c r="U1663" i="4"/>
  <c r="T708" i="4"/>
  <c r="T2570" i="4"/>
  <c r="U1300" i="4"/>
  <c r="T729" i="4"/>
  <c r="U370" i="4"/>
  <c r="U427" i="4"/>
  <c r="T2912" i="4"/>
  <c r="T2219" i="4"/>
  <c r="T2281" i="4"/>
  <c r="U1946" i="4"/>
  <c r="U601" i="4"/>
  <c r="U2763" i="4"/>
  <c r="T278" i="4"/>
  <c r="T1030" i="4"/>
  <c r="U3351" i="4"/>
  <c r="T3514" i="4"/>
  <c r="T1979" i="4"/>
  <c r="U12" i="4"/>
  <c r="U998" i="4"/>
  <c r="T1316" i="4"/>
  <c r="T61" i="4"/>
  <c r="U2672" i="4"/>
  <c r="T1654" i="4"/>
  <c r="U65" i="4"/>
  <c r="U1381" i="4"/>
  <c r="T372" i="4"/>
  <c r="U1891" i="4"/>
  <c r="T2824" i="4"/>
  <c r="T312" i="4"/>
  <c r="T1644" i="4"/>
  <c r="T370" i="4"/>
  <c r="T51" i="4"/>
  <c r="T2167" i="4"/>
  <c r="T3245" i="4"/>
  <c r="T3897" i="4"/>
  <c r="U1229" i="4"/>
  <c r="U3723" i="4"/>
  <c r="U2919" i="4"/>
  <c r="T3704" i="4"/>
  <c r="T3377" i="4"/>
  <c r="T2359" i="4"/>
  <c r="T2489" i="4"/>
  <c r="T1792" i="4"/>
  <c r="T967" i="4"/>
  <c r="T3104" i="4"/>
  <c r="T1704" i="4"/>
  <c r="U667" i="4"/>
  <c r="U1704" i="4"/>
  <c r="U3088" i="4"/>
  <c r="T3937" i="4"/>
  <c r="U1355" i="4"/>
  <c r="T3383" i="4"/>
  <c r="U90" i="4"/>
  <c r="T1941" i="4"/>
  <c r="T2587" i="4"/>
  <c r="U3857" i="4"/>
  <c r="U2046" i="4"/>
  <c r="U2406" i="4"/>
  <c r="T945" i="4"/>
  <c r="T2848" i="4"/>
  <c r="U660" i="4"/>
  <c r="T1133" i="4"/>
  <c r="U2730" i="4"/>
  <c r="T579" i="4"/>
  <c r="T1737" i="4"/>
  <c r="U268" i="4"/>
  <c r="T3721" i="4"/>
  <c r="T2709" i="4"/>
  <c r="U3309" i="4"/>
  <c r="U944" i="4"/>
  <c r="T1549" i="4"/>
  <c r="T3502" i="4"/>
  <c r="U671" i="4"/>
  <c r="U3779" i="4"/>
  <c r="U182" i="4"/>
  <c r="U196" i="4"/>
  <c r="T3612" i="4"/>
  <c r="U310" i="4"/>
  <c r="U2014" i="4"/>
  <c r="U3510" i="4"/>
  <c r="U3527" i="4"/>
  <c r="U3704" i="4"/>
  <c r="T3569" i="4"/>
  <c r="T3560" i="4"/>
  <c r="U2866" i="4"/>
  <c r="T418" i="4"/>
  <c r="T427" i="4"/>
  <c r="U1596" i="4"/>
  <c r="T2150" i="4"/>
  <c r="T3562" i="4"/>
  <c r="U2867" i="4"/>
  <c r="U1222" i="4"/>
  <c r="T2212" i="4"/>
  <c r="U368" i="4"/>
  <c r="U2378" i="4"/>
  <c r="U3380" i="4"/>
  <c r="T3807" i="4"/>
  <c r="T686" i="4"/>
  <c r="U3502" i="4"/>
  <c r="T1614" i="4"/>
  <c r="T3041" i="4"/>
  <c r="U2011" i="4"/>
  <c r="U312" i="4"/>
  <c r="T1729" i="4"/>
  <c r="T3425" i="4"/>
  <c r="T1135" i="4"/>
  <c r="U478" i="4"/>
  <c r="U61" i="4"/>
  <c r="U1456" i="4"/>
  <c r="U1396" i="4"/>
  <c r="T1914" i="4"/>
  <c r="T368" i="4"/>
  <c r="T2725" i="4"/>
  <c r="U1176" i="4"/>
  <c r="U3721" i="4"/>
  <c r="T3379" i="4"/>
  <c r="U3937" i="4"/>
  <c r="T478" i="4"/>
  <c r="T65" i="4"/>
  <c r="U3155" i="4"/>
  <c r="T186" i="4"/>
  <c r="U3418" i="4"/>
  <c r="T1229" i="4"/>
  <c r="U1727" i="4"/>
  <c r="T3139" i="4"/>
  <c r="U135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Jonathan Wilken</author>
    <author>tc={588BE818-CA05-4E5A-896E-60D1E3B246A6}</author>
    <author>tc={A3886A4E-C736-45C8-BEF3-4F7780149B9F}</author>
  </authors>
  <commentList>
    <comment ref="B1" authorId="0" shapeId="0" xr:uid="{83D7548B-3E4E-4EC4-907C-A5941E3166D2}">
      <text>
        <r>
          <rPr>
            <b/>
            <sz val="9"/>
            <color indexed="81"/>
            <rFont val="Tahoma"/>
            <family val="2"/>
          </rPr>
          <t>Jonathan Wilken:</t>
        </r>
        <r>
          <rPr>
            <sz val="9"/>
            <color indexed="81"/>
            <rFont val="Tahoma"/>
            <family val="2"/>
          </rPr>
          <t xml:space="preserve">
Page.Column.line range of autograph reading</t>
        </r>
      </text>
    </comment>
    <comment ref="C1" authorId="0" shapeId="0" xr:uid="{46CF7808-E40C-4248-BED7-38137473E3AC}">
      <text>
        <r>
          <rPr>
            <b/>
            <sz val="9"/>
            <color indexed="81"/>
            <rFont val="Tahoma"/>
            <family val="2"/>
          </rPr>
          <t>Jonathan Wilken:</t>
        </r>
        <r>
          <rPr>
            <sz val="9"/>
            <color indexed="81"/>
            <rFont val="Tahoma"/>
            <family val="2"/>
          </rPr>
          <t xml:space="preserve">
Page.Column.line range of apograph reading</t>
        </r>
      </text>
    </comment>
    <comment ref="D1" authorId="0" shapeId="0" xr:uid="{F8223177-25E7-4E07-BE0F-948A04B958E8}">
      <text>
        <r>
          <rPr>
            <b/>
            <sz val="9"/>
            <color indexed="81"/>
            <rFont val="Tahoma"/>
            <family val="2"/>
          </rPr>
          <t>Jonathan Wilken:</t>
        </r>
        <r>
          <rPr>
            <sz val="9"/>
            <color indexed="81"/>
            <rFont val="Tahoma"/>
            <family val="2"/>
          </rPr>
          <t xml:space="preserve">
Reading from autograph (i.e., the older MS that was copied)</t>
        </r>
      </text>
    </comment>
    <comment ref="E1" authorId="0" shapeId="0" xr:uid="{9002C504-6DEE-4FAD-92F2-CEBAE4AAEF66}">
      <text>
        <r>
          <rPr>
            <b/>
            <sz val="9"/>
            <color indexed="81"/>
            <rFont val="Tahoma"/>
            <family val="2"/>
          </rPr>
          <t>Jonathan Wilken:</t>
        </r>
        <r>
          <rPr>
            <sz val="9"/>
            <color indexed="81"/>
            <rFont val="Tahoma"/>
            <family val="2"/>
          </rPr>
          <t xml:space="preserve">
Reading from apograph (i.e., younger copy)</t>
        </r>
      </text>
    </comment>
    <comment ref="F1" authorId="0" shapeId="0" xr:uid="{B3B1289E-726B-4208-AD14-1D5AD987E5F9}">
      <text>
        <r>
          <rPr>
            <b/>
            <sz val="9"/>
            <color indexed="81"/>
            <rFont val="Tahoma"/>
            <family val="2"/>
          </rPr>
          <t>Jonathan Wilken:</t>
        </r>
        <r>
          <rPr>
            <sz val="9"/>
            <color indexed="81"/>
            <rFont val="Tahoma"/>
            <family val="2"/>
          </rPr>
          <t xml:space="preserve">
Potential reasons why this reading should not be included in data analysis</t>
        </r>
      </text>
    </comment>
    <comment ref="G1" authorId="0" shapeId="0" xr:uid="{35CD3747-B249-46B0-81C2-544E4875694F}">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H1" authorId="0" shapeId="0" xr:uid="{677EBA09-2168-4AA3-AC65-5DB2A3327BE0}">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J1" authorId="0" shapeId="0" xr:uid="{CC42C2E3-D230-4794-9ABA-EA2B700FD9E0}">
      <text>
        <r>
          <rPr>
            <b/>
            <sz val="9"/>
            <color indexed="81"/>
            <rFont val="Tahoma"/>
            <family val="2"/>
          </rPr>
          <t>Jonathan Wilken:</t>
        </r>
        <r>
          <rPr>
            <sz val="9"/>
            <color indexed="81"/>
            <rFont val="Tahoma"/>
            <family val="2"/>
          </rPr>
          <t xml:space="preserve">
Add, omit, transposition, substitution, combo</t>
        </r>
      </text>
    </comment>
    <comment ref="K1" authorId="0" shapeId="0" xr:uid="{FDF04B95-523F-4E26-9173-9EF80E630B89}">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L1" authorId="0" shapeId="0" xr:uid="{430BAF9A-F7D4-4BB7-B6B1-E15E051406C9}">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M1" authorId="0" shapeId="0" xr:uid="{44094658-2613-4AE3-AE8B-2B2CE6A5A90C}">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N1" authorId="0" shapeId="0" xr:uid="{DF1B9E95-343F-4E58-B670-B7CAA1A14345}">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O1" authorId="0" shapeId="0" xr:uid="{7466D56C-61DC-4D51-940C-EFE4A714FEF9}">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P1" authorId="0" shapeId="0" xr:uid="{B9C1D64E-2E03-436E-913B-0CD79B888760}">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Q1" authorId="0" shapeId="0" xr:uid="{B54AD9CE-B6D4-4885-9460-9BA4905B25D8}">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R1" authorId="0" shapeId="0" xr:uid="{86B22EAB-C489-4549-B347-1C1EAC316748}">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S1" authorId="0" shapeId="0" xr:uid="{FDD5521F-03ED-4476-B193-39A92DDACB71}">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T1" authorId="1" shapeId="0" xr:uid="{588BE818-CA05-4E5A-896E-60D1E3B246A6}">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U1" authorId="2" shapeId="0" xr:uid="{A3886A4E-C736-45C8-BEF3-4F7780149B9F}">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D6E55C19-57AF-4D73-BE68-2BCB68CACDAB}">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X1" authorId="0" shapeId="0" xr:uid="{5ECE178F-16BA-432B-8501-1535E70340E2}">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Y1" authorId="0" shapeId="0" xr:uid="{85DD4E4A-548C-4648-9A66-5CAD7BB094DD}">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A1" authorId="0" shapeId="0" xr:uid="{08BD5F88-2088-42F4-AB50-3E9F3163BF99}">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B1" authorId="0" shapeId="0" xr:uid="{7B352449-123E-48FE-87BC-CDC0CDA89A66}">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C1" authorId="0" shapeId="0" xr:uid="{F02FCA7E-D4C0-4A4D-A7D2-CD0B12FBCCC5}">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tc={73A640AE-EF0A-4CC4-9280-DEC52D006368}</author>
    <author>tc={644B400E-A808-465E-8267-8B9558A266A8}</author>
    <author>tc={201DFED2-FA2D-4DA9-A1C6-49C681AAE93C}</author>
    <author>tc={48ED19A4-56BA-407B-9576-5933B9274229}</author>
    <author>tc={0DE4D4A5-9BDC-4FE0-B10F-3082BBE770EA}</author>
  </authors>
  <commentList>
    <comment ref="A1" authorId="0" shapeId="0" xr:uid="{73A640AE-EF0A-4CC4-9280-DEC52D006368}">
      <text>
        <t>[Threaded comment]
Your version of Excel allows you to read this threaded comment; however, any edits to it will get removed if the file is opened in a newer version of Excel. Learn more: https://go.microsoft.com/fwlink/?linkid=870924
Comment:
    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
      </text>
    </comment>
    <comment ref="A2" authorId="1" shapeId="0" xr:uid="{644B400E-A808-465E-8267-8B9558A266A8}">
      <text>
        <t>[Threaded comment]
Your version of Excel allows you to read this threaded comment; however, any edits to it will get removed if the file is opened in a newer version of Excel. Learn more: https://go.microsoft.com/fwlink/?linkid=870924
Comment:
    The number of total deviations from the exemplar. Includes itacisms, orthographic changes, nonsense readings etc.</t>
      </text>
    </comment>
    <comment ref="A3" authorId="2" shapeId="0" xr:uid="{201DFED2-FA2D-4DA9-A1C6-49C681AAE93C}">
      <text>
        <t>[Threaded comment]
Your version of Excel allows you to read this threaded comment; however, any edits to it will get removed if the file is opened in a newer version of Excel. Learn more: https://go.microsoft.com/fwlink/?linkid=870924
Comment:
    The number of "meaningful" variants produced by the scribe. Should be based on the "general filters" page, with those readings excluded that have not been deemed fit for analysis (e.g., nonsense readings and corrections thereof, itacisms etc.)</t>
      </text>
    </comment>
    <comment ref="A5" authorId="3" shapeId="0" xr:uid="{48ED19A4-56BA-407B-9576-5933B9274229}">
      <text>
        <t>[Threaded comment]
Your version of Excel allows you to read this threaded comment; however, any edits to it will get removed if the file is opened in a newer version of Excel. Learn more: https://go.microsoft.com/fwlink/?linkid=870924
Comment:
    The rate of error generation per 1000 words in the apograph. Figure includes itacisms, orthographic changes, nonsense readings etc.</t>
      </text>
    </comment>
    <comment ref="A6" authorId="4" shapeId="0" xr:uid="{0DE4D4A5-9BDC-4FE0-B10F-3082BBE770EA}">
      <text>
        <t>[Threaded comment]
Your version of Excel allows you to read this threaded comment; however, any edits to it will get removed if the file is opened in a newer version of Excel. Learn more: https://go.microsoft.com/fwlink/?linkid=870924
Comment:
    Frequency of "meaningful" errors per 1000 words in the apograph. "Meaningful" errors are defined by the general filters applied to the raw data. (Here, this means the exclusion of such readings as itacisms, orthographic changes, variants involving nonsense readings etc.)</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Jonathan Wilken</author>
    <author>tc={721DF4BD-8A41-4393-A46B-DF3950D37900}</author>
    <author>tc={CE366912-EBA8-4D36-8952-975514A02AA2}</author>
    <author>tc={EA99A7C9-DCE6-40AF-B4A7-AA049A6D935A}</author>
    <author>tc={DF5A39CF-53B5-40CC-9266-FAAB20A43327}</author>
  </authors>
  <commentList>
    <comment ref="A1" authorId="0" shapeId="0" xr:uid="{6E252E5A-FF96-4EC4-B6D0-1ADE4809BBD6}">
      <text>
        <r>
          <rPr>
            <b/>
            <sz val="9"/>
            <color indexed="81"/>
            <rFont val="Tahoma"/>
            <family val="2"/>
          </rPr>
          <t>Jonathan Wilken:</t>
        </r>
        <r>
          <rPr>
            <sz val="9"/>
            <color indexed="81"/>
            <rFont val="Tahoma"/>
            <family val="2"/>
          </rPr>
          <t xml:space="preserve">
Potential reasons why this reading should not be included in data analysis</t>
        </r>
      </text>
    </comment>
    <comment ref="B1" authorId="0" shapeId="0" xr:uid="{3E5536F8-F408-41D8-9887-430FC7777466}">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C1" authorId="0" shapeId="0" xr:uid="{DC18DB9F-C989-4807-945F-976C6B66A4E6}">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D1" authorId="0" shapeId="0" xr:uid="{41ED16A6-39A8-40A1-862B-460133758449}">
      <text>
        <r>
          <rPr>
            <b/>
            <sz val="9"/>
            <color indexed="81"/>
            <rFont val="Tahoma"/>
            <family val="2"/>
          </rPr>
          <t>Jonathan Wilken:</t>
        </r>
        <r>
          <rPr>
            <sz val="9"/>
            <color indexed="81"/>
            <rFont val="Tahoma"/>
            <family val="2"/>
          </rPr>
          <t xml:space="preserve">
Add, omit, transposition, substitution, combo</t>
        </r>
      </text>
    </comment>
    <comment ref="K3" authorId="1" shapeId="0" xr:uid="{721DF4BD-8A41-4393-A46B-DF3950D37900}">
      <text>
        <t>[Threaded comment]
Your version of Excel allows you to read this threaded comment; however, any edits to it will get removed if the file is opened in a newer version of Excel. Learn more: https://go.microsoft.com/fwlink/?linkid=870924
Comment:
    The apograph reading is singular and the autograph reading is not. The singular readings method would detect this variant</t>
      </text>
    </comment>
    <comment ref="K4" authorId="2" shapeId="0" xr:uid="{CE366912-EBA8-4D36-8952-975514A02AA2}">
      <text>
        <t>[Threaded comment]
Your version of Excel allows you to read this threaded comment; however, any edits to it will get removed if the file is opened in a newer version of Excel. Learn more: https://go.microsoft.com/fwlink/?linkid=870924
Comment:
    That is, the autograph contains a singular reading and the apograph followed it</t>
      </text>
    </comment>
    <comment ref="K5" authorId="3" shapeId="0" xr:uid="{EA99A7C9-DCE6-40AF-B4A7-AA049A6D935A}">
      <text>
        <t>[Threaded comment]
Your version of Excel allows you to read this threaded comment; however, any edits to it will get removed if the file is opened in a newer version of Excel. Learn more: https://go.microsoft.com/fwlink/?linkid=870924
Comment:
    The apograph reading is not singular: other witnesses contain the same reading. These are real variants produced by the apograph scribe, but the singular readings method would not detect them</t>
      </text>
    </comment>
    <comment ref="M13" authorId="4" shapeId="0" xr:uid="{DF5A39CF-53B5-40CC-9266-FAAB20A43327}">
      <text>
        <t>[Threaded comment]
Your version of Excel allows you to read this threaded comment; however, any edits to it will get removed if the file is opened in a newer version of Excel. Learn more: https://go.microsoft.com/fwlink/?linkid=870924
Comment:
    For words which have multiple common forms not impacting their inflection (e.g., ουκ-ουχ-ου, επι-επ-εφ)</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Jonathan Wilken</author>
    <author>tc={044018C4-855F-44AB-8D89-3AAE6596FC6A}</author>
    <author>tc={4D362138-A128-4DAC-AFF8-5E7859E1C587}</author>
  </authors>
  <commentList>
    <comment ref="B1" authorId="0" shapeId="0" xr:uid="{69A0A3EB-6366-4854-9999-D8B1DFA22422}">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DD3D5DFE-D9A4-4D4D-AB26-BD4E64F0FE3E}">
      <text>
        <r>
          <rPr>
            <b/>
            <sz val="9"/>
            <color indexed="81"/>
            <rFont val="Tahoma"/>
            <family val="2"/>
          </rPr>
          <t>Jonathan Wilken:</t>
        </r>
        <r>
          <rPr>
            <sz val="9"/>
            <color indexed="81"/>
            <rFont val="Tahoma"/>
            <family val="2"/>
          </rPr>
          <t xml:space="preserve">
Reading from apograph (i.e., younger copy)</t>
        </r>
      </text>
    </comment>
    <comment ref="D1" authorId="0" shapeId="0" xr:uid="{20E56DF3-0079-4232-8CC5-E4AED257327D}">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7EE4E7B7-7706-4C9A-872C-3E967DB7014F}">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B4D1994C-F820-4780-BFDF-376DF957DD2D}">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4D07A7E8-1099-4621-9036-08868389A343}">
      <text>
        <r>
          <rPr>
            <b/>
            <sz val="9"/>
            <color indexed="81"/>
            <rFont val="Tahoma"/>
            <family val="2"/>
          </rPr>
          <t>Jonathan Wilken:</t>
        </r>
        <r>
          <rPr>
            <sz val="9"/>
            <color indexed="81"/>
            <rFont val="Tahoma"/>
            <family val="2"/>
          </rPr>
          <t xml:space="preserve">
Add, omit, transposition, substitution, combo</t>
        </r>
      </text>
    </comment>
    <comment ref="H1" authorId="0" shapeId="0" xr:uid="{900D4BEC-FD8E-4935-A65D-79ED5DBCDBEF}">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55755725-737A-49CB-BB66-AD8CDCEC55B7}">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91ABF587-A496-4819-9B89-F166ED1EB4C4}">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3067E1E8-3D6F-4B95-8DCA-93C78EA125A3}">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C4B1CB2C-F0EE-4EA2-B5EC-06DB2B644DC5}">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26B9BB9C-3113-4D14-9A11-C713DA616657}">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4115B040-6729-40A1-BF95-0368B0AEDD45}">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815EFF16-9086-4F59-8467-FB116D8C22DE}">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288D73F2-9200-4DE1-9753-A846CB5270ED}">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AE5C0F7F-BA87-4413-8EF2-26F2B12C903A}">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044018C4-855F-44AB-8D89-3AAE6596FC6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4D362138-A128-4DAC-AFF8-5E7859E1C587}">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V1" authorId="0" shapeId="0" xr:uid="{3A5838D9-673F-49BA-B9E1-6D69A9562604}">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W1" authorId="0" shapeId="0" xr:uid="{24EB82F9-5507-4243-A6D9-93DEE9C03516}">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X1" authorId="0" shapeId="0" xr:uid="{5AF6E7D7-9A59-405E-BEFF-4B12B3CF9423}">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Y1" authorId="0" shapeId="0" xr:uid="{6B5D58D7-827D-4F98-B428-05F57F96F70B}">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A1" authorId="0" shapeId="0" xr:uid="{697F9756-9790-44DD-8DEE-DC743C4585F9}">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B1" authorId="0" shapeId="0" xr:uid="{F5569E25-2987-4745-A992-B8602645007A}">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C1" authorId="0" shapeId="0" xr:uid="{6971C356-4DD7-48B4-8182-C3632F774B10}">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Jonathan Wilken</author>
    <author>tc={3E6DF575-84EB-4F67-A5A9-0CAFDD74CC06}</author>
    <author>tc={C19E2D99-2B0C-478C-9648-03DB3D9C27DE}</author>
    <author>tc={DAC1155A-44C5-43F8-89C3-24B0B3717629}</author>
    <author>tc={FB508E18-835A-4919-9A50-6D64DC3F8C69}</author>
    <author>tc={06B5BEC2-50FB-466C-9314-F85FF73F06BD}</author>
    <author>tc={1D1F21C1-8688-45AB-AECC-70075E31471B}</author>
    <author>tc={DB043F2B-7157-4133-A311-BDE425BED459}</author>
    <author>tc={7B40DAC0-756C-477C-BF1D-11312EFA1CB6}</author>
    <author>tc={1ABAB90A-D420-4600-8327-000CB405EAF1}</author>
    <author>tc={B63723E2-8ACB-4BAE-A803-D8A1846134C4}</author>
    <author>tc={B2EDBAC5-A7E0-43F3-B656-7F7FA2FA0548}</author>
    <author>tc={2824EF94-CB61-46F5-9A0E-BA46A44CDBAB}</author>
    <author>tc={003BF3EB-14C1-4E2E-A824-6CC1B3AE4C3D}</author>
    <author>tc={4AC9F0D2-D887-4698-8C4D-D3CD9616A997}</author>
    <author>tc={B139E061-74F7-48B2-AFAB-4B0B72C949C1}</author>
    <author>tc={3701D9C5-277B-4F55-981C-8DC043FF1DD0}</author>
    <author>tc={7CB259D7-0A68-4EB8-9452-984700D66388}</author>
    <author>tc={040F5757-9C6F-4E0B-BD49-939ADC638391}</author>
    <author>tc={4F0C55DB-85E4-4206-BDE9-BAA165DCE40F}</author>
    <author>tc={DB35783C-1F61-4DF4-9416-5F0211CC2E2E}</author>
    <author>tc={9FAFFE0C-F117-4ADE-A83E-106C290F8283}</author>
    <author>tc={3D372E81-F67C-4E70-98DC-0CF49DD02DA4}</author>
    <author>tc={87F77263-D327-4113-A663-C9B6B511DFEB}</author>
    <author>tc={535EDDF0-2ECE-451F-B083-D5666D435603}</author>
    <author>tc={FAC31A8F-940A-4060-B3BA-EA04C5B5D6A5}</author>
    <author>tc={7A4E1D2A-4EBD-4C9D-B54D-04D4B2BD99B3}</author>
    <author>tc={4B8FC20F-DA35-43DE-A8B6-C6660DC827C7}</author>
    <author>tc={D32C8553-E851-41C1-85A7-845E483246A8}</author>
    <author>tc={691B222C-39CA-4E13-A838-C3B355948293}</author>
    <author>tc={D3A46ED1-CAAA-4BE6-BDD7-BF7D4D5AB478}</author>
    <author>tc={F8C56C7C-CF08-47F7-8DBA-FB79CF589B98}</author>
    <author>tc={F9BD0F28-559B-4302-9BF2-534B106C0DDC}</author>
    <author>tc={ABCAEBBB-F73C-4F7A-AA7E-A5455AF73DF1}</author>
    <author>tc={B5D65452-9DA5-4463-B695-9EB0CEC9CDDF}</author>
    <author>tc={3200C69B-6B07-4FFE-9646-8ABCF4526537}</author>
    <author>tc={FD3037A3-B687-4653-955C-66F5059AA3F5}</author>
    <author>tc={ECACA7A4-4BAB-40F9-8FF6-98901E1C1F7B}</author>
    <author>tc={1970053C-E8B1-4F5A-8F5A-95BCAED1590E}</author>
    <author>tc={69C82FF9-CAE5-4D1E-A18B-B611488928AB}</author>
    <author>tc={A969FC2D-0B30-41B3-97A0-F803DA05D984}</author>
    <author>tc={993AB3E9-4102-4C82-9DB7-DB4CC86C402C}</author>
    <author>tc={48E2B7EA-2059-491B-A21E-888CC875D1A1}</author>
    <author>tc={6F2CCF69-2793-4D5E-9880-ED2DB3F0C0B0}</author>
    <author>tc={5264299C-DD7C-42E3-9E05-D90EA5B25D23}</author>
    <author>tc={F258EB54-4902-4874-8CE7-FE89A38484CF}</author>
  </authors>
  <commentList>
    <comment ref="B1" authorId="0" shapeId="0" xr:uid="{0E4BDCDD-4E9E-40FF-A701-C15F9EB4EEF7}">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9A4A0172-BBB4-450B-B760-ADC98DA4B02F}">
      <text>
        <r>
          <rPr>
            <b/>
            <sz val="9"/>
            <color indexed="81"/>
            <rFont val="Tahoma"/>
            <family val="2"/>
          </rPr>
          <t>Jonathan Wilken:</t>
        </r>
        <r>
          <rPr>
            <sz val="9"/>
            <color indexed="81"/>
            <rFont val="Tahoma"/>
            <family val="2"/>
          </rPr>
          <t xml:space="preserve">
Reading from apograph (i.e., younger copy)</t>
        </r>
      </text>
    </comment>
    <comment ref="D1" authorId="0" shapeId="0" xr:uid="{88CBB631-C54B-429E-9377-F6E020647F42}">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16B659F2-FD51-48E6-94D5-767E9F1E3994}">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84B18C6E-060C-4FF6-9906-6D9BDC31457B}">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404695AF-BBB0-4FD9-B152-C586DF936BA1}">
      <text>
        <r>
          <rPr>
            <b/>
            <sz val="9"/>
            <color indexed="81"/>
            <rFont val="Tahoma"/>
            <family val="2"/>
          </rPr>
          <t>Jonathan Wilken:</t>
        </r>
        <r>
          <rPr>
            <sz val="9"/>
            <color indexed="81"/>
            <rFont val="Tahoma"/>
            <family val="2"/>
          </rPr>
          <t xml:space="preserve">
Add, omit, transposition, substitution, combo</t>
        </r>
      </text>
    </comment>
    <comment ref="H1" authorId="0" shapeId="0" xr:uid="{5CB2A679-B23D-4D9C-9840-17FEF8B5BD24}">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E0E10941-EF3E-4D76-8B31-7E72B15878FE}">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BAF29C58-6E62-46A7-8C5F-75A329AA5A8A}">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D81A9212-D42D-4721-A79A-FA869EAA8444}">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D067E5FB-FAE3-4EC8-83AE-08D8F7DB8FA5}">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75DBC9C5-3CA3-4E28-AE73-8C1ABDBA9A68}">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1A90CE34-D929-484F-A155-51A8D79F3DDA}">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A27A11F1-9B2E-4168-B1E8-49C7183F0A69}">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2B647510-ECDB-4955-9757-EB8E1B12EE4D}">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3E6DF575-84EB-4F67-A5A9-0CAFDD74CC06}">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51E1F9C6-5586-4E6A-856B-2E7437B3E7FB}">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C19E2D99-2B0C-478C-9648-03DB3D9C27DE}">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DAC1155A-44C5-43F8-89C3-24B0B3717629}">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DD972A55-945F-437A-B9ED-33617D4CBD7E}">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0DBB7D43-B71C-4D83-BF0D-88FDAE8AF2B2}">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2845578F-2A21-4247-ADA9-12563A945168}">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C6620295-30B4-4B9E-AF78-5DE52213F1FD}">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909B7825-2670-48C0-BD52-BBCB384AEC96}">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CF917961-0091-4E75-B75B-338A771312B7}">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1CF79140-266E-460B-8B26-0BA10334D678}">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F553" authorId="4" shapeId="0" xr:uid="{FB508E18-835A-4919-9A50-6D64DC3F8C69}">
      <text>
        <t>[Threaded comment]
Your version of Excel allows you to read this threaded comment; however, any edits to it will get removed if the file is opened in a newer version of Excel. Learn more: https://go.microsoft.com/fwlink/?linkid=870924
Comment:
    Raw number of additions</t>
      </text>
    </comment>
    <comment ref="B554" authorId="5" shapeId="0" xr:uid="{06B5BEC2-50FB-466C-9314-F85FF73F06BD}">
      <text>
        <t>[Threaded comment]
Your version of Excel allows you to read this threaded comment; however, any edits to it will get removed if the file is opened in a newer version of Excel. Learn more: https://go.microsoft.com/fwlink/?linkid=870924
Comment:
    "Low Meaning" words</t>
      </text>
    </comment>
    <comment ref="C554" authorId="6" shapeId="0" xr:uid="{1D1F21C1-8688-45AB-AECC-70075E31471B}">
      <text>
        <t>[Threaded comment]
Your version of Excel allows you to read this threaded comment; however, any edits to it will get removed if the file is opened in a newer version of Excel. Learn more: https://go.microsoft.com/fwlink/?linkid=870924
Comment:
    "High Meaning" words</t>
      </text>
    </comment>
    <comment ref="F554" authorId="7" shapeId="0" xr:uid="{DB043F2B-7157-4133-A311-BDE425BED459}">
      <text>
        <t>[Threaded comment]
Your version of Excel allows you to read this threaded comment; however, any edits to it will get removed if the file is opened in a newer version of Excel. Learn more: https://go.microsoft.com/fwlink/?linkid=870924
Comment:
    Raw number of omissions</t>
      </text>
    </comment>
    <comment ref="F555" authorId="8" shapeId="0" xr:uid="{7B40DAC0-756C-477C-BF1D-11312EFA1CB6}">
      <text>
        <t>[Threaded comment]
Your version of Excel allows you to read this threaded comment; however, any edits to it will get removed if the file is opened in a newer version of Excel. Learn more: https://go.microsoft.com/fwlink/?linkid=870924
Comment:
    % of add-omits that are additions</t>
      </text>
    </comment>
    <comment ref="F558" authorId="9" shapeId="0" xr:uid="{1ABAB90A-D420-4600-8327-000CB405EAF1}">
      <text>
        <t>[Threaded comment]
Your version of Excel allows you to read this threaded comment; however, any edits to it will get removed if the file is opened in a newer version of Excel. Learn more: https://go.microsoft.com/fwlink/?linkid=870924
Comment:
    Raw number of additions of "low meaning" words. See LM column for included word types (and adjust equation as necessary)</t>
      </text>
    </comment>
    <comment ref="F559" authorId="10" shapeId="0" xr:uid="{B63723E2-8ACB-4BAE-A803-D8A1846134C4}">
      <text>
        <t>[Threaded comment]
Your version of Excel allows you to read this threaded comment; however, any edits to it will get removed if the file is opened in a newer version of Excel. Learn more: https://go.microsoft.com/fwlink/?linkid=870924
Comment:
    Raw number of omissions of "low meaning" words. See LM column for included word types (and adjust equation as necessary)</t>
      </text>
    </comment>
    <comment ref="F560" authorId="11" shapeId="0" xr:uid="{B2EDBAC5-A7E0-43F3-B656-7F7FA2FA0548}">
      <text>
        <t>[Threaded comment]
Your version of Excel allows you to read this threaded comment; however, any edits to it will get removed if the file is opened in a newer version of Excel. Learn more: https://go.microsoft.com/fwlink/?linkid=870924
Comment:
    Addition rate for "low meaning" words. See LM column for included word types (and adjust equation as necessary)</t>
      </text>
    </comment>
    <comment ref="F563" authorId="12" shapeId="0" xr:uid="{2824EF94-CB61-46F5-9A0E-BA46A44CDBAB}">
      <text>
        <t>[Threaded comment]
Your version of Excel allows you to read this threaded comment; however, any edits to it will get removed if the file is opened in a newer version of Excel. Learn more: https://go.microsoft.com/fwlink/?linkid=870924
Comment:
    Raw number of additions of "high meaning" words. See HM column for included word types (and adjust equation as necessary)</t>
      </text>
    </comment>
    <comment ref="F564" authorId="13" shapeId="0" xr:uid="{003BF3EB-14C1-4E2E-A824-6CC1B3AE4C3D}">
      <text>
        <t>[Threaded comment]
Your version of Excel allows you to read this threaded comment; however, any edits to it will get removed if the file is opened in a newer version of Excel. Learn more: https://go.microsoft.com/fwlink/?linkid=870924
Comment:
    Raw number of omissions of "high meaning" words. See HM column for included word types (and adjust equation as necessary)</t>
      </text>
    </comment>
    <comment ref="F565" authorId="14" shapeId="0" xr:uid="{4AC9F0D2-D887-4698-8C4D-D3CD9616A997}">
      <text>
        <t>[Threaded comment]
Your version of Excel allows you to read this threaded comment; however, any edits to it will get removed if the file is opened in a newer version of Excel. Learn more: https://go.microsoft.com/fwlink/?linkid=870924
Comment:
    Addition rate for "high meaning" words. See HM column for included word types (and adjust equation as necessary)</t>
      </text>
    </comment>
    <comment ref="D570" authorId="15" shapeId="0" xr:uid="{B139E061-74F7-48B2-AFAB-4B0B72C949C1}">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570" authorId="16" shapeId="0" xr:uid="{3701D9C5-277B-4F55-981C-8DC043FF1DD0}">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F570" authorId="17" shapeId="0" xr:uid="{7CB259D7-0A68-4EB8-9452-984700D66388}">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additions. I.e., a percent frequency indicating how often an addition generates visual cues</t>
      </text>
    </comment>
    <comment ref="D571" authorId="18" shapeId="0" xr:uid="{040F5757-9C6F-4E0B-BD49-939ADC638391}">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E571" authorId="19" shapeId="0" xr:uid="{4F0C55DB-85E4-4206-BDE9-BAA165DCE40F}">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F571" authorId="20" shapeId="0" xr:uid="{DB35783C-1F61-4DF4-9416-5F0211CC2E2E}">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omissions. I.e., the percentage of omissions that could plausibly be due to visual cues</t>
      </text>
    </comment>
    <comment ref="D572" authorId="21" shapeId="0" xr:uid="{9FAFFE0C-F117-4ADE-A83E-106C290F8283}">
      <text>
        <t>[Threaded comment]
Your version of Excel allows you to read this threaded comment; however, any edits to it will get removed if the file is opened in a newer version of Excel. Learn more: https://go.microsoft.com/fwlink/?linkid=870924
Comment:
    The total number of add-omits that involve visual cues</t>
      </text>
    </comment>
    <comment ref="E572" authorId="22" shapeId="0" xr:uid="{3D372E81-F67C-4E70-98DC-0CF49DD02DA4}">
      <text>
        <t>[Threaded comment]
Your version of Excel allows you to read this threaded comment; however, any edits to it will get removed if the file is opened in a newer version of Excel. Learn more: https://go.microsoft.com/fwlink/?linkid=870924
Comment:
    The total number of add-omits that involve NO visual cues (given the definition of this project, i.e., 3-character minimum similarity in critical regions)</t>
      </text>
    </comment>
    <comment ref="F572" authorId="23" shapeId="0" xr:uid="{87F77263-D327-4113-A663-C9B6B511DFEB}">
      <text>
        <t>[Threaded comment]
Your version of Excel allows you to read this threaded comment; however, any edits to it will get removed if the file is opened in a newer version of Excel. Learn more: https://go.microsoft.com/fwlink/?linkid=870924
Comment:
    The percentage of all add-omits that involve visual cues</t>
      </text>
    </comment>
    <comment ref="D576" authorId="24" shapeId="0" xr:uid="{535EDDF0-2ECE-451F-B083-D5666D435603}">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E576" authorId="25" shapeId="0" xr:uid="{FAC31A8F-940A-4060-B3BA-EA04C5B5D6A5}">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D577" authorId="26" shapeId="0" xr:uid="{7A4E1D2A-4EBD-4C9D-B54D-04D4B2BD99B3}">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577" authorId="27" shapeId="0" xr:uid="{4B8FC20F-DA35-43DE-A8B6-C6660DC827C7}">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D582" authorId="28" shapeId="0" xr:uid="{D32C8553-E851-41C1-85A7-845E483246A8}">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additions. I.e., the number of additions that do not result in dittography</t>
      </text>
    </comment>
    <comment ref="E582" authorId="29" shapeId="0" xr:uid="{691B222C-39CA-4E13-A838-C3B355948293}">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omissions. I.e., the number of omissions that did not undo a dittographic reading</t>
      </text>
    </comment>
    <comment ref="D583" authorId="30" shapeId="0" xr:uid="{D3A46ED1-CAAA-4BE6-BDD7-BF7D4D5AB478}">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additions. I.e., the number of additions that result in dittography</t>
      </text>
    </comment>
    <comment ref="E583" authorId="31" shapeId="0" xr:uid="{F8C56C7C-CF08-47F7-8DBA-FB79CF589B98}">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omissions. I.e., the number omissions where the omitted word(s) is/are dittographies</t>
      </text>
    </comment>
    <comment ref="D588" authorId="32" shapeId="0" xr:uid="{F9BD0F28-559B-4302-9BF2-534B106C0DDC}">
      <text>
        <t>[Threaded comment]
Your version of Excel allows you to read this threaded comment; however, any edits to it will get removed if the file is opened in a newer version of Excel. Learn more: https://go.microsoft.com/fwlink/?linkid=870924
Comment:
    Additions of one word</t>
      </text>
    </comment>
    <comment ref="E588" authorId="33" shapeId="0" xr:uid="{ABCAEBBB-F73C-4F7A-AA7E-A5455AF73DF1}">
      <text>
        <t>[Threaded comment]
Your version of Excel allows you to read this threaded comment; however, any edits to it will get removed if the file is opened in a newer version of Excel. Learn more: https://go.microsoft.com/fwlink/?linkid=870924
Comment:
    Omissions of one word</t>
      </text>
    </comment>
    <comment ref="F588" authorId="34" shapeId="0" xr:uid="{B5D65452-9DA5-4463-B695-9EB0CEC9CDDF}">
      <text>
        <t>[Threaded comment]
Your version of Excel allows you to read this threaded comment; however, any edits to it will get removed if the file is opened in a newer version of Excel. Learn more: https://go.microsoft.com/fwlink/?linkid=870924
Comment:
    Add ratio for single-word variants</t>
      </text>
    </comment>
    <comment ref="D589" authorId="35" shapeId="0" xr:uid="{3200C69B-6B07-4FFE-9646-8ABCF4526537}">
      <text>
        <t>[Threaded comment]
Your version of Excel allows you to read this threaded comment; however, any edits to it will get removed if the file is opened in a newer version of Excel. Learn more: https://go.microsoft.com/fwlink/?linkid=870924
Comment:
    Additions of 2-3 words</t>
      </text>
    </comment>
    <comment ref="E589" authorId="36" shapeId="0" xr:uid="{FD3037A3-B687-4653-955C-66F5059AA3F5}">
      <text>
        <t>[Threaded comment]
Your version of Excel allows you to read this threaded comment; however, any edits to it will get removed if the file is opened in a newer version of Excel. Learn more: https://go.microsoft.com/fwlink/?linkid=870924
Comment:
    Omissions of 2-3 words</t>
      </text>
    </comment>
    <comment ref="F589" authorId="37" shapeId="0" xr:uid="{ECACA7A4-4BAB-40F9-8FF6-98901E1C1F7B}">
      <text>
        <t>[Threaded comment]
Your version of Excel allows you to read this threaded comment; however, any edits to it will get removed if the file is opened in a newer version of Excel. Learn more: https://go.microsoft.com/fwlink/?linkid=870924
Comment:
    Add ratio for variants of 2-3 words</t>
      </text>
    </comment>
    <comment ref="D590" authorId="38" shapeId="0" xr:uid="{1970053C-E8B1-4F5A-8F5A-95BCAED1590E}">
      <text>
        <t>[Threaded comment]
Your version of Excel allows you to read this threaded comment; however, any edits to it will get removed if the file is opened in a newer version of Excel. Learn more: https://go.microsoft.com/fwlink/?linkid=870924
Comment:
    Additions of 4 or more words</t>
      </text>
    </comment>
    <comment ref="E590" authorId="39" shapeId="0" xr:uid="{69C82FF9-CAE5-4D1E-A18B-B611488928AB}">
      <text>
        <t>[Threaded comment]
Your version of Excel allows you to read this threaded comment; however, any edits to it will get removed if the file is opened in a newer version of Excel. Learn more: https://go.microsoft.com/fwlink/?linkid=870924
Comment:
    Omissions of 4 or more words</t>
      </text>
    </comment>
    <comment ref="F590" authorId="40" shapeId="0" xr:uid="{A969FC2D-0B30-41B3-97A0-F803DA05D984}">
      <text>
        <t>[Threaded comment]
Your version of Excel allows you to read this threaded comment; however, any edits to it will get removed if the file is opened in a newer version of Excel. Learn more: https://go.microsoft.com/fwlink/?linkid=870924
Comment:
    Add ratio for variants of 4 or more words</t>
      </text>
    </comment>
    <comment ref="C593" authorId="41" shapeId="0" xr:uid="{993AB3E9-4102-4C82-9DB7-DB4CC86C402C}">
      <text>
        <t>[Threaded comment]
Your version of Excel allows you to read this threaded comment; however, any edits to it will get removed if the file is opened in a newer version of Excel. Learn more: https://go.microsoft.com/fwlink/?linkid=870924
Comment:
    Number of words added or omitted</t>
      </text>
    </comment>
    <comment ref="D593" authorId="42" shapeId="0" xr:uid="{48E2B7EA-2059-491B-A21E-888CC875D1A1}">
      <text>
        <t>[Threaded comment]
Your version of Excel allows you to read this threaded comment; however, any edits to it will get removed if the file is opened in a newer version of Excel. Learn more: https://go.microsoft.com/fwlink/?linkid=870924
Comment:
    Number of additions involving the number of words specified in the "Length" column</t>
      </text>
    </comment>
    <comment ref="E593" authorId="43" shapeId="0" xr:uid="{6F2CCF69-2793-4D5E-9880-ED2DB3F0C0B0}">
      <text>
        <t>[Threaded comment]
Your version of Excel allows you to read this threaded comment; however, any edits to it will get removed if the file is opened in a newer version of Excel. Learn more: https://go.microsoft.com/fwlink/?linkid=870924
Comment:
    Number of omissions involving the number of words specified in the "Length" column</t>
      </text>
    </comment>
    <comment ref="F593" authorId="44" shapeId="0" xr:uid="{5264299C-DD7C-42E3-9E05-D90EA5B25D23}">
      <text>
        <t>[Threaded comment]
Your version of Excel allows you to read this threaded comment; however, any edits to it will get removed if the file is opened in a newer version of Excel. Learn more: https://go.microsoft.com/fwlink/?linkid=870924
Comment:
    The addition rate for add-omits involving the number of words indicated in the "Length" column</t>
      </text>
    </comment>
    <comment ref="D601" authorId="45" shapeId="0" xr:uid="{F258EB54-4902-4874-8CE7-FE89A38484CF}">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Jonathan Wilken</author>
    <author>tc={05F4231A-1FCC-41EA-8988-0C33E5127D4B}</author>
    <author>tc={42163AE5-08F5-4C62-9E10-D5D4704E71DB}</author>
    <author>tc={C42BCCA8-52E7-4914-9CE0-DF7490A3A31B}</author>
    <author>tc={933E5183-27E4-4C4A-AF04-F4278F971BE9}</author>
    <author>tc={34E1EAB6-E709-44F1-B1AC-BC54659A0592}</author>
    <author>tc={CA3D7367-949E-4046-82D4-44FF87FC3E39}</author>
    <author>tc={9CEB2F3D-B285-4FCF-BF53-2C9746269B64}</author>
    <author>tc={1A62710A-8EF0-4E86-A812-9C02B94B7DCF}</author>
    <author>tc={E86134D2-D3A4-4522-9658-C1100B5EC8C6}</author>
    <author>tc={88D832AB-B9C6-415E-BCEF-052AC1AF226F}</author>
    <author>tc={AA0DD523-231F-4533-B969-E91845748C50}</author>
    <author>tc={0693C2A0-5880-4E67-B097-05BE489DF90F}</author>
    <author>tc={7FA41AB3-689B-4479-B008-85BC85F825DB}</author>
    <author>tc={004D65F6-27D7-46CF-84DC-527A36C3AE2E}</author>
  </authors>
  <commentList>
    <comment ref="B1" authorId="0" shapeId="0" xr:uid="{FDAED187-95B7-414D-B3AC-6C952B6A65A3}">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5AF3EB45-13E5-4F5A-88B8-F2295D5201F4}">
      <text>
        <r>
          <rPr>
            <b/>
            <sz val="9"/>
            <color indexed="81"/>
            <rFont val="Tahoma"/>
            <family val="2"/>
          </rPr>
          <t>Jonathan Wilken:</t>
        </r>
        <r>
          <rPr>
            <sz val="9"/>
            <color indexed="81"/>
            <rFont val="Tahoma"/>
            <family val="2"/>
          </rPr>
          <t xml:space="preserve">
Reading from apograph (i.e., younger copy)</t>
        </r>
      </text>
    </comment>
    <comment ref="D1" authorId="0" shapeId="0" xr:uid="{6352935E-D7FD-4E03-86CC-DFEAD6399774}">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CB570B03-6688-4A34-A3FC-22E9BDDF1BD1}">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26CDC308-FD65-4584-835E-1FB1CEB46E79}">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435BFDFF-1544-4D44-8B5E-3C1BDC978F45}">
      <text>
        <r>
          <rPr>
            <b/>
            <sz val="9"/>
            <color indexed="81"/>
            <rFont val="Tahoma"/>
            <family val="2"/>
          </rPr>
          <t>Jonathan Wilken:</t>
        </r>
        <r>
          <rPr>
            <sz val="9"/>
            <color indexed="81"/>
            <rFont val="Tahoma"/>
            <family val="2"/>
          </rPr>
          <t xml:space="preserve">
Add, omit, transposition, substitution, combo</t>
        </r>
      </text>
    </comment>
    <comment ref="H1" authorId="0" shapeId="0" xr:uid="{60E170DD-A35E-4BDE-873C-436509846A4F}">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ED59AD8B-CA6A-4FA6-A066-D57EEEA3FBF9}">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A4713CA3-6A82-4D3E-8810-82EF9C57306E}">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041F1560-2E60-49BE-8DE0-0A5947E6D5EB}">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B866F1A5-1366-4FF5-8735-2B57F3DB1E5C}">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D62DD72A-1B9E-4FB5-85B4-107660111D3F}">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1B6B42EE-6A41-4F45-9E90-420D49AC504B}">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378588A1-23BB-423C-A527-54750CDA84F1}">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407BB300-B907-4D82-9E9A-04EB55ABE597}">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05F4231A-1FCC-41EA-8988-0C33E5127D4B}">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73B3C001-C4BD-4A15-AB2D-0281886AE3F1}">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42163AE5-08F5-4C62-9E10-D5D4704E71DB}">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C42BCCA8-52E7-4914-9CE0-DF7490A3A31B}">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2B69E90B-B2F6-4BAE-B6F2-E98AEC584CBB}">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411DF82F-AB27-47D4-A141-84F64CBBB813}">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C2060E1A-95B8-4B5D-A7F3-36D50B346BD3}">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421FE160-9525-4FB9-8B0F-56FCEE56CE9D}">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576EF9F2-F4C2-4E71-8093-6E8455B69BBC}">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75A53866-843F-49E6-8D41-F22B71B3EBF7}">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E30AEE1C-437D-4D90-8B55-8AF010C69E2F}">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389" authorId="4" shapeId="0" xr:uid="{933E5183-27E4-4C4A-AF04-F4278F971BE9}">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390" authorId="5" shapeId="0" xr:uid="{34E1EAB6-E709-44F1-B1AC-BC54659A0592}">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393" authorId="6" shapeId="0" xr:uid="{CA3D7367-949E-4046-82D4-44FF87FC3E39}">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394" authorId="7" shapeId="0" xr:uid="{9CEB2F3D-B285-4FCF-BF53-2C9746269B64}">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395" authorId="8" shapeId="0" xr:uid="{1A62710A-8EF0-4E86-A812-9C02B94B7DCF}">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396" authorId="9" shapeId="0" xr:uid="{E86134D2-D3A4-4522-9658-C1100B5EC8C6}">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397" authorId="10" shapeId="0" xr:uid="{88D832AB-B9C6-415E-BCEF-052AC1AF226F}">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398" authorId="11" shapeId="0" xr:uid="{AA0DD523-231F-4533-B969-E91845748C50}">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401" authorId="12" shapeId="0" xr:uid="{0693C2A0-5880-4E67-B097-05BE489DF90F}">
      <text>
        <t>[Threaded comment]
Your version of Excel allows you to read this threaded comment; however, any edits to it will get removed if the file is opened in a newer version of Excel. Learn more: https://go.microsoft.com/fwlink/?linkid=870924
Comment:
    Articular additions: the number of additions of an article</t>
      </text>
    </comment>
    <comment ref="D402" authorId="13" shapeId="0" xr:uid="{7FA41AB3-689B-4479-B008-85BC85F825DB}">
      <text>
        <t>[Threaded comment]
Your version of Excel allows you to read this threaded comment; however, any edits to it will get removed if the file is opened in a newer version of Excel. Learn more: https://go.microsoft.com/fwlink/?linkid=870924
Comment:
    Articular omissions: the number of omissions of an article</t>
      </text>
    </comment>
    <comment ref="D403" authorId="14" shapeId="0" xr:uid="{004D65F6-27D7-46CF-84DC-527A36C3AE2E}">
      <text>
        <t>[Threaded comment]
Your version of Excel allows you to read this threaded comment; however, any edits to it will get removed if the file is opened in a newer version of Excel. Learn more: https://go.microsoft.com/fwlink/?linkid=870924
Comment:
    Articular add ratio: the add ratio for the definite article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Jonathan Wilken</author>
    <author>tc={566743A5-339A-4E31-956E-BB999502DD79}</author>
    <author>tc={9D1BB0D9-E062-4CC9-9D5D-3C184D40F1E6}</author>
    <author>tc={BF3AFE3E-6AFC-40F6-9AB9-275E77438004}</author>
    <author>tc={0C79BF0B-2DEE-4A5F-A04D-D2F27C2C4BE4}</author>
    <author>tc={2DA3B38B-0D08-4A01-916C-253AC2B79EC7}</author>
    <author>tc={1C0B79F9-C160-4E7C-8174-58370C0AB18C}</author>
    <author>tc={08EDB8F2-662B-48DD-AABF-5ACA58E43B74}</author>
    <author>tc={29452EBE-AC43-4780-A2BF-54F264A92846}</author>
    <author>tc={11676A8B-1ADA-4AA4-B636-75A8EC3BCD5F}</author>
    <author>tc={D281AD30-D462-40B6-8F87-AD895F723520}</author>
    <author>tc={4417CC70-8F3F-4076-84D4-275E6FDCD95E}</author>
    <author>tc={8300E24D-424C-4B38-86B8-02EEFC3FDC3F}</author>
  </authors>
  <commentList>
    <comment ref="B1" authorId="0" shapeId="0" xr:uid="{263F9137-A770-47CC-8648-493AD2BC4896}">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866DD64D-9B48-42AE-A6B5-5270F44A0871}">
      <text>
        <r>
          <rPr>
            <b/>
            <sz val="9"/>
            <color indexed="81"/>
            <rFont val="Tahoma"/>
            <family val="2"/>
          </rPr>
          <t>Jonathan Wilken:</t>
        </r>
        <r>
          <rPr>
            <sz val="9"/>
            <color indexed="81"/>
            <rFont val="Tahoma"/>
            <family val="2"/>
          </rPr>
          <t xml:space="preserve">
Reading from apograph (i.e., younger copy)</t>
        </r>
      </text>
    </comment>
    <comment ref="D1" authorId="0" shapeId="0" xr:uid="{9FE2D039-38C7-47CD-B599-8E7793586988}">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72C3B456-94A9-4826-A9C8-B34B25784761}">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186FC0DF-8667-402E-A3F2-8E932F3EA455}">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E71ED173-776C-459E-A78B-149E364AD2F0}">
      <text>
        <r>
          <rPr>
            <b/>
            <sz val="9"/>
            <color indexed="81"/>
            <rFont val="Tahoma"/>
            <family val="2"/>
          </rPr>
          <t>Jonathan Wilken:</t>
        </r>
        <r>
          <rPr>
            <sz val="9"/>
            <color indexed="81"/>
            <rFont val="Tahoma"/>
            <family val="2"/>
          </rPr>
          <t xml:space="preserve">
Add, omit, transposition, substitution, combo</t>
        </r>
      </text>
    </comment>
    <comment ref="H1" authorId="0" shapeId="0" xr:uid="{FA5C7CC2-480D-4783-BD38-0FF18DD5E410}">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DD19C0D4-D2FB-453A-B1A6-1B82E732889B}">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89EAD5B1-B990-4361-B19D-EC468526AAC9}">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5C45A7BF-93DF-451C-9228-5752B9C24403}">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57057D35-F5D8-465C-A8D2-A295B2D7D8BF}">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05C8F25C-6929-4419-8214-BB0C92042BAA}">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4DAC5D35-7509-459E-A1C7-E111E3231CBC}">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6996F71C-6DE9-4067-A1A9-54654075C904}">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8DAE5B97-17FE-415A-A439-82DDF73D9547}">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566743A5-339A-4E31-956E-BB999502DD79}">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26763684-1368-434E-9D5F-3F4F786518D2}">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9D1BB0D9-E062-4CC9-9D5D-3C184D40F1E6}">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BF3AFE3E-6AFC-40F6-9AB9-275E77438004}">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274F374F-4F10-4AC6-A9C2-8B17A1703CE2}">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613E4AB4-2C9C-47FA-8920-F11079B605D7}">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7591FD7D-34A4-4F8B-BACB-ADCBF3F5BA69}">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0AF70CBE-5F77-4BBD-81E2-7312A2A68D96}">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FBFC1617-F378-4DAF-8A33-DC1C85FB46EA}">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0F0CD332-72A1-41EB-BA91-B2F0A0B24567}">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7E165C84-6199-4E34-A7B3-EAC972226E43}">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95" authorId="4" shapeId="0" xr:uid="{0C79BF0B-2DEE-4A5F-A04D-D2F27C2C4BE4}">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96" authorId="5" shapeId="0" xr:uid="{2DA3B38B-0D08-4A01-916C-253AC2B79EC7}">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99" authorId="6" shapeId="0" xr:uid="{1C0B79F9-C160-4E7C-8174-58370C0AB18C}">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100" authorId="7" shapeId="0" xr:uid="{08EDB8F2-662B-48DD-AABF-5ACA58E43B74}">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101" authorId="8" shapeId="0" xr:uid="{29452EBE-AC43-4780-A2BF-54F264A92846}">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102" authorId="9" shapeId="0" xr:uid="{11676A8B-1ADA-4AA4-B636-75A8EC3BCD5F}">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103" authorId="10" shapeId="0" xr:uid="{D281AD30-D462-40B6-8F87-AD895F723520}">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104" authorId="11" shapeId="0" xr:uid="{4417CC70-8F3F-4076-84D4-275E6FDCD95E}">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105" authorId="12" shapeId="0" xr:uid="{8300E24D-424C-4B38-86B8-02EEFC3FDC3F}">
      <text>
        <t>[Threaded comment]
Your version of Excel allows you to read this threaded comment; however, any edits to it will get removed if the file is opened in a newer version of Excel. Learn more: https://go.microsoft.com/fwlink/?linkid=870924
Comment:
    The difference in add ratio based on word frequency category. If scribes exhibit preference for the familiar, the HF add ratio should usually be higher than the LF add ratio (thus, the Add Ratio Difference should be positive)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Jonathan Wilken</author>
    <author>tc={387443A7-A77F-4AEC-BCD0-583B24F11233}</author>
    <author>tc={C2D72B92-BD52-471A-B12D-04BFB2E6F3E9}</author>
    <author>tc={C2D6C040-CFDE-4E69-8FBD-C9BB7B16100C}</author>
    <author>tc={17C6D982-0B43-410B-8623-381699C92866}</author>
    <author>tc={BCC8E0FD-4D15-4DF1-A870-F0DF117F9522}</author>
    <author>tc={EE98C3A8-EF71-4573-A7B4-0FE3173A1784}</author>
    <author>tc={87DEFD3F-A2DA-44D9-9767-2A20B0F68B6C}</author>
    <author>tc={C2936FE2-1559-4861-BF43-D8EBF6ADABEE}</author>
    <author>tc={01B0EEFA-29DA-4222-B5BD-317822F33448}</author>
    <author>tc={F755CC36-BADB-4EEB-8A25-E4BBD51E2841}</author>
    <author>tc={8B3B3B6A-A23B-49C5-8B80-CB971A47F5B5}</author>
    <author>tc={744D1816-D949-4CF0-A140-30FFA23A0B70}</author>
    <author>tc={1FBF8A2A-1548-4CFB-B32E-D55376D9C6AD}</author>
    <author>tc={94F61FF3-02EB-466E-8C7A-EB3C260F6E18}</author>
    <author>tc={76947B5E-7AB1-42EC-B090-D32E4A4B79D0}</author>
  </authors>
  <commentList>
    <comment ref="B1" authorId="0" shapeId="0" xr:uid="{A2106D59-023F-439B-A8B5-F6A998E97E26}">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53CCEAB1-007C-46F2-9702-17051B7FD612}">
      <text>
        <r>
          <rPr>
            <b/>
            <sz val="9"/>
            <color indexed="81"/>
            <rFont val="Tahoma"/>
            <family val="2"/>
          </rPr>
          <t>Jonathan Wilken:</t>
        </r>
        <r>
          <rPr>
            <sz val="9"/>
            <color indexed="81"/>
            <rFont val="Tahoma"/>
            <family val="2"/>
          </rPr>
          <t xml:space="preserve">
Reading from apograph (i.e., younger copy)</t>
        </r>
      </text>
    </comment>
    <comment ref="D1" authorId="0" shapeId="0" xr:uid="{A3DABEBC-48F0-4391-81BA-2ACA01B0DEAC}">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AB419897-DFFC-4528-B73E-07A50564030D}">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96E198BE-1642-44F9-9A4F-64D232098EBA}">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484BFB35-D49B-40F6-BB18-CF14E88AE439}">
      <text>
        <r>
          <rPr>
            <b/>
            <sz val="9"/>
            <color indexed="81"/>
            <rFont val="Tahoma"/>
            <family val="2"/>
          </rPr>
          <t>Jonathan Wilken:</t>
        </r>
        <r>
          <rPr>
            <sz val="9"/>
            <color indexed="81"/>
            <rFont val="Tahoma"/>
            <family val="2"/>
          </rPr>
          <t xml:space="preserve">
Add, omit, transposition, substitution, combo</t>
        </r>
      </text>
    </comment>
    <comment ref="H1" authorId="0" shapeId="0" xr:uid="{8EB6E8AA-FDB3-4151-8165-0AE37E200FE9}">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AC3C5314-77DD-47AA-8A5D-E39A8D20A902}">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779A79B3-EBA1-45B8-AFD1-6B60208D589B}">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5EC033A0-3CBD-42D8-BCD7-7D6FD463B776}">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E12B384D-C281-49AF-92D8-AABB5DD2A1B1}">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DB2CE007-4D64-4A14-9D4E-74253111ECA1}">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8EAE243A-8D1B-4DC6-9338-D16E9284ADCF}">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5A0C4D32-C276-4FF7-A8F7-6C5AF5A6A563}">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FE30CEBF-E8D6-4701-9CC2-BBD7FD656038}">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2FF1A3C3-414F-43A3-B0F2-C666137271D6}">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387443A7-A77F-4AEC-BCD0-583B24F11233}">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C2D72B92-BD52-471A-B12D-04BFB2E6F3E9}">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T1" authorId="3" shapeId="0" xr:uid="{C2D6C040-CFDE-4E69-8FBD-C9BB7B16100C}">
      <text>
        <t>[Threaded comment]
Your version of Excel allows you to read this threaded comment; however, any edits to it will get removed if the file is opened in a newer version of Excel. Learn more: https://go.microsoft.com/fwlink/?linkid=870924
Comment:
    Frequency occurrence of autograph reading per 10,000 words of text</t>
      </text>
    </comment>
    <comment ref="U1" authorId="4" shapeId="0" xr:uid="{17C6D982-0B43-410B-8623-381699C92866}">
      <text>
        <t>[Threaded comment]
Your version of Excel allows you to read this threaded comment; however, any edits to it will get removed if the file is opened in a newer version of Excel. Learn more: https://go.microsoft.com/fwlink/?linkid=870924
Comment:
    Frequency occurrence of apograph reading per 10,000 words of text</t>
      </text>
    </comment>
    <comment ref="V1" authorId="5" shapeId="0" xr:uid="{BCC8E0FD-4D15-4DF1-A870-F0DF117F9522}">
      <text>
        <t>[Threaded comment]
Your version of Excel allows you to read this threaded comment; however, any edits to it will get removed if the file is opened in a newer version of Excel. Learn more: https://go.microsoft.com/fwlink/?linkid=870924
Comment:
    Difference in the P10K frequency of the autograph and apograph readings. Difference = apograph - autograph. Thus, positive values indicate the apograph reading was a more common/frequent word; negative values indicate the apograph reading was a less common/frequent word</t>
      </text>
    </comment>
    <comment ref="Y1" authorId="0" shapeId="0" xr:uid="{36C9C132-A677-4C2C-8FF6-625202C3A757}">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39910D79-D5FA-4933-BC8A-F3EBA9EA9684}">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905A0630-B2C0-474E-A06E-0034AABCD9AB}">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C431B5D9-6E71-4F26-ADD8-4B85C4A83741}">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F5C32825-CA02-45E3-A279-29BE99571D0C}">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6BF63FAF-B312-4E9F-BA40-8E3C54A6ACDD}">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A344F15B-B1B5-49AF-9BDC-18BCC7D461BE}">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237" authorId="6" shapeId="0" xr:uid="{EE98C3A8-EF71-4573-A7B4-0FE3173A1784}">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240" authorId="7" shapeId="0" xr:uid="{87DEFD3F-A2DA-44D9-9767-2A20B0F68B6C}">
      <text>
        <t>[Threaded comment]
Your version of Excel allows you to read this threaded comment; however, any edits to it will get removed if the file is opened in a newer version of Excel. Learn more: https://go.microsoft.com/fwlink/?linkid=870924
Comment:
    Number of variants where the scribe used a more common/frequent word in place of a less common/frequent word</t>
      </text>
    </comment>
    <comment ref="D241" authorId="8" shapeId="0" xr:uid="{C2936FE2-1559-4861-BF43-D8EBF6ADABEE}">
      <text>
        <t>[Threaded comment]
Your version of Excel allows you to read this threaded comment; however, any edits to it will get removed if the file is opened in a newer version of Excel. Learn more: https://go.microsoft.com/fwlink/?linkid=870924
Comment:
    Number of variants where the scribe used a less common/frequent word in place of a more  common/frequent word</t>
      </text>
    </comment>
    <comment ref="D242" authorId="9" shapeId="0" xr:uid="{01B0EEFA-29DA-4222-B5BD-317822F33448}">
      <text>
        <t>[Threaded comment]
Your version of Excel allows you to read this threaded comment; however, any edits to it will get removed if the file is opened in a newer version of Excel. Learn more: https://go.microsoft.com/fwlink/?linkid=870924
Comment:
    Probability based on 2-tailed sign test: probability of obtaining a result as extreme as or more extreme than that shown above</t>
      </text>
    </comment>
    <comment ref="D244" authorId="10" shapeId="0" xr:uid="{F755CC36-BADB-4EEB-8A25-E4BBD51E2841}">
      <text>
        <t>[Threaded comment]
Your version of Excel allows you to read this threaded comment; however, any edits to it will get removed if the file is opened in a newer version of Excel. Learn more: https://go.microsoft.com/fwlink/?linkid=870924
Comment:
    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
      </text>
    </comment>
    <comment ref="D245" authorId="11" shapeId="0" xr:uid="{8B3B3B6A-A23B-49C5-8B80-CB971A47F5B5}">
      <text>
        <t>[Threaded comment]
Your version of Excel allows you to read this threaded comment; however, any edits to it will get removed if the file is opened in a newer version of Excel. Learn more: https://go.microsoft.com/fwlink/?linkid=870924
Comment:
    Standard deviation of the word frequency difference for substitutions</t>
      </text>
    </comment>
    <comment ref="D248" authorId="12" shapeId="0" xr:uid="{744D1816-D949-4CF0-A140-30FFA23A0B70}">
      <text>
        <t>[Threaded comment]
Your version of Excel allows you to read this threaded comment; however, any edits to it will get removed if the file is opened in a newer version of Excel. Learn more: https://go.microsoft.com/fwlink/?linkid=870924
Comment:
    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
      </text>
    </comment>
    <comment ref="D249" authorId="13" shapeId="0" xr:uid="{1FBF8A2A-1548-4CFB-B32E-D55376D9C6AD}">
      <text>
        <t>[Threaded comment]
Your version of Excel allows you to read this threaded comment; however, any edits to it will get removed if the file is opened in a newer version of Excel. Learn more: https://go.microsoft.com/fwlink/?linkid=870924
Comment:
    Standard deviation of the change in word frequency, using the frequency measure of "occurrences per 10,000 words"</t>
      </text>
    </comment>
    <comment ref="D252" authorId="14" shapeId="0" xr:uid="{94F61FF3-02EB-466E-8C7A-EB3C260F6E18}">
      <text>
        <t>[Threaded comment]
Your version of Excel allows you to read this threaded comment; however, any edits to it will get removed if the file is opened in a newer version of Excel. Learn more: https://go.microsoft.com/fwlink/?linkid=870924
Comment:
    Total number of substitutions for which a word frequency difference could be calculated</t>
      </text>
    </comment>
    <comment ref="D253" authorId="15" shapeId="0" xr:uid="{76947B5E-7AB1-42EC-B090-D32E4A4B79D0}">
      <text>
        <t>[Threaded comment]
Your version of Excel allows you to read this threaded comment; however, any edits to it will get removed if the file is opened in a newer version of Excel. Learn more: https://go.microsoft.com/fwlink/?linkid=870924
Comment:
    The standard deviation of word frequency difference scores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Jonathan Wilken</author>
    <author>tc={13419FA0-8DA7-49E2-B6A0-AB46BC8D23F3}</author>
    <author>tc={E6773809-7782-49BB-B520-8CF6CC133FA1}</author>
    <author>tc={0CEB815B-1D5F-443E-99FB-43E35EB7DFF8}</author>
    <author>tc={29F5BD62-0988-498B-9F09-82B0526EC9F2}</author>
    <author>tc={D4E7280C-835B-43B9-9C98-278DA4B388CB}</author>
  </authors>
  <commentList>
    <comment ref="B1" authorId="0" shapeId="0" xr:uid="{87896DB0-7F7E-4A49-BDC4-776B95324063}">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29D9BC95-5A9A-4EAD-A6BA-C3B808B689AD}">
      <text>
        <r>
          <rPr>
            <b/>
            <sz val="9"/>
            <color indexed="81"/>
            <rFont val="Tahoma"/>
            <family val="2"/>
          </rPr>
          <t>Jonathan Wilken:</t>
        </r>
        <r>
          <rPr>
            <sz val="9"/>
            <color indexed="81"/>
            <rFont val="Tahoma"/>
            <family val="2"/>
          </rPr>
          <t xml:space="preserve">
Reading from apograph (i.e., younger copy)</t>
        </r>
      </text>
    </comment>
    <comment ref="D1" authorId="0" shapeId="0" xr:uid="{C4BEEA91-19E2-469E-B526-06C554B9857C}">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927F93C6-C241-4902-B34F-0876B7CB1263}">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62AAF39D-B4C0-4A45-8EF9-38B5163F06D4}">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H1" authorId="0" shapeId="0" xr:uid="{786072BA-9052-4ECF-9E97-BC2A0C549148}">
      <text>
        <r>
          <rPr>
            <b/>
            <sz val="9"/>
            <color indexed="81"/>
            <rFont val="Tahoma"/>
            <family val="2"/>
          </rPr>
          <t>Jonathan Wilken:</t>
        </r>
        <r>
          <rPr>
            <sz val="9"/>
            <color indexed="81"/>
            <rFont val="Tahoma"/>
            <family val="2"/>
          </rPr>
          <t xml:space="preserve">
Add, omit, transposition, substitution, combo</t>
        </r>
      </text>
    </comment>
    <comment ref="I1" authorId="0" shapeId="0" xr:uid="{A9073735-9D09-413E-8674-1D2169A00352}">
      <text>
        <r>
          <rPr>
            <b/>
            <sz val="9"/>
            <color indexed="81"/>
            <rFont val="Tahoma"/>
            <family val="2"/>
          </rPr>
          <t>Jonathan Wilken:</t>
        </r>
        <r>
          <rPr>
            <sz val="9"/>
            <color indexed="81"/>
            <rFont val="Tahoma"/>
            <family val="2"/>
          </rPr>
          <t xml:space="preserve">
For add/omits. Should only be used if complete phrases &gt;= 1. Set to 0 for &lt; 1.
</t>
        </r>
      </text>
    </comment>
    <comment ref="J1" authorId="0" shapeId="0" xr:uid="{6917F05A-BCB2-4641-896A-61113F86E517}">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K1" authorId="0" shapeId="0" xr:uid="{C8C6514C-9BFF-4FC5-BFE7-6B789BE4C1F1}">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L1" authorId="0" shapeId="0" xr:uid="{64610462-E644-4771-926B-F998F307EEB2}">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M1" authorId="0" shapeId="0" xr:uid="{186F16B2-DAE2-4180-84F9-CECCDC221C45}">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N1" authorId="0" shapeId="0" xr:uid="{E8CC110E-88E1-43E0-BBA6-D0C031E334B7}">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O1" authorId="0" shapeId="0" xr:uid="{6947658B-9D71-4B54-820B-43A24877F3A7}">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P1" authorId="0" shapeId="0" xr:uid="{02A2840C-9C86-4270-A54F-0AE1983AB859}">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Q1" authorId="0" shapeId="0" xr:uid="{A9A49901-A9E7-42E9-A83C-24BFE477DA91}">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R1" authorId="0" shapeId="0" xr:uid="{A79D18A7-EE08-4F2F-A4DB-5EEAA791ED1A}">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1" shapeId="0" xr:uid="{13419FA0-8DA7-49E2-B6A0-AB46BC8D23F3}">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2" shapeId="0" xr:uid="{E6773809-7782-49BB-B520-8CF6CC133FA1}">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E5B15D2B-D7D8-4C28-821F-8AEE09C8FD0A}">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305A52C6-CB1F-4184-897F-7287A76BECC9}">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FE85BE03-3C16-4BFF-B360-F45671517CE0}">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A14EE1F0-6446-486C-9C11-33913F6FEFEC}">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B534D753-12DB-4AE4-B1D1-4237F5B923BF}">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CC8CE9F6-0CBF-4800-861A-27F739B923D3}">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E1E5A123-58CF-45AE-A7EA-6906ADB3CB20}">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81" authorId="3" shapeId="0" xr:uid="{0CEB815B-1D5F-443E-99FB-43E35EB7DFF8}">
      <text>
        <t>[Threaded comment]
Your version of Excel allows you to read this threaded comment; however, any edits to it will get removed if the file is opened in a newer version of Excel. Learn more: https://go.microsoft.com/fwlink/?linkid=870924
Comment:
    The number of variants that harmonized to parallel phrases in the near context</t>
      </text>
    </comment>
    <comment ref="D82" authorId="4" shapeId="0" xr:uid="{29F5BD62-0988-498B-9F09-82B0526EC9F2}">
      <text>
        <t>[Threaded comment]
Your version of Excel allows you to read this threaded comment; however, any edits to it will get removed if the file is opened in a newer version of Excel. Learn more: https://go.microsoft.com/fwlink/?linkid=870924
Comment:
    The number of variants that disharmonized from  parallel phrases in the near context</t>
      </text>
    </comment>
    <comment ref="D83" authorId="5" shapeId="0" xr:uid="{D4E7280C-835B-43B9-9C98-278DA4B388CB}">
      <text>
        <t>[Threaded comment]
Your version of Excel allows you to read this threaded comment; however, any edits to it will get removed if the file is opened in a newer version of Excel. Learn more: https://go.microsoft.com/fwlink/?linkid=870924
Comment:
    The ratio of harmonizations to disharmonizations; = harmonizations / (harmonizations + disharmonizations)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Jonathan Wilken</author>
  </authors>
  <commentList>
    <comment ref="A5" authorId="0" shapeId="0" xr:uid="{23B3B1B8-7910-489E-BA8D-F24C66444F42}">
      <text>
        <r>
          <rPr>
            <b/>
            <sz val="9"/>
            <color indexed="81"/>
            <rFont val="Tahoma"/>
            <family val="2"/>
          </rPr>
          <t>Jonathan Wilken:</t>
        </r>
        <r>
          <rPr>
            <sz val="9"/>
            <color indexed="81"/>
            <rFont val="Tahoma"/>
            <family val="2"/>
          </rPr>
          <t xml:space="preserve">
A sum of the words in each line. Calculated as the number of spaces in a line + 1. Will therefore miscount words that break across lines/columns</t>
        </r>
      </text>
    </comment>
    <comment ref="A7" authorId="0" shapeId="0" xr:uid="{62BA8A33-9928-4DED-82F2-0C8EBCF2A237}">
      <text>
        <r>
          <rPr>
            <b/>
            <sz val="9"/>
            <color indexed="81"/>
            <rFont val="Tahoma"/>
            <family val="2"/>
          </rPr>
          <t>Jonathan Wilken:</t>
        </r>
        <r>
          <rPr>
            <sz val="9"/>
            <color indexed="81"/>
            <rFont val="Tahoma"/>
            <family val="2"/>
          </rPr>
          <t xml:space="preserve">
Based on total number of columns / number of pages. Should visually confirm. (I think only the Grec 17 apographa used different numbers of columns for different pages.)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tc={625175C0-7E01-44DD-8D62-C61B2A1A6EE5}</author>
    <author>tc={7AC6A0D6-E15E-4114-A78F-663001C4616B}</author>
    <author>tc={AEE00366-3C36-43EA-B07C-7AF29FC88F0E}</author>
    <author>Jonathan Wilken</author>
  </authors>
  <commentList>
    <comment ref="H2" authorId="0" shapeId="0" xr:uid="{625175C0-7E01-44DD-8D62-C61B2A1A6EE5}">
      <text>
        <t>[Threaded comment]
Your version of Excel allows you to read this threaded comment; however, any edits to it will get removed if the file is opened in a newer version of Excel. Learn more: https://go.microsoft.com/fwlink/?linkid=870924
Comment:
    ="Medial Nasal" (Gignac, vol. 1) The omission of a nasal preceding a consonant in the middle of a word</t>
      </text>
    </comment>
    <comment ref="H3" authorId="1" shapeId="0" xr:uid="{7AC6A0D6-E15E-4114-A78F-663001C4616B}">
      <text>
        <t>[Threaded comment]
Your version of Excel allows you to read this threaded comment; however, any edits to it will get removed if the file is opened in a newer version of Excel. Learn more: https://go.microsoft.com/fwlink/?linkid=870924
Comment:
    ="Nasal Assimilation" (Gignac, vol. 1) Change of nasal consonants when preceding certain other consonants</t>
      </text>
    </comment>
    <comment ref="H4" authorId="2" shapeId="0" xr:uid="{AEE00366-3C36-43EA-B07C-7AF29FC88F0E}">
      <text>
        <t>[Threaded comment]
Your version of Excel allows you to read this threaded comment; however, any edits to it will get removed if the file is opened in a newer version of Excel. Learn more: https://go.microsoft.com/fwlink/?linkid=870924
Comment:
    = "Simplification or Gemination" (Gignac, vol. 1). The production or removal of duplicate consonants (e.g., σς &lt;-&gt; ς)</t>
      </text>
    </comment>
    <comment ref="A7" authorId="3" shapeId="0" xr:uid="{F4E51556-C249-4DE5-BA37-987A29FB7449}">
      <text>
        <r>
          <rPr>
            <b/>
            <sz val="9"/>
            <color indexed="81"/>
            <rFont val="Tahoma"/>
            <family val="2"/>
          </rPr>
          <t>Jonathan Wilken:</t>
        </r>
        <r>
          <rPr>
            <sz val="9"/>
            <color indexed="81"/>
            <rFont val="Tahoma"/>
            <family val="2"/>
          </rPr>
          <t xml:space="preserve">
A sum of the words in each line. Calculated as the number of spaces in a line + 1. Will therefore miscount words that break across lines/columns</t>
        </r>
      </text>
    </comment>
    <comment ref="A9" authorId="3" shapeId="0" xr:uid="{16269DB0-FCBC-4AEA-894E-D0FDC0494C41}">
      <text>
        <r>
          <rPr>
            <b/>
            <sz val="9"/>
            <color indexed="81"/>
            <rFont val="Tahoma"/>
            <family val="2"/>
          </rPr>
          <t>Jonathan Wilken:</t>
        </r>
        <r>
          <rPr>
            <sz val="9"/>
            <color indexed="81"/>
            <rFont val="Tahoma"/>
            <family val="2"/>
          </rPr>
          <t xml:space="preserve">
Based on total number of columns / number of pages. Should visually confirm. (I think only the Grec 17 apographa used different numbers of columns for different pages.)</t>
        </r>
      </text>
    </comment>
  </commentList>
</comments>
</file>

<file path=xl/sharedStrings.xml><?xml version="1.0" encoding="utf-8"?>
<sst xmlns="http://schemas.openxmlformats.org/spreadsheetml/2006/main" count="42912" uniqueCount="9727">
  <si>
    <t>Verse Ref</t>
  </si>
  <si>
    <t>Phys Loc 1</t>
  </si>
  <si>
    <t>Phys Loc 2</t>
  </si>
  <si>
    <t>Basic Type</t>
  </si>
  <si>
    <t>Harmonizing</t>
  </si>
  <si>
    <t>Autograph</t>
  </si>
  <si>
    <t>Apograph</t>
  </si>
  <si>
    <t>Detail</t>
  </si>
  <si>
    <t>Exclusion grounds</t>
  </si>
  <si>
    <t>Corrector followed</t>
  </si>
  <si>
    <t>Apograph corrected</t>
  </si>
  <si>
    <t>Cells tagged in red indicate mistakes remaining in my reconciled transcripts</t>
  </si>
  <si>
    <t>The form printed here will be correct; the VMR version will remain uncorrected for now for the sake of further research</t>
  </si>
  <si>
    <t>1Sam.1.1</t>
  </si>
  <si>
    <t>1Sam.1.3</t>
  </si>
  <si>
    <t>1Sam.1.4</t>
  </si>
  <si>
    <t>1Sam.1.5</t>
  </si>
  <si>
    <t>1Sam.1.6</t>
  </si>
  <si>
    <t>1Sam.1.8</t>
  </si>
  <si>
    <t>1Sam.1.9</t>
  </si>
  <si>
    <t>1Sam.1.11</t>
  </si>
  <si>
    <t>1Sam.1.12</t>
  </si>
  <si>
    <t>1Sam.1.13</t>
  </si>
  <si>
    <t>1Sam.1.15</t>
  </si>
  <si>
    <t>1Sam.1.17</t>
  </si>
  <si>
    <t>1Sam.1.18</t>
  </si>
  <si>
    <t>1Sam.1.19</t>
  </si>
  <si>
    <t>1Sam.1.20</t>
  </si>
  <si>
    <t>1Sam.1.26</t>
  </si>
  <si>
    <t>1Sam.1.27</t>
  </si>
  <si>
    <t>1Sam.1.28</t>
  </si>
  <si>
    <t>1Sam.2.1</t>
  </si>
  <si>
    <t>1Sam.2.3</t>
  </si>
  <si>
    <t>1Sam.2.4</t>
  </si>
  <si>
    <t>1Sam.2.5</t>
  </si>
  <si>
    <t>1Sam.2.6</t>
  </si>
  <si>
    <t>1Sam.2.8</t>
  </si>
  <si>
    <t>1Sam.2.9</t>
  </si>
  <si>
    <t>1Sam.2.10</t>
  </si>
  <si>
    <t>1Sam.2.11</t>
  </si>
  <si>
    <t>1Sam.2.12</t>
  </si>
  <si>
    <t>1Sam.2.13</t>
  </si>
  <si>
    <t>1Sam.2.14</t>
  </si>
  <si>
    <t>1Sam.2.15</t>
  </si>
  <si>
    <t>1Sam.2.16</t>
  </si>
  <si>
    <t>1Sam.2.17</t>
  </si>
  <si>
    <t>1Sam.2.19</t>
  </si>
  <si>
    <t>1Sam.2.20</t>
  </si>
  <si>
    <t>1Sam.2.21</t>
  </si>
  <si>
    <t>1Sam.2.25</t>
  </si>
  <si>
    <t>1Sam.2.26</t>
  </si>
  <si>
    <t>1Sam.2.27</t>
  </si>
  <si>
    <t>1Sam.2.28</t>
  </si>
  <si>
    <t>1Sam.2.30</t>
  </si>
  <si>
    <t>1Sam.2.31</t>
  </si>
  <si>
    <t>1Sam.2.33</t>
  </si>
  <si>
    <t>1Sam.2.34</t>
  </si>
  <si>
    <t>1Sam.2.35</t>
  </si>
  <si>
    <t>1Sam.2.36</t>
  </si>
  <si>
    <t>1Sam.3.1</t>
  </si>
  <si>
    <t>1Sam.3.3</t>
  </si>
  <si>
    <t>1Sam.3.5</t>
  </si>
  <si>
    <t>1Sam.3.6</t>
  </si>
  <si>
    <t>1Sam.3.8</t>
  </si>
  <si>
    <t>1Sam.3.11</t>
  </si>
  <si>
    <t>1Sam.3.14</t>
  </si>
  <si>
    <t>1Sam.3.16</t>
  </si>
  <si>
    <t>1Sam.3.17</t>
  </si>
  <si>
    <t>1Sam.3.20</t>
  </si>
  <si>
    <t>1Sam.4.1</t>
  </si>
  <si>
    <t>1Sam.4.2</t>
  </si>
  <si>
    <t>1Sam.4.3</t>
  </si>
  <si>
    <t>1Sam.4.5</t>
  </si>
  <si>
    <t>1Sam.4.6</t>
  </si>
  <si>
    <t>1Sam.4.8</t>
  </si>
  <si>
    <t>1Sam.4.9</t>
  </si>
  <si>
    <t>1Sam.4.10</t>
  </si>
  <si>
    <t>1Sam.4.11</t>
  </si>
  <si>
    <t>1Sam.4.15</t>
  </si>
  <si>
    <t>1Sam.4.17</t>
  </si>
  <si>
    <t>1Sam.4.18</t>
  </si>
  <si>
    <t>1Sam.4.19</t>
  </si>
  <si>
    <t>1Sam.4.20</t>
  </si>
  <si>
    <t>1Sam.4.21</t>
  </si>
  <si>
    <t>1Sam.4.22</t>
  </si>
  <si>
    <t>1Sam.5.2</t>
  </si>
  <si>
    <t>1Sam.5.3</t>
  </si>
  <si>
    <t>1Sam.5.4</t>
  </si>
  <si>
    <t>1Sam.5.5</t>
  </si>
  <si>
    <t>1Sam.5.7</t>
  </si>
  <si>
    <t>1Sam.5.8</t>
  </si>
  <si>
    <t>1Sam.5.9</t>
  </si>
  <si>
    <t>1Sam.5.11</t>
  </si>
  <si>
    <t>1Sam.5.12</t>
  </si>
  <si>
    <t>1Sam.6.1</t>
  </si>
  <si>
    <t>1Sam.6.2</t>
  </si>
  <si>
    <t>1Sam.6.3</t>
  </si>
  <si>
    <t>1Sam.6.4</t>
  </si>
  <si>
    <t>1Sam.6.5</t>
  </si>
  <si>
    <t>1Sam.6.6</t>
  </si>
  <si>
    <t>1Sam.6.7</t>
  </si>
  <si>
    <t>1Sam.6.8</t>
  </si>
  <si>
    <t>1Sam.6.9</t>
  </si>
  <si>
    <t>1Sam.6.10</t>
  </si>
  <si>
    <t>1Sam.6.11</t>
  </si>
  <si>
    <t>1Sam.6.12</t>
  </si>
  <si>
    <t>1Sam.6.13</t>
  </si>
  <si>
    <t>1Sam.6.14</t>
  </si>
  <si>
    <t>1Sam.6.15</t>
  </si>
  <si>
    <t>1Sam.6.16</t>
  </si>
  <si>
    <t>1Sam.6.17</t>
  </si>
  <si>
    <t>1Sam.6.18</t>
  </si>
  <si>
    <t>1Sam.6.19</t>
  </si>
  <si>
    <t>1Sam.6.20</t>
  </si>
  <si>
    <t>1Sam.6.21</t>
  </si>
  <si>
    <t>1Sam.7.1</t>
  </si>
  <si>
    <t>1Sam.7.2</t>
  </si>
  <si>
    <t>1Sam.7.3</t>
  </si>
  <si>
    <t>1Sam.7.4</t>
  </si>
  <si>
    <t>1Sam.7.5</t>
  </si>
  <si>
    <t>1Sam.7.6</t>
  </si>
  <si>
    <t>1Sam.7.7</t>
  </si>
  <si>
    <t>1Sam.7.8</t>
  </si>
  <si>
    <t>1Sam.7.9</t>
  </si>
  <si>
    <t>1Sam.7.12</t>
  </si>
  <si>
    <t>1Sam.7.13</t>
  </si>
  <si>
    <t>1Sam.7.14</t>
  </si>
  <si>
    <t>1Sam.7.15</t>
  </si>
  <si>
    <t>1Sam.7.16</t>
  </si>
  <si>
    <t>1Sam.7.17</t>
  </si>
  <si>
    <t>1Sam.8.3</t>
  </si>
  <si>
    <t>1Sam.8.4</t>
  </si>
  <si>
    <t>1Sam.8.5</t>
  </si>
  <si>
    <t>1Sam.8.6</t>
  </si>
  <si>
    <t>1Sam.8.7</t>
  </si>
  <si>
    <t>1Sam.8.8</t>
  </si>
  <si>
    <t>1Sam.8.9</t>
  </si>
  <si>
    <t>1Sam.8.10</t>
  </si>
  <si>
    <t>1Sam.8.11</t>
  </si>
  <si>
    <t>1Sam.8.12</t>
  </si>
  <si>
    <t>1Sam.9.12</t>
  </si>
  <si>
    <t>1Sam.9.13</t>
  </si>
  <si>
    <t>1Sam.9.14</t>
  </si>
  <si>
    <t>1Sam.9.15</t>
  </si>
  <si>
    <t>1Sam.9.16</t>
  </si>
  <si>
    <t>1Sam.9.18</t>
  </si>
  <si>
    <t>1Sam.9.19</t>
  </si>
  <si>
    <t>1Sam.9.20</t>
  </si>
  <si>
    <t>1Sam.9.21</t>
  </si>
  <si>
    <t>1Sam.9.23</t>
  </si>
  <si>
    <t>1Sam.9.24</t>
  </si>
  <si>
    <t>1Sam.9.27</t>
  </si>
  <si>
    <t>1Sam.10.1</t>
  </si>
  <si>
    <t>1Sam.10.2</t>
  </si>
  <si>
    <t>1Sam.10.3</t>
  </si>
  <si>
    <t>1Sam.10.4</t>
  </si>
  <si>
    <t>1Sam.10.6</t>
  </si>
  <si>
    <t>1Sam.10.8</t>
  </si>
  <si>
    <t>1Sam.10.10</t>
  </si>
  <si>
    <t>1Sam.10.11</t>
  </si>
  <si>
    <t>1Sam.10.14</t>
  </si>
  <si>
    <t>1Sam.10.15</t>
  </si>
  <si>
    <t>1Sam.10.16</t>
  </si>
  <si>
    <t>1Sam.10.18</t>
  </si>
  <si>
    <t>1Sam.10.19</t>
  </si>
  <si>
    <t>1Sam.10.21</t>
  </si>
  <si>
    <t>1Sam.10.22</t>
  </si>
  <si>
    <t>1Sam.10.24</t>
  </si>
  <si>
    <t>1Sam.10.25</t>
  </si>
  <si>
    <t>1Sam.10.27</t>
  </si>
  <si>
    <t>1Sam.11.1</t>
  </si>
  <si>
    <t>1Sam.11.2</t>
  </si>
  <si>
    <t>1Sam.11.3</t>
  </si>
  <si>
    <t>1Sam.11.7</t>
  </si>
  <si>
    <t>1Sam.11.9</t>
  </si>
  <si>
    <t>1Sam.11.10</t>
  </si>
  <si>
    <t>1Sam.11.11</t>
  </si>
  <si>
    <t>1Sam.11.14</t>
  </si>
  <si>
    <t>1Sam.11.15</t>
  </si>
  <si>
    <t>1Sam.12.2</t>
  </si>
  <si>
    <t>1Sam.12.3</t>
  </si>
  <si>
    <t>1Sam.12.4</t>
  </si>
  <si>
    <t>1Sam.12.6</t>
  </si>
  <si>
    <t>1Sam.12.7</t>
  </si>
  <si>
    <t>1Sam.12.8</t>
  </si>
  <si>
    <t>1Sam.12.9</t>
  </si>
  <si>
    <t>1Sam.12.10</t>
  </si>
  <si>
    <t>1Sam.12.11</t>
  </si>
  <si>
    <t>1Sam.12.13</t>
  </si>
  <si>
    <t>1Sam.12.15</t>
  </si>
  <si>
    <t>1Sam.12.16</t>
  </si>
  <si>
    <t>1Sam.12.17</t>
  </si>
  <si>
    <t>1Sam.14.12</t>
  </si>
  <si>
    <t>1Sam.14.14</t>
  </si>
  <si>
    <t>1Sam.14.15</t>
  </si>
  <si>
    <t>1Sam.14.16</t>
  </si>
  <si>
    <t>1Sam.14.17</t>
  </si>
  <si>
    <t>1Sam.14.18</t>
  </si>
  <si>
    <t>1Sam.14.19</t>
  </si>
  <si>
    <t>1Sam.14.20</t>
  </si>
  <si>
    <t>1Sam.14.21</t>
  </si>
  <si>
    <t>1Sam.14.22</t>
  </si>
  <si>
    <t>1Sam.14.23</t>
  </si>
  <si>
    <t>1Sam.14.24</t>
  </si>
  <si>
    <t>1Sam.14.25</t>
  </si>
  <si>
    <t>1Sam.14.27</t>
  </si>
  <si>
    <t>1Sam.14.28</t>
  </si>
  <si>
    <t>1Sam.14.29</t>
  </si>
  <si>
    <t>1Sam.14.30</t>
  </si>
  <si>
    <t>1Sam.14.33</t>
  </si>
  <si>
    <t>1Sam.14.34</t>
  </si>
  <si>
    <t>1Sam.14.36</t>
  </si>
  <si>
    <t>1Sam.14.38</t>
  </si>
  <si>
    <t>1Sam.14.39</t>
  </si>
  <si>
    <t>1Sam.14.40</t>
  </si>
  <si>
    <t>1Sam.14.41</t>
  </si>
  <si>
    <t>1Sam.14.42</t>
  </si>
  <si>
    <t>1Sam.14.47</t>
  </si>
  <si>
    <t>1Sam.14.48</t>
  </si>
  <si>
    <t>1Sam.14.50</t>
  </si>
  <si>
    <t>1Sam.14.51</t>
  </si>
  <si>
    <t>1Sam.15.1</t>
  </si>
  <si>
    <t>1Sam.15.3</t>
  </si>
  <si>
    <t>1Sam.15.5</t>
  </si>
  <si>
    <t>1Sam.15.6</t>
  </si>
  <si>
    <t>1Sam.15.7</t>
  </si>
  <si>
    <t>1Sam.15.9</t>
  </si>
  <si>
    <t>1Sam.15.11</t>
  </si>
  <si>
    <t>1Sam.15.12</t>
  </si>
  <si>
    <t>1Sam.15.15</t>
  </si>
  <si>
    <t>1Sam.15.20</t>
  </si>
  <si>
    <t>1Sam.15.21</t>
  </si>
  <si>
    <t>1Sam.15.22</t>
  </si>
  <si>
    <t>1Sam.15.23</t>
  </si>
  <si>
    <t>1Sam.15.25</t>
  </si>
  <si>
    <t>1Sam.15.27</t>
  </si>
  <si>
    <t>1Sam.15.28</t>
  </si>
  <si>
    <t>1Sam.15.29</t>
  </si>
  <si>
    <t>1Sam.15.30</t>
  </si>
  <si>
    <t>1Sam.15.32</t>
  </si>
  <si>
    <t>1Sam.15.33</t>
  </si>
  <si>
    <t>1Sam.15.34</t>
  </si>
  <si>
    <t>1Sam.15.35</t>
  </si>
  <si>
    <t>1Sam.16.1</t>
  </si>
  <si>
    <t>1Sam.16.2</t>
  </si>
  <si>
    <t>1Sam.16.3</t>
  </si>
  <si>
    <t>1Sam.16.4</t>
  </si>
  <si>
    <t>1Sam.16.6</t>
  </si>
  <si>
    <t>1Sam.16.7</t>
  </si>
  <si>
    <t>1Sam.16.8</t>
  </si>
  <si>
    <t>1Sam.16.9</t>
  </si>
  <si>
    <t>1Sam.16.13</t>
  </si>
  <si>
    <t>1Sam.16.16</t>
  </si>
  <si>
    <t>1Sam.16.17</t>
  </si>
  <si>
    <t>1Sam.16.18</t>
  </si>
  <si>
    <t>1Sam.16.20</t>
  </si>
  <si>
    <t>1Sam.16.21</t>
  </si>
  <si>
    <t>1Sam.17.1</t>
  </si>
  <si>
    <t>1Sam.17.2</t>
  </si>
  <si>
    <t>1Sam.17.5</t>
  </si>
  <si>
    <t>1Sam.17.6</t>
  </si>
  <si>
    <t>1Sam.17.7</t>
  </si>
  <si>
    <t>1Sam.17.8</t>
  </si>
  <si>
    <t>1Sam.17.9</t>
  </si>
  <si>
    <t>1Sam.17.10</t>
  </si>
  <si>
    <t>1Sam.17.11</t>
  </si>
  <si>
    <t>1Sam.17.12</t>
  </si>
  <si>
    <t>1Sam.17.13</t>
  </si>
  <si>
    <t>1Sam.17.14</t>
  </si>
  <si>
    <t>1Sam.17.17</t>
  </si>
  <si>
    <t>1Sam.17.18</t>
  </si>
  <si>
    <t>1Sam.17.20</t>
  </si>
  <si>
    <t>1Sam.17.21</t>
  </si>
  <si>
    <t>1Sam.17.22</t>
  </si>
  <si>
    <t>1Sam.17.23</t>
  </si>
  <si>
    <t>1Sam.17.25</t>
  </si>
  <si>
    <t>1Sam.17.26</t>
  </si>
  <si>
    <t>1Sam.17.27</t>
  </si>
  <si>
    <t>1Sam.17.28</t>
  </si>
  <si>
    <t>1Sam.17.30</t>
  </si>
  <si>
    <t>1Sam.17.31</t>
  </si>
  <si>
    <t>1Sam.17.32</t>
  </si>
  <si>
    <t>1Sam.17.33</t>
  </si>
  <si>
    <t>1Sam.17.35</t>
  </si>
  <si>
    <t>1Sam.17.36</t>
  </si>
  <si>
    <t>1Sam.17.37</t>
  </si>
  <si>
    <t>1Sam.17.39</t>
  </si>
  <si>
    <t>1Sam.17.40</t>
  </si>
  <si>
    <t>1Sam.17.41</t>
  </si>
  <si>
    <t>1Sam.17.42</t>
  </si>
  <si>
    <t>1Sam.17.43</t>
  </si>
  <si>
    <t>1Sam.17.45</t>
  </si>
  <si>
    <t>1Sam.17.46</t>
  </si>
  <si>
    <t>1Sam.17.47</t>
  </si>
  <si>
    <t>1Sam.17.49</t>
  </si>
  <si>
    <t>1Sam.17.51</t>
  </si>
  <si>
    <t>1Sam.17.52</t>
  </si>
  <si>
    <t>1Sam.17.53</t>
  </si>
  <si>
    <t>1Sam.17.54</t>
  </si>
  <si>
    <t>1Sam.17.55</t>
  </si>
  <si>
    <t>1Sam.17.56</t>
  </si>
  <si>
    <t>1Sam.17.57</t>
  </si>
  <si>
    <t>1Sam.17.58</t>
  </si>
  <si>
    <t>1Sam.18.1</t>
  </si>
  <si>
    <t>1Sam.18.2</t>
  </si>
  <si>
    <t>1Sam.18.4</t>
  </si>
  <si>
    <t>1Sam.18.6</t>
  </si>
  <si>
    <t>1Sam.18.8</t>
  </si>
  <si>
    <t>1Sam.18.10</t>
  </si>
  <si>
    <t>1Sam.18.11</t>
  </si>
  <si>
    <t>1Sam.18.15</t>
  </si>
  <si>
    <t>1Sam.18.17</t>
  </si>
  <si>
    <t>1Sam.18.18</t>
  </si>
  <si>
    <t>1Sam.18.19</t>
  </si>
  <si>
    <t>1Sam.18.21</t>
  </si>
  <si>
    <t>1Sam.18.22</t>
  </si>
  <si>
    <t>1Sam.18.26</t>
  </si>
  <si>
    <t>1Sam.18.27</t>
  </si>
  <si>
    <t>1Sam.18.28</t>
  </si>
  <si>
    <t>1Sam.19.2</t>
  </si>
  <si>
    <t>1Sam.19.3</t>
  </si>
  <si>
    <t>1Sam.19.5</t>
  </si>
  <si>
    <t>1Sam.19.6</t>
  </si>
  <si>
    <t>1Sam.19.7</t>
  </si>
  <si>
    <t>1Sam.19.9</t>
  </si>
  <si>
    <t>1Sam.19.10</t>
  </si>
  <si>
    <t>1Sam.19.11</t>
  </si>
  <si>
    <t>1Sam.19.12</t>
  </si>
  <si>
    <t>1Sam.19.13</t>
  </si>
  <si>
    <t>1Sam.19.15</t>
  </si>
  <si>
    <t>1Sam.19.16</t>
  </si>
  <si>
    <t>1Sam.19.17</t>
  </si>
  <si>
    <t>1Sam.19.18</t>
  </si>
  <si>
    <t>1Sam.19.19</t>
  </si>
  <si>
    <t>1Sam.19.20</t>
  </si>
  <si>
    <t>1Sam.19.22</t>
  </si>
  <si>
    <t>1Sam.19.23</t>
  </si>
  <si>
    <t>1Sam.19.24</t>
  </si>
  <si>
    <t>1Sam.20.1</t>
  </si>
  <si>
    <t>1Sam.20.3</t>
  </si>
  <si>
    <t>1Sam.20.5</t>
  </si>
  <si>
    <t>1Sam.20.6</t>
  </si>
  <si>
    <t>1Sam.20.7</t>
  </si>
  <si>
    <t>1Sam.20.8</t>
  </si>
  <si>
    <t>1Sam.20.9</t>
  </si>
  <si>
    <t>1Sam.20.10</t>
  </si>
  <si>
    <t>1Sam.20.12</t>
  </si>
  <si>
    <t>1Sam.20.13</t>
  </si>
  <si>
    <t>1Sam.20.14</t>
  </si>
  <si>
    <t>1Sam.20.15</t>
  </si>
  <si>
    <t>1Sam.20.16</t>
  </si>
  <si>
    <t>1Sam.20.17</t>
  </si>
  <si>
    <t>1Sam.20.19</t>
  </si>
  <si>
    <t>1Sam.20.21</t>
  </si>
  <si>
    <t>1Sam.20.22</t>
  </si>
  <si>
    <t>1Sam.20.23</t>
  </si>
  <si>
    <t>1Sam.20.25</t>
  </si>
  <si>
    <t>1Sam.20.26</t>
  </si>
  <si>
    <t>1Sam.20.27</t>
  </si>
  <si>
    <t>1Sam.20.28</t>
  </si>
  <si>
    <t>1Sam.20.29</t>
  </si>
  <si>
    <t>1Sam.20.30</t>
  </si>
  <si>
    <t>1Sam.20.31</t>
  </si>
  <si>
    <t>1Sam.20.32</t>
  </si>
  <si>
    <t>1Sam.20.33</t>
  </si>
  <si>
    <t>1Sam.20.34</t>
  </si>
  <si>
    <t>1Sam.20.35</t>
  </si>
  <si>
    <t>1Sam.20.36</t>
  </si>
  <si>
    <t>1Sam.20.38</t>
  </si>
  <si>
    <t>1Sam.20.40</t>
  </si>
  <si>
    <t>1Sam.20.41</t>
  </si>
  <si>
    <t>1Sam.20.42</t>
  </si>
  <si>
    <t>1Sam.21.1</t>
  </si>
  <si>
    <t>1Sam.21.2</t>
  </si>
  <si>
    <t>1Sam.21.3</t>
  </si>
  <si>
    <t>1Sam.21.4</t>
  </si>
  <si>
    <t>1Sam.21.5</t>
  </si>
  <si>
    <t>1Sam.21.6</t>
  </si>
  <si>
    <t>1Sam.21.9</t>
  </si>
  <si>
    <t>1Sam.21.11</t>
  </si>
  <si>
    <t>1Sam.21.12</t>
  </si>
  <si>
    <t>1Sam.21.13</t>
  </si>
  <si>
    <t>1Sam.21.15</t>
  </si>
  <si>
    <t>1Sam.22.2</t>
  </si>
  <si>
    <t>1Sam.22.5</t>
  </si>
  <si>
    <t>1Sam.22.6</t>
  </si>
  <si>
    <t>1Sam.22.7</t>
  </si>
  <si>
    <t>1Sam.22.8</t>
  </si>
  <si>
    <t>1Sam.22.9</t>
  </si>
  <si>
    <t>1Sam.22.10</t>
  </si>
  <si>
    <t>1Sam.22.11</t>
  </si>
  <si>
    <t>1Sam.22.13</t>
  </si>
  <si>
    <t>1Sam.22.15</t>
  </si>
  <si>
    <t>1Sam.22.17</t>
  </si>
  <si>
    <t>1Sam.22.18</t>
  </si>
  <si>
    <t>1Sam.22.19</t>
  </si>
  <si>
    <t>1Sam.22.20</t>
  </si>
  <si>
    <t>1Sam.22.22</t>
  </si>
  <si>
    <t>1Sam.22.23</t>
  </si>
  <si>
    <t>1Sam.23.2</t>
  </si>
  <si>
    <t>1Sam.23.3</t>
  </si>
  <si>
    <t>1Sam.23.4</t>
  </si>
  <si>
    <t>1Sam.23.5</t>
  </si>
  <si>
    <t>1Sam.23.6</t>
  </si>
  <si>
    <t>1Sam.23.7</t>
  </si>
  <si>
    <t>1Sam.23.8</t>
  </si>
  <si>
    <t>1Sam.23.9</t>
  </si>
  <si>
    <t>1Sam.23.10</t>
  </si>
  <si>
    <t>1Sam.23.11</t>
  </si>
  <si>
    <t>1Sam.23.12</t>
  </si>
  <si>
    <t>1Sam.23.13</t>
  </si>
  <si>
    <t>1Sam.23.14</t>
  </si>
  <si>
    <t>1Sam.23.15</t>
  </si>
  <si>
    <t>1Sam.23.19</t>
  </si>
  <si>
    <t>1Sam.23.20</t>
  </si>
  <si>
    <t>1Sam.23.22</t>
  </si>
  <si>
    <t>1Sam.23.23</t>
  </si>
  <si>
    <t>1Sam.23.24</t>
  </si>
  <si>
    <t>1Sam.23.26</t>
  </si>
  <si>
    <t>1Sam.23.27</t>
  </si>
  <si>
    <t>1Sam.24.1</t>
  </si>
  <si>
    <t>1Sam.24.2</t>
  </si>
  <si>
    <t>1Sam.24.3</t>
  </si>
  <si>
    <t>1Sam.24.5</t>
  </si>
  <si>
    <t>1Sam.24.7</t>
  </si>
  <si>
    <t>1Sam.24.8</t>
  </si>
  <si>
    <t>1Sam.24.9</t>
  </si>
  <si>
    <t>1Sam.24.11</t>
  </si>
  <si>
    <t>1Sam.24.12</t>
  </si>
  <si>
    <t>1Sam.24.14</t>
  </si>
  <si>
    <t>1Sam.24.15</t>
  </si>
  <si>
    <t>1Sam.24.18</t>
  </si>
  <si>
    <t>1Sam.24.19</t>
  </si>
  <si>
    <t>1Sam.24.21</t>
  </si>
  <si>
    <t>1Sam.25.2</t>
  </si>
  <si>
    <t>1Sam.25.3</t>
  </si>
  <si>
    <t>1Sam.25.6</t>
  </si>
  <si>
    <t>1Sam.25.8</t>
  </si>
  <si>
    <t>1Sam.25.12</t>
  </si>
  <si>
    <t>1Sam.25.13</t>
  </si>
  <si>
    <t>1Sam.25.14</t>
  </si>
  <si>
    <t>1Sam.25.17</t>
  </si>
  <si>
    <t>1Sam.25.18</t>
  </si>
  <si>
    <t>1Sam.25.19</t>
  </si>
  <si>
    <t>1Sam.25.20</t>
  </si>
  <si>
    <t>1Sam.25.22</t>
  </si>
  <si>
    <t>1Sam.25.23</t>
  </si>
  <si>
    <t>1Sam.25.24</t>
  </si>
  <si>
    <t>1Sam.25.25</t>
  </si>
  <si>
    <t>1Sam.25.26</t>
  </si>
  <si>
    <t>1Sam.25.27</t>
  </si>
  <si>
    <t>1Sam.25.28</t>
  </si>
  <si>
    <t>1Sam.25.29</t>
  </si>
  <si>
    <t>1Sam.25.30</t>
  </si>
  <si>
    <t>1Sam.25.31</t>
  </si>
  <si>
    <t>1Sam.25.33</t>
  </si>
  <si>
    <t>1Sam.25.34</t>
  </si>
  <si>
    <t>1Sam.25.35</t>
  </si>
  <si>
    <t>1Sam.25.36</t>
  </si>
  <si>
    <t>1Sam.25.37</t>
  </si>
  <si>
    <t>1Sam.25.39</t>
  </si>
  <si>
    <t>1Sam.25.41</t>
  </si>
  <si>
    <t>1Sam.25.42</t>
  </si>
  <si>
    <t>1Sam.25.43</t>
  </si>
  <si>
    <t>1Sam.26.1</t>
  </si>
  <si>
    <t>1Sam.26.2</t>
  </si>
  <si>
    <t>1Sam.26.3</t>
  </si>
  <si>
    <t>1Sam.26.4</t>
  </si>
  <si>
    <t>1Sam.26.5</t>
  </si>
  <si>
    <t>1Sam.26.6</t>
  </si>
  <si>
    <t>1Sam.26.7</t>
  </si>
  <si>
    <t>1Sam.26.8</t>
  </si>
  <si>
    <t>1Sam.26.9</t>
  </si>
  <si>
    <t>1Sam.26.10</t>
  </si>
  <si>
    <t>1Sam.26.11</t>
  </si>
  <si>
    <t>1Sam.26.15</t>
  </si>
  <si>
    <t>1Sam.26.16</t>
  </si>
  <si>
    <t>1Sam.26.18</t>
  </si>
  <si>
    <t>1Sam.26.19</t>
  </si>
  <si>
    <t>1Sam.26.21</t>
  </si>
  <si>
    <t>1Sam.26.22</t>
  </si>
  <si>
    <t>1Sam.26.23</t>
  </si>
  <si>
    <t>1Sam.26.24</t>
  </si>
  <si>
    <t>1Sam.26.25</t>
  </si>
  <si>
    <t>1Sam.27.1</t>
  </si>
  <si>
    <t>1Sam.27.3</t>
  </si>
  <si>
    <t>1Sam.27.4</t>
  </si>
  <si>
    <t>1Sam.27.5</t>
  </si>
  <si>
    <t>1Sam.27.7</t>
  </si>
  <si>
    <t>1Sam.27.8</t>
  </si>
  <si>
    <t>1Sam.27.9</t>
  </si>
  <si>
    <t>1Sam.27.11</t>
  </si>
  <si>
    <t>1Sam.27.12</t>
  </si>
  <si>
    <t>1Sam.28.1</t>
  </si>
  <si>
    <t>1Sam.28.2</t>
  </si>
  <si>
    <t>1Sam.28.3</t>
  </si>
  <si>
    <t>1Sam.28.4</t>
  </si>
  <si>
    <t>1Sam.28.5</t>
  </si>
  <si>
    <t>1Sam.28.7</t>
  </si>
  <si>
    <t>1Sam.28.8</t>
  </si>
  <si>
    <t>1Sam.28.9</t>
  </si>
  <si>
    <t>1Sam.28.11</t>
  </si>
  <si>
    <t>1Sam.28.12</t>
  </si>
  <si>
    <t>1Sam.28.13</t>
  </si>
  <si>
    <t>1Sam.28.14</t>
  </si>
  <si>
    <t>1Sam.28.16</t>
  </si>
  <si>
    <t>1Sam.28.17</t>
  </si>
  <si>
    <t>1Sam.28.18</t>
  </si>
  <si>
    <t>1Sam.28.20</t>
  </si>
  <si>
    <t>1Sam.28.21</t>
  </si>
  <si>
    <t>1Sam.28.22</t>
  </si>
  <si>
    <t>1Sam.28.24</t>
  </si>
  <si>
    <t>1Sam.29.2</t>
  </si>
  <si>
    <t>1Sam.29.4</t>
  </si>
  <si>
    <t>1Sam.29.5</t>
  </si>
  <si>
    <t>1Sam.29.6</t>
  </si>
  <si>
    <t>1Sam.29.7</t>
  </si>
  <si>
    <t>1Sam.29.9</t>
  </si>
  <si>
    <t>1Sam.29.10</t>
  </si>
  <si>
    <t>1Sam.29.11</t>
  </si>
  <si>
    <t>1Sam.30.1</t>
  </si>
  <si>
    <t>1Sam.30.2</t>
  </si>
  <si>
    <t>1Sam.30.3</t>
  </si>
  <si>
    <t>1Sam.30.4</t>
  </si>
  <si>
    <t>1Sam.30.5</t>
  </si>
  <si>
    <t>1Sam.30.6</t>
  </si>
  <si>
    <t>1Sam.30.8</t>
  </si>
  <si>
    <t>1Sam.30.10</t>
  </si>
  <si>
    <t>1Sam.30.12</t>
  </si>
  <si>
    <t>1Sam.30.13</t>
  </si>
  <si>
    <t>1Sam.30.14</t>
  </si>
  <si>
    <t>1Sam.30.15</t>
  </si>
  <si>
    <t>1Sam.30.16</t>
  </si>
  <si>
    <t>1Sam.30.17</t>
  </si>
  <si>
    <t>1Sam.30.18</t>
  </si>
  <si>
    <t>1Sam.30.20</t>
  </si>
  <si>
    <t>1Sam.30.21</t>
  </si>
  <si>
    <t>1Sam.30.22</t>
  </si>
  <si>
    <t>1Sam.30.24</t>
  </si>
  <si>
    <t>1Sam.30.26</t>
  </si>
  <si>
    <t>1Sam.30.27</t>
  </si>
  <si>
    <t>1Sam.30.29</t>
  </si>
  <si>
    <t>1Sam.31.1</t>
  </si>
  <si>
    <t>1Sam.31.2</t>
  </si>
  <si>
    <t>1Sam.31.3</t>
  </si>
  <si>
    <t>1Sam.31.4</t>
  </si>
  <si>
    <t>1Sam.31.5</t>
  </si>
  <si>
    <t>1Sam.31.7</t>
  </si>
  <si>
    <t>1Sam.31.9</t>
  </si>
  <si>
    <t>1Sam.31.10</t>
  </si>
  <si>
    <t>1Sam.31.11</t>
  </si>
  <si>
    <t>1Sam.31.12</t>
  </si>
  <si>
    <t>1Sam.31.13</t>
  </si>
  <si>
    <t>2Sam.1.1</t>
  </si>
  <si>
    <t>2Sam.1.2</t>
  </si>
  <si>
    <t>2Sam.1.4</t>
  </si>
  <si>
    <t>2Sam.1.6</t>
  </si>
  <si>
    <t>2Sam.1.7</t>
  </si>
  <si>
    <t>2Sam.1.8</t>
  </si>
  <si>
    <t>2Sam.1.9</t>
  </si>
  <si>
    <t>2Sam.1.10</t>
  </si>
  <si>
    <t>2Sam.1.11</t>
  </si>
  <si>
    <t>2Sam.1.12</t>
  </si>
  <si>
    <t>2Sam.1.13</t>
  </si>
  <si>
    <t>2Sam.1.14</t>
  </si>
  <si>
    <t>2Sam.1.19</t>
  </si>
  <si>
    <t>2Sam.1.20</t>
  </si>
  <si>
    <t>2Sam.1.21</t>
  </si>
  <si>
    <t>2Sam.1.22</t>
  </si>
  <si>
    <t>2Sam.1.23</t>
  </si>
  <si>
    <t>2Sam.1.24</t>
  </si>
  <si>
    <t>2Sam.1.25</t>
  </si>
  <si>
    <t>2Sam.1.26</t>
  </si>
  <si>
    <t>2Sam.1.27</t>
  </si>
  <si>
    <t>2Sam.2.1</t>
  </si>
  <si>
    <t>2Sam.2.2</t>
  </si>
  <si>
    <t>2Sam.2.3</t>
  </si>
  <si>
    <t>2Sam.2.4</t>
  </si>
  <si>
    <t>2Sam.2.5</t>
  </si>
  <si>
    <t>2Sam.2.6</t>
  </si>
  <si>
    <t>2Sam.2.7</t>
  </si>
  <si>
    <t>2Sam.2.8</t>
  </si>
  <si>
    <t>2Sam.2.9</t>
  </si>
  <si>
    <t>2Sam.2.10</t>
  </si>
  <si>
    <t>2Sam.2.11</t>
  </si>
  <si>
    <t>2Sam.2.12</t>
  </si>
  <si>
    <t>2Sam.2.13</t>
  </si>
  <si>
    <t>2Sam.2.14</t>
  </si>
  <si>
    <t>2Sam.2.15</t>
  </si>
  <si>
    <t>2Sam.2.16</t>
  </si>
  <si>
    <t>2Sam.2.17</t>
  </si>
  <si>
    <t>2Sam.2.18</t>
  </si>
  <si>
    <t>2Sam.2.19</t>
  </si>
  <si>
    <t>2Sam.2.20</t>
  </si>
  <si>
    <t>2Sam.2.21</t>
  </si>
  <si>
    <t>2Sam.2.22</t>
  </si>
  <si>
    <t>2Sam.2.23</t>
  </si>
  <si>
    <t>2Sam.2.24</t>
  </si>
  <si>
    <t>2Sam.2.25</t>
  </si>
  <si>
    <t>2Sam.2.26</t>
  </si>
  <si>
    <t>2Sam.2.27</t>
  </si>
  <si>
    <t>2Sam.2.28</t>
  </si>
  <si>
    <t>2Sam.2.29</t>
  </si>
  <si>
    <t>2Sam.2.30</t>
  </si>
  <si>
    <t>2Sam.2.31</t>
  </si>
  <si>
    <t>2Sam.2.32</t>
  </si>
  <si>
    <t>2Sam.3.1</t>
  </si>
  <si>
    <t>2Sam.3.2</t>
  </si>
  <si>
    <t>2Sam.3.3</t>
  </si>
  <si>
    <t>2Sam.3.4</t>
  </si>
  <si>
    <t>2Sam.3.5</t>
  </si>
  <si>
    <t>2Sam.3.6</t>
  </si>
  <si>
    <t>2Sam.3.7</t>
  </si>
  <si>
    <t>2Sam.3.8</t>
  </si>
  <si>
    <t>2Sam.3.9</t>
  </si>
  <si>
    <t>2Sam.3.10</t>
  </si>
  <si>
    <t>2Sam.3.11</t>
  </si>
  <si>
    <t>2Sam.3.13</t>
  </si>
  <si>
    <t>2Sam.3.14</t>
  </si>
  <si>
    <t>2Sam.3.15</t>
  </si>
  <si>
    <t>2Sam.3.16</t>
  </si>
  <si>
    <t>2Sam.3.17</t>
  </si>
  <si>
    <t>2Sam.3.19</t>
  </si>
  <si>
    <t>2Sam.3.21</t>
  </si>
  <si>
    <t>2Sam.3.22</t>
  </si>
  <si>
    <t>2Sam.3.23</t>
  </si>
  <si>
    <t>2Sam.3.24</t>
  </si>
  <si>
    <t>2Sam.3.25</t>
  </si>
  <si>
    <t>2Sam.3.27</t>
  </si>
  <si>
    <t>2Sam.3.29</t>
  </si>
  <si>
    <t>2Sam.3.30</t>
  </si>
  <si>
    <t>2Sam.3.31</t>
  </si>
  <si>
    <t>2Sam.3.32</t>
  </si>
  <si>
    <t>2Sam.3.34</t>
  </si>
  <si>
    <t>2Sam.3.35</t>
  </si>
  <si>
    <t>2Sam.3.39</t>
  </si>
  <si>
    <t>2Sam.4.1</t>
  </si>
  <si>
    <t>2Sam.4.2</t>
  </si>
  <si>
    <t>2Sam.4.4</t>
  </si>
  <si>
    <t>2Sam.4.5</t>
  </si>
  <si>
    <t>2Sam.4.6</t>
  </si>
  <si>
    <t>2Sam.4.7</t>
  </si>
  <si>
    <t>2Sam.4.8</t>
  </si>
  <si>
    <t>2Sam.4.9</t>
  </si>
  <si>
    <t>2Sam.4.10</t>
  </si>
  <si>
    <t>2Sam.4.11</t>
  </si>
  <si>
    <t>2Sam.4.12</t>
  </si>
  <si>
    <t>2Sam.5.1</t>
  </si>
  <si>
    <t>2Sam.5.2</t>
  </si>
  <si>
    <t>2Sam.5.3</t>
  </si>
  <si>
    <t>2Sam.5.4</t>
  </si>
  <si>
    <t>2Sam.5.5</t>
  </si>
  <si>
    <t>2Sam.5.6</t>
  </si>
  <si>
    <t>2Sam.5.7</t>
  </si>
  <si>
    <t>2Sam.5.8</t>
  </si>
  <si>
    <t>2Sam.5.9</t>
  </si>
  <si>
    <t>2Sam.5.15</t>
  </si>
  <si>
    <t>2Sam.5.16</t>
  </si>
  <si>
    <t>2Sam.5.18</t>
  </si>
  <si>
    <t>2Sam.5.19</t>
  </si>
  <si>
    <t>2Sam.5.20</t>
  </si>
  <si>
    <t>2Sam.5.23</t>
  </si>
  <si>
    <t>2Sam.5.24</t>
  </si>
  <si>
    <t>2Sam.6.2</t>
  </si>
  <si>
    <t>2Sam.6.3</t>
  </si>
  <si>
    <t>2Sam.6.5</t>
  </si>
  <si>
    <t>2Sam.6.6</t>
  </si>
  <si>
    <t>2Sam.6.7</t>
  </si>
  <si>
    <t>2Sam.6.8</t>
  </si>
  <si>
    <t>2Sam.6.10</t>
  </si>
  <si>
    <t>2Sam.6.11</t>
  </si>
  <si>
    <t>2Sam.6.12</t>
  </si>
  <si>
    <t>2Sam.6.14</t>
  </si>
  <si>
    <t>2Sam.6.15</t>
  </si>
  <si>
    <t>2Sam.6.16</t>
  </si>
  <si>
    <t>2Sam.6.17</t>
  </si>
  <si>
    <t>2Sam.6.19</t>
  </si>
  <si>
    <t>2Sam.6.21</t>
  </si>
  <si>
    <t>2Sam.7.2</t>
  </si>
  <si>
    <t>2Sam.7.4</t>
  </si>
  <si>
    <t>2Sam.7.7</t>
  </si>
  <si>
    <t>2Sam.7.8</t>
  </si>
  <si>
    <t>2Sam.7.9</t>
  </si>
  <si>
    <t>2Sam.7.10</t>
  </si>
  <si>
    <t>2Sam.7.11</t>
  </si>
  <si>
    <t>2Sam.7.14</t>
  </si>
  <si>
    <t>2Sam.7.16</t>
  </si>
  <si>
    <t>2Sam.7.21</t>
  </si>
  <si>
    <t>2Sam.7.22</t>
  </si>
  <si>
    <t>2Sam.7.24</t>
  </si>
  <si>
    <t>2Sam.7.26</t>
  </si>
  <si>
    <t>2Sam.7.27</t>
  </si>
  <si>
    <t>2Sam.7.28</t>
  </si>
  <si>
    <t>2Sam.7.29</t>
  </si>
  <si>
    <t>2Sam.8.1</t>
  </si>
  <si>
    <t>2Sam.8.2</t>
  </si>
  <si>
    <t>2Sam.8.3</t>
  </si>
  <si>
    <t>2Sam.8.5</t>
  </si>
  <si>
    <t>2Sam.8.6</t>
  </si>
  <si>
    <t>2Sam.8.7</t>
  </si>
  <si>
    <t>2Sam.8.8</t>
  </si>
  <si>
    <t>2Sam.8.10</t>
  </si>
  <si>
    <t>2Sam.8.12</t>
  </si>
  <si>
    <t>2Sam.8.14</t>
  </si>
  <si>
    <t>2Sam.8.15</t>
  </si>
  <si>
    <t>2Sam.8.18</t>
  </si>
  <si>
    <t>2Sam.9.3</t>
  </si>
  <si>
    <t>2Sam.9.4</t>
  </si>
  <si>
    <t>2Sam.9.6</t>
  </si>
  <si>
    <t>2Sam.9.7</t>
  </si>
  <si>
    <t>2Sam.9.8</t>
  </si>
  <si>
    <t>2Sam.9.9</t>
  </si>
  <si>
    <t>2Sam.9.10</t>
  </si>
  <si>
    <t>2Sam.9.11</t>
  </si>
  <si>
    <t>2Sam.9.12</t>
  </si>
  <si>
    <t>2Sam.9.13</t>
  </si>
  <si>
    <t>2Sam.10.1</t>
  </si>
  <si>
    <t>2Sam.10.2</t>
  </si>
  <si>
    <t>2Sam.10.4</t>
  </si>
  <si>
    <t>2Sam.10.5</t>
  </si>
  <si>
    <t>2Sam.10.6</t>
  </si>
  <si>
    <t>2Sam.10.7</t>
  </si>
  <si>
    <t>2Sam.10.9</t>
  </si>
  <si>
    <t>2Sam.10.10</t>
  </si>
  <si>
    <t>2Sam.10.11</t>
  </si>
  <si>
    <t>2Sam.10.13</t>
  </si>
  <si>
    <t>2Sam.10.14</t>
  </si>
  <si>
    <t>2Sam.10.16</t>
  </si>
  <si>
    <t>2Sam.10.18</t>
  </si>
  <si>
    <t>2Sam.10.19</t>
  </si>
  <si>
    <t>2Sam.11.1</t>
  </si>
  <si>
    <t>2Sam.11.2</t>
  </si>
  <si>
    <t>2Sam.11.3</t>
  </si>
  <si>
    <t>2Sam.11.4</t>
  </si>
  <si>
    <t>2Sam.11.5</t>
  </si>
  <si>
    <t>2Sam.11.6</t>
  </si>
  <si>
    <t>2Sam.11.7</t>
  </si>
  <si>
    <t>2Sam.11.8</t>
  </si>
  <si>
    <t>2Sam.11.9</t>
  </si>
  <si>
    <t>2Sam.11.10</t>
  </si>
  <si>
    <t>2Sam.11.11</t>
  </si>
  <si>
    <t>2Sam.11.12</t>
  </si>
  <si>
    <t>2Sam.11.13</t>
  </si>
  <si>
    <t>2Sam.11.15</t>
  </si>
  <si>
    <t>2Sam.11.17</t>
  </si>
  <si>
    <t>2Sam.11.20</t>
  </si>
  <si>
    <t>2Sam.11.21</t>
  </si>
  <si>
    <t>2Sam.11.22</t>
  </si>
  <si>
    <t>2Sam.11.23</t>
  </si>
  <si>
    <t>2Sam.11.25</t>
  </si>
  <si>
    <t>2Sam.11.27</t>
  </si>
  <si>
    <t>2Sam.12.4</t>
  </si>
  <si>
    <t>2Sam.12.6</t>
  </si>
  <si>
    <t>2Sam.12.7</t>
  </si>
  <si>
    <t>2Sam.12.8</t>
  </si>
  <si>
    <t>2Sam.12.10</t>
  </si>
  <si>
    <t>2Sam.12.11</t>
  </si>
  <si>
    <t>2Sam.12.12</t>
  </si>
  <si>
    <t>2Sam.12.16</t>
  </si>
  <si>
    <t>2Sam.12.18</t>
  </si>
  <si>
    <t>2Sam.12.20</t>
  </si>
  <si>
    <t>2Sam.12.21</t>
  </si>
  <si>
    <t>2Sam.12.22</t>
  </si>
  <si>
    <t>2Sam.12.23</t>
  </si>
  <si>
    <t>2Sam.12.24</t>
  </si>
  <si>
    <t>2Sam.12.25</t>
  </si>
  <si>
    <t>2Sam.12.28</t>
  </si>
  <si>
    <t>2Sam.12.31</t>
  </si>
  <si>
    <t>2Sam.13.1</t>
  </si>
  <si>
    <t>2Sam.13.2</t>
  </si>
  <si>
    <t>2Sam.13.4</t>
  </si>
  <si>
    <t>2Sam.13.5</t>
  </si>
  <si>
    <t>2Sam.13.6</t>
  </si>
  <si>
    <t>2Sam.13.7</t>
  </si>
  <si>
    <t>2Sam.13.8</t>
  </si>
  <si>
    <t>2Sam.13.9</t>
  </si>
  <si>
    <t>2Sam.13.10</t>
  </si>
  <si>
    <t>2Sam.13.14</t>
  </si>
  <si>
    <t>2Sam.13.15</t>
  </si>
  <si>
    <t>2Sam.13.16</t>
  </si>
  <si>
    <t>2Sam.13.17</t>
  </si>
  <si>
    <t>2Sam.13.18</t>
  </si>
  <si>
    <t>2Sam.13.19</t>
  </si>
  <si>
    <t>2Sam.13.20</t>
  </si>
  <si>
    <t>2Sam.13.22</t>
  </si>
  <si>
    <t>2Sam.13.23</t>
  </si>
  <si>
    <t>2Sam.13.25</t>
  </si>
  <si>
    <t>2Sam.13.27</t>
  </si>
  <si>
    <t>2Sam.13.28</t>
  </si>
  <si>
    <t>2Sam.13.29</t>
  </si>
  <si>
    <t>2Sam.13.32</t>
  </si>
  <si>
    <t>2Sam.13.33</t>
  </si>
  <si>
    <t>2Sam.13.34</t>
  </si>
  <si>
    <t>2Sam.13.35</t>
  </si>
  <si>
    <t>2Sam.14.3</t>
  </si>
  <si>
    <t>2Sam.14.4</t>
  </si>
  <si>
    <t>2Sam.14.6</t>
  </si>
  <si>
    <t>2Sam.14.7</t>
  </si>
  <si>
    <t>2Sam.14.8</t>
  </si>
  <si>
    <t>2Sam.14.9</t>
  </si>
  <si>
    <t>2Sam.14.10</t>
  </si>
  <si>
    <t>2Sam.14.13</t>
  </si>
  <si>
    <t>2Sam.14.14</t>
  </si>
  <si>
    <t>2Sam.14.15</t>
  </si>
  <si>
    <t>2Sam.14.16</t>
  </si>
  <si>
    <t>2Sam.14.19</t>
  </si>
  <si>
    <t>2Sam.14.20</t>
  </si>
  <si>
    <t>2Sam.14.21</t>
  </si>
  <si>
    <t>2Sam.14.23</t>
  </si>
  <si>
    <t>2Sam.14.24</t>
  </si>
  <si>
    <t>2Sam.14.25</t>
  </si>
  <si>
    <t>2Sam.14.26</t>
  </si>
  <si>
    <t>2Sam.14.27</t>
  </si>
  <si>
    <t>2Sam.14.30</t>
  </si>
  <si>
    <t>2Sam.14.31</t>
  </si>
  <si>
    <t>2Sam.14.32</t>
  </si>
  <si>
    <t>2Sam.14.33</t>
  </si>
  <si>
    <t>2Sam.15.1</t>
  </si>
  <si>
    <t>2Sam.15.2</t>
  </si>
  <si>
    <t>2Sam.15.3</t>
  </si>
  <si>
    <t>2Sam.15.4</t>
  </si>
  <si>
    <t>2Sam.15.5</t>
  </si>
  <si>
    <t>2Sam.15.6</t>
  </si>
  <si>
    <t>2Sam.15.7</t>
  </si>
  <si>
    <t>2Sam.15.8</t>
  </si>
  <si>
    <t>2Sam.15.11</t>
  </si>
  <si>
    <t>2Sam.15.12</t>
  </si>
  <si>
    <t>2Sam.15.14</t>
  </si>
  <si>
    <t>2Sam.15.15</t>
  </si>
  <si>
    <t>2Sam.15.16</t>
  </si>
  <si>
    <t>2Sam.15.18</t>
  </si>
  <si>
    <t>2Sam.15.19</t>
  </si>
  <si>
    <t>2Sam.15.20</t>
  </si>
  <si>
    <t>2Sam.15.21</t>
  </si>
  <si>
    <t>2Sam.15.22</t>
  </si>
  <si>
    <t>2Sam.15.24</t>
  </si>
  <si>
    <t>2Sam.15.25</t>
  </si>
  <si>
    <t>2Sam.15.26</t>
  </si>
  <si>
    <t>2Sam.15.27</t>
  </si>
  <si>
    <t>2Sam.15.31</t>
  </si>
  <si>
    <t>2Sam.15.32</t>
  </si>
  <si>
    <t>2Sam.15.35</t>
  </si>
  <si>
    <t>2Sam.15.36</t>
  </si>
  <si>
    <t>2Sam.15.37</t>
  </si>
  <si>
    <t>2Sam.16.1</t>
  </si>
  <si>
    <t>2Sam.16.2</t>
  </si>
  <si>
    <t>2Sam.16.3</t>
  </si>
  <si>
    <t>2Sam.16.4</t>
  </si>
  <si>
    <t>2Sam.16.5</t>
  </si>
  <si>
    <t>2Sam.16.6</t>
  </si>
  <si>
    <t>2Sam.16.7</t>
  </si>
  <si>
    <t>2Sam.16.8</t>
  </si>
  <si>
    <t>2Sam.16.9</t>
  </si>
  <si>
    <t>2Sam.16.10</t>
  </si>
  <si>
    <t>2Sam.16.11</t>
  </si>
  <si>
    <t>2Sam.16.13</t>
  </si>
  <si>
    <t>2Sam.16.17</t>
  </si>
  <si>
    <t>2Sam.16.18</t>
  </si>
  <si>
    <t>2Sam.16.19</t>
  </si>
  <si>
    <t>2Sam.16.21</t>
  </si>
  <si>
    <t>2Sam.16.22</t>
  </si>
  <si>
    <t>2Sam.16.23</t>
  </si>
  <si>
    <t>2Sam.17.2</t>
  </si>
  <si>
    <t>2Sam.17.5</t>
  </si>
  <si>
    <t>2Sam.17.6</t>
  </si>
  <si>
    <t>2Sam.17.7</t>
  </si>
  <si>
    <t>2Sam.17.8</t>
  </si>
  <si>
    <t>2Sam.17.9</t>
  </si>
  <si>
    <t>2Sam.17.11</t>
  </si>
  <si>
    <t>2Sam.17.12</t>
  </si>
  <si>
    <t>2Sam.17.13</t>
  </si>
  <si>
    <t>2Sam.17.14</t>
  </si>
  <si>
    <t>2Sam.17.15</t>
  </si>
  <si>
    <t>2Sam.17.16</t>
  </si>
  <si>
    <t>2Sam.17.17</t>
  </si>
  <si>
    <t>2Sam.17.19</t>
  </si>
  <si>
    <t>2Sam.17.20</t>
  </si>
  <si>
    <t>2Sam.17.22</t>
  </si>
  <si>
    <t>2Sam.17.23</t>
  </si>
  <si>
    <t>2Sam.17.24</t>
  </si>
  <si>
    <t>2Sam.17.25</t>
  </si>
  <si>
    <t>2Sam.17.27</t>
  </si>
  <si>
    <t>2Sam.17.29</t>
  </si>
  <si>
    <t>2Sam.18.2</t>
  </si>
  <si>
    <t>2Sam.18.5</t>
  </si>
  <si>
    <t>2Sam.18.6</t>
  </si>
  <si>
    <t>2Sam.18.9</t>
  </si>
  <si>
    <t>2Sam.18.10</t>
  </si>
  <si>
    <t>2Sam.18.12</t>
  </si>
  <si>
    <t>2Sam.18.13</t>
  </si>
  <si>
    <t>2Sam.18.15</t>
  </si>
  <si>
    <t>2Sam.18.16</t>
  </si>
  <si>
    <t>2Sam.18.18</t>
  </si>
  <si>
    <t>2Sam.18.21</t>
  </si>
  <si>
    <t>2Sam.18.22</t>
  </si>
  <si>
    <t>2Sam.18.23</t>
  </si>
  <si>
    <t>2Sam.18.24</t>
  </si>
  <si>
    <t>2Sam.18.26</t>
  </si>
  <si>
    <t>2Sam.18.29</t>
  </si>
  <si>
    <t>2Sam.18.30</t>
  </si>
  <si>
    <t>2Sam.18.31</t>
  </si>
  <si>
    <t>2Sam.18.32</t>
  </si>
  <si>
    <t>2Sam.19.4</t>
  </si>
  <si>
    <t>2Sam.19.5</t>
  </si>
  <si>
    <t>2Sam.19.7</t>
  </si>
  <si>
    <t>2Sam.19.10</t>
  </si>
  <si>
    <t>2Sam.19.11</t>
  </si>
  <si>
    <t>2Sam.19.12</t>
  </si>
  <si>
    <t>2Sam.19.13</t>
  </si>
  <si>
    <t>2Sam.19.14</t>
  </si>
  <si>
    <t>2Sam.19.17</t>
  </si>
  <si>
    <t>2Sam.19.18</t>
  </si>
  <si>
    <t>2Sam.19.19</t>
  </si>
  <si>
    <t>2Sam.19.20</t>
  </si>
  <si>
    <t>2Sam.19.21</t>
  </si>
  <si>
    <t>2Sam.19.22</t>
  </si>
  <si>
    <t>2Sam.19.24</t>
  </si>
  <si>
    <t>2Sam.19.25</t>
  </si>
  <si>
    <t>2Sam.19.26</t>
  </si>
  <si>
    <t>2Sam.19.28</t>
  </si>
  <si>
    <t>2Sam.19.29</t>
  </si>
  <si>
    <t>2Sam.19.30</t>
  </si>
  <si>
    <t>2Sam.19.31</t>
  </si>
  <si>
    <t>2Sam.19.32</t>
  </si>
  <si>
    <t>2Sam.19.33</t>
  </si>
  <si>
    <t>2Sam.19.34</t>
  </si>
  <si>
    <t>2Sam.19.35</t>
  </si>
  <si>
    <t>2Sam.19.37</t>
  </si>
  <si>
    <t>2Sam.19.38</t>
  </si>
  <si>
    <t>2Sam.19.40</t>
  </si>
  <si>
    <t>2Sam.19.41</t>
  </si>
  <si>
    <t>2Sam.19.42</t>
  </si>
  <si>
    <t>2Sam.19.43</t>
  </si>
  <si>
    <t>2Sam.20.1</t>
  </si>
  <si>
    <t>2Sam.20.2</t>
  </si>
  <si>
    <t>2Sam.20.4</t>
  </si>
  <si>
    <t>2Sam.20.5</t>
  </si>
  <si>
    <t>2Sam.20.6</t>
  </si>
  <si>
    <t>2Sam.20.7</t>
  </si>
  <si>
    <t>2Sam.20.8</t>
  </si>
  <si>
    <t>2Sam.20.9</t>
  </si>
  <si>
    <t>2Sam.20.10</t>
  </si>
  <si>
    <t>2Sam.20.11</t>
  </si>
  <si>
    <t>2Sam.20.12</t>
  </si>
  <si>
    <t>2Sam.20.13</t>
  </si>
  <si>
    <t>2Sam.20.14</t>
  </si>
  <si>
    <t>2Sam.20.15</t>
  </si>
  <si>
    <t>2Sam.20.18</t>
  </si>
  <si>
    <t>2Sam.20.21</t>
  </si>
  <si>
    <t>2Sam.20.22</t>
  </si>
  <si>
    <t>2Sam.20.23</t>
  </si>
  <si>
    <t>2Sam.20.25</t>
  </si>
  <si>
    <t>2Sam.20.26</t>
  </si>
  <si>
    <t>2Sam.21.1</t>
  </si>
  <si>
    <t>2Sam.21.2</t>
  </si>
  <si>
    <t>2Sam.21.3</t>
  </si>
  <si>
    <t>2Sam.21.5</t>
  </si>
  <si>
    <t>2Sam.21.6</t>
  </si>
  <si>
    <t>2Sam.21.7</t>
  </si>
  <si>
    <t>2Sam.21.8</t>
  </si>
  <si>
    <t>2Sam.21.9</t>
  </si>
  <si>
    <t>2Sam.21.10</t>
  </si>
  <si>
    <t>2Sam.21.11</t>
  </si>
  <si>
    <t>2Sam.21.12</t>
  </si>
  <si>
    <t>2Sam.21.14</t>
  </si>
  <si>
    <t>2Sam.21.15</t>
  </si>
  <si>
    <t>2Sam.21.16</t>
  </si>
  <si>
    <t>2Sam.21.18</t>
  </si>
  <si>
    <t>2Sam.21.19</t>
  </si>
  <si>
    <t>2Sam.21.20</t>
  </si>
  <si>
    <t>2Sam.21.22</t>
  </si>
  <si>
    <t>2Sam.22.1</t>
  </si>
  <si>
    <t>2Sam.22.2</t>
  </si>
  <si>
    <t>2Sam.22.3</t>
  </si>
  <si>
    <t>2Sam.22.6</t>
  </si>
  <si>
    <t>2Sam.22.7</t>
  </si>
  <si>
    <t>2Sam.22.8</t>
  </si>
  <si>
    <t>2Sam.22.15</t>
  </si>
  <si>
    <t>2Sam.22.16</t>
  </si>
  <si>
    <t>2Sam.22.18</t>
  </si>
  <si>
    <t>2Sam.22.19</t>
  </si>
  <si>
    <t>2Sam.22.21</t>
  </si>
  <si>
    <t>2Sam.22.29</t>
  </si>
  <si>
    <t>2Sam.22.30</t>
  </si>
  <si>
    <t>2Sam.22.31</t>
  </si>
  <si>
    <t>2Sam.22.32</t>
  </si>
  <si>
    <t>2Sam.22.36</t>
  </si>
  <si>
    <t>2Sam.22.37</t>
  </si>
  <si>
    <t>2Sam.22.39</t>
  </si>
  <si>
    <t>2Sam.22.40</t>
  </si>
  <si>
    <t>2Sam.22.42</t>
  </si>
  <si>
    <t>2Sam.22.44</t>
  </si>
  <si>
    <t>2Sam.22.46</t>
  </si>
  <si>
    <t>2Sam.22.47</t>
  </si>
  <si>
    <t>2Sam.22.49</t>
  </si>
  <si>
    <t>2Sam.22.50</t>
  </si>
  <si>
    <t>2Sam.23.1</t>
  </si>
  <si>
    <t>2Sam.23.5</t>
  </si>
  <si>
    <t>2Sam.23.6</t>
  </si>
  <si>
    <t>2Sam.23.7</t>
  </si>
  <si>
    <t>2Sam.23.8</t>
  </si>
  <si>
    <t>2Sam.23.9</t>
  </si>
  <si>
    <t>2Sam.23.11</t>
  </si>
  <si>
    <t>2Sam.23.12</t>
  </si>
  <si>
    <t>2Sam.23.13</t>
  </si>
  <si>
    <t>2Sam.23.14</t>
  </si>
  <si>
    <t>2Sam.23.15</t>
  </si>
  <si>
    <t>2Sam.23.16</t>
  </si>
  <si>
    <t>2Sam.23.17</t>
  </si>
  <si>
    <t>2Sam.23.18</t>
  </si>
  <si>
    <t>2Sam.23.20</t>
  </si>
  <si>
    <t>2Sam.23.23</t>
  </si>
  <si>
    <t>2Sam.23.24</t>
  </si>
  <si>
    <t>2Sam.23.26</t>
  </si>
  <si>
    <t>2Sam.23.27</t>
  </si>
  <si>
    <t>2Sam.23.28</t>
  </si>
  <si>
    <t>2Sam.23.29</t>
  </si>
  <si>
    <t>2Sam.23.31</t>
  </si>
  <si>
    <t>2Sam.23.32</t>
  </si>
  <si>
    <t>2Sam.23.33</t>
  </si>
  <si>
    <t>2Sam.23.34</t>
  </si>
  <si>
    <t>2Sam.23.35</t>
  </si>
  <si>
    <t>2Sam.23.36</t>
  </si>
  <si>
    <t>2Sam.24.1</t>
  </si>
  <si>
    <t>2Sam.24.3</t>
  </si>
  <si>
    <t>2Sam.24.5</t>
  </si>
  <si>
    <t>2Sam.24.6</t>
  </si>
  <si>
    <t>2Sam.24.7</t>
  </si>
  <si>
    <t>2Sam.24.9</t>
  </si>
  <si>
    <t>2Sam.24.10</t>
  </si>
  <si>
    <t>2Sam.24.13</t>
  </si>
  <si>
    <t>2Sam.24.14</t>
  </si>
  <si>
    <t>2Sam.24.16</t>
  </si>
  <si>
    <t>2Sam.24.17</t>
  </si>
  <si>
    <t>2Sam.24.18</t>
  </si>
  <si>
    <t>2Sam.24.21</t>
  </si>
  <si>
    <t>2Sam.24.25</t>
  </si>
  <si>
    <t>1Kgs.1.1</t>
  </si>
  <si>
    <t>1Kgs.1.2</t>
  </si>
  <si>
    <t>1Kgs.1.3</t>
  </si>
  <si>
    <t>1Kgs.1.4</t>
  </si>
  <si>
    <t>1Kgs.1.5</t>
  </si>
  <si>
    <t>1Kgs.1.9</t>
  </si>
  <si>
    <t>1Kgs.1.11</t>
  </si>
  <si>
    <t>1Kgs.1.12</t>
  </si>
  <si>
    <t>1Kgs.1.13</t>
  </si>
  <si>
    <t>1Kgs.1.15</t>
  </si>
  <si>
    <t>1Kgs.1.16</t>
  </si>
  <si>
    <t>1Kgs.1.17</t>
  </si>
  <si>
    <t>1Kgs.1.19</t>
  </si>
  <si>
    <t>1Kgs.1.23</t>
  </si>
  <si>
    <t>1Kgs.1.24</t>
  </si>
  <si>
    <t>1Kgs.1.25</t>
  </si>
  <si>
    <t>1Kgs.1.26</t>
  </si>
  <si>
    <t>1Kgs.1.27</t>
  </si>
  <si>
    <t>1Kgs.1.33</t>
  </si>
  <si>
    <t>1Kgs.1.34</t>
  </si>
  <si>
    <t>1Kgs.1.35</t>
  </si>
  <si>
    <t>1Kgs.1.38</t>
  </si>
  <si>
    <t>1Kgs.1.39</t>
  </si>
  <si>
    <t>1Kgs.1.42</t>
  </si>
  <si>
    <t>1Kgs.1.43</t>
  </si>
  <si>
    <t>1Kgs.1.45</t>
  </si>
  <si>
    <t>1Kgs.1.46</t>
  </si>
  <si>
    <t>1Kgs.1.47</t>
  </si>
  <si>
    <t>1Kgs.1.48</t>
  </si>
  <si>
    <t>1Kgs.1.49</t>
  </si>
  <si>
    <t>1Kgs.1.51</t>
  </si>
  <si>
    <t>1Kgs.1.53</t>
  </si>
  <si>
    <t>1Kgs.2.1</t>
  </si>
  <si>
    <t>1Kgs.2.3</t>
  </si>
  <si>
    <t>1Kgs.2.4</t>
  </si>
  <si>
    <t>1Kgs.2.5</t>
  </si>
  <si>
    <t>1Kgs.2.7</t>
  </si>
  <si>
    <t>1Kgs.2.8</t>
  </si>
  <si>
    <t>1Kgs.2.9</t>
  </si>
  <si>
    <t>1Kgs.2.12</t>
  </si>
  <si>
    <t>1Kgs.2.13</t>
  </si>
  <si>
    <t>1Kgs.2.14</t>
  </si>
  <si>
    <t>1Kgs.2.15</t>
  </si>
  <si>
    <t>1Kgs.2.17</t>
  </si>
  <si>
    <t>1Kgs.2.18</t>
  </si>
  <si>
    <t>1Kgs.2.19</t>
  </si>
  <si>
    <t>1Kgs.2.22</t>
  </si>
  <si>
    <t>1Kgs.2.23</t>
  </si>
  <si>
    <t>1Kgs.2.25</t>
  </si>
  <si>
    <t>1Kgs.2.26</t>
  </si>
  <si>
    <t>1Kgs.2.29</t>
  </si>
  <si>
    <t>1Kgs.2.30</t>
  </si>
  <si>
    <t>1Kgs.2.32</t>
  </si>
  <si>
    <t>1Kgs.2.34</t>
  </si>
  <si>
    <t>1Kgs.2.35</t>
  </si>
  <si>
    <t>1Kgs.2.37</t>
  </si>
  <si>
    <t>1Kgs.2.38</t>
  </si>
  <si>
    <t>1Kgs.2.43</t>
  </si>
  <si>
    <t>1Kgs.2.45</t>
  </si>
  <si>
    <t>1Kgs.2.46</t>
  </si>
  <si>
    <t>1Kgs.3.2</t>
  </si>
  <si>
    <t>1Kgs.3.6</t>
  </si>
  <si>
    <t>1Kgs.3.8</t>
  </si>
  <si>
    <t>1Kgs.3.9</t>
  </si>
  <si>
    <t>1Kgs.3.11</t>
  </si>
  <si>
    <t>1Kgs.3.12</t>
  </si>
  <si>
    <t>1Kgs.3.16</t>
  </si>
  <si>
    <t>1Kgs.3.17</t>
  </si>
  <si>
    <t>1Kgs.3.20</t>
  </si>
  <si>
    <t>1Kgs.3.22</t>
  </si>
  <si>
    <t>1Kgs.3.26</t>
  </si>
  <si>
    <t>1Kgs.3.27</t>
  </si>
  <si>
    <t>1Kgs.3.28</t>
  </si>
  <si>
    <t>1Kgs.4.2</t>
  </si>
  <si>
    <t>1Kgs.4.3</t>
  </si>
  <si>
    <t>1Kgs.4.4</t>
  </si>
  <si>
    <t>1Kgs.4.7</t>
  </si>
  <si>
    <t>1Kgs.4.8</t>
  </si>
  <si>
    <t>1Kgs.4.9</t>
  </si>
  <si>
    <t>1Kgs.4.10</t>
  </si>
  <si>
    <t>1Kgs.4.12</t>
  </si>
  <si>
    <t>1Kgs.4.13</t>
  </si>
  <si>
    <t>1Kgs.4.14</t>
  </si>
  <si>
    <t>1Kgs.4.16</t>
  </si>
  <si>
    <t>1Kgs.4.18</t>
  </si>
  <si>
    <t>1Kgs.4.19</t>
  </si>
  <si>
    <t>1Kgs.5.2</t>
  </si>
  <si>
    <t>1Kgs.5.4</t>
  </si>
  <si>
    <t>1Kgs.5.6</t>
  </si>
  <si>
    <t>1Kgs.5.7</t>
  </si>
  <si>
    <t>1Kgs.5.8</t>
  </si>
  <si>
    <t>1Kgs.5.9</t>
  </si>
  <si>
    <t>1Kgs.5.10</t>
  </si>
  <si>
    <t>1Kgs.5.13</t>
  </si>
  <si>
    <t>1Kgs.5.14</t>
  </si>
  <si>
    <t>1Kgs.5.16</t>
  </si>
  <si>
    <t>1Kgs.5.19</t>
  </si>
  <si>
    <t>1Kgs.5.20</t>
  </si>
  <si>
    <t>1Kgs.5.24</t>
  </si>
  <si>
    <t>1Kgs.5.25</t>
  </si>
  <si>
    <t>1Kgs.5.26</t>
  </si>
  <si>
    <t>1Kgs.5.28</t>
  </si>
  <si>
    <t>1Kgs.5.29</t>
  </si>
  <si>
    <t>1Kgs.5.30</t>
  </si>
  <si>
    <t>1Kgs.5.31</t>
  </si>
  <si>
    <t>1Kgs.6.1</t>
  </si>
  <si>
    <t>1Kgs.6.2</t>
  </si>
  <si>
    <t>1Kgs.6.3</t>
  </si>
  <si>
    <t>1Kgs.6.5</t>
  </si>
  <si>
    <t>1Kgs.6.6</t>
  </si>
  <si>
    <t>1Kgs.6.7</t>
  </si>
  <si>
    <t>1Kgs.6.8</t>
  </si>
  <si>
    <t>1Kgs.6.12</t>
  </si>
  <si>
    <t>1Kgs.6.13</t>
  </si>
  <si>
    <t>1Kgs.6.15</t>
  </si>
  <si>
    <t>1Kgs.6.16</t>
  </si>
  <si>
    <t>1Kgs.6.17</t>
  </si>
  <si>
    <t>1Kgs.6.20</t>
  </si>
  <si>
    <t>1Kgs.6.21</t>
  </si>
  <si>
    <t>1Kgs.6.23</t>
  </si>
  <si>
    <t>1Kgs.6.27</t>
  </si>
  <si>
    <t>1Kgs.6.28</t>
  </si>
  <si>
    <t>1Kgs.6.29</t>
  </si>
  <si>
    <t>1Kgs.6.31</t>
  </si>
  <si>
    <t>1Kgs.6.32</t>
  </si>
  <si>
    <t>1Kgs.6.33</t>
  </si>
  <si>
    <t>1Kgs.6.34</t>
  </si>
  <si>
    <t>1Kgs.6.36</t>
  </si>
  <si>
    <t>1Kgs.7.2</t>
  </si>
  <si>
    <t>1Kgs.7.3</t>
  </si>
  <si>
    <t>1Kgs.7.5</t>
  </si>
  <si>
    <t>1Kgs.7.6</t>
  </si>
  <si>
    <t>1Kgs.7.8</t>
  </si>
  <si>
    <t>1Kgs.7.10</t>
  </si>
  <si>
    <t>1Kgs.7.11</t>
  </si>
  <si>
    <t>1Kgs.7.13</t>
  </si>
  <si>
    <t>1Kgs.7.15</t>
  </si>
  <si>
    <t>1Kgs.7.16</t>
  </si>
  <si>
    <t>1Kgs.7.17</t>
  </si>
  <si>
    <t>1Kgs.7.18</t>
  </si>
  <si>
    <t>1Kgs.7.19</t>
  </si>
  <si>
    <t>1Kgs.7.21</t>
  </si>
  <si>
    <t>1Kgs.7.22</t>
  </si>
  <si>
    <t>1Kgs.7.23</t>
  </si>
  <si>
    <t>1Kgs.7.25</t>
  </si>
  <si>
    <t>1Kgs.7.27</t>
  </si>
  <si>
    <t>1Kgs.7.28</t>
  </si>
  <si>
    <t>1Kgs.7.29</t>
  </si>
  <si>
    <t>1Kgs.7.31</t>
  </si>
  <si>
    <t>1Kgs.7.33</t>
  </si>
  <si>
    <t>1Kgs.7.34</t>
  </si>
  <si>
    <t>1Kgs.7.35</t>
  </si>
  <si>
    <t>1Kgs.7.36</t>
  </si>
  <si>
    <t>1Kgs.7.38</t>
  </si>
  <si>
    <t>1Kgs.7.39</t>
  </si>
  <si>
    <t>1Kgs.7.40</t>
  </si>
  <si>
    <t>1Kgs.7.42</t>
  </si>
  <si>
    <t>1Kgs.7.46</t>
  </si>
  <si>
    <t>1Kgs.7.47</t>
  </si>
  <si>
    <t>1Kgs.7.49</t>
  </si>
  <si>
    <t>1Kgs.8.1</t>
  </si>
  <si>
    <t>1Kgs.8.2</t>
  </si>
  <si>
    <t>1Kgs.8.3</t>
  </si>
  <si>
    <t>1Kgs.8.5</t>
  </si>
  <si>
    <t>1Kgs.8.7</t>
  </si>
  <si>
    <t>1Kgs.8.8</t>
  </si>
  <si>
    <t>1Kgs.8.9</t>
  </si>
  <si>
    <t>1Kgs.8.10</t>
  </si>
  <si>
    <t>1Kgs.8.11</t>
  </si>
  <si>
    <t>1Kgs.8.13</t>
  </si>
  <si>
    <t>1Kgs.8.14</t>
  </si>
  <si>
    <t>1Kgs.8.15</t>
  </si>
  <si>
    <t>1Kgs.8.16</t>
  </si>
  <si>
    <t>1Kgs.8.19</t>
  </si>
  <si>
    <t>1Kgs.8.20</t>
  </si>
  <si>
    <t>1Kgs.8.24</t>
  </si>
  <si>
    <t>1Kgs.8.25</t>
  </si>
  <si>
    <t>1Kgs.8.26</t>
  </si>
  <si>
    <t>1Kgs.8.27</t>
  </si>
  <si>
    <t>1Kgs.8.28</t>
  </si>
  <si>
    <t>1Kgs.8.29</t>
  </si>
  <si>
    <t>1Kgs.8.30</t>
  </si>
  <si>
    <t>1Kgs.8.31</t>
  </si>
  <si>
    <t>1Kgs.8.32</t>
  </si>
  <si>
    <t>1Kgs.8.33</t>
  </si>
  <si>
    <t>1Kgs.8.34</t>
  </si>
  <si>
    <t>1Kgs.8.35</t>
  </si>
  <si>
    <t>1Kgs.8.36</t>
  </si>
  <si>
    <t>1Kgs.8.37</t>
  </si>
  <si>
    <t>1Kgs.8.38</t>
  </si>
  <si>
    <t>1Kgs.8.39</t>
  </si>
  <si>
    <t>1Kgs.8.40</t>
  </si>
  <si>
    <t>1Kgs.8.41</t>
  </si>
  <si>
    <t>1Kgs.8.43</t>
  </si>
  <si>
    <t>1Kgs.8.44</t>
  </si>
  <si>
    <t>1Kgs.8.45</t>
  </si>
  <si>
    <t>1Kgs.8.46</t>
  </si>
  <si>
    <t>1Kgs.8.47</t>
  </si>
  <si>
    <t>1Kgs.8.48</t>
  </si>
  <si>
    <t>1Kgs.8.49</t>
  </si>
  <si>
    <t>1Kgs.8.50</t>
  </si>
  <si>
    <t>1Kgs.8.53</t>
  </si>
  <si>
    <t>1Kgs.8.54</t>
  </si>
  <si>
    <t>1Kgs.8.56</t>
  </si>
  <si>
    <t>1Kgs.8.57</t>
  </si>
  <si>
    <t>1Kgs.8.58</t>
  </si>
  <si>
    <t>1Kgs.8.61</t>
  </si>
  <si>
    <t>1Kgs.8.63</t>
  </si>
  <si>
    <t>1Kgs.8.64</t>
  </si>
  <si>
    <t>1Kgs.8.65</t>
  </si>
  <si>
    <t>1Kgs.8.66</t>
  </si>
  <si>
    <t>1Kgs.9.1</t>
  </si>
  <si>
    <t>1Kgs.9.3</t>
  </si>
  <si>
    <t>1Kgs.9.4</t>
  </si>
  <si>
    <t>1Kgs.9.5</t>
  </si>
  <si>
    <t>1Kgs.9.6</t>
  </si>
  <si>
    <t>1Kgs.9.7</t>
  </si>
  <si>
    <t>1Kgs.9.8</t>
  </si>
  <si>
    <t>1Kgs.9.9</t>
  </si>
  <si>
    <t>1Kgs.9.11</t>
  </si>
  <si>
    <t>1Kgs.9.13</t>
  </si>
  <si>
    <t>1Kgs.9.15</t>
  </si>
  <si>
    <t>1Kgs.9.16</t>
  </si>
  <si>
    <t>1Kgs.9.19</t>
  </si>
  <si>
    <t>1Kgs.9.20</t>
  </si>
  <si>
    <t>1Kgs.9.22</t>
  </si>
  <si>
    <t>1Kgs.9.24</t>
  </si>
  <si>
    <t>1Kgs.9.25</t>
  </si>
  <si>
    <t>1Kgs.9.26</t>
  </si>
  <si>
    <t>1Kgs.9.27</t>
  </si>
  <si>
    <t>1Kgs.9.28</t>
  </si>
  <si>
    <t>1Kgs.10.1</t>
  </si>
  <si>
    <t>1Kgs.10.2</t>
  </si>
  <si>
    <t>1Kgs.10.4</t>
  </si>
  <si>
    <t>1Kgs.10.5</t>
  </si>
  <si>
    <t>1Kgs.10.6</t>
  </si>
  <si>
    <t>1Kgs.10.7</t>
  </si>
  <si>
    <t>1Kgs.10.8</t>
  </si>
  <si>
    <t>1Kgs.10.9</t>
  </si>
  <si>
    <t>1Kgs.10.10</t>
  </si>
  <si>
    <t>1Kgs.10.12</t>
  </si>
  <si>
    <t>1Kgs.10.13</t>
  </si>
  <si>
    <t>1Kgs.10.15</t>
  </si>
  <si>
    <t>1Kgs.10.17</t>
  </si>
  <si>
    <t>1Kgs.10.18</t>
  </si>
  <si>
    <t>1Kgs.10.21</t>
  </si>
  <si>
    <t>1Kgs.10.22</t>
  </si>
  <si>
    <t>1Kgs.10.24</t>
  </si>
  <si>
    <t>1Kgs.10.25</t>
  </si>
  <si>
    <t>1Kgs.10.26</t>
  </si>
  <si>
    <t>1Kgs.10.27</t>
  </si>
  <si>
    <t>1Kgs.10.28</t>
  </si>
  <si>
    <t>1Kgs.10.29</t>
  </si>
  <si>
    <t>1Kgs.11.1</t>
  </si>
  <si>
    <t>1Kgs.11.2</t>
  </si>
  <si>
    <t>1Kgs.11.3</t>
  </si>
  <si>
    <t>1Kgs.11.4</t>
  </si>
  <si>
    <t>1Kgs.11.5</t>
  </si>
  <si>
    <t>1Kgs.11.6</t>
  </si>
  <si>
    <t>1Kgs.11.7</t>
  </si>
  <si>
    <t>1Kgs.11.8</t>
  </si>
  <si>
    <t>1Kgs.11.11</t>
  </si>
  <si>
    <t>1Kgs.11.13</t>
  </si>
  <si>
    <t>1Kgs.11.14</t>
  </si>
  <si>
    <t>1Kgs.11.15</t>
  </si>
  <si>
    <t>1Kgs.11.16</t>
  </si>
  <si>
    <t>1Kgs.11.17</t>
  </si>
  <si>
    <t>1Kgs.11.18</t>
  </si>
  <si>
    <t>1Kgs.11.19</t>
  </si>
  <si>
    <t>1Kgs.11.20</t>
  </si>
  <si>
    <t>1Kgs.11.21</t>
  </si>
  <si>
    <t>1Kgs.11.24</t>
  </si>
  <si>
    <t>1Kgs.11.25</t>
  </si>
  <si>
    <t>1Kgs.11.26</t>
  </si>
  <si>
    <t>1Kgs.11.27</t>
  </si>
  <si>
    <t>1Kgs.11.28</t>
  </si>
  <si>
    <t>1Kgs.11.29</t>
  </si>
  <si>
    <t>1Kgs.11.30</t>
  </si>
  <si>
    <t>1Kgs.11.31</t>
  </si>
  <si>
    <t>1Kgs.11.33</t>
  </si>
  <si>
    <t>1Kgs.11.34</t>
  </si>
  <si>
    <t>1Kgs.11.35</t>
  </si>
  <si>
    <t>1Kgs.11.36</t>
  </si>
  <si>
    <t>1Kgs.11.37</t>
  </si>
  <si>
    <t>1Kgs.11.38</t>
  </si>
  <si>
    <t>1Kgs.11.39</t>
  </si>
  <si>
    <t>1Kgs.11.40</t>
  </si>
  <si>
    <t>1Kgs.11.41</t>
  </si>
  <si>
    <t>1Kgs.11.42</t>
  </si>
  <si>
    <t>1Kgs.12.2</t>
  </si>
  <si>
    <t>1Kgs.12.3</t>
  </si>
  <si>
    <t>1Kgs.12.6</t>
  </si>
  <si>
    <t>1Kgs.12.7</t>
  </si>
  <si>
    <t>1Kgs.12.8</t>
  </si>
  <si>
    <t>1Kgs.12.9</t>
  </si>
  <si>
    <t>1Kgs.12.11</t>
  </si>
  <si>
    <t>1Kgs.12.12</t>
  </si>
  <si>
    <t>1Kgs.12.14</t>
  </si>
  <si>
    <t>1Kgs.12.15</t>
  </si>
  <si>
    <t>1Kgs.12.16</t>
  </si>
  <si>
    <t>1Kgs.12.17</t>
  </si>
  <si>
    <t>1Kgs.12.18</t>
  </si>
  <si>
    <t>1Kgs.12.20</t>
  </si>
  <si>
    <t>1Kgs.12.23</t>
  </si>
  <si>
    <t>1Kgs.12.24</t>
  </si>
  <si>
    <t>1Kgs.12.26</t>
  </si>
  <si>
    <t>1Kgs.12.27</t>
  </si>
  <si>
    <t>1Kgs.12.28</t>
  </si>
  <si>
    <t>1Kgs.12.31</t>
  </si>
  <si>
    <t>1Kgs.12.32</t>
  </si>
  <si>
    <t>1Kgs.12.33</t>
  </si>
  <si>
    <t>1Kgs.13.1</t>
  </si>
  <si>
    <t>1Kgs.13.2</t>
  </si>
  <si>
    <t>1Kgs.13.3</t>
  </si>
  <si>
    <t>1Kgs.13.4</t>
  </si>
  <si>
    <t>1Kgs.13.5</t>
  </si>
  <si>
    <t>1Kgs.13.6</t>
  </si>
  <si>
    <t>1Kgs.13.7</t>
  </si>
  <si>
    <t>1Kgs.13.9</t>
  </si>
  <si>
    <t>1Kgs.13.10</t>
  </si>
  <si>
    <t>1Kgs.13.11</t>
  </si>
  <si>
    <t>1Kgs.13.12</t>
  </si>
  <si>
    <t>1Kgs.13.14</t>
  </si>
  <si>
    <t>1Kgs.13.16</t>
  </si>
  <si>
    <t>1Kgs.13.17</t>
  </si>
  <si>
    <t>1Kgs.13.18</t>
  </si>
  <si>
    <t>1Kgs.13.19</t>
  </si>
  <si>
    <t>1Kgs.13.20</t>
  </si>
  <si>
    <t>1Kgs.13.22</t>
  </si>
  <si>
    <t>1Kgs.13.24</t>
  </si>
  <si>
    <t>1Kgs.13.25</t>
  </si>
  <si>
    <t>1Kgs.13.28</t>
  </si>
  <si>
    <t>1Kgs.13.30</t>
  </si>
  <si>
    <t>1Kgs.13.31</t>
  </si>
  <si>
    <t>1Kgs.13.32</t>
  </si>
  <si>
    <t>1Kgs.13.33</t>
  </si>
  <si>
    <t>1Kgs.14.1</t>
  </si>
  <si>
    <t>1Kgs.14.2</t>
  </si>
  <si>
    <t>1Kgs.14.3</t>
  </si>
  <si>
    <t>1Kgs.14.4</t>
  </si>
  <si>
    <t>1Kgs.14.5</t>
  </si>
  <si>
    <t>1Kgs.14.8</t>
  </si>
  <si>
    <t>1Kgs.14.9</t>
  </si>
  <si>
    <t>1Kgs.14.10</t>
  </si>
  <si>
    <t>1Kgs.14.11</t>
  </si>
  <si>
    <t>1Kgs.14.12</t>
  </si>
  <si>
    <t>1Kgs.14.14</t>
  </si>
  <si>
    <t>1Kgs.14.15</t>
  </si>
  <si>
    <t>1Kgs.14.17</t>
  </si>
  <si>
    <t>1Kgs.14.18</t>
  </si>
  <si>
    <t>1Kgs.14.20</t>
  </si>
  <si>
    <t>1Kgs.14.21</t>
  </si>
  <si>
    <t>1Kgs.14.22</t>
  </si>
  <si>
    <t>1Kgs.14.23</t>
  </si>
  <si>
    <t>1Kgs.14.27</t>
  </si>
  <si>
    <t>1Kgs.14.28</t>
  </si>
  <si>
    <t>1Kgs.14.29</t>
  </si>
  <si>
    <t>1Kgs.14.31</t>
  </si>
  <si>
    <t>1Kgs.15.1</t>
  </si>
  <si>
    <t>1Kgs.15.2</t>
  </si>
  <si>
    <t>1Kgs.15.6</t>
  </si>
  <si>
    <t>1Kgs.15.7</t>
  </si>
  <si>
    <t>1Kgs.15.9</t>
  </si>
  <si>
    <t>1Kgs.15.13</t>
  </si>
  <si>
    <t>1Kgs.15.16</t>
  </si>
  <si>
    <t>1Kgs.15.17</t>
  </si>
  <si>
    <t>1Kgs.15.18</t>
  </si>
  <si>
    <t>1Kgs.15.19</t>
  </si>
  <si>
    <t>1Kgs.15.20</t>
  </si>
  <si>
    <t>1Kgs.15.21</t>
  </si>
  <si>
    <t>1Kgs.15.22</t>
  </si>
  <si>
    <t>1Kgs.15.23</t>
  </si>
  <si>
    <t>1Kgs.15.27</t>
  </si>
  <si>
    <t>1Kgs.15.29</t>
  </si>
  <si>
    <t>1Kgs.15.30</t>
  </si>
  <si>
    <t>1Kgs.15.31</t>
  </si>
  <si>
    <t>1Kgs.15.33</t>
  </si>
  <si>
    <t>1Kgs.15.34</t>
  </si>
  <si>
    <t>1Kgs.16.1</t>
  </si>
  <si>
    <t>1Kgs.16.2</t>
  </si>
  <si>
    <t>1Kgs.16.4</t>
  </si>
  <si>
    <t>1Kgs.16.5</t>
  </si>
  <si>
    <t>1Kgs.16.7</t>
  </si>
  <si>
    <t>1Kgs.16.8</t>
  </si>
  <si>
    <t>1Kgs.16.9</t>
  </si>
  <si>
    <t>1Kgs.16.11</t>
  </si>
  <si>
    <t>1Kgs.16.12</t>
  </si>
  <si>
    <t>1Kgs.16.13</t>
  </si>
  <si>
    <t>1Kgs.16.14</t>
  </si>
  <si>
    <t>1Kgs.16.15</t>
  </si>
  <si>
    <t>1Kgs.16.16</t>
  </si>
  <si>
    <t>1Kgs.16.17</t>
  </si>
  <si>
    <t>1Kgs.16.18</t>
  </si>
  <si>
    <t>1Kgs.16.19</t>
  </si>
  <si>
    <t>1Kgs.16.20</t>
  </si>
  <si>
    <t>1Kgs.16.21</t>
  </si>
  <si>
    <t>1Kgs.16.22</t>
  </si>
  <si>
    <t>1Kgs.16.23</t>
  </si>
  <si>
    <t>1Kgs.16.24</t>
  </si>
  <si>
    <t>1Kgs.16.25</t>
  </si>
  <si>
    <t>1Kgs.16.27</t>
  </si>
  <si>
    <t>1Kgs.16.28</t>
  </si>
  <si>
    <t>1Kgs.16.29</t>
  </si>
  <si>
    <t>1Kgs.16.30</t>
  </si>
  <si>
    <t>1Kgs.16.31</t>
  </si>
  <si>
    <t>1Kgs.16.32</t>
  </si>
  <si>
    <t>1Kgs.16.33</t>
  </si>
  <si>
    <t>1Kgs.16.34</t>
  </si>
  <si>
    <t>1Kgs.17.1</t>
  </si>
  <si>
    <t>1Kgs.17.3</t>
  </si>
  <si>
    <t>1Kgs.17.5</t>
  </si>
  <si>
    <t>1Kgs.17.6</t>
  </si>
  <si>
    <t>1Kgs.17.9</t>
  </si>
  <si>
    <t>1Kgs.17.11</t>
  </si>
  <si>
    <t>1Kgs.17.12</t>
  </si>
  <si>
    <t>1Kgs.17.13</t>
  </si>
  <si>
    <t>1Kgs.17.14</t>
  </si>
  <si>
    <t>1Kgs.17.17</t>
  </si>
  <si>
    <t>1Kgs.17.19</t>
  </si>
  <si>
    <t>1Kgs.17.20</t>
  </si>
  <si>
    <t>1Kgs.17.22</t>
  </si>
  <si>
    <t>1Kgs.17.23</t>
  </si>
  <si>
    <t>1Kgs.17.24</t>
  </si>
  <si>
    <t>1Kgs.18.1</t>
  </si>
  <si>
    <t>1Kgs.18.2</t>
  </si>
  <si>
    <t>1Kgs.18.3</t>
  </si>
  <si>
    <t>1Kgs.18.4</t>
  </si>
  <si>
    <t>1Kgs.18.5</t>
  </si>
  <si>
    <t>1Kgs.18.6</t>
  </si>
  <si>
    <t>1Kgs.18.7</t>
  </si>
  <si>
    <t>1Kgs.18.10</t>
  </si>
  <si>
    <t>1Kgs.18.11</t>
  </si>
  <si>
    <t>1Kgs.18.12</t>
  </si>
  <si>
    <t>1Kgs.18.13</t>
  </si>
  <si>
    <t>1Kgs.18.16</t>
  </si>
  <si>
    <t>1Kgs.18.18</t>
  </si>
  <si>
    <t>1Kgs.18.19</t>
  </si>
  <si>
    <t>1Kgs.18.21</t>
  </si>
  <si>
    <t>1Kgs.18.23</t>
  </si>
  <si>
    <t>1Kgs.18.24</t>
  </si>
  <si>
    <t>1Kgs.18.25</t>
  </si>
  <si>
    <t>1Kgs.18.26</t>
  </si>
  <si>
    <t>1Kgs.18.27</t>
  </si>
  <si>
    <t>1Kgs.18.28</t>
  </si>
  <si>
    <t>1Kgs.18.29</t>
  </si>
  <si>
    <t>1Kgs.18.30</t>
  </si>
  <si>
    <t>1Kgs.18.33</t>
  </si>
  <si>
    <t>1Kgs.18.34</t>
  </si>
  <si>
    <t>1Kgs.18.35</t>
  </si>
  <si>
    <t>1Kgs.18.36</t>
  </si>
  <si>
    <t>1Kgs.18.38</t>
  </si>
  <si>
    <t>1Kgs.18.40</t>
  </si>
  <si>
    <t>1Kgs.18.41</t>
  </si>
  <si>
    <t>1Kgs.18.42</t>
  </si>
  <si>
    <t>1Kgs.18.43</t>
  </si>
  <si>
    <t>1Kgs.18.45</t>
  </si>
  <si>
    <t>1Kgs.18.46</t>
  </si>
  <si>
    <t>1Kgs.19.2</t>
  </si>
  <si>
    <t>1Kgs.19.3</t>
  </si>
  <si>
    <t>1Kgs.19.4</t>
  </si>
  <si>
    <t>1Kgs.19.6</t>
  </si>
  <si>
    <t>1Kgs.19.7</t>
  </si>
  <si>
    <t>1Kgs.19.8</t>
  </si>
  <si>
    <t>1Kgs.19.10</t>
  </si>
  <si>
    <t>1Kgs.19.11</t>
  </si>
  <si>
    <t>1Kgs.19.12</t>
  </si>
  <si>
    <t>1Kgs.19.13</t>
  </si>
  <si>
    <t>1Kgs.19.14</t>
  </si>
  <si>
    <t>1Kgs.19.15</t>
  </si>
  <si>
    <t>1Kgs.19.16</t>
  </si>
  <si>
    <t>1Kgs.19.17</t>
  </si>
  <si>
    <t>1Kgs.19.18</t>
  </si>
  <si>
    <t>1Kgs.19.19</t>
  </si>
  <si>
    <t>1Kgs.19.20</t>
  </si>
  <si>
    <t>1Kgs.19.21</t>
  </si>
  <si>
    <t>1Kgs.20.1</t>
  </si>
  <si>
    <t>1Kgs.20.3</t>
  </si>
  <si>
    <t>1Kgs.20.5</t>
  </si>
  <si>
    <t>1Kgs.20.6</t>
  </si>
  <si>
    <t>1Kgs.20.7</t>
  </si>
  <si>
    <t>1Kgs.20.9</t>
  </si>
  <si>
    <t>1Kgs.20.10</t>
  </si>
  <si>
    <t>1Kgs.20.11</t>
  </si>
  <si>
    <t>1Kgs.20.13</t>
  </si>
  <si>
    <t>1Kgs.20.14</t>
  </si>
  <si>
    <t>1Kgs.20.15</t>
  </si>
  <si>
    <t>1Kgs.20.16</t>
  </si>
  <si>
    <t>1Kgs.20.17</t>
  </si>
  <si>
    <t>1Kgs.20.18</t>
  </si>
  <si>
    <t>1Kgs.20.19</t>
  </si>
  <si>
    <t>1Kgs.20.20</t>
  </si>
  <si>
    <t>1Kgs.20.21</t>
  </si>
  <si>
    <t>1Kgs.20.23</t>
  </si>
  <si>
    <t>1Kgs.20.25</t>
  </si>
  <si>
    <t>1Kgs.20.26</t>
  </si>
  <si>
    <t>1Kgs.20.27</t>
  </si>
  <si>
    <t>1Kgs.20.28</t>
  </si>
  <si>
    <t>1Kgs.20.29</t>
  </si>
  <si>
    <t>1Kgs.20.30</t>
  </si>
  <si>
    <t>1Kgs.20.31</t>
  </si>
  <si>
    <t>1Kgs.20.32</t>
  </si>
  <si>
    <t>1Kgs.20.33</t>
  </si>
  <si>
    <t>1Kgs.20.34</t>
  </si>
  <si>
    <t>1Kgs.20.35</t>
  </si>
  <si>
    <t>1Kgs.20.36</t>
  </si>
  <si>
    <t>1Kgs.20.38</t>
  </si>
  <si>
    <t>1Kgs.20.40</t>
  </si>
  <si>
    <t>1Kgs.20.41</t>
  </si>
  <si>
    <t>1Kgs.20.42</t>
  </si>
  <si>
    <t>1Kgs.21.1</t>
  </si>
  <si>
    <t>1Kgs.21.2</t>
  </si>
  <si>
    <t>1Kgs.21.3</t>
  </si>
  <si>
    <t>1Kgs.21.5</t>
  </si>
  <si>
    <t>1Kgs.21.6</t>
  </si>
  <si>
    <t>1Kgs.21.7</t>
  </si>
  <si>
    <t>1Kgs.21.8</t>
  </si>
  <si>
    <t>1Kgs.21.9</t>
  </si>
  <si>
    <t>1Kgs.21.10</t>
  </si>
  <si>
    <t>1Kgs.21.11</t>
  </si>
  <si>
    <t>1Kgs.21.12</t>
  </si>
  <si>
    <t>1Kgs.21.13</t>
  </si>
  <si>
    <t>1Kgs.21.14</t>
  </si>
  <si>
    <t>1Kgs.21.15</t>
  </si>
  <si>
    <t>1Kgs.21.16</t>
  </si>
  <si>
    <t>1Kgs.21.18</t>
  </si>
  <si>
    <t>1Kgs.21.19</t>
  </si>
  <si>
    <t>1Kgs.21.21</t>
  </si>
  <si>
    <t>1Kgs.21.24</t>
  </si>
  <si>
    <t>1Kgs.21.25</t>
  </si>
  <si>
    <t>1Kgs.21.26</t>
  </si>
  <si>
    <t>1Kgs.21.27</t>
  </si>
  <si>
    <t>1Kgs.21.29</t>
  </si>
  <si>
    <t>1Kgs.22.3</t>
  </si>
  <si>
    <t>1Kgs.22.4</t>
  </si>
  <si>
    <t>1Kgs.22.6</t>
  </si>
  <si>
    <t>1Kgs.22.7</t>
  </si>
  <si>
    <t>1Kgs.22.8</t>
  </si>
  <si>
    <t>1Kgs.22.9</t>
  </si>
  <si>
    <t>1Kgs.22.10</t>
  </si>
  <si>
    <t>1Kgs.22.11</t>
  </si>
  <si>
    <t>1Kgs.22.12</t>
  </si>
  <si>
    <t>1Kgs.22.13</t>
  </si>
  <si>
    <t>1Kgs.22.15</t>
  </si>
  <si>
    <t>1Kgs.22.16</t>
  </si>
  <si>
    <t>1Kgs.22.17</t>
  </si>
  <si>
    <t>1Kgs.22.19</t>
  </si>
  <si>
    <t>1Kgs.22.20</t>
  </si>
  <si>
    <t>1Kgs.22.22</t>
  </si>
  <si>
    <t>1Kgs.22.23</t>
  </si>
  <si>
    <t>1Kgs.22.24</t>
  </si>
  <si>
    <t>1Kgs.22.25</t>
  </si>
  <si>
    <t>1Kgs.22.26</t>
  </si>
  <si>
    <t>1Kgs.22.27</t>
  </si>
  <si>
    <t>1Kgs.22.28</t>
  </si>
  <si>
    <t>1Kgs.22.29</t>
  </si>
  <si>
    <t>1Kgs.22.31</t>
  </si>
  <si>
    <t>1Kgs.22.32</t>
  </si>
  <si>
    <t>1Kgs.22.33</t>
  </si>
  <si>
    <t>1Kgs.22.34</t>
  </si>
  <si>
    <t>1Kgs.22.35</t>
  </si>
  <si>
    <t>1Kgs.22.37</t>
  </si>
  <si>
    <t>1Kgs.22.38</t>
  </si>
  <si>
    <t>1Kgs.22.39</t>
  </si>
  <si>
    <t>1Kgs.22.41</t>
  </si>
  <si>
    <t>1Kgs.22.42</t>
  </si>
  <si>
    <t>1Kgs.22.43</t>
  </si>
  <si>
    <t>1Kgs.22.44</t>
  </si>
  <si>
    <t>1Kgs.22.45</t>
  </si>
  <si>
    <t>1Kgs.22.46</t>
  </si>
  <si>
    <t>1Kgs.22.47</t>
  </si>
  <si>
    <t>1Kgs.22.49</t>
  </si>
  <si>
    <t>1Kgs.22.50</t>
  </si>
  <si>
    <t>1Kgs.22.52</t>
  </si>
  <si>
    <t>2Kgs.1.1</t>
  </si>
  <si>
    <t>2Kgs.1.2</t>
  </si>
  <si>
    <t>2Kgs.1.3</t>
  </si>
  <si>
    <t>2Kgs.1.5</t>
  </si>
  <si>
    <t>2Kgs.1.6</t>
  </si>
  <si>
    <t>2Kgs.1.7</t>
  </si>
  <si>
    <t>2Kgs.1.8</t>
  </si>
  <si>
    <t>2Kgs.1.12</t>
  </si>
  <si>
    <t>2Kgs.1.13</t>
  </si>
  <si>
    <t>2Kgs.1.15</t>
  </si>
  <si>
    <t>2Kgs.1.16</t>
  </si>
  <si>
    <t>2Kgs.1.17</t>
  </si>
  <si>
    <t>2Kgs.1.18</t>
  </si>
  <si>
    <t>2Kgs.2.1</t>
  </si>
  <si>
    <t>2Kgs.2.2</t>
  </si>
  <si>
    <t>2Kgs.2.3</t>
  </si>
  <si>
    <t>2Kgs.2.4</t>
  </si>
  <si>
    <t>2Kgs.2.5</t>
  </si>
  <si>
    <t>2Kgs.2.6</t>
  </si>
  <si>
    <t>2Kgs.2.8</t>
  </si>
  <si>
    <t>2Kgs.2.9</t>
  </si>
  <si>
    <t>2Kgs.2.10</t>
  </si>
  <si>
    <t>2Kgs.2.11</t>
  </si>
  <si>
    <t>2Kgs.2.12</t>
  </si>
  <si>
    <t>2Kgs.2.13</t>
  </si>
  <si>
    <t>2Kgs.2.15</t>
  </si>
  <si>
    <t>2Kgs.2.16</t>
  </si>
  <si>
    <t>2Kgs.2.17</t>
  </si>
  <si>
    <t>2Kgs.2.18</t>
  </si>
  <si>
    <t>2Kgs.2.23</t>
  </si>
  <si>
    <t>2Kgs.2.24</t>
  </si>
  <si>
    <t>2Kgs.2.25</t>
  </si>
  <si>
    <t>2Kgs.3.1</t>
  </si>
  <si>
    <t>2Kgs.3.2</t>
  </si>
  <si>
    <t>2Kgs.3.4</t>
  </si>
  <si>
    <t>2Kgs.3.6</t>
  </si>
  <si>
    <t>2Kgs.3.7</t>
  </si>
  <si>
    <t>2Kgs.3.10</t>
  </si>
  <si>
    <t>2Kgs.3.11</t>
  </si>
  <si>
    <t>2Kgs.3.13</t>
  </si>
  <si>
    <t>2Kgs.3.14</t>
  </si>
  <si>
    <t>2Kgs.3.15</t>
  </si>
  <si>
    <t>2Kgs.3.17</t>
  </si>
  <si>
    <t>2Kgs.3.18</t>
  </si>
  <si>
    <t>2Kgs.3.19</t>
  </si>
  <si>
    <t>2Kgs.3.20</t>
  </si>
  <si>
    <t>2Kgs.3.21</t>
  </si>
  <si>
    <t>2Kgs.3.22</t>
  </si>
  <si>
    <t>2Kgs.3.23</t>
  </si>
  <si>
    <t>2Kgs.3.25</t>
  </si>
  <si>
    <t>2Kgs.3.26</t>
  </si>
  <si>
    <t>2Kgs.3.27</t>
  </si>
  <si>
    <t>2Kgs.4.1</t>
  </si>
  <si>
    <t>2Kgs.4.2</t>
  </si>
  <si>
    <t>2Kgs.4.3</t>
  </si>
  <si>
    <t>2Kgs.4.4</t>
  </si>
  <si>
    <t>2Kgs.4.5</t>
  </si>
  <si>
    <t>2Kgs.4.7</t>
  </si>
  <si>
    <t>2Kgs.4.8</t>
  </si>
  <si>
    <t>2Kgs.4.9</t>
  </si>
  <si>
    <t>2Kgs.4.10</t>
  </si>
  <si>
    <t>2Kgs.4.11</t>
  </si>
  <si>
    <t>2Kgs.4.12</t>
  </si>
  <si>
    <t>2Kgs.4.13</t>
  </si>
  <si>
    <t>2Kgs.4.14</t>
  </si>
  <si>
    <t>2Kgs.4.15</t>
  </si>
  <si>
    <t>2Kgs.4.16</t>
  </si>
  <si>
    <t>2Kgs.4.21</t>
  </si>
  <si>
    <t>2Kgs.4.22</t>
  </si>
  <si>
    <t>2Kgs.4.24</t>
  </si>
  <si>
    <t>2Kgs.4.25</t>
  </si>
  <si>
    <t>2Kgs.4.26</t>
  </si>
  <si>
    <t>2Kgs.4.27</t>
  </si>
  <si>
    <t>2Kgs.4.28</t>
  </si>
  <si>
    <t>2Kgs.4.29</t>
  </si>
  <si>
    <t>2Kgs.4.30</t>
  </si>
  <si>
    <t>2Kgs.4.31</t>
  </si>
  <si>
    <t>2Kgs.4.32</t>
  </si>
  <si>
    <t>2Kgs.4.33</t>
  </si>
  <si>
    <t>2Kgs.4.34</t>
  </si>
  <si>
    <t>2Kgs.4.35</t>
  </si>
  <si>
    <t>2Kgs.4.36</t>
  </si>
  <si>
    <t>2Kgs.4.38</t>
  </si>
  <si>
    <t>2Kgs.4.39</t>
  </si>
  <si>
    <t>2Kgs.4.40</t>
  </si>
  <si>
    <t>2Kgs.4.41</t>
  </si>
  <si>
    <t>2Kgs.4.42</t>
  </si>
  <si>
    <t>2Kgs.4.43</t>
  </si>
  <si>
    <t>2Kgs.4.44</t>
  </si>
  <si>
    <t>2Kgs.5.3</t>
  </si>
  <si>
    <t>2Kgs.5.4</t>
  </si>
  <si>
    <t>2Kgs.5.5</t>
  </si>
  <si>
    <t>2Kgs.5.6</t>
  </si>
  <si>
    <t>2Kgs.5.7</t>
  </si>
  <si>
    <t>2Kgs.5.8</t>
  </si>
  <si>
    <t>2Kgs.5.10</t>
  </si>
  <si>
    <t>2Kgs.5.11</t>
  </si>
  <si>
    <t>2Kgs.5.12</t>
  </si>
  <si>
    <t>2Kgs.5.13</t>
  </si>
  <si>
    <t>2Kgs.5.14</t>
  </si>
  <si>
    <t>2Kgs.5.15</t>
  </si>
  <si>
    <t>2Kgs.5.16</t>
  </si>
  <si>
    <t>2Kgs.5.17</t>
  </si>
  <si>
    <t>2Kgs.5.18</t>
  </si>
  <si>
    <t>2Kgs.5.20</t>
  </si>
  <si>
    <t>2Kgs.5.21</t>
  </si>
  <si>
    <t>2Kgs.5.22</t>
  </si>
  <si>
    <t>2Kgs.5.23</t>
  </si>
  <si>
    <t>2Kgs.5.24</t>
  </si>
  <si>
    <t>2Kgs.5.25</t>
  </si>
  <si>
    <t>2Kgs.5.26</t>
  </si>
  <si>
    <t>2Kgs.6.3</t>
  </si>
  <si>
    <t>2Kgs.6.5</t>
  </si>
  <si>
    <t>2Kgs.6.6</t>
  </si>
  <si>
    <t>2Kgs.6.8</t>
  </si>
  <si>
    <t>2Kgs.6.9</t>
  </si>
  <si>
    <t>2Kgs.6.10</t>
  </si>
  <si>
    <t>2Kgs.6.12</t>
  </si>
  <si>
    <t>2Kgs.6.13</t>
  </si>
  <si>
    <t>2Kgs.6.15</t>
  </si>
  <si>
    <t>2Kgs.6.16</t>
  </si>
  <si>
    <t>2Kgs.6.17</t>
  </si>
  <si>
    <t>2Kgs.6.19</t>
  </si>
  <si>
    <t>2Kgs.6.20</t>
  </si>
  <si>
    <t>2Kgs.6.22</t>
  </si>
  <si>
    <t>2Kgs.6.24</t>
  </si>
  <si>
    <t>2Kgs.6.25</t>
  </si>
  <si>
    <t>2Kgs.6.26</t>
  </si>
  <si>
    <t>2Kgs.6.27</t>
  </si>
  <si>
    <t>2Kgs.6.29</t>
  </si>
  <si>
    <t>2Kgs.6.30</t>
  </si>
  <si>
    <t>2Kgs.6.31</t>
  </si>
  <si>
    <t>2Kgs.6.32</t>
  </si>
  <si>
    <t>2Kgs.6.33</t>
  </si>
  <si>
    <t>2Kgs.7.1</t>
  </si>
  <si>
    <t>2Kgs.7.2</t>
  </si>
  <si>
    <t>2Kgs.7.4</t>
  </si>
  <si>
    <t>2Kgs.7.5</t>
  </si>
  <si>
    <t>2Kgs.7.6</t>
  </si>
  <si>
    <t>2Kgs.7.7</t>
  </si>
  <si>
    <t>2Kgs.7.8</t>
  </si>
  <si>
    <t>2Kgs.7.9</t>
  </si>
  <si>
    <t>2Kgs.7.10</t>
  </si>
  <si>
    <t>2Kgs.7.12</t>
  </si>
  <si>
    <t>2Kgs.7.13</t>
  </si>
  <si>
    <t>2Kgs.7.15</t>
  </si>
  <si>
    <t>2Kgs.7.16</t>
  </si>
  <si>
    <t>2Kgs.7.17</t>
  </si>
  <si>
    <t>2Kgs.7.18</t>
  </si>
  <si>
    <t>2Kgs.7.19</t>
  </si>
  <si>
    <t>2Kgs.8.1</t>
  </si>
  <si>
    <t>2Kgs.8.2</t>
  </si>
  <si>
    <t>2Kgs.8.3</t>
  </si>
  <si>
    <t>2Kgs.8.4</t>
  </si>
  <si>
    <t>2Kgs.8.5</t>
  </si>
  <si>
    <t>2Kgs.8.6</t>
  </si>
  <si>
    <t>2Kgs.8.7</t>
  </si>
  <si>
    <t>2Kgs.8.9</t>
  </si>
  <si>
    <t>2Kgs.8.12</t>
  </si>
  <si>
    <t>2Kgs.8.13</t>
  </si>
  <si>
    <t>2Kgs.8.14</t>
  </si>
  <si>
    <t>2Kgs.8.15</t>
  </si>
  <si>
    <t>2Kgs.8.16</t>
  </si>
  <si>
    <t>2Kgs.8.17</t>
  </si>
  <si>
    <t>2Kgs.8.18</t>
  </si>
  <si>
    <t>2Kgs.8.19</t>
  </si>
  <si>
    <t>2Kgs.8.20</t>
  </si>
  <si>
    <t>2Kgs.8.21</t>
  </si>
  <si>
    <t>2Kgs.8.22</t>
  </si>
  <si>
    <t>2Kgs.8.23</t>
  </si>
  <si>
    <t>2Kgs.8.24</t>
  </si>
  <si>
    <t>2Kgs.8.25</t>
  </si>
  <si>
    <t>2Kgs.8.26</t>
  </si>
  <si>
    <t>2Kgs.8.27</t>
  </si>
  <si>
    <t>2Kgs.8.28</t>
  </si>
  <si>
    <t>2Kgs.8.29</t>
  </si>
  <si>
    <t>2Kgs.9.1</t>
  </si>
  <si>
    <t>2Kgs.9.2</t>
  </si>
  <si>
    <t>2Kgs.9.3</t>
  </si>
  <si>
    <t>2Kgs.9.4</t>
  </si>
  <si>
    <t>2Kgs.9.5</t>
  </si>
  <si>
    <t>2Kgs.9.7</t>
  </si>
  <si>
    <t>2Kgs.9.8</t>
  </si>
  <si>
    <t>2Kgs.9.9</t>
  </si>
  <si>
    <t>2Kgs.9.10</t>
  </si>
  <si>
    <t>2Kgs.9.11</t>
  </si>
  <si>
    <t>2Kgs.9.12</t>
  </si>
  <si>
    <t>2Kgs.9.13</t>
  </si>
  <si>
    <t>2Kgs.9.14</t>
  </si>
  <si>
    <t>2Kgs.9.15</t>
  </si>
  <si>
    <t>2Kgs.9.16</t>
  </si>
  <si>
    <t>2Kgs.9.17</t>
  </si>
  <si>
    <t>2Kgs.9.18</t>
  </si>
  <si>
    <t>2Kgs.9.19</t>
  </si>
  <si>
    <t>2Kgs.9.20</t>
  </si>
  <si>
    <t>2Kgs.9.21</t>
  </si>
  <si>
    <t>2Kgs.9.22</t>
  </si>
  <si>
    <t>2Kgs.9.23</t>
  </si>
  <si>
    <t>2Kgs.9.24</t>
  </si>
  <si>
    <t>2Kgs.9.25</t>
  </si>
  <si>
    <t>2Kgs.9.26</t>
  </si>
  <si>
    <t>2Kgs.9.27</t>
  </si>
  <si>
    <t>2Kgs.9.28</t>
  </si>
  <si>
    <t>2Kgs.9.29</t>
  </si>
  <si>
    <t>2Kgs.9.30</t>
  </si>
  <si>
    <t>2Kgs.9.31</t>
  </si>
  <si>
    <t>2Kgs.9.32</t>
  </si>
  <si>
    <t>2Kgs.9.33</t>
  </si>
  <si>
    <t>2Kgs.9.34</t>
  </si>
  <si>
    <t>2Kgs.9.35</t>
  </si>
  <si>
    <t>2Kgs.9.36</t>
  </si>
  <si>
    <t>2Kgs.9.37</t>
  </si>
  <si>
    <t>2Kgs.10.1</t>
  </si>
  <si>
    <t>2Kgs.10.2</t>
  </si>
  <si>
    <t>2Kgs.10.3</t>
  </si>
  <si>
    <t>2Kgs.10.5</t>
  </si>
  <si>
    <t>2Kgs.10.6</t>
  </si>
  <si>
    <t>2Kgs.10.7</t>
  </si>
  <si>
    <t>2Kgs.10.8</t>
  </si>
  <si>
    <t>2Kgs.10.9</t>
  </si>
  <si>
    <t>2Kgs.10.10</t>
  </si>
  <si>
    <t>2Kgs.10.11</t>
  </si>
  <si>
    <t>2Kgs.10.12</t>
  </si>
  <si>
    <t>2Kgs.10.14</t>
  </si>
  <si>
    <t>2Kgs.10.15</t>
  </si>
  <si>
    <t>2Kgs.10.17</t>
  </si>
  <si>
    <t>2Kgs.10.19</t>
  </si>
  <si>
    <t>2Kgs.10.20</t>
  </si>
  <si>
    <t>2Kgs.10.21</t>
  </si>
  <si>
    <t>2Kgs.10.22</t>
  </si>
  <si>
    <t>2Kgs.10.24</t>
  </si>
  <si>
    <t>2Kgs.10.25</t>
  </si>
  <si>
    <t>2Kgs.10.26</t>
  </si>
  <si>
    <t>2Kgs.10.27</t>
  </si>
  <si>
    <t>2Kgs.10.29</t>
  </si>
  <si>
    <t>2Kgs.10.32</t>
  </si>
  <si>
    <t>2Kgs.10.33</t>
  </si>
  <si>
    <t>2Kgs.10.34</t>
  </si>
  <si>
    <t>2Kgs.10.36</t>
  </si>
  <si>
    <t>2Kgs.11.1</t>
  </si>
  <si>
    <t>2Kgs.11.2</t>
  </si>
  <si>
    <t>2Kgs.11.4</t>
  </si>
  <si>
    <t>2Kgs.11.5</t>
  </si>
  <si>
    <t>2Kgs.11.6</t>
  </si>
  <si>
    <t>2Kgs.11.8</t>
  </si>
  <si>
    <t>2Kgs.11.9</t>
  </si>
  <si>
    <t>2Kgs.11.11</t>
  </si>
  <si>
    <t>2Kgs.11.12</t>
  </si>
  <si>
    <t>2Kgs.11.13</t>
  </si>
  <si>
    <t>2Kgs.11.14</t>
  </si>
  <si>
    <t>2Kgs.11.15</t>
  </si>
  <si>
    <t>2Kgs.11.16</t>
  </si>
  <si>
    <t>2Kgs.11.17</t>
  </si>
  <si>
    <t>2Kgs.11.18</t>
  </si>
  <si>
    <t>2Kgs.11.19</t>
  </si>
  <si>
    <t>2Kgs.11.20</t>
  </si>
  <si>
    <t>2Kgs.12.2</t>
  </si>
  <si>
    <t>2Kgs.12.4</t>
  </si>
  <si>
    <t>2Kgs.12.5</t>
  </si>
  <si>
    <t>2Kgs.12.6</t>
  </si>
  <si>
    <t>2Kgs.12.7</t>
  </si>
  <si>
    <t>2Kgs.12.8</t>
  </si>
  <si>
    <t>2Kgs.12.10</t>
  </si>
  <si>
    <t>2Kgs.12.11</t>
  </si>
  <si>
    <t>2Kgs.12.12</t>
  </si>
  <si>
    <t>2Kgs.12.13</t>
  </si>
  <si>
    <t>2Kgs.12.14</t>
  </si>
  <si>
    <t>2Kgs.12.15</t>
  </si>
  <si>
    <t>2Kgs.12.16</t>
  </si>
  <si>
    <t>2Kgs.12.17</t>
  </si>
  <si>
    <t>2Kgs.12.18</t>
  </si>
  <si>
    <t>2Kgs.12.19</t>
  </si>
  <si>
    <t>2Kgs.12.20</t>
  </si>
  <si>
    <t>2Kgs.12.21</t>
  </si>
  <si>
    <t>2Kgs.12.22</t>
  </si>
  <si>
    <t>2Kgs.13.1</t>
  </si>
  <si>
    <t>2Kgs.13.2</t>
  </si>
  <si>
    <t>2Kgs.13.3</t>
  </si>
  <si>
    <t>2Kgs.13.5</t>
  </si>
  <si>
    <t>2Kgs.13.6</t>
  </si>
  <si>
    <t>2Kgs.13.7</t>
  </si>
  <si>
    <t>2Kgs.13.8</t>
  </si>
  <si>
    <t>2Kgs.13.9</t>
  </si>
  <si>
    <t>2Kgs.13.10</t>
  </si>
  <si>
    <t>2Kgs.13.11</t>
  </si>
  <si>
    <t>2Kgs.13.12</t>
  </si>
  <si>
    <t>2Kgs.13.16</t>
  </si>
  <si>
    <t>2Kgs.13.18</t>
  </si>
  <si>
    <t>2Kgs.13.19</t>
  </si>
  <si>
    <t>2Kgs.13.21</t>
  </si>
  <si>
    <t>2Kgs.13.23</t>
  </si>
  <si>
    <t>2Kgs.13.24</t>
  </si>
  <si>
    <t>2Kgs.13.25</t>
  </si>
  <si>
    <t>2Kgs.14.1</t>
  </si>
  <si>
    <t>2Kgs.14.2</t>
  </si>
  <si>
    <t>2Kgs.14.3</t>
  </si>
  <si>
    <t>2Kgs.14.4</t>
  </si>
  <si>
    <t>2Kgs.14.6</t>
  </si>
  <si>
    <t>2Kgs.14.7</t>
  </si>
  <si>
    <t>2Kgs.14.8</t>
  </si>
  <si>
    <t>2Kgs.14.9</t>
  </si>
  <si>
    <t>2Kgs.14.10</t>
  </si>
  <si>
    <t>2Kgs.14.11</t>
  </si>
  <si>
    <t>2Kgs.14.12</t>
  </si>
  <si>
    <t>2Kgs.14.13</t>
  </si>
  <si>
    <t>2Kgs.14.15</t>
  </si>
  <si>
    <t>2Kgs.14.16</t>
  </si>
  <si>
    <t>2Kgs.14.18</t>
  </si>
  <si>
    <t>2Kgs.14.19</t>
  </si>
  <si>
    <t>2Kgs.14.20</t>
  </si>
  <si>
    <t>2Kgs.14.21</t>
  </si>
  <si>
    <t>2Kgs.14.22</t>
  </si>
  <si>
    <t>2Kgs.14.23</t>
  </si>
  <si>
    <t>2Kgs.14.25</t>
  </si>
  <si>
    <t>2Kgs.14.26</t>
  </si>
  <si>
    <t>2Kgs.14.27</t>
  </si>
  <si>
    <t>2Kgs.14.28</t>
  </si>
  <si>
    <t>2Kgs.15.1</t>
  </si>
  <si>
    <t>2Kgs.15.2</t>
  </si>
  <si>
    <t>2Kgs.15.4</t>
  </si>
  <si>
    <t>2Kgs.15.5</t>
  </si>
  <si>
    <t>ελιου</t>
  </si>
  <si>
    <t>ελοιου</t>
  </si>
  <si>
    <t>ανεβεννεν</t>
  </si>
  <si>
    <t>ανεβαινεν</t>
  </si>
  <si>
    <t>αρμαθεμ</t>
  </si>
  <si>
    <t>αρμαθαιμ</t>
  </si>
  <si>
    <t>σηλω</t>
  </si>
  <si>
    <t>σηλωμ</t>
  </si>
  <si>
    <t>αυτου</t>
  </si>
  <si>
    <t>εαυτου</t>
  </si>
  <si>
    <t>μια</t>
  </si>
  <si>
    <t>μιαν</t>
  </si>
  <si>
    <t>συναπεκλισεν</t>
  </si>
  <si>
    <t>συναπεκλεισεν</t>
  </si>
  <si>
    <t>ηθυμι</t>
  </si>
  <si>
    <t>ηθυμει</t>
  </si>
  <si>
    <t>εν</t>
  </si>
  <si>
    <t>ει</t>
  </si>
  <si>
    <t>ηδει</t>
  </si>
  <si>
    <t>εμαθετο</t>
  </si>
  <si>
    <t>οικου</t>
  </si>
  <si>
    <t>ταπινωσιν</t>
  </si>
  <si>
    <t>ταπεινωσιν</t>
  </si>
  <si>
    <t>πιητε</t>
  </si>
  <si>
    <t>πινεται</t>
  </si>
  <si>
    <t>προσευχομενην</t>
  </si>
  <si>
    <t>προσευχομενος</t>
  </si>
  <si>
    <t>εκεινιτο</t>
  </si>
  <si>
    <t>εκινειτο</t>
  </si>
  <si>
    <t>κεν</t>
  </si>
  <si>
    <t>κυριε</t>
  </si>
  <si>
    <t>ετι</t>
  </si>
  <si>
    <t>πρωει</t>
  </si>
  <si>
    <t>πρωι</t>
  </si>
  <si>
    <t>τω</t>
  </si>
  <si>
    <t>καυχασθαι</t>
  </si>
  <si>
    <t>καυχασθε</t>
  </si>
  <si>
    <t>αιτοιμαζων</t>
  </si>
  <si>
    <t>ετοιμαζων</t>
  </si>
  <si>
    <t>ηλαττωθησαν</t>
  </si>
  <si>
    <t>ηλλαττωθησαν</t>
  </si>
  <si>
    <t>πινωντες</t>
  </si>
  <si>
    <t>πεινωντες</t>
  </si>
  <si>
    <t>θανατοι</t>
  </si>
  <si>
    <t>θανατος</t>
  </si>
  <si>
    <t>εγειρι</t>
  </si>
  <si>
    <t>εγειρει</t>
  </si>
  <si>
    <t>ισχυει</t>
  </si>
  <si>
    <t>ισχυι</t>
  </si>
  <si>
    <t>ασθενην</t>
  </si>
  <si>
    <t>ασθενηου</t>
  </si>
  <si>
    <t>κατελειπον</t>
  </si>
  <si>
    <t>κατελιπον</t>
  </si>
  <si>
    <t>λιτουργων</t>
  </si>
  <si>
    <t>λειτουργων</t>
  </si>
  <si>
    <t>κυτραν</t>
  </si>
  <si>
    <t>χυτραν</t>
  </si>
  <si>
    <t>εαυτω</t>
  </si>
  <si>
    <t>αυτω</t>
  </si>
  <si>
    <t>θεω</t>
  </si>
  <si>
    <t>θυμειαθητω</t>
  </si>
  <si>
    <t>ως</t>
  </si>
  <si>
    <t>σεαυτω</t>
  </si>
  <si>
    <t>επιθυμι</t>
  </si>
  <si>
    <t>ειπεν</t>
  </si>
  <si>
    <t>ουχι</t>
  </si>
  <si>
    <t>λημψομαι</t>
  </si>
  <si>
    <t>διπλοειδαν</t>
  </si>
  <si>
    <t>διπλοιδαν</t>
  </si>
  <si>
    <t>ετεκεν</t>
  </si>
  <si>
    <t>συνετεκεν</t>
  </si>
  <si>
    <t>εμαιγαλυνθη</t>
  </si>
  <si>
    <t>εμεγαλυνθη</t>
  </si>
  <si>
    <t>ισραηλ</t>
  </si>
  <si>
    <t>αμαρταννων</t>
  </si>
  <si>
    <t>αμαρτανων</t>
  </si>
  <si>
    <t>αμαρταννη</t>
  </si>
  <si>
    <t>αμαρτανη</t>
  </si>
  <si>
    <t>εβουλετο</t>
  </si>
  <si>
    <t>εβουλευετο</t>
  </si>
  <si>
    <t>ιερεα</t>
  </si>
  <si>
    <t>δοξαζω</t>
  </si>
  <si>
    <t>εξολεθρευσω</t>
  </si>
  <si>
    <t>εξολοθρευσω</t>
  </si>
  <si>
    <t>του</t>
  </si>
  <si>
    <t>ηξαι</t>
  </si>
  <si>
    <t>ηξει</t>
  </si>
  <si>
    <t>αμφοτερα</t>
  </si>
  <si>
    <t>αμφοτεροι</t>
  </si>
  <si>
    <t>παραρριψον</t>
  </si>
  <si>
    <t>παραριψον</t>
  </si>
  <si>
    <t>ιερτιων</t>
  </si>
  <si>
    <t>ιερετιων</t>
  </si>
  <si>
    <t>τιμιοη</t>
  </si>
  <si>
    <t>τιμιον</t>
  </si>
  <si>
    <t>κειβωτος</t>
  </si>
  <si>
    <t>κιβωτος</t>
  </si>
  <si>
    <t>κεκληκα</t>
  </si>
  <si>
    <t>κεκληκας</t>
  </si>
  <si>
    <t>οτι</t>
  </si>
  <si>
    <t>κεκλημας</t>
  </si>
  <si>
    <t>αυτας</t>
  </si>
  <si>
    <t>αδικεια</t>
  </si>
  <si>
    <t>αμαρτια</t>
  </si>
  <si>
    <t>τοπρωι</t>
  </si>
  <si>
    <t>ποιησε</t>
  </si>
  <si>
    <t>ποιησαι</t>
  </si>
  <si>
    <t>βηρσαβεαι</t>
  </si>
  <si>
    <t>βηρσαβεε</t>
  </si>
  <si>
    <t>παρεμβαλουσιν</t>
  </si>
  <si>
    <t>παρεμβαλλουσιν</t>
  </si>
  <si>
    <t>αβεννεζερ</t>
  </si>
  <si>
    <t>αβενεζερ</t>
  </si>
  <si>
    <t>των</t>
  </si>
  <si>
    <t>τεσσαρω</t>
  </si>
  <si>
    <t>τεσσαρες</t>
  </si>
  <si>
    <t>επτεσεν</t>
  </si>
  <si>
    <t>επταισεν</t>
  </si>
  <si>
    <t>σηλων</t>
  </si>
  <si>
    <t>κραταιουσθαι</t>
  </si>
  <si>
    <t>κραταιουσθε</t>
  </si>
  <si>
    <t>γινεσθαι</t>
  </si>
  <si>
    <t>γινεσθε</t>
  </si>
  <si>
    <t>εσεσθαι</t>
  </si>
  <si>
    <t>πτιει</t>
  </si>
  <si>
    <t>πταιει</t>
  </si>
  <si>
    <t>ελημφθη</t>
  </si>
  <si>
    <t>εληφθη</t>
  </si>
  <si>
    <t>ηλει</t>
  </si>
  <si>
    <t>αυτων</t>
  </si>
  <si>
    <t>υιος</t>
  </si>
  <si>
    <t>ενηνηκοντα</t>
  </si>
  <si>
    <t>ουκ</t>
  </si>
  <si>
    <t>εγενετο</t>
  </si>
  <si>
    <t>δειφρου</t>
  </si>
  <si>
    <t>διφρου</t>
  </si>
  <si>
    <t>οπισθιως</t>
  </si>
  <si>
    <t>οπισθως</t>
  </si>
  <si>
    <t>ωδεινες</t>
  </si>
  <si>
    <t>ωδινες</t>
  </si>
  <si>
    <t>αποθνησκει</t>
  </si>
  <si>
    <t>αποθνησει</t>
  </si>
  <si>
    <t>παρεστηκυαι</t>
  </si>
  <si>
    <t>παρεστηκυιαι</t>
  </si>
  <si>
    <t>κειβωτου</t>
  </si>
  <si>
    <t>κιβωτου</t>
  </si>
  <si>
    <t>απωκεισται</t>
  </si>
  <si>
    <t>απωκισται</t>
  </si>
  <si>
    <t>λημφθηναι</t>
  </si>
  <si>
    <t>ληφθηναι</t>
  </si>
  <si>
    <t>ιδαν</t>
  </si>
  <si>
    <t>ειδαν</t>
  </si>
  <si>
    <t>πεπτωκως</t>
  </si>
  <si>
    <t>πεπτωκεν</t>
  </si>
  <si>
    <t>ιχνει</t>
  </si>
  <si>
    <t>ιχνη</t>
  </si>
  <si>
    <t>εμπροσθεια</t>
  </si>
  <si>
    <t>εμπροσθια</t>
  </si>
  <si>
    <t>εκαστον</t>
  </si>
  <si>
    <t>εκαστοι</t>
  </si>
  <si>
    <t>ραχεις</t>
  </si>
  <si>
    <t>ραχις</t>
  </si>
  <si>
    <t>τουτο</t>
  </si>
  <si>
    <t>οιγον</t>
  </si>
  <si>
    <t>οικον</t>
  </si>
  <si>
    <t>υπερβεννουσιν</t>
  </si>
  <si>
    <t>υπερβεννουσι</t>
  </si>
  <si>
    <t>ιδον</t>
  </si>
  <si>
    <t>ειδον</t>
  </si>
  <si>
    <t>καθηθησεται</t>
  </si>
  <si>
    <t>καθησεται</t>
  </si>
  <si>
    <t>εαυτοις</t>
  </si>
  <si>
    <t>αποθανοττες</t>
  </si>
  <si>
    <t>επαοιδους</t>
  </si>
  <si>
    <t>επαιοιδους</t>
  </si>
  <si>
    <t>κειβωτω</t>
  </si>
  <si>
    <t>κιβωτω</t>
  </si>
  <si>
    <t>αποστελλουμεν</t>
  </si>
  <si>
    <t>αποστελουμεν</t>
  </si>
  <si>
    <t>κειβωτον</t>
  </si>
  <si>
    <t>κιβωτον</t>
  </si>
  <si>
    <t>ιαθησεσθαι</t>
  </si>
  <si>
    <t>ιαθησεσθε</t>
  </si>
  <si>
    <t>πτεσμα</t>
  </si>
  <si>
    <t>πταισμα</t>
  </si>
  <si>
    <t>ποιησεται</t>
  </si>
  <si>
    <t>ποιησετε</t>
  </si>
  <si>
    <t>διαφθιροντων</t>
  </si>
  <si>
    <t>διαφθειροντων</t>
  </si>
  <si>
    <t>δωσεται</t>
  </si>
  <si>
    <t>δωσετε</t>
  </si>
  <si>
    <t>κουφισει</t>
  </si>
  <si>
    <t>κουφιση</t>
  </si>
  <si>
    <t>καθως</t>
  </si>
  <si>
    <t>αυτο</t>
  </si>
  <si>
    <t>λαβαιτε</t>
  </si>
  <si>
    <t>λαβετε</t>
  </si>
  <si>
    <t>ανου</t>
  </si>
  <si>
    <t>τας</t>
  </si>
  <si>
    <t>λημψεσθαι</t>
  </si>
  <si>
    <t>ληψεσθε</t>
  </si>
  <si>
    <t>εξαποστειλατε</t>
  </si>
  <si>
    <t>εξαποστειλετε</t>
  </si>
  <si>
    <t>οψεσθαι</t>
  </si>
  <si>
    <t>οψεσθε</t>
  </si>
  <si>
    <t>βεθσαμυς</t>
  </si>
  <si>
    <t>απεκωλυσαν</t>
  </si>
  <si>
    <t>απεκωλευσαν</t>
  </si>
  <si>
    <t>εκοπιων</t>
  </si>
  <si>
    <t>εκωπιων</t>
  </si>
  <si>
    <t>βεθθαμυς</t>
  </si>
  <si>
    <t>αμαξα</t>
  </si>
  <si>
    <t>αμαξη</t>
  </si>
  <si>
    <t>ολοκαρπωσιν</t>
  </si>
  <si>
    <t>ολοκαυτωσιν</t>
  </si>
  <si>
    <t>λευειται</t>
  </si>
  <si>
    <t>λευιται</t>
  </si>
  <si>
    <t>ασκαλωνος</t>
  </si>
  <si>
    <t>ασκαλων</t>
  </si>
  <si>
    <t>μυσας</t>
  </si>
  <si>
    <t>σατραπιων</t>
  </si>
  <si>
    <t>σατραπειων</t>
  </si>
  <si>
    <t>φερεζεου</t>
  </si>
  <si>
    <t>φερεζαιου</t>
  </si>
  <si>
    <t>επεθησαν</t>
  </si>
  <si>
    <t>βεθθαμυσιτου</t>
  </si>
  <si>
    <t>βεθσαμυσιτου</t>
  </si>
  <si>
    <t>εσμενισαν</t>
  </si>
  <si>
    <t>ειπαν</t>
  </si>
  <si>
    <t>αποστελουσιν</t>
  </si>
  <si>
    <t>καριαθειαρειμ</t>
  </si>
  <si>
    <t>καταβηται</t>
  </si>
  <si>
    <t>καταβητε</t>
  </si>
  <si>
    <t>καριαθιαρειμ</t>
  </si>
  <si>
    <t>καριαθαρειμ</t>
  </si>
  <si>
    <t>καρειαθιαρειμ</t>
  </si>
  <si>
    <t>αιτοιμασατε</t>
  </si>
  <si>
    <t>ετοιμασατε</t>
  </si>
  <si>
    <t>περιιλαν</t>
  </si>
  <si>
    <t>περιειλαν</t>
  </si>
  <si>
    <t>μασηφαττ</t>
  </si>
  <si>
    <t>μασηφατ</t>
  </si>
  <si>
    <t>υδρευοντας</t>
  </si>
  <si>
    <t>υδρευονται</t>
  </si>
  <si>
    <t>ειπον</t>
  </si>
  <si>
    <t>γαλαθηνον</t>
  </si>
  <si>
    <t>γαληθηνον</t>
  </si>
  <si>
    <t>αυτον</t>
  </si>
  <si>
    <t>αναβεσον</t>
  </si>
  <si>
    <t>αναμεσον</t>
  </si>
  <si>
    <t>μασηφα</t>
  </si>
  <si>
    <t>επερθει</t>
  </si>
  <si>
    <t>αυτα</t>
  </si>
  <si>
    <t>εκυκλουν</t>
  </si>
  <si>
    <t>εκυκλου</t>
  </si>
  <si>
    <t>βαιθηλ</t>
  </si>
  <si>
    <t>βεθηλ</t>
  </si>
  <si>
    <t>γαλγαλα</t>
  </si>
  <si>
    <t>γαλααδ</t>
  </si>
  <si>
    <t>πασιν</t>
  </si>
  <si>
    <t>απασιν</t>
  </si>
  <si>
    <t>ραμαθαιμ</t>
  </si>
  <si>
    <t>ελαμβαναν</t>
  </si>
  <si>
    <t>ελαβον</t>
  </si>
  <si>
    <t>ανηγαγον</t>
  </si>
  <si>
    <t>ηγαγον</t>
  </si>
  <si>
    <t>εγκατελειπον</t>
  </si>
  <si>
    <t>εγκατελιπον</t>
  </si>
  <si>
    <t>αυτοις</t>
  </si>
  <si>
    <t>βασιλευει</t>
  </si>
  <si>
    <t>αιτουν</t>
  </si>
  <si>
    <t>αιτουντας</t>
  </si>
  <si>
    <t>λημψεται</t>
  </si>
  <si>
    <t>ληψεται</t>
  </si>
  <si>
    <t>εκατονταρχους</t>
  </si>
  <si>
    <t>εκατοναρχους</t>
  </si>
  <si>
    <t>υμων</t>
  </si>
  <si>
    <t>δωσει</t>
  </si>
  <si>
    <t>εργα</t>
  </si>
  <si>
    <t>εσεσθε</t>
  </si>
  <si>
    <t>προσωπου</t>
  </si>
  <si>
    <t>βασιλεως</t>
  </si>
  <si>
    <t>επακουσεται</t>
  </si>
  <si>
    <t>βασιλεα</t>
  </si>
  <si>
    <t>εσται</t>
  </si>
  <si>
    <t>βασιλευς</t>
  </si>
  <si>
    <t>εσομεθα</t>
  </si>
  <si>
    <t>εμπροσθεν</t>
  </si>
  <si>
    <t>ηκουσεν</t>
  </si>
  <si>
    <t>ελαλησεν</t>
  </si>
  <si>
    <t>ανδρας</t>
  </si>
  <si>
    <t>εξ</t>
  </si>
  <si>
    <t>υιου</t>
  </si>
  <si>
    <t>ιεμιναιου</t>
  </si>
  <si>
    <t>σαουλ</t>
  </si>
  <si>
    <t>απωλοντο</t>
  </si>
  <si>
    <t>υιον</t>
  </si>
  <si>
    <t>πορευθητε</t>
  </si>
  <si>
    <t>ευρον</t>
  </si>
  <si>
    <t>πορευθωμεν</t>
  </si>
  <si>
    <t>εκει</t>
  </si>
  <si>
    <t>πορευσομεθα</t>
  </si>
  <si>
    <t>αναγγελει</t>
  </si>
  <si>
    <t>ρημα</t>
  </si>
  <si>
    <t>επορευθησαν</t>
  </si>
  <si>
    <t>αυτοι</t>
  </si>
  <si>
    <t>θυσιας</t>
  </si>
  <si>
    <t>βανα</t>
  </si>
  <si>
    <t>βαμα</t>
  </si>
  <si>
    <t>αναβηται</t>
  </si>
  <si>
    <t>αναβητε</t>
  </si>
  <si>
    <t>αποστελλω</t>
  </si>
  <si>
    <t>εξαποστελλω</t>
  </si>
  <si>
    <t>απολωλυειων</t>
  </si>
  <si>
    <t>απολωλυιων</t>
  </si>
  <si>
    <t>θης</t>
  </si>
  <si>
    <t>θηση</t>
  </si>
  <si>
    <t>ειεμιναιου</t>
  </si>
  <si>
    <t>αμαγειρω</t>
  </si>
  <si>
    <t>υψησεν</t>
  </si>
  <si>
    <t>ηψησεν</t>
  </si>
  <si>
    <t>ανεβενεν</t>
  </si>
  <si>
    <t>εξαποστελω</t>
  </si>
  <si>
    <t>επι</t>
  </si>
  <si>
    <t>στηθι</t>
  </si>
  <si>
    <t>στηθθι</t>
  </si>
  <si>
    <t>ελαβεν</t>
  </si>
  <si>
    <t>κυκλοθεν</t>
  </si>
  <si>
    <t>ορει</t>
  </si>
  <si>
    <t>εδαψιδευσατο</t>
  </si>
  <si>
    <t>τρις</t>
  </si>
  <si>
    <t>τρεις</t>
  </si>
  <si>
    <t>αγγια</t>
  </si>
  <si>
    <t>αγγεια</t>
  </si>
  <si>
    <t>λημψη</t>
  </si>
  <si>
    <t>ληψη</t>
  </si>
  <si>
    <t>εφαλειτε</t>
  </si>
  <si>
    <t>εφαλειται</t>
  </si>
  <si>
    <t>στραφησει</t>
  </si>
  <si>
    <t>στραφησεις</t>
  </si>
  <si>
    <t>κακαταβαινω</t>
  </si>
  <si>
    <t>καταβαινω</t>
  </si>
  <si>
    <t>θυσια</t>
  </si>
  <si>
    <t>ειρηνεικας</t>
  </si>
  <si>
    <t>ειρηνικας</t>
  </si>
  <si>
    <t>διαλιψεις</t>
  </si>
  <si>
    <t>διαλειψεις</t>
  </si>
  <si>
    <t>εξεναντιας</t>
  </si>
  <si>
    <t>οικιος</t>
  </si>
  <si>
    <t>οικειος</t>
  </si>
  <si>
    <t>οικιον</t>
  </si>
  <si>
    <t>οικειον</t>
  </si>
  <si>
    <t>εξιλαμην</t>
  </si>
  <si>
    <t>εξειλαμην</t>
  </si>
  <si>
    <t>εισερχεται</t>
  </si>
  <si>
    <t>εισερχεσθαι</t>
  </si>
  <si>
    <t>εντευθα</t>
  </si>
  <si>
    <t>ενταυθα</t>
  </si>
  <si>
    <t>ορακατε</t>
  </si>
  <si>
    <t>εγενηθη</t>
  </si>
  <si>
    <t>παρεμβαλει</t>
  </si>
  <si>
    <t>παρεμβαλλει</t>
  </si>
  <si>
    <t>ονιδος</t>
  </si>
  <si>
    <t>ονειδος</t>
  </si>
  <si>
    <t>ειαβεις</t>
  </si>
  <si>
    <t>ιαβεις</t>
  </si>
  <si>
    <t>βοουσιν</t>
  </si>
  <si>
    <t>απαγγελουσιν</t>
  </si>
  <si>
    <t>απαγγελλουσιν</t>
  </si>
  <si>
    <t>πρωεινη</t>
  </si>
  <si>
    <t>πρωινη</t>
  </si>
  <si>
    <t>υπελειφθησαν</t>
  </si>
  <si>
    <t>υπολειφησαν</t>
  </si>
  <si>
    <t>πορευθωμων</t>
  </si>
  <si>
    <t>πορευσωμεν</t>
  </si>
  <si>
    <t>εγκενισωμεν</t>
  </si>
  <si>
    <t>εγκαινισωμεν</t>
  </si>
  <si>
    <t>λειαν</t>
  </si>
  <si>
    <t>θησομαι</t>
  </si>
  <si>
    <t>καθησομαι</t>
  </si>
  <si>
    <t>ειληφα</t>
  </si>
  <si>
    <t>ειληφαι</t>
  </si>
  <si>
    <t>εξειλαλμα</t>
  </si>
  <si>
    <t>ηδεικησας</t>
  </si>
  <si>
    <t>ηδικησας</t>
  </si>
  <si>
    <t>δικαιωσυνας</t>
  </si>
  <si>
    <t>δικαιοσυνας</t>
  </si>
  <si>
    <t>εβοηθησαν</t>
  </si>
  <si>
    <t>επολεμησαν</t>
  </si>
  <si>
    <t>επολημησαν</t>
  </si>
  <si>
    <t>εγκαταελειπομεν</t>
  </si>
  <si>
    <t>εγκατελιπομεν</t>
  </si>
  <si>
    <t>κυκλωθεν</t>
  </si>
  <si>
    <t>εξελειξασθαι</t>
  </si>
  <si>
    <t>εξειλασθε</t>
  </si>
  <si>
    <t>ητησασθαι</t>
  </si>
  <si>
    <t>ητησασθασθε</t>
  </si>
  <si>
    <t>χειρας</t>
  </si>
  <si>
    <t>εισηλθον</t>
  </si>
  <si>
    <t>αλλοφυλων</t>
  </si>
  <si>
    <t>αλλοφυλοι</t>
  </si>
  <si>
    <t>ανδρες</t>
  </si>
  <si>
    <t>ιωναθαν</t>
  </si>
  <si>
    <t>αναβηθι</t>
  </si>
  <si>
    <t>ανεβη</t>
  </si>
  <si>
    <t>προσωπον</t>
  </si>
  <si>
    <t>επαταξεν</t>
  </si>
  <si>
    <t>εικοσι</t>
  </si>
  <si>
    <t>πεδιου</t>
  </si>
  <si>
    <t>ποιειν</t>
  </si>
  <si>
    <t>επισκεψασθε</t>
  </si>
  <si>
    <t>ιδετε</t>
  </si>
  <si>
    <t>πεπορευται</t>
  </si>
  <si>
    <t>αχια</t>
  </si>
  <si>
    <t>ενωπιον</t>
  </si>
  <si>
    <t>επορευετο</t>
  </si>
  <si>
    <t>πορευομενος</t>
  </si>
  <si>
    <t>ερχονται</t>
  </si>
  <si>
    <t>πλησιον</t>
  </si>
  <si>
    <t>εχθες</t>
  </si>
  <si>
    <t>τριτην</t>
  </si>
  <si>
    <t>αναβαινοντες</t>
  </si>
  <si>
    <t>παρεμβολην</t>
  </si>
  <si>
    <t>ηκουσαν</t>
  </si>
  <si>
    <t>χιλιαδες</t>
  </si>
  <si>
    <t>ηγνοηθησεν</t>
  </si>
  <si>
    <t>εισηλθεν</t>
  </si>
  <si>
    <t>εξετεινε</t>
  </si>
  <si>
    <t>επεστρεψεν</t>
  </si>
  <si>
    <t>απεκριθη</t>
  </si>
  <si>
    <t>εσθων</t>
  </si>
  <si>
    <t>εσθιων</t>
  </si>
  <si>
    <t>φαγως</t>
  </si>
  <si>
    <t>φαγων</t>
  </si>
  <si>
    <t>βπροβατον</t>
  </si>
  <si>
    <t>νυκταν</t>
  </si>
  <si>
    <t>απεκριθης</t>
  </si>
  <si>
    <t>εποιησεν</t>
  </si>
  <si>
    <t>προσηυξατο</t>
  </si>
  <si>
    <t>απεθανεν</t>
  </si>
  <si>
    <t>εξιλατο</t>
  </si>
  <si>
    <t>εξειλατο</t>
  </si>
  <si>
    <t>αχεινοομ</t>
  </si>
  <si>
    <t>αχινοαμ</t>
  </si>
  <si>
    <t>αβαινηρ</t>
  </si>
  <si>
    <t>αβενηρ</t>
  </si>
  <si>
    <t>περιποιησει</t>
  </si>
  <si>
    <t>περιποιησεις</t>
  </si>
  <si>
    <t>εξολοθρευσεις</t>
  </si>
  <si>
    <t>εξολεθρευσεις</t>
  </si>
  <si>
    <t>φιση</t>
  </si>
  <si>
    <t>φειση</t>
  </si>
  <si>
    <t>πολεμων</t>
  </si>
  <si>
    <t>ενεδρευσεν</t>
  </si>
  <si>
    <t>ενηδρευσεν</t>
  </si>
  <si>
    <t>ελαιος</t>
  </si>
  <si>
    <t>ελεος</t>
  </si>
  <si>
    <t>ευιλα</t>
  </si>
  <si>
    <t>ευιλατ</t>
  </si>
  <si>
    <t>εξολεθρευσαι</t>
  </si>
  <si>
    <t>εξωλεθρευσαι</t>
  </si>
  <si>
    <t>ηθυμησεν</t>
  </si>
  <si>
    <t>εθυμησεν</t>
  </si>
  <si>
    <t>επορευθη</t>
  </si>
  <si>
    <t>απηγγειλεν</t>
  </si>
  <si>
    <t>επεστρεφεν</t>
  </si>
  <si>
    <t>περιεποιησατο</t>
  </si>
  <si>
    <t>περιποιησατο</t>
  </si>
  <si>
    <t>επορευθην</t>
  </si>
  <si>
    <t>ολοκαυτωματα</t>
  </si>
  <si>
    <t>ολοκαυτωμα</t>
  </si>
  <si>
    <t>εξουδενωσει</t>
  </si>
  <si>
    <t>εξουδενωσεν</t>
  </si>
  <si>
    <t>προσκυνησω</t>
  </si>
  <si>
    <t>προσκηνησω</t>
  </si>
  <si>
    <t>διπλοειδος</t>
  </si>
  <si>
    <t>διπλοιδος</t>
  </si>
  <si>
    <t>προσαγαγεται</t>
  </si>
  <si>
    <t>προσαγαγετε</t>
  </si>
  <si>
    <t>γυναικων</t>
  </si>
  <si>
    <t>γυναικος</t>
  </si>
  <si>
    <t>αρμυθαιμ</t>
  </si>
  <si>
    <t>βηλλεεμ</t>
  </si>
  <si>
    <t>εορακα</t>
  </si>
  <si>
    <t>εωρακα</t>
  </si>
  <si>
    <t>δαμαλι</t>
  </si>
  <si>
    <t>δαμαλιν</t>
  </si>
  <si>
    <t>εισιεναι</t>
  </si>
  <si>
    <t>εισειεναι</t>
  </si>
  <si>
    <t>ιδεν</t>
  </si>
  <si>
    <t>ειδεν</t>
  </si>
  <si>
    <t>τουτος</t>
  </si>
  <si>
    <t>εξελαξατο</t>
  </si>
  <si>
    <t>εξελεξατο</t>
  </si>
  <si>
    <t>δαβιδ</t>
  </si>
  <si>
    <t>ιδοτα</t>
  </si>
  <si>
    <t>ειδοητα</t>
  </si>
  <si>
    <t>βηθλεεμειτην</t>
  </si>
  <si>
    <t>βηθλεεμιτην</t>
  </si>
  <si>
    <t>γομορ</t>
  </si>
  <si>
    <t>γομαρ</t>
  </si>
  <si>
    <t>προπορευετο</t>
  </si>
  <si>
    <t>εξεντιας</t>
  </si>
  <si>
    <t>εκλεξασθαι</t>
  </si>
  <si>
    <t>εκλεξασθε</t>
  </si>
  <si>
    <t>εσομαιθα</t>
  </si>
  <si>
    <t>δουλευσατε</t>
  </si>
  <si>
    <t>ωνιδισα</t>
  </si>
  <si>
    <t>ωνειδισα</t>
  </si>
  <si>
    <t>μιζονες</t>
  </si>
  <si>
    <t>μειζονες</t>
  </si>
  <si>
    <t>οιφει</t>
  </si>
  <si>
    <t>στρυφαλιδας</t>
  </si>
  <si>
    <t>χειλεαρχω</t>
  </si>
  <si>
    <t>χιλιαρχω</t>
  </si>
  <si>
    <t>ηλαλαξεν</t>
  </si>
  <si>
    <t>αδελουους</t>
  </si>
  <si>
    <t>φιλιστιαιος</t>
  </si>
  <si>
    <t>φυλισταιος</t>
  </si>
  <si>
    <t>ονιδισεν</t>
  </si>
  <si>
    <t>ονειδιζεν</t>
  </si>
  <si>
    <t>παταξει</t>
  </si>
  <si>
    <t>αφελει</t>
  </si>
  <si>
    <t>ονιδισμον</t>
  </si>
  <si>
    <t>ονειδισμον</t>
  </si>
  <si>
    <t>ωνιδισεν</t>
  </si>
  <si>
    <t>ωνειδισεν</t>
  </si>
  <si>
    <t>παταξι</t>
  </si>
  <si>
    <t>αιναντιον</t>
  </si>
  <si>
    <t>εναντιον</t>
  </si>
  <si>
    <t>παρελαβον</t>
  </si>
  <si>
    <t>συνπεσετω</t>
  </si>
  <si>
    <t>συμπεσετω</t>
  </si>
  <si>
    <t>εεξεσπασα</t>
  </si>
  <si>
    <t>εξεσπασα</t>
  </si>
  <si>
    <t>ετυπτεη</t>
  </si>
  <si>
    <t>ετυπτεν</t>
  </si>
  <si>
    <t>ουχει</t>
  </si>
  <si>
    <t>θωρακαν</t>
  </si>
  <si>
    <t>εποκασεν</t>
  </si>
  <si>
    <t>εκοπασεν</t>
  </si>
  <si>
    <t>πεπειραμε</t>
  </si>
  <si>
    <t>πεπειραμαι</t>
  </si>
  <si>
    <t>βακτηριαν</t>
  </si>
  <si>
    <t>βακτηραν</t>
  </si>
  <si>
    <t>ληθους</t>
  </si>
  <si>
    <t>λιθους</t>
  </si>
  <si>
    <t>ποιμαινικω</t>
  </si>
  <si>
    <t>ποιμενικω</t>
  </si>
  <si>
    <t>ενγιζων</t>
  </si>
  <si>
    <t>εγγιζων</t>
  </si>
  <si>
    <t>θυραιον</t>
  </si>
  <si>
    <t>θυρεον</t>
  </si>
  <si>
    <t>ητιμαξεν</t>
  </si>
  <si>
    <t>ωνιδισας</t>
  </si>
  <si>
    <t>ωνειδισας</t>
  </si>
  <si>
    <t>αποκλισει</t>
  </si>
  <si>
    <t>αποκλεισει</t>
  </si>
  <si>
    <t>παραδωσει</t>
  </si>
  <si>
    <t>εξεπασεν</t>
  </si>
  <si>
    <t>εξεσπασεν</t>
  </si>
  <si>
    <t>κολαιου</t>
  </si>
  <si>
    <t>εφυγαν</t>
  </si>
  <si>
    <t>εφυγον</t>
  </si>
  <si>
    <t>επορευομενον</t>
  </si>
  <si>
    <t>επηρωτησον</t>
  </si>
  <si>
    <t>επερωτησον</t>
  </si>
  <si>
    <t>βηθλεεμειτου</t>
  </si>
  <si>
    <t>βηθλεεμιτου</t>
  </si>
  <si>
    <t>σουνετελεσεν</t>
  </si>
  <si>
    <t>συνετελεσεν</t>
  </si>
  <si>
    <t>εξηλθον</t>
  </si>
  <si>
    <t>χορευουσαι</t>
  </si>
  <si>
    <t>πολεων</t>
  </si>
  <si>
    <t>απαντησιν</t>
  </si>
  <si>
    <t>δεις</t>
  </si>
  <si>
    <t>δις</t>
  </si>
  <si>
    <t>μοουλαθειτη</t>
  </si>
  <si>
    <t>μοουλαθιτη</t>
  </si>
  <si>
    <t>κυβηθι</t>
  </si>
  <si>
    <t>δωραιαν</t>
  </si>
  <si>
    <t>δωρεαν</t>
  </si>
  <si>
    <t>εισηγαγεν</t>
  </si>
  <si>
    <t>εκθες</t>
  </si>
  <si>
    <t>εξεσπασθη</t>
  </si>
  <si>
    <t>εξεπασθη</t>
  </si>
  <si>
    <t>απεστειλεν</t>
  </si>
  <si>
    <t>θανατωσαι</t>
  </si>
  <si>
    <t>σωσεται</t>
  </si>
  <si>
    <t>καινοταφια</t>
  </si>
  <si>
    <t>κενοταφια</t>
  </si>
  <si>
    <t>κλεινην</t>
  </si>
  <si>
    <t>κλινην</t>
  </si>
  <si>
    <t>απηγγελλη</t>
  </si>
  <si>
    <t>απηγγελη</t>
  </si>
  <si>
    <t>ιστηκει</t>
  </si>
  <si>
    <t>ειστηκει</t>
  </si>
  <si>
    <t>επροεφητευσεν</t>
  </si>
  <si>
    <t>προεφητευσεν</t>
  </si>
  <si>
    <t>νυκτα</t>
  </si>
  <si>
    <t>ερχεται</t>
  </si>
  <si>
    <t>επιζητει</t>
  </si>
  <si>
    <t>εκζητει</t>
  </si>
  <si>
    <t>βουληται</t>
  </si>
  <si>
    <t>βουλεται</t>
  </si>
  <si>
    <t>παιδιω</t>
  </si>
  <si>
    <t>πεδιω</t>
  </si>
  <si>
    <t>ειπης</t>
  </si>
  <si>
    <t>ηγαπηκεν</t>
  </si>
  <si>
    <t>ηγαπησεν</t>
  </si>
  <si>
    <t>τρεισσουσεις</t>
  </si>
  <si>
    <t>τρισσουσεις</t>
  </si>
  <si>
    <t>αποσταλω</t>
  </si>
  <si>
    <t>σχισα</t>
  </si>
  <si>
    <t>βασιευς</t>
  </si>
  <si>
    <t>ιωναθανθαν</t>
  </si>
  <si>
    <t>συπτωμα</t>
  </si>
  <si>
    <t>συμπτωμα</t>
  </si>
  <si>
    <t>παρηται</t>
  </si>
  <si>
    <t>θθανατου</t>
  </si>
  <si>
    <t>αποπηδησεν</t>
  </si>
  <si>
    <t>συντετελεσεν</t>
  </si>
  <si>
    <t>ηκοντιζεν</t>
  </si>
  <si>
    <t>εβοηθησεν</t>
  </si>
  <si>
    <t>ομωμοκαμεν</t>
  </si>
  <si>
    <t>ωμωμοκαμεν</t>
  </si>
  <si>
    <t>αβιμιλεχ</t>
  </si>
  <si>
    <t>αβιμελεχ</t>
  </si>
  <si>
    <t>χωρευουσαι</t>
  </si>
  <si>
    <t>ηλλωοιωσεν</t>
  </si>
  <si>
    <t>κατερει</t>
  </si>
  <si>
    <t>κατερρει</t>
  </si>
  <si>
    <t>επιλημπτων</t>
  </si>
  <si>
    <t>επιληπτων</t>
  </si>
  <si>
    <t>εισηγιαχατε</t>
  </si>
  <si>
    <t>επιλημπτευεσθαι</t>
  </si>
  <si>
    <t>επιληπτευεσθαι</t>
  </si>
  <si>
    <t>ραμμα</t>
  </si>
  <si>
    <t>αποκρινεται</t>
  </si>
  <si>
    <t>αποκρινετο</t>
  </si>
  <si>
    <t>δωηγ</t>
  </si>
  <si>
    <t>δωηκ</t>
  </si>
  <si>
    <t>αχιμελεκ</t>
  </si>
  <si>
    <t>αχιμελεχ</t>
  </si>
  <si>
    <t>ιερεαν</t>
  </si>
  <si>
    <t>εφεστηκοσιν</t>
  </si>
  <si>
    <t>εφεστκοσιν</t>
  </si>
  <si>
    <t>αμαρτησαι</t>
  </si>
  <si>
    <t>εροντας</t>
  </si>
  <si>
    <t>αιροντας</t>
  </si>
  <si>
    <t>εφυγεν</t>
  </si>
  <si>
    <t>απαγγελλων</t>
  </si>
  <si>
    <t>απαγγελων</t>
  </si>
  <si>
    <t>απαγγελλει</t>
  </si>
  <si>
    <t>απαγγελει</t>
  </si>
  <si>
    <t>φεφυλαξαι</t>
  </si>
  <si>
    <t>πεφυλαξαι</t>
  </si>
  <si>
    <t>εισπορευομεθα</t>
  </si>
  <si>
    <t>αναστηθι</t>
  </si>
  <si>
    <t>φυγειν</t>
  </si>
  <si>
    <t>φευγειν</t>
  </si>
  <si>
    <t>αποκεκλιται</t>
  </si>
  <si>
    <t>καταβαινειν</t>
  </si>
  <si>
    <t>καταβαινεν</t>
  </si>
  <si>
    <t>παρεσιωπα</t>
  </si>
  <si>
    <t>παρασιωπα</t>
  </si>
  <si>
    <t>διαφθειρει</t>
  </si>
  <si>
    <t>διαφθειρειν</t>
  </si>
  <si>
    <t>διασεσωται</t>
  </si>
  <si>
    <t>διασεσωσται</t>
  </si>
  <si>
    <t>κειλα</t>
  </si>
  <si>
    <t>κεειλα</t>
  </si>
  <si>
    <t>μασερεθ</t>
  </si>
  <si>
    <t>μασρεθ</t>
  </si>
  <si>
    <t>ιεσσαιμουθ</t>
  </si>
  <si>
    <t>κεκλεικασιν</t>
  </si>
  <si>
    <t>κεκλικασιν</t>
  </si>
  <si>
    <t>πανουργευσητε</t>
  </si>
  <si>
    <t>ειδετε</t>
  </si>
  <si>
    <t>κρυβεται</t>
  </si>
  <si>
    <t>αιτοιμον</t>
  </si>
  <si>
    <t>ετοιμον</t>
  </si>
  <si>
    <t>εξεραυνησω</t>
  </si>
  <si>
    <t>ιεσσαιμου</t>
  </si>
  <si>
    <t>ενγαδδει</t>
  </si>
  <si>
    <t>ανεστρεψεν</t>
  </si>
  <si>
    <t>οπισθεν</t>
  </si>
  <si>
    <t>ενγαδδι</t>
  </si>
  <si>
    <t>χιλιαδας</t>
  </si>
  <si>
    <t>ζετειν</t>
  </si>
  <si>
    <t>αειμειν</t>
  </si>
  <si>
    <t>ηλθεν</t>
  </si>
  <si>
    <t>ζητειν</t>
  </si>
  <si>
    <t>αειαμειν</t>
  </si>
  <si>
    <t>εκαθηντο</t>
  </si>
  <si>
    <t>επισεν</t>
  </si>
  <si>
    <t>κατεβη</t>
  </si>
  <si>
    <t>επεισεν</t>
  </si>
  <si>
    <t>εξηλθεν</t>
  </si>
  <si>
    <t>εβοησεν</t>
  </si>
  <si>
    <t>προσεκυνησεν</t>
  </si>
  <si>
    <t>εορακασιν</t>
  </si>
  <si>
    <t>αποκτεινε</t>
  </si>
  <si>
    <t>εφισαμην</t>
  </si>
  <si>
    <t>ειπα</t>
  </si>
  <si>
    <t>αποκτειναι</t>
  </si>
  <si>
    <t>γνωθει</t>
  </si>
  <si>
    <t>εφεισαμην</t>
  </si>
  <si>
    <t>αθετησεις</t>
  </si>
  <si>
    <t>γνωθι</t>
  </si>
  <si>
    <t>αθετησις</t>
  </si>
  <si>
    <t>πλημμελια</t>
  </si>
  <si>
    <t>πλημμελεια</t>
  </si>
  <si>
    <t>ηρεν</t>
  </si>
  <si>
    <t>εκλαυσεν</t>
  </si>
  <si>
    <t>απεκλισεν</t>
  </si>
  <si>
    <t>απεκλεισεν</t>
  </si>
  <si>
    <t>βασιλεια</t>
  </si>
  <si>
    <t>ωμοσεν</t>
  </si>
  <si>
    <t>ειδι</t>
  </si>
  <si>
    <t>ειδει</t>
  </si>
  <si>
    <t>ανεψρεψαν</t>
  </si>
  <si>
    <t>ηλθαν</t>
  </si>
  <si>
    <t>εξεκλεινεν</t>
  </si>
  <si>
    <t>εξεκλινεν</t>
  </si>
  <si>
    <t>οιφαλ</t>
  </si>
  <si>
    <t>αλφειτου</t>
  </si>
  <si>
    <t>αλφιτου</t>
  </si>
  <si>
    <t>προπορευεσθαι</t>
  </si>
  <si>
    <t>προπορευεσθε</t>
  </si>
  <si>
    <t>επιβεβηκυεις</t>
  </si>
  <si>
    <t>επιβεβηκεις</t>
  </si>
  <si>
    <t>κατεβαιναν</t>
  </si>
  <si>
    <t>παιδιαρια</t>
  </si>
  <si>
    <t>παιδαρια</t>
  </si>
  <si>
    <t>γενονντο</t>
  </si>
  <si>
    <t>γενοιντο</t>
  </si>
  <si>
    <t>ευρεθεσεται</t>
  </si>
  <si>
    <t>ενδεδεμεναι</t>
  </si>
  <si>
    <t>απαντην</t>
  </si>
  <si>
    <t>αναβηθει</t>
  </si>
  <si>
    <t>ονιδισμους</t>
  </si>
  <si>
    <t>ονειδισμου</t>
  </si>
  <si>
    <t>απεστρεψεν</t>
  </si>
  <si>
    <t>ναιψαι</t>
  </si>
  <si>
    <t>νιψαι</t>
  </si>
  <si>
    <t>ιζιαελ</t>
  </si>
  <si>
    <t>ιζραηλ</t>
  </si>
  <si>
    <t>ειεσσαιμου</t>
  </si>
  <si>
    <t>τρισχιλιαδες</t>
  </si>
  <si>
    <t>αιτοιμος</t>
  </si>
  <si>
    <t>ετοιμος</t>
  </si>
  <si>
    <t>παρενβεβληκως</t>
  </si>
  <si>
    <t>παρεμβεβληκως</t>
  </si>
  <si>
    <t>σαρουεια</t>
  </si>
  <si>
    <t>ενπεπηγος</t>
  </si>
  <si>
    <t>εμπεπηγος</t>
  </si>
  <si>
    <t>εποισει</t>
  </si>
  <si>
    <t>εποισεται</t>
  </si>
  <si>
    <t>αθωωθησεται</t>
  </si>
  <si>
    <t>επηνεγκεν</t>
  </si>
  <si>
    <t>επηνεγκειν</t>
  </si>
  <si>
    <t>αβεννηρ</t>
  </si>
  <si>
    <t>επισιει</t>
  </si>
  <si>
    <t>επιειει</t>
  </si>
  <si>
    <t>επικαταρατοι</t>
  </si>
  <si>
    <t>επικαταγαγοι</t>
  </si>
  <si>
    <t>εστηρισθαι</t>
  </si>
  <si>
    <t>εντειμος</t>
  </si>
  <si>
    <t>εντιμος</t>
  </si>
  <si>
    <t>ηθελησα</t>
  </si>
  <si>
    <t>εθελησα</t>
  </si>
  <si>
    <t>εξελθοιτο</t>
  </si>
  <si>
    <t>δυνηση</t>
  </si>
  <si>
    <t>δυνησει</t>
  </si>
  <si>
    <t>ειζραηλειτις</t>
  </si>
  <si>
    <t>ειζραηλιτις</t>
  </si>
  <si>
    <t>φευγεν</t>
  </si>
  <si>
    <t>πεφευγεν</t>
  </si>
  <si>
    <t>δωτοσαν</t>
  </si>
  <si>
    <t>μηνας</t>
  </si>
  <si>
    <t>επετιθεντο</t>
  </si>
  <si>
    <t>επιτιθεντο</t>
  </si>
  <si>
    <t>αμαλακιτην</t>
  </si>
  <si>
    <t>τετιχισμενων</t>
  </si>
  <si>
    <t>τετειχισμενων</t>
  </si>
  <si>
    <t>εξοωγονει</t>
  </si>
  <si>
    <t>αναιτειλωσιν</t>
  </si>
  <si>
    <t>αναγγειλωσιν</t>
  </si>
  <si>
    <t>γνωσει</t>
  </si>
  <si>
    <t>γνωση</t>
  </si>
  <si>
    <t>ενγαστριμυθους</t>
  </si>
  <si>
    <t>ενγατριμυθους</t>
  </si>
  <si>
    <t>πλωστας</t>
  </si>
  <si>
    <t>ενγασριμυθους</t>
  </si>
  <si>
    <t>γνωτας</t>
  </si>
  <si>
    <t>γνωστας</t>
  </si>
  <si>
    <t>αναγαγων</t>
  </si>
  <si>
    <t>διπλοειδα</t>
  </si>
  <si>
    <t>διπλοιδα</t>
  </si>
  <si>
    <t>επερωτησας</t>
  </si>
  <si>
    <t>διαρηξει</t>
  </si>
  <si>
    <t>διαρρηξει</t>
  </si>
  <si>
    <t>επεμψεν</t>
  </si>
  <si>
    <t>χειλιασιν</t>
  </si>
  <si>
    <t>χιλιασιν</t>
  </si>
  <si>
    <t>αναστραφε</t>
  </si>
  <si>
    <t>ορθριζον</t>
  </si>
  <si>
    <t>πορευεσθε</t>
  </si>
  <si>
    <t>ηχμαλωτευσεν</t>
  </si>
  <si>
    <t>ηχμαλωτευσαν</t>
  </si>
  <si>
    <t>μεικρου</t>
  </si>
  <si>
    <t>μικρου</t>
  </si>
  <si>
    <t>εθανωτωσεν</t>
  </si>
  <si>
    <t>εθανατωσεν</t>
  </si>
  <si>
    <t>ενπεπυρισται</t>
  </si>
  <si>
    <t>εμπεπυρισται</t>
  </si>
  <si>
    <t>ιζραηλειτις</t>
  </si>
  <si>
    <t>ιζραηλιτις</t>
  </si>
  <si>
    <t>εθλειβη</t>
  </si>
  <si>
    <t>εθλιβη</t>
  </si>
  <si>
    <t>καταλημψομαι</t>
  </si>
  <si>
    <t>καταληψομαι</t>
  </si>
  <si>
    <t>καταλημψη</t>
  </si>
  <si>
    <t>καταληψη</t>
  </si>
  <si>
    <t>εξαιρουμαινος</t>
  </si>
  <si>
    <t>εξαιρουμενος</t>
  </si>
  <si>
    <t>εξεδιωκεν</t>
  </si>
  <si>
    <t>κατεδιωξεν</t>
  </si>
  <si>
    <t>παλλαθης</t>
  </si>
  <si>
    <t>αμαληκειτου</t>
  </si>
  <si>
    <t>αμαληκιτου</t>
  </si>
  <si>
    <t>κατελειπεν</t>
  </si>
  <si>
    <t>κατελιπεν</t>
  </si>
  <si>
    <t>επεθεμεθα</t>
  </si>
  <si>
    <t>επιθεμεθα</t>
  </si>
  <si>
    <t>χερηθει</t>
  </si>
  <si>
    <t>χερηθι</t>
  </si>
  <si>
    <t>ουτοι</t>
  </si>
  <si>
    <t>αισθιοντες</t>
  </si>
  <si>
    <t>εσθιοντες</t>
  </si>
  <si>
    <t>τετρακοσιοι</t>
  </si>
  <si>
    <t>βεχωρ</t>
  </si>
  <si>
    <t>βεσωρ</t>
  </si>
  <si>
    <t>επαγεσθωσαν</t>
  </si>
  <si>
    <t>επιστρεφετωσαν</t>
  </si>
  <si>
    <t>αποστρεφετωσαν</t>
  </si>
  <si>
    <t>μεριδαν</t>
  </si>
  <si>
    <t>ιουδα</t>
  </si>
  <si>
    <t>καταλιπουσιν</t>
  </si>
  <si>
    <t>καταλειπουσιν</t>
  </si>
  <si>
    <t>ασταρτιον</t>
  </si>
  <si>
    <t>ασταρτειον</t>
  </si>
  <si>
    <t>τιχει</t>
  </si>
  <si>
    <t>τειχει</t>
  </si>
  <si>
    <t>γαλααδιτιδος</t>
  </si>
  <si>
    <t>γαλαδιτιδος</t>
  </si>
  <si>
    <t>τιχους</t>
  </si>
  <si>
    <t>τειχους</t>
  </si>
  <si>
    <t>δαυειδ</t>
  </si>
  <si>
    <t>ειματια</t>
  </si>
  <si>
    <t>ιματια</t>
  </si>
  <si>
    <t>διερρηγοτα</t>
  </si>
  <si>
    <t>διερρωγοτα</t>
  </si>
  <si>
    <t>εισελθειν</t>
  </si>
  <si>
    <t>εισειλθειν</t>
  </si>
  <si>
    <t>περιεπεσαν</t>
  </si>
  <si>
    <t>περιεπεσεν</t>
  </si>
  <si>
    <t>γεβουε</t>
  </si>
  <si>
    <t>γελβουε</t>
  </si>
  <si>
    <t>επεσστηρικτο</t>
  </si>
  <si>
    <t>ιππαρχοι</t>
  </si>
  <si>
    <t>ιπποι</t>
  </si>
  <si>
    <t>αμαληκειτης</t>
  </si>
  <si>
    <t>αμαληκιτης</t>
  </si>
  <si>
    <t>στηθει</t>
  </si>
  <si>
    <t>βασιλιον</t>
  </si>
  <si>
    <t>βασιλειον</t>
  </si>
  <si>
    <t>χλιδωνα</t>
  </si>
  <si>
    <t>διλης</t>
  </si>
  <si>
    <t>δειλης</t>
  </si>
  <si>
    <t>στηλησον</t>
  </si>
  <si>
    <t>επεσαν</t>
  </si>
  <si>
    <t>ευαγγελισησθαι</t>
  </si>
  <si>
    <t>ευαγγελιζσησθε</t>
  </si>
  <si>
    <t>μηπωτε</t>
  </si>
  <si>
    <t>προσωχθεισθη</t>
  </si>
  <si>
    <t>προσωχθισθη</t>
  </si>
  <si>
    <t>θυραιος</t>
  </si>
  <si>
    <t>θυρεος</t>
  </si>
  <si>
    <t>εχρηθη</t>
  </si>
  <si>
    <t>ανεκαψεν</t>
  </si>
  <si>
    <t>κλαυσαται</t>
  </si>
  <si>
    <t>κλαυσατε</t>
  </si>
  <si>
    <t>χρυσιον</t>
  </si>
  <si>
    <t>αγαπησεις</t>
  </si>
  <si>
    <t>αγαπησις</t>
  </si>
  <si>
    <t>απωλεσαν</t>
  </si>
  <si>
    <t>πολεμεικα</t>
  </si>
  <si>
    <t>πολεμικα</t>
  </si>
  <si>
    <t>επηρωτησεν</t>
  </si>
  <si>
    <t>επερωτησεν</t>
  </si>
  <si>
    <t>αχινοομ</t>
  </si>
  <si>
    <t>ιεζραηλιτις</t>
  </si>
  <si>
    <t>καρμηλειτου</t>
  </si>
  <si>
    <t>καρμηλιτου</t>
  </si>
  <si>
    <t>ανηγαγεν</t>
  </si>
  <si>
    <t>ιεβοσθαι</t>
  </si>
  <si>
    <t>ιεβοσθε</t>
  </si>
  <si>
    <t>γααδιτιν</t>
  </si>
  <si>
    <t>γαλααδιτιν</t>
  </si>
  <si>
    <t>υιοος</t>
  </si>
  <si>
    <t>εξηλθοσαν</t>
  </si>
  <si>
    <t>εξελθοσαν</t>
  </si>
  <si>
    <t>παιδες</t>
  </si>
  <si>
    <t>πεξατωσαν</t>
  </si>
  <si>
    <t>παιξατωσαν</t>
  </si>
  <si>
    <t>ινενωπιον</t>
  </si>
  <si>
    <t>εκρατησαν</t>
  </si>
  <si>
    <t>λιαν</t>
  </si>
  <si>
    <t>εκκλεινον</t>
  </si>
  <si>
    <t>εκκλινον</t>
  </si>
  <si>
    <t>ηθελησεν</t>
  </si>
  <si>
    <t>εθελησεν</t>
  </si>
  <si>
    <t>εκκλεινεν</t>
  </si>
  <si>
    <t>εκκλινειν</t>
  </si>
  <si>
    <t>οπσθεν</t>
  </si>
  <si>
    <t>αποστηθει</t>
  </si>
  <si>
    <t>αποστηθι</t>
  </si>
  <si>
    <t>αποστρεφε</t>
  </si>
  <si>
    <t>εγενηθησαν</t>
  </si>
  <si>
    <t>εγενηθησιν</t>
  </si>
  <si>
    <t>νεικος</t>
  </si>
  <si>
    <t>επιστρεφειν</t>
  </si>
  <si>
    <t>αποστρεφειν</t>
  </si>
  <si>
    <t>πρωεισθαιν</t>
  </si>
  <si>
    <t>πρωισθεν</t>
  </si>
  <si>
    <t>σαλπιγγει</t>
  </si>
  <si>
    <t>σαλπιγγι</t>
  </si>
  <si>
    <t>ερουσιν</t>
  </si>
  <si>
    <t>αιρουσιν</t>
  </si>
  <si>
    <t>ιζραηλιτιδος</t>
  </si>
  <si>
    <t>ιεζραηλιτιδος</t>
  </si>
  <si>
    <t>δαλουια</t>
  </si>
  <si>
    <t>δαλουιδ</t>
  </si>
  <si>
    <t>θολμει</t>
  </si>
  <si>
    <t>θολμι</t>
  </si>
  <si>
    <t>βασιλεωςο</t>
  </si>
  <si>
    <t>φενγιθ</t>
  </si>
  <si>
    <t>φεγγιθ</t>
  </si>
  <si>
    <t>ειεθερααμ</t>
  </si>
  <si>
    <t>ιεθερααμ</t>
  </si>
  <si>
    <t>ιολ</t>
  </si>
  <si>
    <t>ιοα</t>
  </si>
  <si>
    <t>ωμωσεν</t>
  </si>
  <si>
    <t>εδυνασθη</t>
  </si>
  <si>
    <t>ηδυνασθη</t>
  </si>
  <si>
    <t>μεμφιβοσθαι</t>
  </si>
  <si>
    <t>μεμφιβοσθε</t>
  </si>
  <si>
    <t>αιτουμε</t>
  </si>
  <si>
    <t>αιτουμαι</t>
  </si>
  <si>
    <t>παρελαβεν</t>
  </si>
  <si>
    <t>βαθυρειμ</t>
  </si>
  <si>
    <t>παρεγινοντο</t>
  </si>
  <si>
    <t>παρεγενοντο</t>
  </si>
  <si>
    <t>απεστακκεν</t>
  </si>
  <si>
    <t>εκλιποι</t>
  </si>
  <si>
    <t>εκλειποι</t>
  </si>
  <si>
    <t>γονορυης</t>
  </si>
  <si>
    <t>ασαι</t>
  </si>
  <si>
    <t>αβισαι</t>
  </si>
  <si>
    <t>περιζωσασθαι</t>
  </si>
  <si>
    <t>περιεζωσασθε</t>
  </si>
  <si>
    <t>περιδειπνισαι</t>
  </si>
  <si>
    <t>σαρουιας</t>
  </si>
  <si>
    <t>εφευγεν</t>
  </si>
  <si>
    <t>εχωλανθη</t>
  </si>
  <si>
    <t>εσχωλανθη</t>
  </si>
  <si>
    <t>εκαθερεν</t>
  </si>
  <si>
    <t>εκαθαιρεν</t>
  </si>
  <si>
    <t>ααανα</t>
  </si>
  <si>
    <t>απεκτανκασιν</t>
  </si>
  <si>
    <t>απεκταγκασιν</t>
  </si>
  <si>
    <t>αποκτενουσιν</t>
  </si>
  <si>
    <t>αποτενουσιν</t>
  </si>
  <si>
    <t>ποιμαινεις</t>
  </si>
  <si>
    <t>ποιμανεις</t>
  </si>
  <si>
    <t>εβασιλευσεν</t>
  </si>
  <si>
    <t>εισελευση</t>
  </si>
  <si>
    <t>εισελευσει</t>
  </si>
  <si>
    <t>παραξιδι</t>
  </si>
  <si>
    <t>φαραξιδι</t>
  </si>
  <si>
    <t>ελισους</t>
  </si>
  <si>
    <t>ελισουε</t>
  </si>
  <si>
    <t>ελισαε</t>
  </si>
  <si>
    <t>συνεθεσαν</t>
  </si>
  <si>
    <t>κοιλαδαν</t>
  </si>
  <si>
    <t>παραδους</t>
  </si>
  <si>
    <t>συγκλισμου</t>
  </si>
  <si>
    <t>συγκλεισμου</t>
  </si>
  <si>
    <t>κααυθμωνος</t>
  </si>
  <si>
    <t>κλαυθμωνος</t>
  </si>
  <si>
    <t>επεκληθη</t>
  </si>
  <si>
    <t>εκληθη</t>
  </si>
  <si>
    <t>δυναμηων</t>
  </si>
  <si>
    <t>δυναμεων</t>
  </si>
  <si>
    <t>καθημενου</t>
  </si>
  <si>
    <t>καθουμενου</t>
  </si>
  <si>
    <t>επεβιβασεν</t>
  </si>
  <si>
    <t>αζα</t>
  </si>
  <si>
    <t>αλωμωνος</t>
  </si>
  <si>
    <t>ναχωρ</t>
  </si>
  <si>
    <t>εξετεινεν</t>
  </si>
  <si>
    <t>αζζα</t>
  </si>
  <si>
    <t>εκρατησεν</t>
  </si>
  <si>
    <t>περισπασεν</t>
  </si>
  <si>
    <t>περιεσπασεν</t>
  </si>
  <si>
    <t>αζζαν</t>
  </si>
  <si>
    <t>ηθυμωσεν</t>
  </si>
  <si>
    <t>εκκλειναι</t>
  </si>
  <si>
    <t>εκκλιναι</t>
  </si>
  <si>
    <t>αβεδδαρα</t>
  </si>
  <si>
    <t>αβεδδαδομ</t>
  </si>
  <si>
    <t>ενεδυκως</t>
  </si>
  <si>
    <t>ωκοδομησατε</t>
  </si>
  <si>
    <t>αδικειας</t>
  </si>
  <si>
    <t>αδικιας</t>
  </si>
  <si>
    <t>αδικια</t>
  </si>
  <si>
    <t>αφεσει</t>
  </si>
  <si>
    <t>ανορθωμενος</t>
  </si>
  <si>
    <t>ανωρθωμενος</t>
  </si>
  <si>
    <t>μεγαλυναι</t>
  </si>
  <si>
    <t>μεγαλυνθηναι</t>
  </si>
  <si>
    <t>ηκουσαμεν</t>
  </si>
  <si>
    <t>ακουσαμεν</t>
  </si>
  <si>
    <t>δουλου</t>
  </si>
  <si>
    <t>οικοδημησω</t>
  </si>
  <si>
    <t>οικοδομησω</t>
  </si>
  <si>
    <t>αληθεινοι</t>
  </si>
  <si>
    <t>αληθινοι</t>
  </si>
  <si>
    <t>εποιησαν</t>
  </si>
  <si>
    <t>σολομωντος</t>
  </si>
  <si>
    <t>σαλωμωντος</t>
  </si>
  <si>
    <t>βασιλειι</t>
  </si>
  <si>
    <t>βασιλει</t>
  </si>
  <si>
    <t>χερεθει</t>
  </si>
  <si>
    <t>φελεθει</t>
  </si>
  <si>
    <t>υπολελιπται</t>
  </si>
  <si>
    <t>υπολελειπται</t>
  </si>
  <si>
    <t>λαβαδαρι</t>
  </si>
  <si>
    <t>λαδαβαρ</t>
  </si>
  <si>
    <t>εργαν</t>
  </si>
  <si>
    <t>εγραν</t>
  </si>
  <si>
    <t>κατοικει</t>
  </si>
  <si>
    <t>κατωκει</t>
  </si>
  <si>
    <t>καθεισατε</t>
  </si>
  <si>
    <t>καθισατε</t>
  </si>
  <si>
    <t>επιστραφησεσθαι</t>
  </si>
  <si>
    <t>επιστραφησεσθε</t>
  </si>
  <si>
    <t>εσομαι</t>
  </si>
  <si>
    <t>εισηλθαν</t>
  </si>
  <si>
    <t>σωβακ</t>
  </si>
  <si>
    <t>σωβαχ</t>
  </si>
  <si>
    <t>λουμενην</t>
  </si>
  <si>
    <t>βηθσαβεε</t>
  </si>
  <si>
    <t>ανηγγειλεν</t>
  </si>
  <si>
    <t>αρεις</t>
  </si>
  <si>
    <t>κατεβης</t>
  </si>
  <si>
    <t>αποστραφησεσθαι</t>
  </si>
  <si>
    <t>ιεροβοαμ</t>
  </si>
  <si>
    <t>προσηγαγετε</t>
  </si>
  <si>
    <t>παρηγγειλεν</t>
  </si>
  <si>
    <t>προσηγατετε</t>
  </si>
  <si>
    <t>πληγησεσθαι</t>
  </si>
  <si>
    <t>πληγησεσθε</t>
  </si>
  <si>
    <t>αβιμελεκ</t>
  </si>
  <si>
    <t>ιεροβοαλ</t>
  </si>
  <si>
    <t>εφισατο</t>
  </si>
  <si>
    <t>εφεισατο</t>
  </si>
  <si>
    <t>ληψομαι</t>
  </si>
  <si>
    <t>νηστιαν</t>
  </si>
  <si>
    <t>νηστειαν</t>
  </si>
  <si>
    <t>ηλιψατο</t>
  </si>
  <si>
    <t>ηλειψατο</t>
  </si>
  <si>
    <t>παρεθηκεν</t>
  </si>
  <si>
    <t>παρεθηκαν</t>
  </si>
  <si>
    <t>ιδεδι</t>
  </si>
  <si>
    <t>ιεδιδια</t>
  </si>
  <si>
    <t>παρεμβαλλε</t>
  </si>
  <si>
    <t>εξηγαγον</t>
  </si>
  <si>
    <t>εξηγαγεν</t>
  </si>
  <si>
    <t>πληθου</t>
  </si>
  <si>
    <t>πλινθιου</t>
  </si>
  <si>
    <t>θημαρ</t>
  </si>
  <si>
    <t>θαμαρ</t>
  </si>
  <si>
    <t>αρρωστιν</t>
  </si>
  <si>
    <t>αρρωστειν</t>
  </si>
  <si>
    <t>ελθατω</t>
  </si>
  <si>
    <t>ελθιτω</t>
  </si>
  <si>
    <t>αμνων</t>
  </si>
  <si>
    <t>αμμων</t>
  </si>
  <si>
    <t>αποκλισον</t>
  </si>
  <si>
    <t>αποκλεισον</t>
  </si>
  <si>
    <t>κλαζουσα</t>
  </si>
  <si>
    <t>εμεισι</t>
  </si>
  <si>
    <t>εμισει</t>
  </si>
  <si>
    <t>βελλασωρ</t>
  </si>
  <si>
    <t>ανδριζεσθαι</t>
  </si>
  <si>
    <t>ανδριζεσθε</t>
  </si>
  <si>
    <t>καθα</t>
  </si>
  <si>
    <t>μονοτατος</t>
  </si>
  <si>
    <t>παρειστν</t>
  </si>
  <si>
    <t>τουτον</t>
  </si>
  <si>
    <t>πεσαντα</t>
  </si>
  <si>
    <t>παισαντα</t>
  </si>
  <si>
    <t>εξαιρουμεν</t>
  </si>
  <si>
    <t>καταλιφθεντα</t>
  </si>
  <si>
    <t>καταλειφθεντα</t>
  </si>
  <si>
    <t>λημμα</t>
  </si>
  <si>
    <t>βαβιζε</t>
  </si>
  <si>
    <t>ποιησει</t>
  </si>
  <si>
    <t>ποιηση</t>
  </si>
  <si>
    <t>ακουει</t>
  </si>
  <si>
    <t>καερεσθαι</t>
  </si>
  <si>
    <t>κειρεσθαι</t>
  </si>
  <si>
    <t>τηκτει</t>
  </si>
  <si>
    <t>τικτει</t>
  </si>
  <si>
    <t>παιδας</t>
  </si>
  <si>
    <t>εμπυρισατε</t>
  </si>
  <si>
    <t>διερρηκοτες</t>
  </si>
  <si>
    <t>απηγειλεν</t>
  </si>
  <si>
    <t>εμπροσοεν</t>
  </si>
  <si>
    <t>βασιως</t>
  </si>
  <si>
    <t>παραστησει</t>
  </si>
  <si>
    <t>τεσσαρακοντα</t>
  </si>
  <si>
    <t>τεσσερακοντα</t>
  </si>
  <si>
    <t>ευξαμην</t>
  </si>
  <si>
    <t>ηυξαμην</t>
  </si>
  <si>
    <t>αχιιτοφελ</t>
  </si>
  <si>
    <t>αχιτοφελ</t>
  </si>
  <si>
    <t>γιλωναιω</t>
  </si>
  <si>
    <t>γιαωναιω</t>
  </si>
  <si>
    <t>τατυνη</t>
  </si>
  <si>
    <t>ταχυνη</t>
  </si>
  <si>
    <t>ερειται</t>
  </si>
  <si>
    <t>χερεθθει</t>
  </si>
  <si>
    <t>φελεθθει</t>
  </si>
  <si>
    <t>αληθιαν</t>
  </si>
  <si>
    <t>αληθειαν</t>
  </si>
  <si>
    <t>διανεβαι</t>
  </si>
  <si>
    <t>αναανεβαι</t>
  </si>
  <si>
    <t>σαδωκ</t>
  </si>
  <si>
    <t>σαδδωκ</t>
  </si>
  <si>
    <t>ιαβοκ</t>
  </si>
  <si>
    <t>χουσει</t>
  </si>
  <si>
    <t>χουσι</t>
  </si>
  <si>
    <t>αχιμαος</t>
  </si>
  <si>
    <t>αχιμαας</t>
  </si>
  <si>
    <t>σιββα</t>
  </si>
  <si>
    <t>σιβα</t>
  </si>
  <si>
    <t>βαουρειμ</t>
  </si>
  <si>
    <t>βαθουρειμ</t>
  </si>
  <si>
    <t>συγγενιας</t>
  </si>
  <si>
    <t>συγγενειας</t>
  </si>
  <si>
    <t>σεμεει</t>
  </si>
  <si>
    <t>σιμιει</t>
  </si>
  <si>
    <t>σεμει</t>
  </si>
  <si>
    <t>αβεισα</t>
  </si>
  <si>
    <t>αβισα</t>
  </si>
  <si>
    <t>καταρασοαι</t>
  </si>
  <si>
    <t>καταρασθαι</t>
  </si>
  <si>
    <t>κατελιπε</t>
  </si>
  <si>
    <t>αραχι</t>
  </si>
  <si>
    <t>αραχει</t>
  </si>
  <si>
    <t>ακουσομαιν</t>
  </si>
  <si>
    <t>ακουσωμεν</t>
  </si>
  <si>
    <t>ηδεκνωμενη</t>
  </si>
  <si>
    <t>ιστηκεισαν</t>
  </si>
  <si>
    <t>ειστηκεισαν</t>
  </si>
  <si>
    <t>αραβωθωθ</t>
  </si>
  <si>
    <t>αραιωθωθ</t>
  </si>
  <si>
    <t>ανεστρεψαν</t>
  </si>
  <si>
    <t>αχειτοφελ</t>
  </si>
  <si>
    <t>ισμαηλειτης</t>
  </si>
  <si>
    <t>ισραηλιτης</t>
  </si>
  <si>
    <t>ουεσβει</t>
  </si>
  <si>
    <t>συεσβει</t>
  </si>
  <si>
    <t>γαλααδειτης</t>
  </si>
  <si>
    <t>γαλααδιτης</t>
  </si>
  <si>
    <t>ρωγελειμ</t>
  </si>
  <si>
    <t>ρωγελλειμ</t>
  </si>
  <si>
    <t>εκλελυγμενος</t>
  </si>
  <si>
    <t>εκλελυμενος</t>
  </si>
  <si>
    <t>αβισαει</t>
  </si>
  <si>
    <t>φεισασθαι</t>
  </si>
  <si>
    <t>φεισασθε</t>
  </si>
  <si>
    <t>επαταξαν</t>
  </si>
  <si>
    <t>αβεσλωμ</t>
  </si>
  <si>
    <t>αβεσσαλωμ</t>
  </si>
  <si>
    <t>εννεκεν</t>
  </si>
  <si>
    <t>ενεκεν</t>
  </si>
  <si>
    <t>κλαιει</t>
  </si>
  <si>
    <t>εξαιρουντων</t>
  </si>
  <si>
    <t>αυλισθησετε</t>
  </si>
  <si>
    <t>επιγνωθει</t>
  </si>
  <si>
    <t>αυλισθησεται</t>
  </si>
  <si>
    <t>επιγνωθι</t>
  </si>
  <si>
    <t>ερειτε</t>
  </si>
  <si>
    <t>απεστειλαν</t>
  </si>
  <si>
    <t>επιστραφηθει</t>
  </si>
  <si>
    <t>ηλθον</t>
  </si>
  <si>
    <t>επιστραφηθι</t>
  </si>
  <si>
    <t>επεσεν</t>
  </si>
  <si>
    <t>θεσθαι</t>
  </si>
  <si>
    <t>κατηρασατο</t>
  </si>
  <si>
    <t>σιμεει</t>
  </si>
  <si>
    <t>παρεγενετο</t>
  </si>
  <si>
    <t>οτενετο</t>
  </si>
  <si>
    <t>μεφιβοσθε</t>
  </si>
  <si>
    <t>πορευσομαι</t>
  </si>
  <si>
    <t>θανατου</t>
  </si>
  <si>
    <t>διελεισθαι</t>
  </si>
  <si>
    <t>διελεισθε</t>
  </si>
  <si>
    <t>ογδοηκοντα</t>
  </si>
  <si>
    <t>καθεισατω</t>
  </si>
  <si>
    <t>χανααν</t>
  </si>
  <si>
    <t>καθισατω</t>
  </si>
  <si>
    <t>αρσιν</t>
  </si>
  <si>
    <t>πρωτοτοκος</t>
  </si>
  <si>
    <t>προτοτοκος</t>
  </si>
  <si>
    <t>βοχορει</t>
  </si>
  <si>
    <t>βοχορι</t>
  </si>
  <si>
    <t>σκειασει</t>
  </si>
  <si>
    <t>σκιασει</t>
  </si>
  <si>
    <t>χορεθθει</t>
  </si>
  <si>
    <t>διωξε</t>
  </si>
  <si>
    <t>διωξαι</t>
  </si>
  <si>
    <t>εφυλατο</t>
  </si>
  <si>
    <t>εφυλαξατο</t>
  </si>
  <si>
    <t>βημμακα</t>
  </si>
  <si>
    <t>βηθμακα</t>
  </si>
  <si>
    <t>προχωνα</t>
  </si>
  <si>
    <t>προχωμα</t>
  </si>
  <si>
    <t>προτειχιισματι</t>
  </si>
  <si>
    <t>προτειχισματι</t>
  </si>
  <si>
    <t>δυναμι</t>
  </si>
  <si>
    <t>δυναμει</t>
  </si>
  <si>
    <t>ιαειρει</t>
  </si>
  <si>
    <t>ιαειρι</t>
  </si>
  <si>
    <t>ευλογησεται</t>
  </si>
  <si>
    <t>ευλογησετε</t>
  </si>
  <si>
    <t>εξελιασωμεν</t>
  </si>
  <si>
    <t>μοουλαθει</t>
  </si>
  <si>
    <t>εξιλιασαν</t>
  </si>
  <si>
    <t>εξηλιασαν</t>
  </si>
  <si>
    <t>ορειι</t>
  </si>
  <si>
    <t>πετννα</t>
  </si>
  <si>
    <t>πετεινα</t>
  </si>
  <si>
    <t>πλατιας</t>
  </si>
  <si>
    <t>πλατειας</t>
  </si>
  <si>
    <t>ανηνεγκεν</t>
  </si>
  <si>
    <t>ραφει</t>
  </si>
  <si>
    <t>διενοειτο</t>
  </si>
  <si>
    <t>διενοιειτο</t>
  </si>
  <si>
    <t>αουσαστωνθει</t>
  </si>
  <si>
    <t>αυσαστωθι</t>
  </si>
  <si>
    <t>επεταξεν</t>
  </si>
  <si>
    <t>εικοσιτεσαρες</t>
  </si>
  <si>
    <t>εζιλατο</t>
  </si>
  <si>
    <t>εξερουμενος</t>
  </si>
  <si>
    <t>αντιλημπτωρ</t>
  </si>
  <si>
    <t>αντιληπτωρ</t>
  </si>
  <si>
    <t>επακουσετε</t>
  </si>
  <si>
    <t>αστραπην</t>
  </si>
  <si>
    <t>αστραπας</t>
  </si>
  <si>
    <t>ισχυρος</t>
  </si>
  <si>
    <t>ισχυος</t>
  </si>
  <si>
    <t>εσεται</t>
  </si>
  <si>
    <t>πλασυσμον</t>
  </si>
  <si>
    <t>αναστησομαι</t>
  </si>
  <si>
    <t>βοησονται</t>
  </si>
  <si>
    <t>βοηθησονται</t>
  </si>
  <si>
    <t>συγκλισμων</t>
  </si>
  <si>
    <t>συγκλεισμων</t>
  </si>
  <si>
    <t>βλασταση</t>
  </si>
  <si>
    <t>λημφθησονται</t>
  </si>
  <si>
    <t>ληφθησονται</t>
  </si>
  <si>
    <t>πληρες</t>
  </si>
  <si>
    <t>πληρεις</t>
  </si>
  <si>
    <t>οδολαμ</t>
  </si>
  <si>
    <t>οδολλαμ</t>
  </si>
  <si>
    <t>παρενεβαλον</t>
  </si>
  <si>
    <t>παρενεβαλεν</t>
  </si>
  <si>
    <t>υποστεμα</t>
  </si>
  <si>
    <t>υποστημα</t>
  </si>
  <si>
    <t>ελαβαν</t>
  </si>
  <si>
    <t>ελαβoν</t>
  </si>
  <si>
    <t>ιωιαδαε</t>
  </si>
  <si>
    <t>ιωδδαε</t>
  </si>
  <si>
    <t>ακοας</t>
  </si>
  <si>
    <t>ακαας</t>
  </si>
  <si>
    <t>φελλωνει</t>
  </si>
  <si>
    <t>φελωνει</t>
  </si>
  <si>
    <t>αναθωθειτης</t>
  </si>
  <si>
    <t>αναθωθιτης</t>
  </si>
  <si>
    <t>σελλων</t>
  </si>
  <si>
    <t>σελλωμ</t>
  </si>
  <si>
    <t>ελωειτης</t>
  </si>
  <si>
    <t>ελωιτης</t>
  </si>
  <si>
    <t>νεπωφαθειτης</t>
  </si>
  <si>
    <t>νεοπωφαθιτης</t>
  </si>
  <si>
    <t>βαρωμειτης</t>
  </si>
  <si>
    <t>βαρωμιτης</t>
  </si>
  <si>
    <t>σαλαβωνειτης</t>
  </si>
  <si>
    <t>σαλαβωνιτης</t>
  </si>
  <si>
    <t>αρωδειτης</t>
  </si>
  <si>
    <t>αρωδιτης</t>
  </si>
  <si>
    <t>αμναν</t>
  </si>
  <si>
    <t>αραρειτης</t>
  </si>
  <si>
    <t>αραριτης</t>
  </si>
  <si>
    <t>γειλωνιτου</t>
  </si>
  <si>
    <t>γιλωνιτου</t>
  </si>
  <si>
    <t>γαδδι</t>
  </si>
  <si>
    <t>αδασαι</t>
  </si>
  <si>
    <t>αλασαι</t>
  </si>
  <si>
    <t>βηρσαβαιε</t>
  </si>
  <si>
    <t>εμωρανθην</t>
  </si>
  <si>
    <t>εμαρανθην</t>
  </si>
  <si>
    <t>οικτειρμοι</t>
  </si>
  <si>
    <t>οικτιρμοι</t>
  </si>
  <si>
    <t>συνεχεσθη</t>
  </si>
  <si>
    <t>συνεσχεθη</t>
  </si>
  <si>
    <t>ευραν</t>
  </si>
  <si>
    <t>σωμανιτην</t>
  </si>
  <si>
    <t>σουμανιτην</t>
  </si>
  <si>
    <t>βαας</t>
  </si>
  <si>
    <t>βησαβεε</t>
  </si>
  <si>
    <t>σαλωμων</t>
  </si>
  <si>
    <t>καταγαγατε</t>
  </si>
  <si>
    <t>καταγαγετε</t>
  </si>
  <si>
    <t>σαλπισατε</t>
  </si>
  <si>
    <t>σαλπισετε</t>
  </si>
  <si>
    <t>αναβησεσθαι</t>
  </si>
  <si>
    <t>αναβησετε</t>
  </si>
  <si>
    <t>εισελευσεται</t>
  </si>
  <si>
    <t>καθησετει</t>
  </si>
  <si>
    <t>επεκαθεισαν</t>
  </si>
  <si>
    <t>επεκαθισαν</t>
  </si>
  <si>
    <t>ιωαναθαν</t>
  </si>
  <si>
    <t>ομοσατω</t>
  </si>
  <si>
    <t>ωμοσατω</t>
  </si>
  <si>
    <t>κατηνεγκεν</t>
  </si>
  <si>
    <t>κατηνεγκαν</t>
  </si>
  <si>
    <t>στησει</t>
  </si>
  <si>
    <t>στηση</t>
  </si>
  <si>
    <t>αμεσσα</t>
  </si>
  <si>
    <t>αμεσα</t>
  </si>
  <si>
    <t>κατηρησατο</t>
  </si>
  <si>
    <t>καταξις</t>
  </si>
  <si>
    <t>καταξεις</t>
  </si>
  <si>
    <t>αγειθ</t>
  </si>
  <si>
    <t>αγεθ</t>
  </si>
  <si>
    <t>σουμανιτιν</t>
  </si>
  <si>
    <t>σουναμιτην</t>
  </si>
  <si>
    <t>σουναμιτιν</t>
  </si>
  <si>
    <t>βανιου</t>
  </si>
  <si>
    <t>βαναιου</t>
  </si>
  <si>
    <t>πεφυγας</t>
  </si>
  <si>
    <t>πεφευγας</t>
  </si>
  <si>
    <t>κατεσταμενοι</t>
  </si>
  <si>
    <t>αθοωσης</t>
  </si>
  <si>
    <t>αθοωθησης</t>
  </si>
  <si>
    <t>συνιεναι</t>
  </si>
  <si>
    <t>συνιειναι</t>
  </si>
  <si>
    <t>εκοιμωσεν</t>
  </si>
  <si>
    <t>αχαια</t>
  </si>
  <si>
    <t>στρατειας</t>
  </si>
  <si>
    <t>σοχλω</t>
  </si>
  <si>
    <t>σοχαω</t>
  </si>
  <si>
    <t>ιαρειρυκον</t>
  </si>
  <si>
    <t>μααναιν</t>
  </si>
  <si>
    <t>μααναιμ</t>
  </si>
  <si>
    <t>σιμεδαλεως</t>
  </si>
  <si>
    <t>χυμμα</t>
  </si>
  <si>
    <t>χυμα</t>
  </si>
  <si>
    <t>υσσωπου</t>
  </si>
  <si>
    <t>πετινων</t>
  </si>
  <si>
    <t>πετεινων</t>
  </si>
  <si>
    <t>σολομων</t>
  </si>
  <si>
    <t>δουλιας</t>
  </si>
  <si>
    <t>δουλειας</t>
  </si>
  <si>
    <t>κεδρευς</t>
  </si>
  <si>
    <t>κεδρους</t>
  </si>
  <si>
    <t>βεθελαουου</t>
  </si>
  <si>
    <t>αρειν</t>
  </si>
  <si>
    <t>επεκεκησαν</t>
  </si>
  <si>
    <t>τεσσαρακοστω</t>
  </si>
  <si>
    <t>τεσσερακοστω</t>
  </si>
  <si>
    <t>ηκουσται</t>
  </si>
  <si>
    <t>ηκουσαι</t>
  </si>
  <si>
    <t>ωκοδομεις</t>
  </si>
  <si>
    <t>οικοδομεις</t>
  </si>
  <si>
    <t>εικοσει</t>
  </si>
  <si>
    <t>συγκεκλισμενω</t>
  </si>
  <si>
    <t>συγκεκλεισμενω</t>
  </si>
  <si>
    <t>αποκλιστω</t>
  </si>
  <si>
    <t>αποκλειστω</t>
  </si>
  <si>
    <t>χερεβειν</t>
  </si>
  <si>
    <t>χερουβειν</t>
  </si>
  <si>
    <t>κυπαρισινων</t>
  </si>
  <si>
    <t>κυπαρισσινων</t>
  </si>
  <si>
    <t>χερουβιν</t>
  </si>
  <si>
    <t>ενκολαμτα</t>
  </si>
  <si>
    <t>εγγυπτοντα</t>
  </si>
  <si>
    <t>ενκολαπτα</t>
  </si>
  <si>
    <t>εγκολαπτα</t>
  </si>
  <si>
    <t>ενκεκολαμμενα</t>
  </si>
  <si>
    <t>εγκεκολαμμενα</t>
  </si>
  <si>
    <t>ναου</t>
  </si>
  <si>
    <t>τετραππλως</t>
  </si>
  <si>
    <t>τετραπλως</t>
  </si>
  <si>
    <t>αιν</t>
  </si>
  <si>
    <t>πευκεινα</t>
  </si>
  <si>
    <t>πευκινα</t>
  </si>
  <si>
    <t>ζειθυ</t>
  </si>
  <si>
    <t>ζειου</t>
  </si>
  <si>
    <t>ετει</t>
  </si>
  <si>
    <t>ογδοος</t>
  </si>
  <si>
    <t>ογδος</t>
  </si>
  <si>
    <t>εχωννευσεν</t>
  </si>
  <si>
    <t>εχωνευσεν</t>
  </si>
  <si>
    <t>δεκτυον</t>
  </si>
  <si>
    <t>συνηγμενοι</t>
  </si>
  <si>
    <t>συνηγμενη</t>
  </si>
  <si>
    <t>θαλασσαν</t>
  </si>
  <si>
    <t>συγκλιματα</t>
  </si>
  <si>
    <t>λεονοτων</t>
  </si>
  <si>
    <t>καιχυμεναι</t>
  </si>
  <si>
    <t>κεχυμεναι</t>
  </si>
  <si>
    <t>τροχρου</t>
  </si>
  <si>
    <t>τροχου</t>
  </si>
  <si>
    <t>πραγματια</t>
  </si>
  <si>
    <t>πραγματεια</t>
  </si>
  <si>
    <t>συγκλισματα</t>
  </si>
  <si>
    <t>συγκλεισματα</t>
  </si>
  <si>
    <t>συγκλειμματα</t>
  </si>
  <si>
    <t>κλειτους</t>
  </si>
  <si>
    <t>στραιπτα</t>
  </si>
  <si>
    <t>στρεπτα</t>
  </si>
  <si>
    <t>σιραμ</t>
  </si>
  <si>
    <t>σιαραμ</t>
  </si>
  <si>
    <t>δαβερρ</t>
  </si>
  <si>
    <t>συγκλαιομενας</t>
  </si>
  <si>
    <t>συγκαιομενας</t>
  </si>
  <si>
    <t>συγκλιστα</t>
  </si>
  <si>
    <t>συγκλειστα</t>
  </si>
  <si>
    <t>εταφνωσεν</t>
  </si>
  <si>
    <t>οικοδομησεν</t>
  </si>
  <si>
    <t>ωκοδομησεν</t>
  </si>
  <si>
    <t>επησμενους</t>
  </si>
  <si>
    <t>επηρμενους</t>
  </si>
  <si>
    <t>συντεταμμενοι</t>
  </si>
  <si>
    <t>αναριαμητα</t>
  </si>
  <si>
    <t>οπτανοντο</t>
  </si>
  <si>
    <t>ωπτανοντο</t>
  </si>
  <si>
    <t>οικοδομησα</t>
  </si>
  <si>
    <t>ωκοδομησα</t>
  </si>
  <si>
    <t>επηλωσεν</t>
  </si>
  <si>
    <t>ανεωγμενους</t>
  </si>
  <si>
    <t>ανοηθηναι</t>
  </si>
  <si>
    <t>δικαιωσυνην</t>
  </si>
  <si>
    <t>πτεσαι</t>
  </si>
  <si>
    <t>πταισαι</t>
  </si>
  <si>
    <t>αποστρεψεις</t>
  </si>
  <si>
    <t>γνωσιν</t>
  </si>
  <si>
    <t>διεπεταση</t>
  </si>
  <si>
    <t>εισακουση</t>
  </si>
  <si>
    <t>εξακουση</t>
  </si>
  <si>
    <t>προσευξωνται</t>
  </si>
  <si>
    <t>προσευξονται</t>
  </si>
  <si>
    <t>οικτειρμους</t>
  </si>
  <si>
    <t>οικτιρμους</t>
  </si>
  <si>
    <t>κενοτητος</t>
  </si>
  <si>
    <t>βιβλω</t>
  </si>
  <si>
    <t>βιβλιω</t>
  </si>
  <si>
    <t>εγκαταλειποιτο</t>
  </si>
  <si>
    <t>επικλειναι</t>
  </si>
  <si>
    <t>επικλιναι</t>
  </si>
  <si>
    <t>ενεκενισεν</t>
  </si>
  <si>
    <t>ενεκαινισεν</t>
  </si>
  <si>
    <t>πραγματιαν</t>
  </si>
  <si>
    <t>πραγματειαν</t>
  </si>
  <si>
    <t>φυλαξηται</t>
  </si>
  <si>
    <t>φυλαξητε</t>
  </si>
  <si>
    <t>πορευθηται</t>
  </si>
  <si>
    <t>δουλευσεται</t>
  </si>
  <si>
    <t>δουλευσητε</t>
  </si>
  <si>
    <t>προσκυνησηαιε</t>
  </si>
  <si>
    <t>προσκυνησητε</t>
  </si>
  <si>
    <t>γεεερ</t>
  </si>
  <si>
    <t>καναναιου</t>
  </si>
  <si>
    <t>χαναναιου</t>
  </si>
  <si>
    <t>υπολελιμμενα</t>
  </si>
  <si>
    <t>πολεμεισται</t>
  </si>
  <si>
    <t>πολεμισται</t>
  </si>
  <si>
    <t>γασιωνγαβερ</t>
  </si>
  <si>
    <t>θαλανσαν</t>
  </si>
  <si>
    <t>βασιλεισσα</t>
  </si>
  <si>
    <t>βασιλισσα</t>
  </si>
  <si>
    <t>αληθεινος</t>
  </si>
  <si>
    <t>αληθινος</t>
  </si>
  <si>
    <t>παραστηκοντες</t>
  </si>
  <si>
    <t>παρεστηκοντες</t>
  </si>
  <si>
    <t>απελκκητα</t>
  </si>
  <si>
    <t>βασιλεισση</t>
  </si>
  <si>
    <t>βασιλισση</t>
  </si>
  <si>
    <t>ροποπωλων</t>
  </si>
  <si>
    <t>ραποπωλων</t>
  </si>
  <si>
    <t>ενησαν</t>
  </si>
  <si>
    <t>θηλιαι</t>
  </si>
  <si>
    <t>παιδινη</t>
  </si>
  <si>
    <t>πεδινη</t>
  </si>
  <si>
    <t>συριας</t>
  </si>
  <si>
    <t>εισελευσεσθαι</t>
  </si>
  <si>
    <t>εισελευσεσθε</t>
  </si>
  <si>
    <t>βδελυγματι</t>
  </si>
  <si>
    <t>βδελυγματος</t>
  </si>
  <si>
    <t>πονηρον</t>
  </si>
  <si>
    <t>μιζω</t>
  </si>
  <si>
    <t>μειζω</t>
  </si>
  <si>
    <t>αποκτεννειν</t>
  </si>
  <si>
    <t>αποκτενειν</t>
  </si>
  <si>
    <t>ναβατ</t>
  </si>
  <si>
    <t>ναφατ</t>
  </si>
  <si>
    <t>συνεκλισεν</t>
  </si>
  <si>
    <t>συνεκλεισεν</t>
  </si>
  <si>
    <t>γεγραμενα</t>
  </si>
  <si>
    <t>απεκριθω</t>
  </si>
  <si>
    <t>αποκριθω</t>
  </si>
  <si>
    <t>επεσασετο</t>
  </si>
  <si>
    <t>επεσασιτο</t>
  </si>
  <si>
    <t>αναστραφηται</t>
  </si>
  <si>
    <t>αναστραφητε</t>
  </si>
  <si>
    <t>ιεροβμαμ</t>
  </si>
  <si>
    <t>πολεμησαιτε</t>
  </si>
  <si>
    <t>αναφεριν</t>
  </si>
  <si>
    <t>αναφερειν</t>
  </si>
  <si>
    <t>ικανουσθαι</t>
  </si>
  <si>
    <t>ικανουσθει</t>
  </si>
  <si>
    <t>ιεροιβοαμ</t>
  </si>
  <si>
    <t>επεβη</t>
  </si>
  <si>
    <t>ρυγνυται</t>
  </si>
  <si>
    <t>ρνγνυται</t>
  </si>
  <si>
    <t>συλλαβεται</t>
  </si>
  <si>
    <t>συλλαβετε</t>
  </si>
  <si>
    <t>εξηρανθη</t>
  </si>
  <si>
    <t>εξηρανεν</t>
  </si>
  <si>
    <t>δικνυουσιν</t>
  </si>
  <si>
    <t>δεικνυουσιν</t>
  </si>
  <si>
    <t>πιεται</t>
  </si>
  <si>
    <t>ετεστρεψεν</t>
  </si>
  <si>
    <t>εριμμενον</t>
  </si>
  <si>
    <t>ερριμμενον</t>
  </si>
  <si>
    <t>εγεινετο</t>
  </si>
  <si>
    <t>ηρρωστηστησεν</t>
  </si>
  <si>
    <t>ηρρωστησεν</t>
  </si>
  <si>
    <t>εγκαταλελιμμενον</t>
  </si>
  <si>
    <t>εγκαταλελειμμενον</t>
  </si>
  <si>
    <t>τελιωθηναι</t>
  </si>
  <si>
    <t>τελειωθηναι</t>
  </si>
  <si>
    <t>κινιται</t>
  </si>
  <si>
    <t>κινειται</t>
  </si>
  <si>
    <t>εκτελει</t>
  </si>
  <si>
    <t>αμανιτις</t>
  </si>
  <si>
    <t>αμμανιτις</t>
  </si>
  <si>
    <t>απηριδοντο</t>
  </si>
  <si>
    <t>απηραδοντο</t>
  </si>
  <si>
    <t>θαπταιται</t>
  </si>
  <si>
    <t>θαπτεται</t>
  </si>
  <si>
    <t>ραμμαν</t>
  </si>
  <si>
    <t>δυναμαιων</t>
  </si>
  <si>
    <t>ναιν</t>
  </si>
  <si>
    <t>δυναστια</t>
  </si>
  <si>
    <t>ναβαδ</t>
  </si>
  <si>
    <t>ναδαβ</t>
  </si>
  <si>
    <t>ιηου</t>
  </si>
  <si>
    <t>συνετρεψεν</t>
  </si>
  <si>
    <t>αγχειστεις</t>
  </si>
  <si>
    <t>αγχιστεις</t>
  </si>
  <si>
    <t>επαισεν</t>
  </si>
  <si>
    <t>ζαμβρι</t>
  </si>
  <si>
    <t>εισπορευονται</t>
  </si>
  <si>
    <t>ενεπυρισαν</t>
  </si>
  <si>
    <t>σομηρων</t>
  </si>
  <si>
    <t>δυναστιαι</t>
  </si>
  <si>
    <t>δυναστειαι</t>
  </si>
  <si>
    <t>σαμαρια</t>
  </si>
  <si>
    <t>σαμαρειια</t>
  </si>
  <si>
    <t>σαμαρεια</t>
  </si>
  <si>
    <t>βααλ</t>
  </si>
  <si>
    <t>βαιθιλιτης</t>
  </si>
  <si>
    <t>βαιθηλιτης</t>
  </si>
  <si>
    <t>ιερειχω</t>
  </si>
  <si>
    <t>ιεριχω</t>
  </si>
  <si>
    <t>κρυβηθει</t>
  </si>
  <si>
    <t>κρυβηθι</t>
  </si>
  <si>
    <t>πορευθητει</t>
  </si>
  <si>
    <t>πορευθητι</t>
  </si>
  <si>
    <t>σεφθα</t>
  </si>
  <si>
    <t>ξυληρια</t>
  </si>
  <si>
    <t>εξοισις</t>
  </si>
  <si>
    <t>εξοισεις</t>
  </si>
  <si>
    <t>εκοιμισεν</t>
  </si>
  <si>
    <t>εκοιμησεν</t>
  </si>
  <si>
    <t>οιμοι</t>
  </si>
  <si>
    <t>οιμμοι</t>
  </si>
  <si>
    <t>απεστραφη</t>
  </si>
  <si>
    <t>αληθεινον</t>
  </si>
  <si>
    <t>αληθινον</t>
  </si>
  <si>
    <t>αδβιου</t>
  </si>
  <si>
    <t>αβιου</t>
  </si>
  <si>
    <t>παιδιον</t>
  </si>
  <si>
    <t>πεδιον</t>
  </si>
  <si>
    <t>περιποιησομεθα</t>
  </si>
  <si>
    <t>περιποιησωμεθα</t>
  </si>
  <si>
    <t>εξολεθρευθησονται</t>
  </si>
  <si>
    <t>εξοληθρευθησονται</t>
  </si>
  <si>
    <t>αποκτεινειν</t>
  </si>
  <si>
    <t>καταλειμμανειν</t>
  </si>
  <si>
    <t>καταλιμπανειν</t>
  </si>
  <si>
    <t>δωτωσαν</t>
  </si>
  <si>
    <t>επικαλεισθαι</t>
  </si>
  <si>
    <t>επικαλετεσθε</t>
  </si>
  <si>
    <t>επιθηται</t>
  </si>
  <si>
    <t>επιθητε</t>
  </si>
  <si>
    <t>επικαλεισθε</t>
  </si>
  <si>
    <t>κατεμεμνοντο</t>
  </si>
  <si>
    <t>σιρομασταις</t>
  </si>
  <si>
    <t>σειρομασταις</t>
  </si>
  <si>
    <t>διλεινον</t>
  </si>
  <si>
    <t>προσοχθεισματων</t>
  </si>
  <si>
    <t>προσοχθισματων</t>
  </si>
  <si>
    <t>μεταστηται</t>
  </si>
  <si>
    <t>μεταστητε</t>
  </si>
  <si>
    <t>επιχεεται</t>
  </si>
  <si>
    <t>επιχεετε</t>
  </si>
  <si>
    <t>βερσαβεε</t>
  </si>
  <si>
    <t>ραμαθ</t>
  </si>
  <si>
    <t>καμψακης</t>
  </si>
  <si>
    <t>αναστηθει</t>
  </si>
  <si>
    <t>παντοκρατορει</t>
  </si>
  <si>
    <t>παντοκρατορι</t>
  </si>
  <si>
    <t>μονοςτατος</t>
  </si>
  <si>
    <t>συσσεισμω</t>
  </si>
  <si>
    <t>συσεισμω</t>
  </si>
  <si>
    <t>συσσεισμον</t>
  </si>
  <si>
    <t>συσεισμον</t>
  </si>
  <si>
    <t>χρησεις</t>
  </si>
  <si>
    <t>χρισεις</t>
  </si>
  <si>
    <t>ελισαιε</t>
  </si>
  <si>
    <t>ελισσαιε</t>
  </si>
  <si>
    <t>καταλειψεις</t>
  </si>
  <si>
    <t>προσκυνησεν</t>
  </si>
  <si>
    <t>αναστρεφε</t>
  </si>
  <si>
    <t>περιεκαθισεν</t>
  </si>
  <si>
    <t>σαμαριαν</t>
  </si>
  <si>
    <t>ιππος</t>
  </si>
  <si>
    <t>αλω</t>
  </si>
  <si>
    <t>περιεκαθισαν</t>
  </si>
  <si>
    <t>σαμαρειαν</t>
  </si>
  <si>
    <t>σαμαρειας</t>
  </si>
  <si>
    <t>επολεμησεν</t>
  </si>
  <si>
    <t>δωσω</t>
  </si>
  <si>
    <t>αργυριον</t>
  </si>
  <si>
    <t>αδερ</t>
  </si>
  <si>
    <t>ισραηλιτην</t>
  </si>
  <si>
    <t>γνωτε</t>
  </si>
  <si>
    <t>απεσταλκεν</t>
  </si>
  <si>
    <t>ισραηλιτου</t>
  </si>
  <si>
    <t>πρεσβυτεροι</t>
  </si>
  <si>
    <t>εσφραγισατο</t>
  </si>
  <si>
    <t>λιθοβολησατωσαν</t>
  </si>
  <si>
    <t>ικανουσθω</t>
  </si>
  <si>
    <t>εορακας</t>
  </si>
  <si>
    <t>τεθνηκεν</t>
  </si>
  <si>
    <t>εσλλελυθασιν</t>
  </si>
  <si>
    <t>σαμαριας</t>
  </si>
  <si>
    <t>κατεβηκεν</t>
  </si>
  <si>
    <t>ελιξαν</t>
  </si>
  <si>
    <t>λιξουσιν</t>
  </si>
  <si>
    <t>πορναι</t>
  </si>
  <si>
    <t>σωζεται</t>
  </si>
  <si>
    <t>εκραταιωσεν</t>
  </si>
  <si>
    <t>πολεμησωμεν</t>
  </si>
  <si>
    <t>πολεμησομεν</t>
  </si>
  <si>
    <t>αφακαν</t>
  </si>
  <si>
    <t>διοικηθησαν</t>
  </si>
  <si>
    <t>κοιτωνος</t>
  </si>
  <si>
    <t>ταμιειον</t>
  </si>
  <si>
    <t>σασκκους</t>
  </si>
  <si>
    <t>σχοινια</t>
  </si>
  <si>
    <t>σακκους</t>
  </si>
  <si>
    <t>οιωνισαντο</t>
  </si>
  <si>
    <t>εσπεισαντο</t>
  </si>
  <si>
    <t>σαυτω</t>
  </si>
  <si>
    <t>εγενεθη</t>
  </si>
  <si>
    <t>ταλαμωνα</t>
  </si>
  <si>
    <t>γνωται</t>
  </si>
  <si>
    <t>εσφαγισατο</t>
  </si>
  <si>
    <t>λιθοβοληθητωσαν</t>
  </si>
  <si>
    <t>εξεληλυθασιν</t>
  </si>
  <si>
    <t>εξειλαν</t>
  </si>
  <si>
    <t>λειξουσιν</t>
  </si>
  <si>
    <t>αφεκαν</t>
  </si>
  <si>
    <t>διθικηθησαν</t>
  </si>
  <si>
    <t>εωρακας</t>
  </si>
  <si>
    <t>εσπισαντο</t>
  </si>
  <si>
    <t>ταλαμωνι</t>
  </si>
  <si>
    <t>ρεμμαθ</t>
  </si>
  <si>
    <t>αναβενναι</t>
  </si>
  <si>
    <t>αναβαινε</t>
  </si>
  <si>
    <t>ιεμαα</t>
  </si>
  <si>
    <t>ιεμλα</t>
  </si>
  <si>
    <t>ραμμαθ</t>
  </si>
  <si>
    <t>χανανα</t>
  </si>
  <si>
    <t>θεσθε</t>
  </si>
  <si>
    <t>πολεμιται</t>
  </si>
  <si>
    <t>πολεμειτε</t>
  </si>
  <si>
    <t>ιουβδα</t>
  </si>
  <si>
    <t>απεχυννε</t>
  </si>
  <si>
    <t>απεχυηνε</t>
  </si>
  <si>
    <t>εξελαξαν</t>
  </si>
  <si>
    <t>βιβλιου</t>
  </si>
  <si>
    <t>εθυσιαζεν</t>
  </si>
  <si>
    <t>εθυσιασεν</t>
  </si>
  <si>
    <t>ασεωνγαβερ</t>
  </si>
  <si>
    <t>σαμαρεε</t>
  </si>
  <si>
    <t>επεστραφηται</t>
  </si>
  <si>
    <t>επεστραφητε</t>
  </si>
  <si>
    <t>συνσεισμω</t>
  </si>
  <si>
    <t>ενταυτα</t>
  </si>
  <si>
    <t>απεστελεν</t>
  </si>
  <si>
    <t>ελισελισσαιε</t>
  </si>
  <si>
    <t>εγκαταλειψω</t>
  </si>
  <si>
    <t>καταλειψω</t>
  </si>
  <si>
    <t>διερρεθη</t>
  </si>
  <si>
    <t>διερρηθη</t>
  </si>
  <si>
    <t>αναλημφθηναι</t>
  </si>
  <si>
    <t>αναληφθηναι</t>
  </si>
  <si>
    <t>εσκληρυνος</t>
  </si>
  <si>
    <t>εσκληρυνας</t>
  </si>
  <si>
    <t>ανελημφθη</t>
  </si>
  <si>
    <t>ανεληφθη</t>
  </si>
  <si>
    <t>συνσισμω</t>
  </si>
  <si>
    <t>αποστελειται</t>
  </si>
  <si>
    <t>αποστελειτε</t>
  </si>
  <si>
    <t>καταπαιζιν</t>
  </si>
  <si>
    <t>καταπαιζειν</t>
  </si>
  <si>
    <t>νωκηθ</t>
  </si>
  <si>
    <t>νωκηδ</t>
  </si>
  <si>
    <t>κατεχομενους</t>
  </si>
  <si>
    <t>χιρας</t>
  </si>
  <si>
    <t>παραδωσω</t>
  </si>
  <si>
    <t>καταβαλειται</t>
  </si>
  <si>
    <t>καταβαλειτε</t>
  </si>
  <si>
    <t>εμφραξεται</t>
  </si>
  <si>
    <t>εμφραξετε</t>
  </si>
  <si>
    <t>αχριωσατε</t>
  </si>
  <si>
    <t>ανετιλεν</t>
  </si>
  <si>
    <t>ανετειλεν</t>
  </si>
  <si>
    <t>πλησιν</t>
  </si>
  <si>
    <t>καταλειπειν</t>
  </si>
  <si>
    <t>καθημενους</t>
  </si>
  <si>
    <t>εκυκλωσαν</t>
  </si>
  <si>
    <t>εκυκλευσαν</t>
  </si>
  <si>
    <t>σφενδονησται</t>
  </si>
  <si>
    <t>σφενδονισται</t>
  </si>
  <si>
    <t>δανιστις</t>
  </si>
  <si>
    <t>δανιστης</t>
  </si>
  <si>
    <t>γιτονων</t>
  </si>
  <si>
    <t>γειτονων</t>
  </si>
  <si>
    <t>αποκλισης</t>
  </si>
  <si>
    <t>αποκλεισεις</t>
  </si>
  <si>
    <t>αποτεισις</t>
  </si>
  <si>
    <t>αποτισεις</t>
  </si>
  <si>
    <t>ζησεσθαι</t>
  </si>
  <si>
    <t>ζησεσθε</t>
  </si>
  <si>
    <t>σιωναμ</t>
  </si>
  <si>
    <t>σιωμαμ</t>
  </si>
  <si>
    <t>εκκλεινει</t>
  </si>
  <si>
    <t>εκκλινει</t>
  </si>
  <si>
    <t>επισχις</t>
  </si>
  <si>
    <t>επισχεις</t>
  </si>
  <si>
    <t>ανηγγιλεν</t>
  </si>
  <si>
    <t>ενκαταλειψω</t>
  </si>
  <si>
    <t>ακιπελον</t>
  </si>
  <si>
    <t>εψαματος</t>
  </si>
  <si>
    <t>εψηματος</t>
  </si>
  <si>
    <t>εβοησαν</t>
  </si>
  <si>
    <t>εγχει</t>
  </si>
  <si>
    <t>πρωτογενηματων</t>
  </si>
  <si>
    <t>δουτε</t>
  </si>
  <si>
    <t>εξακισχιχιους</t>
  </si>
  <si>
    <t>ναιμαν</t>
  </si>
  <si>
    <t>καθαρισθητι</t>
  </si>
  <si>
    <t>ηπιθησεν</t>
  </si>
  <si>
    <t>ηπειθησεν</t>
  </si>
  <si>
    <t>ουσιαν</t>
  </si>
  <si>
    <t>θυσιαν</t>
  </si>
  <si>
    <t>νααμαν</t>
  </si>
  <si>
    <t>δυοαλλασσομενας</t>
  </si>
  <si>
    <t>σκοτινον</t>
  </si>
  <si>
    <t>σκοτεινον</t>
  </si>
  <si>
    <t>καταβαλων</t>
  </si>
  <si>
    <t>καταβαλλων</t>
  </si>
  <si>
    <t>κεχρυμμενον</t>
  </si>
  <si>
    <t>κεκρμμενον</t>
  </si>
  <si>
    <t>σιδηρον</t>
  </si>
  <si>
    <t>σιδηριον</t>
  </si>
  <si>
    <t>αναγγελλει</t>
  </si>
  <si>
    <t>χοιτωνος</t>
  </si>
  <si>
    <t>προσευξατο</t>
  </si>
  <si>
    <t>πληρης</t>
  </si>
  <si>
    <t>περιεκαθητο</t>
  </si>
  <si>
    <t>εψησαμεν</t>
  </si>
  <si>
    <t>πεεσβυτεροι</t>
  </si>
  <si>
    <t>αποκλισατε</t>
  </si>
  <si>
    <t>αποκλεισατε</t>
  </si>
  <si>
    <t>υπομενω</t>
  </si>
  <si>
    <t>υπομεινω</t>
  </si>
  <si>
    <t>σιμιδαλεως</t>
  </si>
  <si>
    <t>σεμιδαλεως</t>
  </si>
  <si>
    <t>ζωογονησωμεν</t>
  </si>
  <si>
    <t>σκοτι</t>
  </si>
  <si>
    <t>σκοτει</t>
  </si>
  <si>
    <t>συλλημψομαιθα</t>
  </si>
  <si>
    <t>συλληψομεθα</t>
  </si>
  <si>
    <t>υπολελιμμενων</t>
  </si>
  <si>
    <t>υπολελειμμενων</t>
  </si>
  <si>
    <t>κατελιφθησαν</t>
  </si>
  <si>
    <t>κατελειφθησαν</t>
  </si>
  <si>
    <t>παροικησεις</t>
  </si>
  <si>
    <t>ζησομε</t>
  </si>
  <si>
    <t>ζησομαι</t>
  </si>
  <si>
    <t>καλει</t>
  </si>
  <si>
    <t>εξαποστειλεις</t>
  </si>
  <si>
    <t>εξαποστελεις</t>
  </si>
  <si>
    <t>αποκτεινεις</t>
  </si>
  <si>
    <t>αποκτενεις</t>
  </si>
  <si>
    <t>ενσισεις</t>
  </si>
  <si>
    <t>τομαβρα</t>
  </si>
  <si>
    <t>λομνα</t>
  </si>
  <si>
    <t>ενεβασιλευσεν</t>
  </si>
  <si>
    <t>οσφουν</t>
  </si>
  <si>
    <t>ρεμμωθ</t>
  </si>
  <si>
    <t>ταμειον</t>
  </si>
  <si>
    <t>ρεμωθ</t>
  </si>
  <si>
    <t>εκδικησις</t>
  </si>
  <si>
    <t>εκδικησεις</t>
  </si>
  <si>
    <t>ναμεσσα</t>
  </si>
  <si>
    <t>ναμεσσει</t>
  </si>
  <si>
    <t>απηγγειλεκ</t>
  </si>
  <si>
    <t>εζευξαν</t>
  </si>
  <si>
    <t>ιζραηλιτου</t>
  </si>
  <si>
    <t>πορνιαι</t>
  </si>
  <si>
    <t>ισζραηλιτου</t>
  </si>
  <si>
    <t>ιεζραηλιτου</t>
  </si>
  <si>
    <t>βαιαγγαν</t>
  </si>
  <si>
    <t>βαιθαγαν</t>
  </si>
  <si>
    <t>εστιβεισατο</t>
  </si>
  <si>
    <t>ηγιθυνεν</t>
  </si>
  <si>
    <t>κατεκησαν</t>
  </si>
  <si>
    <t>επισκεψασθαι</t>
  </si>
  <si>
    <t>κατηραμενην</t>
  </si>
  <si>
    <t>ευθην</t>
  </si>
  <si>
    <t>πολεμειται</t>
  </si>
  <si>
    <t>εισακουσετε</t>
  </si>
  <si>
    <t>καρταλοις</t>
  </si>
  <si>
    <t>καταλειπιν</t>
  </si>
  <si>
    <t>καταλιμμα</t>
  </si>
  <si>
    <t>καταλειμμα</t>
  </si>
  <si>
    <t>βαιθακαλ</t>
  </si>
  <si>
    <t>ιεριαν</t>
  </si>
  <si>
    <t>ιερειαν</t>
  </si>
  <si>
    <t>εξαγαγετε</t>
  </si>
  <si>
    <t>εξαγαγατε</t>
  </si>
  <si>
    <t>εξηνεγκεν</t>
  </si>
  <si>
    <t>εξεγαγεν</t>
  </si>
  <si>
    <t>λυτρωνας</t>
  </si>
  <si>
    <t>γαλααδδει</t>
  </si>
  <si>
    <t>γαλαδδει</t>
  </si>
  <si>
    <t>δυναστεια</t>
  </si>
  <si>
    <t>κλεινων</t>
  </si>
  <si>
    <t>κλινων</t>
  </si>
  <si>
    <t>απηγαγεν</t>
  </si>
  <si>
    <t>εποιησετε</t>
  </si>
  <si>
    <t>ιωαδαε</t>
  </si>
  <si>
    <t>επηλθεν</t>
  </si>
  <si>
    <t>γοθθλια</t>
  </si>
  <si>
    <t>γοθολια</t>
  </si>
  <si>
    <t>μαχαν</t>
  </si>
  <si>
    <t>χορει</t>
  </si>
  <si>
    <t>χορρει</t>
  </si>
  <si>
    <t>ρασρειμ</t>
  </si>
  <si>
    <t>εκραταιουτε</t>
  </si>
  <si>
    <t>εκραταιουται</t>
  </si>
  <si>
    <t>αμμασβη</t>
  </si>
  <si>
    <t>αμμασαη</t>
  </si>
  <si>
    <t>αργιον</t>
  </si>
  <si>
    <t>εδοξασαν</t>
  </si>
  <si>
    <t>ποιουσιν</t>
  </si>
  <si>
    <t>τειχισταις</t>
  </si>
  <si>
    <t>αιτοιμασθεν</t>
  </si>
  <si>
    <t>τεχνιταις</t>
  </si>
  <si>
    <t>επισκευων</t>
  </si>
  <si>
    <t>τιχισταις</t>
  </si>
  <si>
    <t>τεχνειταις</t>
  </si>
  <si>
    <t>ποιησουσιν</t>
  </si>
  <si>
    <t>πλημμελιας</t>
  </si>
  <si>
    <t>πλημμελειας</t>
  </si>
  <si>
    <t>αμεσιας</t>
  </si>
  <si>
    <t>πονηριον</t>
  </si>
  <si>
    <t>τριτης</t>
  </si>
  <si>
    <t>υπελιφθη</t>
  </si>
  <si>
    <t>υπελειφθη</t>
  </si>
  <si>
    <t>οικτειρησεν</t>
  </si>
  <si>
    <t>αζερ</t>
  </si>
  <si>
    <t>αδαδ</t>
  </si>
  <si>
    <t>βηθσαμυς</t>
  </si>
  <si>
    <t>ααζια</t>
  </si>
  <si>
    <t>αασια</t>
  </si>
  <si>
    <t>συστρατευμα</t>
  </si>
  <si>
    <t>γεθχοβερ</t>
  </si>
  <si>
    <t>γεθαχοφερ</t>
  </si>
  <si>
    <t>συγκεχυμενους</t>
  </si>
  <si>
    <t>συνκεχυμενους</t>
  </si>
  <si>
    <t>εγκαταλελιμμενους</t>
  </si>
  <si>
    <t>εγκαταλελειμμενους</t>
  </si>
  <si>
    <t>ιεχεμα</t>
  </si>
  <si>
    <t>ιεχιμα</t>
  </si>
  <si>
    <t>ιωαθαν</t>
  </si>
  <si>
    <t>ιωαθαμ</t>
  </si>
  <si>
    <t>κρινειν</t>
  </si>
  <si>
    <t>εθανατωσαν</t>
  </si>
  <si>
    <t>γεγραμμενα</t>
  </si>
  <si>
    <t>εβασιλευσαν</t>
  </si>
  <si>
    <t>λοβνα</t>
  </si>
  <si>
    <t>ηραν</t>
  </si>
  <si>
    <t>ηλλοιωσεν</t>
  </si>
  <si>
    <t>yes</t>
  </si>
  <si>
    <t>Autograph unclear</t>
  </si>
  <si>
    <t>Marked Regularization?</t>
  </si>
  <si>
    <t>Not a variant: autograph transcript error</t>
  </si>
  <si>
    <t>Yes</t>
  </si>
  <si>
    <t>Addition</t>
  </si>
  <si>
    <t>Autograph unclear (but clear enough)</t>
  </si>
  <si>
    <t>Yes, but still an error</t>
  </si>
  <si>
    <t>Yes, partially</t>
  </si>
  <si>
    <t>Omission</t>
  </si>
  <si>
    <t>Autograph unclear (Apograph reading likely)</t>
  </si>
  <si>
    <t>No</t>
  </si>
  <si>
    <t>Yes, to another error</t>
  </si>
  <si>
    <t>Apograph unclear</t>
  </si>
  <si>
    <t>Transposition</t>
  </si>
  <si>
    <t>Damage to autograph</t>
  </si>
  <si>
    <t>Multiple</t>
  </si>
  <si>
    <t>Not a variant: apograph transcript error</t>
  </si>
  <si>
    <t>τυπτεις εν καρδια</t>
  </si>
  <si>
    <t>Material from opposite page seems impressed here; the character does look like a delta, but there's also clearly interference (e.g., an extra apparent vertical stroke on the left)</t>
  </si>
  <si>
    <t>ημερα θανατου</t>
  </si>
  <si>
    <t>ημερας θανατου</t>
  </si>
  <si>
    <t>συνελαβεν αννα</t>
  </si>
  <si>
    <t>συνελαβεν εκ αννα</t>
  </si>
  <si>
    <t>η ψυχη σου</t>
  </si>
  <si>
    <t>η ψυχη μου σου</t>
  </si>
  <si>
    <t>και εδωκεν κς μοι</t>
  </si>
  <si>
    <t>και εδωκεν κυριος μου</t>
  </si>
  <si>
    <t>εδωκεν κυριος μου -&gt; εδωκεν μοι κυριος; "corrected" from a substitution to a transposition</t>
  </si>
  <si>
    <t>οι υιοι</t>
  </si>
  <si>
    <t>Unclear due to correction</t>
  </si>
  <si>
    <t>κω</t>
  </si>
  <si>
    <t>εφθον</t>
  </si>
  <si>
    <t>ο εφθον</t>
  </si>
  <si>
    <t>ο θυων</t>
  </si>
  <si>
    <t>ο αος ο θυων</t>
  </si>
  <si>
    <t>θυμιαθητω</t>
  </si>
  <si>
    <t>επιθυμεθ</t>
  </si>
  <si>
    <t>apparent correction = επιθυμεθ -&gt; επιθυμει</t>
  </si>
  <si>
    <t>διπλοιδαν -&gt; διπλοιδα</t>
  </si>
  <si>
    <t>ανεφερεν αυτω</t>
  </si>
  <si>
    <t>ανεφερεν αυτην</t>
  </si>
  <si>
    <t>αποτισαι κς σοι</t>
  </si>
  <si>
    <t>αποτισαι σοι</t>
  </si>
  <si>
    <t>και αγαθον</t>
  </si>
  <si>
    <t>και και αγαθον</t>
  </si>
  <si>
    <t>ηλθεν ανος θυ</t>
  </si>
  <si>
    <t>ηλθεν ο ανθρωπος θεου</t>
  </si>
  <si>
    <t>εν τη αιγυπτω</t>
  </si>
  <si>
    <t>εν τω αιγυπτω</t>
  </si>
  <si>
    <t>επι θυσιαστηριον</t>
  </si>
  <si>
    <t>επι το θυσιαστηριον</t>
  </si>
  <si>
    <t>Not a variant, but correction is</t>
  </si>
  <si>
    <t>δοξαζω "corrected" to δοξασω</t>
  </si>
  <si>
    <t>σπερμα σου</t>
  </si>
  <si>
    <t>σπερ σπερμα σου</t>
  </si>
  <si>
    <t>σπερμα οικου πρς</t>
  </si>
  <si>
    <t>σπερμα του πατρος</t>
  </si>
  <si>
    <t>ημερας αυτου μου</t>
  </si>
  <si>
    <t>ημερας μου</t>
  </si>
  <si>
    <t>πας ιηλ απο δαν και εως</t>
  </si>
  <si>
    <t>επι ιηλ</t>
  </si>
  <si>
    <t>επι ιραηλ</t>
  </si>
  <si>
    <t>ενωπιον αλλοφυλων</t>
  </si>
  <si>
    <t>ενωπιον των αλλοφυλων</t>
  </si>
  <si>
    <t>κατα τι</t>
  </si>
  <si>
    <t>κατι κατατι</t>
  </si>
  <si>
    <t>εν μεσω</t>
  </si>
  <si>
    <t>εμμεσω</t>
  </si>
  <si>
    <t>οι αλλοφυλοι</t>
  </si>
  <si>
    <t>εσεσθαι -&gt; εσεσθε</t>
  </si>
  <si>
    <t>πταιει -&gt; επταιε</t>
  </si>
  <si>
    <t>ενενηκοντα</t>
  </si>
  <si>
    <t>οφθαλμοι αυτων</t>
  </si>
  <si>
    <t>αυτων -&gt; αυτου</t>
  </si>
  <si>
    <t>πληγη μεγαλη εγενετο</t>
  </si>
  <si>
    <t>εγενετο πληγη μεγαλη</t>
  </si>
  <si>
    <t>επ αυτην</t>
  </si>
  <si>
    <t>επ αυτης</t>
  </si>
  <si>
    <t>δια το τεθνηκεναι</t>
  </si>
  <si>
    <t>δια τεθνηκεναι</t>
  </si>
  <si>
    <t>κιβωτον του κυ</t>
  </si>
  <si>
    <t>κιβωτον κυριου</t>
  </si>
  <si>
    <t>διαθηκης κυ</t>
  </si>
  <si>
    <t>διαθηκης κεκ κυριου</t>
  </si>
  <si>
    <t>πλην η ραχεις γαζεε</t>
  </si>
  <si>
    <t>πλην η ραχις γαζεε</t>
  </si>
  <si>
    <t>ποιησωμεν κιβωτω</t>
  </si>
  <si>
    <t>ποιησωμεν εν κιβωτω</t>
  </si>
  <si>
    <t>γεθθαιοι μεοι μετελθετω</t>
  </si>
  <si>
    <t>γεθθαιοι οι μ οι με οι μετελθετω</t>
  </si>
  <si>
    <t>μετελθετω κειβωτος</t>
  </si>
  <si>
    <r>
      <t xml:space="preserve">μετελθετω </t>
    </r>
    <r>
      <rPr>
        <b/>
        <sz val="11"/>
        <color theme="1"/>
        <rFont val="Calibri"/>
        <family val="2"/>
        <scheme val="minor"/>
      </rPr>
      <t>κειβωτος</t>
    </r>
  </si>
  <si>
    <r>
      <t xml:space="preserve">μετελθετω </t>
    </r>
    <r>
      <rPr>
        <b/>
        <sz val="11"/>
        <color theme="1"/>
        <rFont val="Calibri"/>
        <family val="2"/>
        <scheme val="minor"/>
      </rPr>
      <t>και</t>
    </r>
    <r>
      <rPr>
        <sz val="11"/>
        <color theme="1"/>
        <rFont val="Calibri"/>
        <family val="2"/>
        <scheme val="minor"/>
      </rPr>
      <t xml:space="preserve"> κιβωτος</t>
    </r>
  </si>
  <si>
    <r>
      <t xml:space="preserve">μετελθετω και </t>
    </r>
    <r>
      <rPr>
        <b/>
        <sz val="11"/>
        <color theme="1"/>
        <rFont val="Calibri"/>
        <family val="2"/>
        <scheme val="minor"/>
      </rPr>
      <t>κιβωτος</t>
    </r>
  </si>
  <si>
    <r>
      <t xml:space="preserve">κειβωτος </t>
    </r>
    <r>
      <rPr>
        <b/>
        <sz val="11"/>
        <color theme="1"/>
        <rFont val="Calibri"/>
        <family val="2"/>
        <scheme val="minor"/>
      </rPr>
      <t>του</t>
    </r>
    <r>
      <rPr>
        <sz val="11"/>
        <color theme="1"/>
        <rFont val="Calibri"/>
        <family val="2"/>
        <scheme val="minor"/>
      </rPr>
      <t xml:space="preserve"> θυ</t>
    </r>
  </si>
  <si>
    <t>κιβωτος θεου</t>
  </si>
  <si>
    <t>εδρας αυτων</t>
  </si>
  <si>
    <t>εδρας ετων αυτων</t>
  </si>
  <si>
    <t>γεθθαιοι εαυτοις εδρας</t>
  </si>
  <si>
    <t>γεθθαιοι εδρας</t>
  </si>
  <si>
    <t>παντας τους σατραπας</t>
  </si>
  <si>
    <t>ανταστους σατραπας</t>
  </si>
  <si>
    <t>εις τον τοπον</t>
  </si>
  <si>
    <t>εις τοπον</t>
  </si>
  <si>
    <t>συγχυσις θανατου</t>
  </si>
  <si>
    <t>συγχυσις του θανατου</t>
  </si>
  <si>
    <t>αποθανοντες</t>
  </si>
  <si>
    <t>αγρω των των αλλοφυλων</t>
  </si>
  <si>
    <t>αγρω των αλλοφυλων</t>
  </si>
  <si>
    <t>κυ θυ ιηλ</t>
  </si>
  <si>
    <t>κυριου ισραηλ</t>
  </si>
  <si>
    <t>αλλα αποδιδοντες</t>
  </si>
  <si>
    <t>αλλ αποδιδοντες</t>
  </si>
  <si>
    <t>κατα αριθμον</t>
  </si>
  <si>
    <t>κατ αριθμον</t>
  </si>
  <si>
    <t>αιγυπτος και φαραω</t>
  </si>
  <si>
    <t>φαραω και αιγυπτος</t>
  </si>
  <si>
    <t>αν ου</t>
  </si>
  <si>
    <t>corrected to ανευ</t>
  </si>
  <si>
    <t>τας βοας</t>
  </si>
  <si>
    <t>τους βοας</t>
  </si>
  <si>
    <t>θησεται -&gt; θησετε</t>
  </si>
  <si>
    <t>μυστες -&gt; μυας</t>
  </si>
  <si>
    <t>εν τη οδω</t>
  </si>
  <si>
    <t>εν οδω</t>
  </si>
  <si>
    <t>εν τριβω ενι</t>
  </si>
  <si>
    <t>ενι -&gt; μια</t>
  </si>
  <si>
    <t>οριων βεθθαμυς</t>
  </si>
  <si>
    <t>οριων βεθσαμυς</t>
  </si>
  <si>
    <t>εν βεθθαμυς</t>
  </si>
  <si>
    <t>εν βεθσαμυς</t>
  </si>
  <si>
    <t>εις ακκαρων</t>
  </si>
  <si>
    <t>εις εις ακκαρων</t>
  </si>
  <si>
    <t>αυται αι αι χρυσαι</t>
  </si>
  <si>
    <t>αυται αι χρυσαι</t>
  </si>
  <si>
    <t>μυς οι</t>
  </si>
  <si>
    <t>μυσας -&gt; μυες χρυσ[αι]</t>
  </si>
  <si>
    <t>επεθεσαν</t>
  </si>
  <si>
    <t>επεθεσαν -&gt; επεθηκαν</t>
  </si>
  <si>
    <t xml:space="preserve"> -&gt; ησμενισαν</t>
  </si>
  <si>
    <t xml:space="preserve"> -&gt; ειπον</t>
  </si>
  <si>
    <t>απο[lac]στελουσιν</t>
  </si>
  <si>
    <t>καριαθ ιαρειμ</t>
  </si>
  <si>
    <t xml:space="preserve"> -&gt; καιαθααρειμ</t>
  </si>
  <si>
    <t>δουλευσατε αυτω</t>
  </si>
  <si>
    <t>δουλευσατε εαυτω</t>
  </si>
  <si>
    <t>ηκουσο[ν]</t>
  </si>
  <si>
    <t>ακουσιν οτι</t>
  </si>
  <si>
    <t>ο κυριος</t>
  </si>
  <si>
    <t>ου προσεθεντο</t>
  </si>
  <si>
    <t>ουκ επεθεντο</t>
  </si>
  <si>
    <t>επελθειν</t>
  </si>
  <si>
    <t>αναμεσον του αμμοραιου</t>
  </si>
  <si>
    <r>
      <t xml:space="preserve">αναμεσον των αλ του </t>
    </r>
    <r>
      <rPr>
        <b/>
        <sz val="11"/>
        <color theme="1"/>
        <rFont val="Calibri"/>
        <family val="2"/>
        <scheme val="minor"/>
      </rPr>
      <t>αμορραιου</t>
    </r>
  </si>
  <si>
    <r>
      <t xml:space="preserve">αναμεσον του </t>
    </r>
    <r>
      <rPr>
        <b/>
        <sz val="11"/>
        <color theme="1"/>
        <rFont val="Calibri"/>
        <family val="2"/>
        <scheme val="minor"/>
      </rPr>
      <t>αμμοραιου</t>
    </r>
  </si>
  <si>
    <r>
      <t xml:space="preserve">αναμεσον </t>
    </r>
    <r>
      <rPr>
        <b/>
        <sz val="11"/>
        <color theme="1"/>
        <rFont val="Calibri"/>
        <family val="2"/>
        <scheme val="minor"/>
      </rPr>
      <t>των αλ</t>
    </r>
    <r>
      <rPr>
        <sz val="11"/>
        <color theme="1"/>
        <rFont val="Calibri"/>
        <family val="2"/>
        <scheme val="minor"/>
      </rPr>
      <t xml:space="preserve"> του αμορραιου</t>
    </r>
  </si>
  <si>
    <t>αλλ η εμε</t>
  </si>
  <si>
    <t>αλλ εμε</t>
  </si>
  <si>
    <t>αιγυπτου εως</t>
  </si>
  <si>
    <t>αιγυπτου και εως</t>
  </si>
  <si>
    <t>απαγγελεις αυτοις το δικαιωμα</t>
  </si>
  <si>
    <t>απαγγελεις το δικαιωμα</t>
  </si>
  <si>
    <t>1Sam.8.12b - 9:11a</t>
  </si>
  <si>
    <t>&lt;no image for 165v&gt;</t>
  </si>
  <si>
    <t>θυσια σημερον</t>
  </si>
  <si>
    <t>θυσιας σημερον</t>
  </si>
  <si>
    <t>αναβηναι αυτον</t>
  </si>
  <si>
    <t>αναβηναι πρι αυτον</t>
  </si>
  <si>
    <t>ο λαος εως</t>
  </si>
  <si>
    <t>ο λαος π εως</t>
  </si>
  <si>
    <t>final form is ευρησετε</t>
  </si>
  <si>
    <t>και και ιδου</t>
  </si>
  <si>
    <t>και ιδου</t>
  </si>
  <si>
    <t>εις την απαντησιν</t>
  </si>
  <si>
    <t>εις απαντησιν</t>
  </si>
  <si>
    <t>εμπροσθεν του ελθειν</t>
  </si>
  <si>
    <t>εμπροσθεν ελθειν</t>
  </si>
  <si>
    <t>αυριον αυριον αποστελλω</t>
  </si>
  <si>
    <t>ποιος ο οικος</t>
  </si>
  <si>
    <t>ποιος οικος</t>
  </si>
  <si>
    <t>εμπροσθεν μου</t>
  </si>
  <si>
    <t>εμπροσθεν εμου</t>
  </si>
  <si>
    <t>οικω σου πρς σου</t>
  </si>
  <si>
    <t>οικω σου ο πατρος σου</t>
  </si>
  <si>
    <t>μαγειρω</t>
  </si>
  <si>
    <t>1Sam.9.25</t>
  </si>
  <si>
    <t>εμπροσθεν ημων και διηλθεν και συ</t>
  </si>
  <si>
    <t>εμπροσθεν ημων και συ</t>
  </si>
  <si>
    <t>εφειλησεν</t>
  </si>
  <si>
    <t>εφιλεσεν</t>
  </si>
  <si>
    <t xml:space="preserve"> -&gt; εφιλησεν</t>
  </si>
  <si>
    <t>εκ χειρος εχθρων αυτου</t>
  </si>
  <si>
    <t>εκ χειρος αυτου</t>
  </si>
  <si>
    <t>και τοτε το σημειον</t>
  </si>
  <si>
    <t>κληρονομιαν αυτου εις αρχοντα</t>
  </si>
  <si>
    <t>κληρονομιαν αυτου επι ισραηλ εις αρχοντα</t>
  </si>
  <si>
    <t>προς τοις ταφοις</t>
  </si>
  <si>
    <t>προς του τοις ταφοις</t>
  </si>
  <si>
    <t>εν τω ορει του βενιαμειν</t>
  </si>
  <si>
    <t>εν ορει του βενιαμειν</t>
  </si>
  <si>
    <t xml:space="preserve"> -&gt; εν τοις οριοις βενιαμειν</t>
  </si>
  <si>
    <t>δι ημας</t>
  </si>
  <si>
    <t>περι ημας</t>
  </si>
  <si>
    <t xml:space="preserve"> -&gt; περι υμων</t>
  </si>
  <si>
    <t>ηξεις εως της δρυος</t>
  </si>
  <si>
    <t>ηξεις [2] εως δρυος</t>
  </si>
  <si>
    <r>
      <t>ηξεις</t>
    </r>
    <r>
      <rPr>
        <b/>
        <sz val="11"/>
        <color theme="1"/>
        <rFont val="Calibri"/>
        <family val="2"/>
        <scheme val="minor"/>
      </rPr>
      <t xml:space="preserve"> [2] </t>
    </r>
    <r>
      <rPr>
        <sz val="11"/>
        <color theme="1"/>
        <rFont val="Calibri"/>
        <family val="2"/>
        <scheme val="minor"/>
      </rPr>
      <t>εως δρυος</t>
    </r>
  </si>
  <si>
    <r>
      <t xml:space="preserve">ηξεις εως </t>
    </r>
    <r>
      <rPr>
        <b/>
        <sz val="11"/>
        <color theme="1"/>
        <rFont val="Calibri"/>
        <family val="2"/>
        <scheme val="minor"/>
      </rPr>
      <t>της</t>
    </r>
    <r>
      <rPr>
        <sz val="11"/>
        <color theme="1"/>
        <rFont val="Calibri"/>
        <family val="2"/>
        <scheme val="minor"/>
      </rPr>
      <t xml:space="preserve"> δρυος</t>
    </r>
  </si>
  <si>
    <t>και αινα αιροντα</t>
  </si>
  <si>
    <t>και ενα αιροντα</t>
  </si>
  <si>
    <t xml:space="preserve"> -&gt; στραφηση</t>
  </si>
  <si>
    <t>εμπροσθεν της γαλγαλα</t>
  </si>
  <si>
    <t>εμπροσθεν γαλααδ της γαλγαλα</t>
  </si>
  <si>
    <t>απαντες οι ιδοντες</t>
  </si>
  <si>
    <t>απαντες ιδοντες</t>
  </si>
  <si>
    <t>αι ονοι</t>
  </si>
  <si>
    <t>αι οναι</t>
  </si>
  <si>
    <t>[τα]δε ειπεν</t>
  </si>
  <si>
    <t>ταδε λεγει ειπεν</t>
  </si>
  <si>
    <t>υιος κεις και εζητει αυτον και ουχ ευρισ[κ]ετο</t>
  </si>
  <si>
    <t>υιος κεις και ουχ ευρεθετο</t>
  </si>
  <si>
    <t>επερωτησεν οτι</t>
  </si>
  <si>
    <t>επερωτησεν ετι</t>
  </si>
  <si>
    <t>εωρακατε</t>
  </si>
  <si>
    <t>προς τον λαον</t>
  </si>
  <si>
    <t>τροπον λαον</t>
  </si>
  <si>
    <t>και ουκ ηνεγκαν</t>
  </si>
  <si>
    <t>και ηνεγκαν</t>
  </si>
  <si>
    <t>επι ιαβεις</t>
  </si>
  <si>
    <t>επ ιαβεις</t>
  </si>
  <si>
    <t>ταυτη τη διαθηκη</t>
  </si>
  <si>
    <t>ταυτη διαθηκην</t>
  </si>
  <si>
    <t>εις παν οριον</t>
  </si>
  <si>
    <t>επι παν οριον</t>
  </si>
  <si>
    <t>βουσιν</t>
  </si>
  <si>
    <t xml:space="preserve"> -&gt; υπολειφθησαν</t>
  </si>
  <si>
    <t>εξειλασμα</t>
  </si>
  <si>
    <t>εξιλασμα</t>
  </si>
  <si>
    <t>η υποδημα</t>
  </si>
  <si>
    <t>και υποδημα</t>
  </si>
  <si>
    <t>ααρων ο αναγαγων</t>
  </si>
  <si>
    <t>εποιησεν υμιν</t>
  </si>
  <si>
    <t>εποιησεν εν υμιν</t>
  </si>
  <si>
    <t>αρχιστρατηγου ειαβεις [β]ασιλεως</t>
  </si>
  <si>
    <t>αρχιστρατηγου βασιλεως</t>
  </si>
  <si>
    <t>εις υμας</t>
  </si>
  <si>
    <t>εφ υμας</t>
  </si>
  <si>
    <t>ο ο κς</t>
  </si>
  <si>
    <t>βασι- &lt;folio 168 missing&gt;</t>
  </si>
  <si>
    <t>παρεδωκεν αυτους κς</t>
  </si>
  <si>
    <t>εικοσι ανδρας</t>
  </si>
  <si>
    <t>εικοσι ανδρες</t>
  </si>
  <si>
    <t>παιδιου</t>
  </si>
  <si>
    <t>πονειν</t>
  </si>
  <si>
    <t>λα[ο]υλ</t>
  </si>
  <si>
    <t>πεπορευσαι</t>
  </si>
  <si>
    <t>προς τον ιερεα</t>
  </si>
  <si>
    <t>προς τον βασι ιερεα</t>
  </si>
  <si>
    <t>ιδου εγενετο ρομφαια</t>
  </si>
  <si>
    <t>ιδου ρομφαια</t>
  </si>
  <si>
    <t>αλαλλοφυλων</t>
  </si>
  <si>
    <t>αναβαιντες</t>
  </si>
  <si>
    <t>εν τω ορει</t>
  </si>
  <si>
    <t>εν ορει</t>
  </si>
  <si>
    <t>ηγνοησεν</t>
  </si>
  <si>
    <t>ιααρ</t>
  </si>
  <si>
    <t>προβατον</t>
  </si>
  <si>
    <t>εκαστος το εν χειρι</t>
  </si>
  <si>
    <t>εκαστος εν χειρι</t>
  </si>
  <si>
    <t>την νυκταν και</t>
  </si>
  <si>
    <t>την και νυκταν και</t>
  </si>
  <si>
    <t xml:space="preserve"> -&gt; την νυκτα και</t>
  </si>
  <si>
    <t>ο σωσας</t>
  </si>
  <si>
    <t>ο σωξ σωσας</t>
  </si>
  <si>
    <t>εις βασιλεα σουβα</t>
  </si>
  <si>
    <t>εις τον βασιλεα σουβα</t>
  </si>
  <si>
    <t>εκ χειρος των καταπατουντων</t>
  </si>
  <si>
    <t>εκ χειρος παντων καταπατουντων</t>
  </si>
  <si>
    <t>και νηρ πηρ αβαινηρ</t>
  </si>
  <si>
    <t>και αβενηρ</t>
  </si>
  <si>
    <r>
      <t xml:space="preserve">και </t>
    </r>
    <r>
      <rPr>
        <b/>
        <sz val="11"/>
        <color theme="1"/>
        <rFont val="Calibri"/>
        <family val="2"/>
        <scheme val="minor"/>
      </rPr>
      <t>νηρ πηρ</t>
    </r>
    <r>
      <rPr>
        <sz val="11"/>
        <color theme="1"/>
        <rFont val="Calibri"/>
        <family val="2"/>
        <scheme val="minor"/>
      </rPr>
      <t xml:space="preserve"> αβαινηρ</t>
    </r>
  </si>
  <si>
    <r>
      <t xml:space="preserve">και </t>
    </r>
    <r>
      <rPr>
        <b/>
        <sz val="11"/>
        <color theme="1"/>
        <rFont val="Calibri"/>
        <family val="2"/>
        <scheme val="minor"/>
      </rPr>
      <t>αβενηρ</t>
    </r>
  </si>
  <si>
    <t>απεστρεψεν απο</t>
  </si>
  <si>
    <t>απεστρεψεν εν απο</t>
  </si>
  <si>
    <t>απαντησιν τω ιηλ</t>
  </si>
  <si>
    <t>απαντησιν ισραηλ</t>
  </si>
  <si>
    <t>ειπεν σαουλ προς σαμουηλ δια το ακουσαι</t>
  </si>
  <si>
    <t>ειπεν σαουλ δια το ακουσαι</t>
  </si>
  <si>
    <t>κυ θυ</t>
  </si>
  <si>
    <t>κυριου του θεου</t>
  </si>
  <si>
    <t>εκρατησεν σαουλ του πτερυγιου</t>
  </si>
  <si>
    <t>εκρατησεν του πτερυγιου</t>
  </si>
  <si>
    <t>δωσει αυτην τω πλησιον</t>
  </si>
  <si>
    <t>δωσει τω πλησιον</t>
  </si>
  <si>
    <t>ου μετανοησει</t>
  </si>
  <si>
    <t>και ου μετανοησει</t>
  </si>
  <si>
    <t>ειπεν σαουλ ημαρτηκα</t>
  </si>
  <si>
    <t>ειπεν σαουλ προς σαμουηλ εδοξασα ημαρτηκα</t>
  </si>
  <si>
    <t>τω τω θω σου</t>
  </si>
  <si>
    <t>κυριω τω θεω σου</t>
  </si>
  <si>
    <t>πικρος θανατος</t>
  </si>
  <si>
    <t>πικροσμος θανατος</t>
  </si>
  <si>
    <t>πικρος ο θανατος</t>
  </si>
  <si>
    <t>εως ημερας</t>
  </si>
  <si>
    <t>εως της ημερας</t>
  </si>
  <si>
    <t>βηθλεεμ</t>
  </si>
  <si>
    <t>πεσειται</t>
  </si>
  <si>
    <t>ον εαν ειπω</t>
  </si>
  <si>
    <t>ον αν ειπω</t>
  </si>
  <si>
    <t>ειπω προς σε</t>
  </si>
  <si>
    <t>ειπω σοι προς σε</t>
  </si>
  <si>
    <t>ιδεν τον ελιαβ</t>
  </si>
  <si>
    <t>ειδεν τον ελιαβ</t>
  </si>
  <si>
    <t>απηλθεν εις αρμαθαιμ</t>
  </si>
  <si>
    <t>απεστη εις αρμαθαιμ</t>
  </si>
  <si>
    <t>Autograph transcript error, but still a variant</t>
  </si>
  <si>
    <t>Apograph transcript error, but still a variant</t>
  </si>
  <si>
    <t>προς τους παιδας</t>
  </si>
  <si>
    <t>προς τους δουλους</t>
  </si>
  <si>
    <t>εξ αιγων αινα</t>
  </si>
  <si>
    <t>εξ αιγων ενα</t>
  </si>
  <si>
    <t>αιρων σκευη αυτου</t>
  </si>
  <si>
    <t>αιρων τα σκευη αυτου</t>
  </si>
  <si>
    <t>εις σογχω</t>
  </si>
  <si>
    <t>εις σοκχω</t>
  </si>
  <si>
    <t>αναμεσον σοκχω</t>
  </si>
  <si>
    <t>αναμεσον σογχω</t>
  </si>
  <si>
    <t>αναμεσον αζηκα</t>
  </si>
  <si>
    <t>αναμεφον αζηκα</t>
  </si>
  <si>
    <t>εν τη κοιλαδι</t>
  </si>
  <si>
    <t>εν τη κοιλ κοιλαδι</t>
  </si>
  <si>
    <t>σταθμος του χωρακος</t>
  </si>
  <si>
    <t>κνημιδες χαλκε</t>
  </si>
  <si>
    <t>κνημιδες χαλκαι</t>
  </si>
  <si>
    <t>επανω των σκελων</t>
  </si>
  <si>
    <t>επα των σκελων</t>
  </si>
  <si>
    <t>εξακοσιοι σικλων</t>
  </si>
  <si>
    <t>εξακοσιων σικλων</t>
  </si>
  <si>
    <t>προεπορευετο</t>
  </si>
  <si>
    <r>
      <rPr>
        <b/>
        <sz val="11"/>
        <color theme="1"/>
        <rFont val="Calibri"/>
        <family val="2"/>
        <scheme val="minor"/>
      </rPr>
      <t>ετι</t>
    </r>
    <r>
      <rPr>
        <sz val="11"/>
        <color theme="1"/>
        <rFont val="Calibri"/>
        <family val="2"/>
        <scheme val="minor"/>
      </rPr>
      <t xml:space="preserve"> εκπορευεσθαι</t>
    </r>
  </si>
  <si>
    <r>
      <rPr>
        <b/>
        <sz val="11"/>
        <color theme="1"/>
        <rFont val="Calibri"/>
        <family val="2"/>
        <scheme val="minor"/>
      </rPr>
      <t>ετι</t>
    </r>
    <r>
      <rPr>
        <sz val="11"/>
        <color theme="1"/>
        <rFont val="Calibri"/>
        <family val="2"/>
        <scheme val="minor"/>
      </rPr>
      <t xml:space="preserve"> εκπορευεσθε</t>
    </r>
  </si>
  <si>
    <r>
      <t xml:space="preserve">ετι </t>
    </r>
    <r>
      <rPr>
        <b/>
        <sz val="11"/>
        <color theme="1"/>
        <rFont val="Calibri"/>
        <family val="2"/>
        <scheme val="minor"/>
      </rPr>
      <t>εκπορευεσθαι</t>
    </r>
  </si>
  <si>
    <r>
      <t xml:space="preserve">ετι </t>
    </r>
    <r>
      <rPr>
        <b/>
        <sz val="11"/>
        <color theme="1"/>
        <rFont val="Calibri"/>
        <family val="2"/>
        <scheme val="minor"/>
      </rPr>
      <t>εκπορευεσθε</t>
    </r>
  </si>
  <si>
    <r>
      <rPr>
        <b/>
        <sz val="11"/>
        <color theme="1"/>
        <rFont val="Calibri"/>
        <family val="2"/>
        <scheme val="minor"/>
      </rPr>
      <t>εκλεξασθαι</t>
    </r>
    <r>
      <rPr>
        <sz val="11"/>
        <color theme="1"/>
        <rFont val="Calibri"/>
        <family val="2"/>
        <scheme val="minor"/>
      </rPr>
      <t xml:space="preserve"> αυτοις</t>
    </r>
  </si>
  <si>
    <r>
      <rPr>
        <b/>
        <sz val="11"/>
        <color theme="1"/>
        <rFont val="Calibri"/>
        <family val="2"/>
        <scheme val="minor"/>
      </rPr>
      <t>εκλεξασθε</t>
    </r>
    <r>
      <rPr>
        <sz val="11"/>
        <color theme="1"/>
        <rFont val="Calibri"/>
        <family val="2"/>
        <scheme val="minor"/>
      </rPr>
      <t xml:space="preserve"> εαυτοις</t>
    </r>
  </si>
  <si>
    <r>
      <t xml:space="preserve">εκλεξασθαι </t>
    </r>
    <r>
      <rPr>
        <b/>
        <sz val="11"/>
        <color theme="1"/>
        <rFont val="Calibri"/>
        <family val="2"/>
        <scheme val="minor"/>
      </rPr>
      <t>αυτοις</t>
    </r>
  </si>
  <si>
    <r>
      <t xml:space="preserve">εκλεξασθε </t>
    </r>
    <r>
      <rPr>
        <b/>
        <sz val="11"/>
        <color theme="1"/>
        <rFont val="Calibri"/>
        <family val="2"/>
        <scheme val="minor"/>
      </rPr>
      <t>εαυτοις</t>
    </r>
  </si>
  <si>
    <t>ετι -&gt; τι</t>
  </si>
  <si>
    <t>δουλευσατε -&gt; δουλευσετε</t>
  </si>
  <si>
    <t>τα ρηματα αυτου</t>
  </si>
  <si>
    <t>αυτου omitted</t>
  </si>
  <si>
    <t>και ειπεν δαδ</t>
  </si>
  <si>
    <t>και ειπεν δαβιδ</t>
  </si>
  <si>
    <t>ειπεν omitted</t>
  </si>
  <si>
    <t>εφραθαιου ουτος</t>
  </si>
  <si>
    <t>εφραθαιου ου ουτος</t>
  </si>
  <si>
    <t>οι τρεις υιοι</t>
  </si>
  <si>
    <t>εις τον πολεμον</t>
  </si>
  <si>
    <t>εις πολεμον</t>
  </si>
  <si>
    <t>πρωτοτοκος αυτου</t>
  </si>
  <si>
    <t>τριτος αυτου</t>
  </si>
  <si>
    <t>οιφει τουτου</t>
  </si>
  <si>
    <t>adds αλφιτου between οιφει and τουτου</t>
  </si>
  <si>
    <t>τας δεκα</t>
  </si>
  <si>
    <t>τας δεκας</t>
  </si>
  <si>
    <t>προβατα φυλακει</t>
  </si>
  <si>
    <t>φυλακει -&gt; φυλακι</t>
  </si>
  <si>
    <t>εις την παραταξιν</t>
  </si>
  <si>
    <t>εις παραταξιν</t>
  </si>
  <si>
    <t>ηλαλαξαν</t>
  </si>
  <si>
    <t>παρεταξοντο</t>
  </si>
  <si>
    <t>duplication due to page turning (beginning written as incomplete on 107v then word started fresh on 108r)</t>
  </si>
  <si>
    <t>αφ εαυτου επι χειρα φυλακος και εδραμεν</t>
  </si>
  <si>
    <t>αφ εαυτου και εδραμεν</t>
  </si>
  <si>
    <t>αδελφους</t>
  </si>
  <si>
    <t>κατα ρειματα ταυτα</t>
  </si>
  <si>
    <r>
      <t xml:space="preserve">κατα </t>
    </r>
    <r>
      <rPr>
        <b/>
        <sz val="11"/>
        <color theme="1"/>
        <rFont val="Calibri"/>
        <family val="2"/>
        <scheme val="minor"/>
      </rPr>
      <t>τα</t>
    </r>
    <r>
      <rPr>
        <sz val="11"/>
        <color theme="1"/>
        <rFont val="Calibri"/>
        <family val="2"/>
        <scheme val="minor"/>
      </rPr>
      <t xml:space="preserve"> ρηματα τατυτα</t>
    </r>
  </si>
  <si>
    <r>
      <t xml:space="preserve">κατα τα </t>
    </r>
    <r>
      <rPr>
        <b/>
        <sz val="11"/>
        <color theme="1"/>
        <rFont val="Calibri"/>
        <family val="2"/>
        <scheme val="minor"/>
      </rPr>
      <t>ρηματα</t>
    </r>
    <r>
      <rPr>
        <sz val="11"/>
        <color theme="1"/>
        <rFont val="Calibri"/>
        <family val="2"/>
        <scheme val="minor"/>
      </rPr>
      <t xml:space="preserve"> τατυτα</t>
    </r>
  </si>
  <si>
    <r>
      <t xml:space="preserve">κατα </t>
    </r>
    <r>
      <rPr>
        <b/>
        <sz val="11"/>
        <color theme="1"/>
        <rFont val="Calibri"/>
        <family val="2"/>
        <scheme val="minor"/>
      </rPr>
      <t>ρειματα</t>
    </r>
    <r>
      <rPr>
        <sz val="11"/>
        <color theme="1"/>
        <rFont val="Calibri"/>
        <family val="2"/>
        <scheme val="minor"/>
      </rPr>
      <t xml:space="preserve"> ταυτα</t>
    </r>
  </si>
  <si>
    <t>εν τω ιηλ</t>
  </si>
  <si>
    <t>εν ισραηλ</t>
  </si>
  <si>
    <t>παταξει -&gt; παταξη</t>
  </si>
  <si>
    <t>αφελει -&gt; αφελη</t>
  </si>
  <si>
    <r>
      <rPr>
        <b/>
        <sz val="11"/>
        <color theme="1"/>
        <rFont val="Calibri"/>
        <family val="2"/>
        <scheme val="minor"/>
      </rPr>
      <t>απεριθμητος</t>
    </r>
    <r>
      <rPr>
        <sz val="11"/>
        <color theme="1"/>
        <rFont val="Calibri"/>
        <family val="2"/>
        <scheme val="minor"/>
      </rPr>
      <t xml:space="preserve"> αυτος</t>
    </r>
  </si>
  <si>
    <r>
      <rPr>
        <b/>
        <sz val="11"/>
        <color theme="1"/>
        <rFont val="Calibri"/>
        <family val="2"/>
        <scheme val="minor"/>
      </rPr>
      <t>απεριτμητος</t>
    </r>
    <r>
      <rPr>
        <sz val="11"/>
        <color theme="1"/>
        <rFont val="Calibri"/>
        <family val="2"/>
        <scheme val="minor"/>
      </rPr>
      <t xml:space="preserve"> αυτος</t>
    </r>
  </si>
  <si>
    <r>
      <t xml:space="preserve">απεριθμητος </t>
    </r>
    <r>
      <rPr>
        <b/>
        <sz val="11"/>
        <color theme="1"/>
        <rFont val="Calibri"/>
        <family val="2"/>
        <scheme val="minor"/>
      </rPr>
      <t>αυτος</t>
    </r>
  </si>
  <si>
    <r>
      <t xml:space="preserve">απεριτμητος </t>
    </r>
    <r>
      <rPr>
        <b/>
        <sz val="11"/>
        <color theme="1"/>
        <rFont val="Calibri"/>
        <family val="2"/>
        <scheme val="minor"/>
      </rPr>
      <t>αυτος</t>
    </r>
  </si>
  <si>
    <t>αυτος -&gt; ουτος</t>
  </si>
  <si>
    <t>το ρημα του πρωτου</t>
  </si>
  <si>
    <t>το ρημου του πρωτου</t>
  </si>
  <si>
    <t>ανηγγελησαν οπισω σαουλ</t>
  </si>
  <si>
    <t>οπισω -&gt; ενωπιον</t>
  </si>
  <si>
    <t>κς εσται μετα σου</t>
  </si>
  <si>
    <t>κυριος εσται μετα σου</t>
  </si>
  <si>
    <t>κυριος εσται -&gt; εσται κυριος</t>
  </si>
  <si>
    <t>θωρακαν -&gt; θωρακα</t>
  </si>
  <si>
    <t>εν τη χειρι</t>
  </si>
  <si>
    <t>εν τι χειρι</t>
  </si>
  <si>
    <t>ητιμασεν</t>
  </si>
  <si>
    <r>
      <rPr>
        <b/>
        <sz val="11"/>
        <color theme="1"/>
        <rFont val="Calibri"/>
        <family val="2"/>
        <scheme val="minor"/>
      </rPr>
      <t>κατηρασατο</t>
    </r>
    <r>
      <rPr>
        <sz val="11"/>
        <color theme="1"/>
        <rFont val="Calibri"/>
        <family val="2"/>
        <scheme val="minor"/>
      </rPr>
      <t xml:space="preserve"> ο αλλοφυλος</t>
    </r>
  </si>
  <si>
    <r>
      <t xml:space="preserve">κατηρασατο </t>
    </r>
    <r>
      <rPr>
        <b/>
        <sz val="11"/>
        <color theme="1"/>
        <rFont val="Calibri"/>
        <family val="2"/>
        <scheme val="minor"/>
      </rPr>
      <t>ο</t>
    </r>
    <r>
      <rPr>
        <sz val="11"/>
        <color theme="1"/>
        <rFont val="Calibri"/>
        <family val="2"/>
        <scheme val="minor"/>
      </rPr>
      <t xml:space="preserve"> αλλοφυλος</t>
    </r>
  </si>
  <si>
    <t>ταις -&gt; της</t>
  </si>
  <si>
    <r>
      <t xml:space="preserve">τα κωλα </t>
    </r>
    <r>
      <rPr>
        <b/>
        <sz val="11"/>
        <color theme="1"/>
        <rFont val="Calibri"/>
        <family val="2"/>
        <scheme val="minor"/>
      </rPr>
      <t>παρενβολης</t>
    </r>
    <r>
      <rPr>
        <sz val="11"/>
        <color theme="1"/>
        <rFont val="Calibri"/>
        <family val="2"/>
        <scheme val="minor"/>
      </rPr>
      <t xml:space="preserve"> αλλοφυλων</t>
    </r>
  </si>
  <si>
    <t>τα κωλα παρενβολης αλλοφυλων</t>
  </si>
  <si>
    <r>
      <t xml:space="preserve">τα κωλα </t>
    </r>
    <r>
      <rPr>
        <b/>
        <sz val="11"/>
        <color theme="1"/>
        <rFont val="Calibri"/>
        <family val="2"/>
        <scheme val="minor"/>
      </rPr>
      <t>ταις</t>
    </r>
    <r>
      <rPr>
        <sz val="11"/>
        <color theme="1"/>
        <rFont val="Calibri"/>
        <family val="2"/>
        <scheme val="minor"/>
      </rPr>
      <t xml:space="preserve"> παρεμβολης των αλλοφυλων</t>
    </r>
  </si>
  <si>
    <r>
      <t xml:space="preserve">τα κωλα ταις </t>
    </r>
    <r>
      <rPr>
        <b/>
        <sz val="11"/>
        <color theme="1"/>
        <rFont val="Calibri"/>
        <family val="2"/>
        <scheme val="minor"/>
      </rPr>
      <t>παρεμβολης</t>
    </r>
    <r>
      <rPr>
        <sz val="11"/>
        <color theme="1"/>
        <rFont val="Calibri"/>
        <family val="2"/>
        <scheme val="minor"/>
      </rPr>
      <t xml:space="preserve"> των αλλοφυλων</t>
    </r>
  </si>
  <si>
    <r>
      <t xml:space="preserve">τα κωλα ταις παρεμβολης </t>
    </r>
    <r>
      <rPr>
        <b/>
        <sz val="11"/>
        <color theme="1"/>
        <rFont val="Calibri"/>
        <family val="2"/>
        <scheme val="minor"/>
      </rPr>
      <t>των</t>
    </r>
    <r>
      <rPr>
        <sz val="11"/>
        <color theme="1"/>
        <rFont val="Calibri"/>
        <family val="2"/>
        <scheme val="minor"/>
      </rPr>
      <t xml:space="preserve"> αλλοφυλων</t>
    </r>
  </si>
  <si>
    <t>εξετεινεν δαδ την χειρα</t>
  </si>
  <si>
    <t>εξετεινεν την χειρα</t>
  </si>
  <si>
    <t>εις το μετωπον</t>
  </si>
  <si>
    <t>επι το μετωπον</t>
  </si>
  <si>
    <t>εως εισοδου</t>
  </si>
  <si>
    <t>εως εως εισοδου</t>
  </si>
  <si>
    <t>και εις γεθ</t>
  </si>
  <si>
    <t>απεστρεψαν ανδρες</t>
  </si>
  <si>
    <r>
      <rPr>
        <b/>
        <sz val="11"/>
        <color theme="1"/>
        <rFont val="Calibri"/>
        <family val="2"/>
        <scheme val="minor"/>
      </rPr>
      <t>απεστρεψαν</t>
    </r>
    <r>
      <rPr>
        <sz val="11"/>
        <color theme="1"/>
        <rFont val="Calibri"/>
        <family val="2"/>
        <scheme val="minor"/>
      </rPr>
      <t xml:space="preserve"> ανδρες</t>
    </r>
  </si>
  <si>
    <r>
      <rPr>
        <b/>
        <sz val="11"/>
        <color theme="1"/>
        <rFont val="Calibri"/>
        <family val="2"/>
        <scheme val="minor"/>
      </rPr>
      <t>επεστρεψαν</t>
    </r>
    <r>
      <rPr>
        <sz val="11"/>
        <color theme="1"/>
        <rFont val="Calibri"/>
        <family val="2"/>
        <scheme val="minor"/>
      </rPr>
      <t xml:space="preserve"> οι ανδρες</t>
    </r>
  </si>
  <si>
    <r>
      <t xml:space="preserve">επεστρεψαν </t>
    </r>
    <r>
      <rPr>
        <b/>
        <sz val="11"/>
        <color theme="1"/>
        <rFont val="Calibri"/>
        <family val="2"/>
        <scheme val="minor"/>
      </rPr>
      <t>οι</t>
    </r>
    <r>
      <rPr>
        <sz val="11"/>
        <color theme="1"/>
        <rFont val="Calibri"/>
        <family val="2"/>
        <scheme val="minor"/>
      </rPr>
      <t xml:space="preserve"> ανδρες</t>
    </r>
  </si>
  <si>
    <t>εις ιλημ</t>
  </si>
  <si>
    <t>ει ιερουσαλημ</t>
  </si>
  <si>
    <t>εκπορευομενον</t>
  </si>
  <si>
    <t>προς αυτον σαουλ</t>
  </si>
  <si>
    <t>προς αυτον ο σαουλ</t>
  </si>
  <si>
    <t>και ελαβεν αυτον σαουλ</t>
  </si>
  <si>
    <t>και εδωκεν αυτον σαουλ</t>
  </si>
  <si>
    <t>εδωκεν αυτον επιστρεψαι εν τω οικω</t>
  </si>
  <si>
    <t>εδωκεν αυτον εν τω επιστρεψαι εν τω οικω</t>
  </si>
  <si>
    <t>το μανδυαν</t>
  </si>
  <si>
    <t>τον μανδυαν</t>
  </si>
  <si>
    <t>πασων των πολεων</t>
  </si>
  <si>
    <t>πασων πολεων</t>
  </si>
  <si>
    <t>και εν κυμβαλοις</t>
  </si>
  <si>
    <t>και κυμβαλοις</t>
  </si>
  <si>
    <t>πλην η βασιλεια</t>
  </si>
  <si>
    <t>πλην βασιλεια</t>
  </si>
  <si>
    <t>εν μεσω οικω αυτου</t>
  </si>
  <si>
    <t>τη χειρει σαουλ</t>
  </si>
  <si>
    <t>τη χειρι σαουλ</t>
  </si>
  <si>
    <t>και ιδεν σαουλ</t>
  </si>
  <si>
    <t>και ειδεν σαουλ</t>
  </si>
  <si>
    <t>εστω χειρ μου</t>
  </si>
  <si>
    <t>εστω η χειρ μου</t>
  </si>
  <si>
    <t>ζωη της συγγενειας</t>
  </si>
  <si>
    <t>ζωη της συ συγγενειας</t>
  </si>
  <si>
    <t>συγγενειας σου πρς μου</t>
  </si>
  <si>
    <t>συγγενειας του πατρος μου</t>
  </si>
  <si>
    <t>δοθηναι την μεροβ</t>
  </si>
  <si>
    <t>δοθηναι μεροβ</t>
  </si>
  <si>
    <t>εις κανδαλον</t>
  </si>
  <si>
    <t>εις σκανδαλον</t>
  </si>
  <si>
    <t>χερ αλλοφυλων</t>
  </si>
  <si>
    <t>χειρ αλλοφυλων</t>
  </si>
  <si>
    <t>τον δαδ</t>
  </si>
  <si>
    <t>τον δαβιδ</t>
  </si>
  <si>
    <t>τον -&gt; τω</t>
  </si>
  <si>
    <t>αλλοφυλοις ανδρας</t>
  </si>
  <si>
    <r>
      <t xml:space="preserve">αλλοφυλοις </t>
    </r>
    <r>
      <rPr>
        <b/>
        <sz val="11"/>
        <color theme="1"/>
        <rFont val="Calibri"/>
        <family val="2"/>
        <scheme val="minor"/>
      </rPr>
      <t>εκατον</t>
    </r>
    <r>
      <rPr>
        <sz val="11"/>
        <color theme="1"/>
        <rFont val="Calibri"/>
        <family val="2"/>
        <scheme val="minor"/>
      </rPr>
      <t xml:space="preserve"> ανδρας</t>
    </r>
  </si>
  <si>
    <t>ιδεν σαουλ</t>
  </si>
  <si>
    <t>ειδεν σαουλ</t>
  </si>
  <si>
    <t>απηγγειλεν ιωναθαν τω δαδ</t>
  </si>
  <si>
    <t>απηγγειλεν τω δαβιδ</t>
  </si>
  <si>
    <t>ο τι εαν</t>
  </si>
  <si>
    <t>οτι εαν</t>
  </si>
  <si>
    <t>εαν -&gt; αν</t>
  </si>
  <si>
    <t>ζη κς ει αποθανειται</t>
  </si>
  <si>
    <t>ζη κυριος αποθανειται</t>
  </si>
  <si>
    <t>πνα θυ</t>
  </si>
  <si>
    <t>πνευμα κυριου</t>
  </si>
  <si>
    <t>εν τη χιρι</t>
  </si>
  <si>
    <t>σωσεις την ψυχην</t>
  </si>
  <si>
    <t>σωσεις ψ την ψυχην</t>
  </si>
  <si>
    <t>καταγη μελχολ</t>
  </si>
  <si>
    <r>
      <rPr>
        <b/>
        <sz val="11"/>
        <color theme="1"/>
        <rFont val="Calibri"/>
        <family val="2"/>
        <scheme val="minor"/>
      </rPr>
      <t>καταγι</t>
    </r>
    <r>
      <rPr>
        <sz val="11"/>
        <color theme="1"/>
        <rFont val="Calibri"/>
        <family val="2"/>
        <scheme val="minor"/>
      </rPr>
      <t xml:space="preserve"> η μελχολ</t>
    </r>
  </si>
  <si>
    <r>
      <rPr>
        <b/>
        <sz val="11"/>
        <color theme="1"/>
        <rFont val="Calibri"/>
        <family val="2"/>
        <scheme val="minor"/>
      </rPr>
      <t>καταγη</t>
    </r>
    <r>
      <rPr>
        <sz val="11"/>
        <color theme="1"/>
        <rFont val="Calibri"/>
        <family val="2"/>
        <scheme val="minor"/>
      </rPr>
      <t xml:space="preserve"> μελχολ</t>
    </r>
  </si>
  <si>
    <r>
      <t xml:space="preserve">καταγι </t>
    </r>
    <r>
      <rPr>
        <b/>
        <sz val="11"/>
        <color theme="1"/>
        <rFont val="Calibri"/>
        <family val="2"/>
        <scheme val="minor"/>
      </rPr>
      <t>η</t>
    </r>
    <r>
      <rPr>
        <sz val="11"/>
        <color theme="1"/>
        <rFont val="Calibri"/>
        <family val="2"/>
        <scheme val="minor"/>
      </rPr>
      <t xml:space="preserve"> μελχολ</t>
    </r>
  </si>
  <si>
    <t>ειπεν μολχολ</t>
  </si>
  <si>
    <t>μολχολ -&gt; μελχολ</t>
  </si>
  <si>
    <t>θανατω σε</t>
  </si>
  <si>
    <t>θανατωσω σε</t>
  </si>
  <si>
    <t>εποιησεν σαουλ</t>
  </si>
  <si>
    <t>εποιησεν σουουλ</t>
  </si>
  <si>
    <t>των προφητων των προφητευοντων</t>
  </si>
  <si>
    <t>των προφητων προφητευοντων</t>
  </si>
  <si>
    <t>ειπαν ιδου</t>
  </si>
  <si>
    <t>ειπον ιδου</t>
  </si>
  <si>
    <t>πορευομενος προφητευων</t>
  </si>
  <si>
    <t>πορευομενος και προφητευων</t>
  </si>
  <si>
    <t>εν ναυιωθ</t>
  </si>
  <si>
    <t>εις ναυιωθ</t>
  </si>
  <si>
    <t>η και σαουλ</t>
  </si>
  <si>
    <t>ει και σαουλ</t>
  </si>
  <si>
    <t>απεδρα ιηλ εν ναυιωθ</t>
  </si>
  <si>
    <r>
      <t xml:space="preserve">απεδρα </t>
    </r>
    <r>
      <rPr>
        <b/>
        <sz val="11"/>
        <color theme="1"/>
        <rFont val="Calibri"/>
        <family val="2"/>
        <scheme val="minor"/>
      </rPr>
      <t>ιηλ</t>
    </r>
    <r>
      <rPr>
        <sz val="11"/>
        <color theme="1"/>
        <rFont val="Calibri"/>
        <family val="2"/>
        <scheme val="minor"/>
      </rPr>
      <t xml:space="preserve"> εν ναυιωθ</t>
    </r>
  </si>
  <si>
    <r>
      <t xml:space="preserve">απεδρα </t>
    </r>
    <r>
      <rPr>
        <b/>
        <sz val="11"/>
        <color theme="1"/>
        <rFont val="Calibri"/>
        <family val="2"/>
        <scheme val="minor"/>
      </rPr>
      <t>ισραηλ</t>
    </r>
    <r>
      <rPr>
        <sz val="11"/>
        <color theme="1"/>
        <rFont val="Calibri"/>
        <family val="2"/>
        <scheme val="minor"/>
      </rPr>
      <t xml:space="preserve"> και ερχεται εν ναυιωθ</t>
    </r>
  </si>
  <si>
    <t>ισραηλ -&gt; δαβιδ</t>
  </si>
  <si>
    <r>
      <t xml:space="preserve">απεδρα ισραηλ </t>
    </r>
    <r>
      <rPr>
        <b/>
        <sz val="11"/>
        <color theme="1"/>
        <rFont val="Calibri"/>
        <family val="2"/>
        <scheme val="minor"/>
      </rPr>
      <t>και ερχεται</t>
    </r>
    <r>
      <rPr>
        <sz val="11"/>
        <color theme="1"/>
        <rFont val="Calibri"/>
        <family val="2"/>
        <scheme val="minor"/>
      </rPr>
      <t xml:space="preserve"> εν ναυιωθ</t>
    </r>
  </si>
  <si>
    <r>
      <t xml:space="preserve">απεδρα ιηλ </t>
    </r>
    <r>
      <rPr>
        <b/>
        <sz val="11"/>
        <color theme="1"/>
        <rFont val="Calibri"/>
        <family val="2"/>
        <scheme val="minor"/>
      </rPr>
      <t>εν</t>
    </r>
    <r>
      <rPr>
        <sz val="11"/>
        <color theme="1"/>
        <rFont val="Calibri"/>
        <family val="2"/>
        <scheme val="minor"/>
      </rPr>
      <t xml:space="preserve"> ναυιωθ</t>
    </r>
  </si>
  <si>
    <r>
      <t xml:space="preserve">απεδρα ισραηλ και ερχεται </t>
    </r>
    <r>
      <rPr>
        <b/>
        <sz val="11"/>
        <color theme="1"/>
        <rFont val="Calibri"/>
        <family val="2"/>
        <scheme val="minor"/>
      </rPr>
      <t>εν</t>
    </r>
    <r>
      <rPr>
        <sz val="11"/>
        <color theme="1"/>
        <rFont val="Calibri"/>
        <family val="2"/>
        <scheme val="minor"/>
      </rPr>
      <t xml:space="preserve"> ναυιωθ</t>
    </r>
  </si>
  <si>
    <t>εν -&gt; εκ</t>
  </si>
  <si>
    <t>του -&gt; εμου</t>
  </si>
  <si>
    <r>
      <rPr>
        <b/>
        <sz val="11"/>
        <color theme="1"/>
        <rFont val="Calibri"/>
        <family val="2"/>
        <scheme val="minor"/>
      </rPr>
      <t>απο</t>
    </r>
    <r>
      <rPr>
        <sz val="11"/>
        <color theme="1"/>
        <rFont val="Calibri"/>
        <family val="2"/>
        <scheme val="minor"/>
      </rPr>
      <t xml:space="preserve"> του δαδ δραμειν</t>
    </r>
  </si>
  <si>
    <r>
      <rPr>
        <b/>
        <sz val="11"/>
        <color theme="1"/>
        <rFont val="Calibri"/>
        <family val="2"/>
        <scheme val="minor"/>
      </rPr>
      <t>απ</t>
    </r>
    <r>
      <rPr>
        <sz val="11"/>
        <color theme="1"/>
        <rFont val="Calibri"/>
        <family val="2"/>
        <scheme val="minor"/>
      </rPr>
      <t xml:space="preserve"> του δαβιδ δραμειν</t>
    </r>
  </si>
  <si>
    <r>
      <t xml:space="preserve">απο </t>
    </r>
    <r>
      <rPr>
        <b/>
        <sz val="11"/>
        <color theme="1"/>
        <rFont val="Calibri"/>
        <family val="2"/>
        <scheme val="minor"/>
      </rPr>
      <t>του</t>
    </r>
    <r>
      <rPr>
        <sz val="11"/>
        <color theme="1"/>
        <rFont val="Calibri"/>
        <family val="2"/>
        <scheme val="minor"/>
      </rPr>
      <t xml:space="preserve"> δαδ δραμειν</t>
    </r>
  </si>
  <si>
    <r>
      <t xml:space="preserve">απ </t>
    </r>
    <r>
      <rPr>
        <b/>
        <sz val="11"/>
        <color theme="1"/>
        <rFont val="Calibri"/>
        <family val="2"/>
        <scheme val="minor"/>
      </rPr>
      <t>του</t>
    </r>
    <r>
      <rPr>
        <sz val="11"/>
        <color theme="1"/>
        <rFont val="Calibri"/>
        <family val="2"/>
        <scheme val="minor"/>
      </rPr>
      <t xml:space="preserve"> δαβιδ δραμειν</t>
    </r>
  </si>
  <si>
    <t>δαβιδ δραμειν -&gt; δαβιδ του δραμειν</t>
  </si>
  <si>
    <t>ειπη</t>
  </si>
  <si>
    <t>αποκριθης σοι</t>
  </si>
  <si>
    <t>αποκριθη σοι</t>
  </si>
  <si>
    <t>και ει εστιν εν</t>
  </si>
  <si>
    <t>και ει εστιν και εν</t>
  </si>
  <si>
    <t>θανατωσον με συ</t>
  </si>
  <si>
    <t>θανατωσον συ με συ</t>
  </si>
  <si>
    <t>μηδαμως συ</t>
  </si>
  <si>
    <t>μηδαμως σοι</t>
  </si>
  <si>
    <t>οτι συντετελεσται</t>
  </si>
  <si>
    <t>οτι ουν συντετελεσται</t>
  </si>
  <si>
    <t>Apograph unclear (but clear enough)</t>
  </si>
  <si>
    <t>ο and π omitted, but απορκιθη remains</t>
  </si>
  <si>
    <t>ου μη</t>
  </si>
  <si>
    <t>ει μη</t>
  </si>
  <si>
    <t>και με ετι</t>
  </si>
  <si>
    <t>και μεν ετι</t>
  </si>
  <si>
    <t>εκ χειρος εχθρου του δαδ</t>
  </si>
  <si>
    <t>αποστελω</t>
  </si>
  <si>
    <t>λεγων δευρο</t>
  </si>
  <si>
    <t>λεγων ιδου δευρο</t>
  </si>
  <si>
    <t>η σχιζα απο σου</t>
  </si>
  <si>
    <t>η σχιζα παρα σου</t>
  </si>
  <si>
    <t>σχιζα</t>
  </si>
  <si>
    <t>κς μαρτυς αναμεσον</t>
  </si>
  <si>
    <t>κυριος αναμεσον</t>
  </si>
  <si>
    <t>παρα τοιχον</t>
  </si>
  <si>
    <t>παρα τρ τοιχον</t>
  </si>
  <si>
    <t>και εκαθισεν και εκαθισεν αβενηρ</t>
  </si>
  <si>
    <t>και α εκαθισεν και εκαθισεν αβενηρ</t>
  </si>
  <si>
    <t>the extra α was omitted, but so was one occurrence of και εκαθισεν (looks like 7522A was correcting his exemplar)</t>
  </si>
  <si>
    <t>ου κεκαθαρισται</t>
  </si>
  <si>
    <t>ουκ κεκαθαρισται</t>
  </si>
  <si>
    <t>και εγενηθη</t>
  </si>
  <si>
    <t>και εκ εγενηθη</t>
  </si>
  <si>
    <t>επεσκεπη ο τοπος</t>
  </si>
  <si>
    <t>επεσκεπη η ο τοπος</t>
  </si>
  <si>
    <t>εξαποστειλον με δη</t>
  </si>
  <si>
    <t>με δη -&gt; δη με</t>
  </si>
  <si>
    <t>φυλης ειμι εν τη</t>
  </si>
  <si>
    <t>ειμι -&gt; ημιν</t>
  </si>
  <si>
    <t>νυν ι ευρηκα</t>
  </si>
  <si>
    <t>νυν ει ευρηκα</t>
  </si>
  <si>
    <t>οργη σαουλ</t>
  </si>
  <si>
    <t>ορηγη σαουλ</t>
  </si>
  <si>
    <t>οτι μετοχος</t>
  </si>
  <si>
    <t>οτι με μετοχος</t>
  </si>
  <si>
    <t>υιω ιεσσαι αισχυνην σου και εις αισχυνην αποκαλυψεως</t>
  </si>
  <si>
    <t>υιω ιεσσαι αισχυνην σου και αισχ[υν]ην αποκαλυψεως</t>
  </si>
  <si>
    <t>εις gets added before the first instance of αισχυνην rather than the second</t>
  </si>
  <si>
    <r>
      <t xml:space="preserve">πασας τας ημερας ας </t>
    </r>
    <r>
      <rPr>
        <b/>
        <sz val="11"/>
        <color theme="1"/>
        <rFont val="Calibri"/>
        <family val="2"/>
        <scheme val="minor"/>
      </rPr>
      <t xml:space="preserve">ο υιος </t>
    </r>
    <r>
      <rPr>
        <sz val="11"/>
        <color theme="1"/>
        <rFont val="Calibri"/>
        <family val="2"/>
        <scheme val="minor"/>
      </rPr>
      <t>ιεσσαι ζη επι της γης</t>
    </r>
  </si>
  <si>
    <r>
      <t xml:space="preserve">πασας τας ημερας ζη </t>
    </r>
    <r>
      <rPr>
        <b/>
        <sz val="11"/>
        <color theme="1"/>
        <rFont val="Calibri"/>
        <family val="2"/>
        <scheme val="minor"/>
      </rPr>
      <t>υιος</t>
    </r>
    <r>
      <rPr>
        <sz val="11"/>
        <color theme="1"/>
        <rFont val="Calibri"/>
        <family val="2"/>
        <scheme val="minor"/>
      </rPr>
      <t xml:space="preserve"> ιεσσα[ι] επι της γης</t>
    </r>
  </si>
  <si>
    <r>
      <t xml:space="preserve">πασας τας ημερας ας ο </t>
    </r>
    <r>
      <rPr>
        <b/>
        <sz val="11"/>
        <color theme="1"/>
        <rFont val="Calibri"/>
        <family val="2"/>
        <scheme val="minor"/>
      </rPr>
      <t>υιος ιεσσαι ζη</t>
    </r>
    <r>
      <rPr>
        <sz val="11"/>
        <color theme="1"/>
        <rFont val="Calibri"/>
        <family val="2"/>
        <scheme val="minor"/>
      </rPr>
      <t xml:space="preserve"> επι της γης</t>
    </r>
  </si>
  <si>
    <r>
      <t xml:space="preserve">πασας τας ημερας </t>
    </r>
    <r>
      <rPr>
        <b/>
        <sz val="11"/>
        <color theme="1"/>
        <rFont val="Calibri"/>
        <family val="2"/>
        <scheme val="minor"/>
      </rPr>
      <t>ζη υιος ιεσσα[ι]</t>
    </r>
    <r>
      <rPr>
        <sz val="11"/>
        <color theme="1"/>
        <rFont val="Calibri"/>
        <family val="2"/>
        <scheme val="minor"/>
      </rPr>
      <t xml:space="preserve"> επι της γης</t>
    </r>
  </si>
  <si>
    <t>απεκριθη ιωναθαν τω σαουλ</t>
  </si>
  <si>
    <t>απεκριθη τω σαουλ</t>
  </si>
  <si>
    <t>το δορυ επι ιωναθαν οτι</t>
  </si>
  <si>
    <t>adds before οτι: του θανατωσαι αυτον και εγνω ιωναθαν</t>
  </si>
  <si>
    <t>θανατωσαι τον δαδ</t>
  </si>
  <si>
    <t>θανατωσαι δαβιδ</t>
  </si>
  <si>
    <t>απεπηδησεν</t>
  </si>
  <si>
    <t>εν οργη θυμω</t>
  </si>
  <si>
    <t>θυμω -&gt; θυμου</t>
  </si>
  <si>
    <t>εν ημερα τη δευτερα</t>
  </si>
  <si>
    <t>εν ημερα δευτερα</t>
  </si>
  <si>
    <t>εταξατο δαδ</t>
  </si>
  <si>
    <t>εταξατο δαβιδ</t>
  </si>
  <si>
    <t>εταξατο τω δαβιδ</t>
  </si>
  <si>
    <t>ηκοντισεν</t>
  </si>
  <si>
    <t>τη σχισει και και σχιζει και παρηγαγεν</t>
  </si>
  <si>
    <t>τη σχιζει και παρηγαγεν</t>
  </si>
  <si>
    <t>πορευου και εισελθε</t>
  </si>
  <si>
    <t>πορευου εισελθε</t>
  </si>
  <si>
    <t>και εισηλθεν και δαβιδ</t>
  </si>
  <si>
    <t>επι προσωπον</t>
  </si>
  <si>
    <t>επι το προσωπον</t>
  </si>
  <si>
    <t>προς αμιμελεχ</t>
  </si>
  <si>
    <t>προς αμιμιλεχ</t>
  </si>
  <si>
    <t>αχιμιλεχ</t>
  </si>
  <si>
    <t>παιδια εστιν</t>
  </si>
  <si>
    <t>παιδια εισιν</t>
  </si>
  <si>
    <t>γεγονεν εν παντα</t>
  </si>
  <si>
    <t>omits εν</t>
  </si>
  <si>
    <t>ειλημμενη ην εν ιματιω</t>
  </si>
  <si>
    <t>ειλημμενη εν τω ιματιω</t>
  </si>
  <si>
    <r>
      <t xml:space="preserve">ειλημμενη </t>
    </r>
    <r>
      <rPr>
        <b/>
        <sz val="11"/>
        <color theme="1"/>
        <rFont val="Calibri"/>
        <family val="2"/>
        <scheme val="minor"/>
      </rPr>
      <t>ην</t>
    </r>
    <r>
      <rPr>
        <sz val="11"/>
        <color theme="1"/>
        <rFont val="Calibri"/>
        <family val="2"/>
        <scheme val="minor"/>
      </rPr>
      <t xml:space="preserve"> εν ιματιω</t>
    </r>
  </si>
  <si>
    <r>
      <t xml:space="preserve">ειλημμενη εν </t>
    </r>
    <r>
      <rPr>
        <b/>
        <sz val="11"/>
        <color theme="1"/>
        <rFont val="Calibri"/>
        <family val="2"/>
        <scheme val="minor"/>
      </rPr>
      <t>τω</t>
    </r>
    <r>
      <rPr>
        <sz val="11"/>
        <color theme="1"/>
        <rFont val="Calibri"/>
        <family val="2"/>
        <scheme val="minor"/>
      </rPr>
      <t xml:space="preserve"> ιματιω</t>
    </r>
  </si>
  <si>
    <t>αγχους</t>
  </si>
  <si>
    <t>αχγ αγχους</t>
  </si>
  <si>
    <t>προσεποιησατο</t>
  </si>
  <si>
    <t>εισαγηοχατε</t>
  </si>
  <si>
    <t>εις οικια</t>
  </si>
  <si>
    <t>εις οικιαν</t>
  </si>
  <si>
    <t>εν αναγκη και κατωδυνος</t>
  </si>
  <si>
    <t>εν αναγκη ων και πας υποχρεως και κατωδυνος</t>
  </si>
  <si>
    <t>εις γην του ιουδα</t>
  </si>
  <si>
    <t>εις γην ιουδα</t>
  </si>
  <si>
    <t>οι ανδρες οι μετ αυτου</t>
  </si>
  <si>
    <t>οι ανδρες μετ αυτου</t>
  </si>
  <si>
    <t>ραμα</t>
  </si>
  <si>
    <t>δη υιοι ιεμεννι</t>
  </si>
  <si>
    <r>
      <t xml:space="preserve">δη </t>
    </r>
    <r>
      <rPr>
        <b/>
        <sz val="11"/>
        <color theme="1"/>
        <rFont val="Calibri"/>
        <family val="2"/>
        <scheme val="minor"/>
      </rPr>
      <t>οι</t>
    </r>
    <r>
      <rPr>
        <sz val="11"/>
        <color theme="1"/>
        <rFont val="Calibri"/>
        <family val="2"/>
        <scheme val="minor"/>
      </rPr>
      <t xml:space="preserve"> υιοι ιεμενι</t>
    </r>
  </si>
  <si>
    <r>
      <t xml:space="preserve">δη υιοι </t>
    </r>
    <r>
      <rPr>
        <b/>
        <sz val="11"/>
        <color theme="1"/>
        <rFont val="Calibri"/>
        <family val="2"/>
        <scheme val="minor"/>
      </rPr>
      <t>ιεμεννι</t>
    </r>
  </si>
  <si>
    <r>
      <t xml:space="preserve">δη οι υιοι </t>
    </r>
    <r>
      <rPr>
        <b/>
        <sz val="11"/>
        <color theme="1"/>
        <rFont val="Calibri"/>
        <family val="2"/>
        <scheme val="minor"/>
      </rPr>
      <t>ιεμενι</t>
    </r>
  </si>
  <si>
    <t>ταξει χειλιαρχους</t>
  </si>
  <si>
    <r>
      <t xml:space="preserve">ταξει </t>
    </r>
    <r>
      <rPr>
        <b/>
        <sz val="11"/>
        <color theme="1"/>
        <rFont val="Calibri"/>
        <family val="2"/>
        <scheme val="minor"/>
      </rPr>
      <t>ταξει</t>
    </r>
    <r>
      <rPr>
        <sz val="11"/>
        <color theme="1"/>
        <rFont val="Calibri"/>
        <family val="2"/>
        <scheme val="minor"/>
      </rPr>
      <t xml:space="preserve"> χιλιαρχους</t>
    </r>
  </si>
  <si>
    <r>
      <t xml:space="preserve">ταξει </t>
    </r>
    <r>
      <rPr>
        <b/>
        <sz val="11"/>
        <color theme="1"/>
        <rFont val="Calibri"/>
        <family val="2"/>
        <scheme val="minor"/>
      </rPr>
      <t>χειλιαρχους</t>
    </r>
  </si>
  <si>
    <r>
      <t xml:space="preserve">ταξει ταξει </t>
    </r>
    <r>
      <rPr>
        <b/>
        <sz val="11"/>
        <color theme="1"/>
        <rFont val="Calibri"/>
        <family val="2"/>
        <scheme val="minor"/>
      </rPr>
      <t>χιλιαρχους</t>
    </r>
  </si>
  <si>
    <t>ουκ εστιν αποκαλυπτων</t>
  </si>
  <si>
    <t>ουκ εστιν ο αποκαλυπτων</t>
  </si>
  <si>
    <t>μετ αυτου υιου</t>
  </si>
  <si>
    <t>αυτου -&gt; του</t>
  </si>
  <si>
    <t>επηγειρεν υιος</t>
  </si>
  <si>
    <t>επηγειρεν ο υιος</t>
  </si>
  <si>
    <t>επισιτισμον εδωκεν αυτω και την ρομφαια γολιαθ του αλλοφυλου εδωκεν αυτω (11) και απεστειλεν</t>
  </si>
  <si>
    <t>επισιτισμον εδωκεν αυτω (11) και απεστειλεν</t>
  </si>
  <si>
    <t>ιερεις του κυ</t>
  </si>
  <si>
    <t>δουναι σε αυτον και ρομφαιαν</t>
  </si>
  <si>
    <t>δουναι σεαυτον και ρομφαιαν</t>
  </si>
  <si>
    <t>δουναι σε αυτω αρτον και ρομφαιαν</t>
  </si>
  <si>
    <t>επερωταν αυτον</t>
  </si>
  <si>
    <t>επερωταν αυτα</t>
  </si>
  <si>
    <t>αυτα -&gt; αυτω</t>
  </si>
  <si>
    <t>βασιλευς και τα θουλου αυτου</t>
  </si>
  <si>
    <t>βασιλευς κατα του δουλου αυτου</t>
  </si>
  <si>
    <t>δουλος ο σος</t>
  </si>
  <si>
    <t>δουλος σου</t>
  </si>
  <si>
    <t>απαντησαι</t>
  </si>
  <si>
    <t>μοσχου και ονου</t>
  </si>
  <si>
    <t>μοσχου ονου</t>
  </si>
  <si>
    <t>εις τω αχιμελεχ</t>
  </si>
  <si>
    <t>εις αχιμελεχ</t>
  </si>
  <si>
    <t>αχιμελεχ υιω</t>
  </si>
  <si>
    <t>αχιμελεχ τ υιω</t>
  </si>
  <si>
    <t>εφυ οπισω δαδ</t>
  </si>
  <si>
    <t>εφυγεν οπισω δαβιδ</t>
  </si>
  <si>
    <t>ζη ζητω τη ψυχη</t>
  </si>
  <si>
    <r>
      <rPr>
        <b/>
        <sz val="11"/>
        <color theme="1"/>
        <rFont val="Calibri"/>
        <family val="2"/>
        <scheme val="minor"/>
      </rPr>
      <t>ζη</t>
    </r>
    <r>
      <rPr>
        <sz val="11"/>
        <color theme="1"/>
        <rFont val="Calibri"/>
        <family val="2"/>
        <scheme val="minor"/>
      </rPr>
      <t xml:space="preserve"> ζητω τη ψυχη</t>
    </r>
  </si>
  <si>
    <r>
      <rPr>
        <b/>
        <sz val="11"/>
        <color theme="1"/>
        <rFont val="Calibri"/>
        <family val="2"/>
        <scheme val="minor"/>
      </rPr>
      <t>ζη</t>
    </r>
    <r>
      <rPr>
        <sz val="11"/>
        <color theme="1"/>
        <rFont val="Calibri"/>
        <family val="2"/>
        <scheme val="minor"/>
      </rPr>
      <t xml:space="preserve"> ζητω τη τη ψυχη</t>
    </r>
  </si>
  <si>
    <t>first ζη omitted</t>
  </si>
  <si>
    <r>
      <t xml:space="preserve">ζη ζητω </t>
    </r>
    <r>
      <rPr>
        <b/>
        <sz val="11"/>
        <color theme="1"/>
        <rFont val="Calibri"/>
        <family val="2"/>
        <scheme val="minor"/>
      </rPr>
      <t>τη</t>
    </r>
    <r>
      <rPr>
        <sz val="11"/>
        <color theme="1"/>
        <rFont val="Calibri"/>
        <family val="2"/>
        <scheme val="minor"/>
      </rPr>
      <t xml:space="preserve"> τη ψυχη</t>
    </r>
  </si>
  <si>
    <t>δαδ και παταξεις</t>
  </si>
  <si>
    <t>δαβιδ και παταξεις</t>
  </si>
  <si>
    <t>δαβιδ πορευου και παταξεις</t>
  </si>
  <si>
    <t>ει πορευομεθα</t>
  </si>
  <si>
    <t>δια του κυ</t>
  </si>
  <si>
    <t>δια του θεου</t>
  </si>
  <si>
    <t>ειπεν αναστηθι προς αυτον και καταβηθι</t>
  </si>
  <si>
    <t>κατοικουντας κεειλα</t>
  </si>
  <si>
    <t>κατοικουντας τας κεειλα</t>
  </si>
  <si>
    <t>εις χειρας</t>
  </si>
  <si>
    <t>εις τας χειρας</t>
  </si>
  <si>
    <t>αποκεκλεισται</t>
  </si>
  <si>
    <t>Alex. διαφθειρεν -&gt; 7522A διαφθειρειν</t>
  </si>
  <si>
    <t>ει αποκλισθησεται</t>
  </si>
  <si>
    <t>ει αποκλειθησεται</t>
  </si>
  <si>
    <t>ειπεν κς αποκλισθησεται</t>
  </si>
  <si>
    <t>ειπεν κυριος αποκλεισθησεται</t>
  </si>
  <si>
    <t>παρα της κεειλα</t>
  </si>
  <si>
    <t>παρα κεειλα</t>
  </si>
  <si>
    <t>corrected to τετρακοσιοι</t>
  </si>
  <si>
    <t>ιδον δαδ</t>
  </si>
  <si>
    <t>ειδεν δαβιδ</t>
  </si>
  <si>
    <t>βουνω του εχελα του</t>
  </si>
  <si>
    <t>βουνω του σχελαστου</t>
  </si>
  <si>
    <t>προς φψυχην</t>
  </si>
  <si>
    <t>προς ψυχην</t>
  </si>
  <si>
    <t>πανουργευσατε</t>
  </si>
  <si>
    <t>πανουργευσηται</t>
  </si>
  <si>
    <t>κρυπτεται</t>
  </si>
  <si>
    <t>εξερευνησω</t>
  </si>
  <si>
    <t>οι ζιφαιοι εμπροσθεν</t>
  </si>
  <si>
    <t>οι ζιφαιοι οι εμπροσθεν</t>
  </si>
  <si>
    <t>ορους εκ τουτου</t>
  </si>
  <si>
    <t>ορους τουτου</t>
  </si>
  <si>
    <t>επεθεντο οι αλλοφυλοι</t>
  </si>
  <si>
    <t>επεθεντο αλλοφυλοι</t>
  </si>
  <si>
    <t>εκειθεν εν τοις στενοις</t>
  </si>
  <si>
    <t>εκειθεν και εκαθισεν εν τοις στενοις</t>
  </si>
  <si>
    <t>δαδ εν τη ερημω</t>
  </si>
  <si>
    <t>δαβιδ ε εν τη ερημω</t>
  </si>
  <si>
    <t>μεθ εαυτους τρεις</t>
  </si>
  <si>
    <t>μεθ εαυτου τρεις</t>
  </si>
  <si>
    <t>επενεγκειν χειρα</t>
  </si>
  <si>
    <t>επενεγκειν την χειρα</t>
  </si>
  <si>
    <t>ανεστη δαδ οπισω αυτου και εξηλθεν εκ του σπηλαιου και εβοησεν δαδ οπισω σαουλ λεγων κυριε μου βασιλευ και επεβλεψεν σαουλ οπισω αυτου και εκρυψεν δαδ επι προσωπον αυτου</t>
  </si>
  <si>
    <t>ανεστη δαβιδ οπισω αυτου και εκρυψεν δαβιδ επι προσωπον αυτου</t>
  </si>
  <si>
    <t>εωρακασιν</t>
  </si>
  <si>
    <t>χρηστος κς</t>
  </si>
  <si>
    <t>χρηστος κυριος</t>
  </si>
  <si>
    <t>χριστος κυριου</t>
  </si>
  <si>
    <t>ουδε ασεβεια και</t>
  </si>
  <si>
    <t>ουδε ασε και</t>
  </si>
  <si>
    <t>κυνος τεθνηκοτος</t>
  </si>
  <si>
    <t>κυνος τε τεθνηκοτος</t>
  </si>
  <si>
    <t>λεγω δε</t>
  </si>
  <si>
    <t>εγω δε</t>
  </si>
  <si>
    <t>εποιησας μοι αγαθα</t>
  </si>
  <si>
    <t>εποιησας αγαθα</t>
  </si>
  <si>
    <t>εν χερσιν</t>
  </si>
  <si>
    <t>εν ταις χερσιν</t>
  </si>
  <si>
    <t>ην ανθρωπος μαων</t>
  </si>
  <si>
    <t>ην ανθρωπος εν μαων</t>
  </si>
  <si>
    <r>
      <t xml:space="preserve">και </t>
    </r>
    <r>
      <rPr>
        <b/>
        <sz val="11"/>
        <color theme="1"/>
        <rFont val="Calibri"/>
        <family val="2"/>
        <scheme val="minor"/>
      </rPr>
      <t>τα</t>
    </r>
    <r>
      <rPr>
        <sz val="11"/>
        <color theme="1"/>
        <rFont val="Calibri"/>
        <family val="2"/>
        <scheme val="minor"/>
      </rPr>
      <t xml:space="preserve"> ποιμνια αυτου</t>
    </r>
  </si>
  <si>
    <r>
      <t xml:space="preserve">και </t>
    </r>
    <r>
      <rPr>
        <b/>
        <sz val="11"/>
        <color theme="1"/>
        <rFont val="Calibri"/>
        <family val="2"/>
        <scheme val="minor"/>
      </rPr>
      <t>ην</t>
    </r>
    <r>
      <rPr>
        <sz val="11"/>
        <color theme="1"/>
        <rFont val="Calibri"/>
        <family val="2"/>
        <scheme val="minor"/>
      </rPr>
      <t xml:space="preserve"> ποιμνια αυτω</t>
    </r>
  </si>
  <si>
    <r>
      <t xml:space="preserve">και τα ποιμνια </t>
    </r>
    <r>
      <rPr>
        <b/>
        <sz val="11"/>
        <color theme="1"/>
        <rFont val="Calibri"/>
        <family val="2"/>
        <scheme val="minor"/>
      </rPr>
      <t>αυτου</t>
    </r>
  </si>
  <si>
    <r>
      <t xml:space="preserve">και ην ποιμνια </t>
    </r>
    <r>
      <rPr>
        <b/>
        <sz val="11"/>
        <color theme="1"/>
        <rFont val="Calibri"/>
        <family val="2"/>
        <scheme val="minor"/>
      </rPr>
      <t>αυτω</t>
    </r>
  </si>
  <si>
    <t>και συ</t>
  </si>
  <si>
    <t>και ψυ</t>
  </si>
  <si>
    <t>τω υιω δαβιδ</t>
  </si>
  <si>
    <r>
      <t xml:space="preserve">τω υιω </t>
    </r>
    <r>
      <rPr>
        <b/>
        <sz val="11"/>
        <color theme="1"/>
        <rFont val="Calibri"/>
        <family val="2"/>
        <scheme val="minor"/>
      </rPr>
      <t>σου</t>
    </r>
    <r>
      <rPr>
        <sz val="11"/>
        <color theme="1"/>
        <rFont val="Calibri"/>
        <family val="2"/>
        <scheme val="minor"/>
      </rPr>
      <t xml:space="preserve"> τω δαδ</t>
    </r>
  </si>
  <si>
    <r>
      <t xml:space="preserve">τω υιω σου </t>
    </r>
    <r>
      <rPr>
        <b/>
        <sz val="11"/>
        <color theme="1"/>
        <rFont val="Calibri"/>
        <family val="2"/>
        <scheme val="minor"/>
      </rPr>
      <t>τω</t>
    </r>
    <r>
      <rPr>
        <sz val="11"/>
        <color theme="1"/>
        <rFont val="Calibri"/>
        <family val="2"/>
        <scheme val="minor"/>
      </rPr>
      <t xml:space="preserve"> δαδ</t>
    </r>
  </si>
  <si>
    <t>ρομφαιαν αυτου περιεζωσαντο</t>
  </si>
  <si>
    <t>ρομφαιαν αυτου και περιεζωσαντο</t>
  </si>
  <si>
    <t>επιβεβηκυιης</t>
  </si>
  <si>
    <t>κατεβαινον</t>
  </si>
  <si>
    <t>επεσεν ενωπιον</t>
  </si>
  <si>
    <t>επεσεν δε ενωπιον</t>
  </si>
  <si>
    <t>ειπεν επ εν εμοι</t>
  </si>
  <si>
    <t>ειπεν εν εμοι</t>
  </si>
  <si>
    <t>την ευλογιαν</t>
  </si>
  <si>
    <t>την ει ευλογιαν</t>
  </si>
  <si>
    <t>ταυτην ενηνοχεν</t>
  </si>
  <si>
    <t>ταυτην ην ενηνοχεν</t>
  </si>
  <si>
    <t>ευρεθησεται</t>
  </si>
  <si>
    <t>Alex. εν -&gt; 7522A ενωπιον</t>
  </si>
  <si>
    <t>καταδιωκων σει</t>
  </si>
  <si>
    <t>καταδιωκων σε</t>
  </si>
  <si>
    <t>ζητω την ψυχην</t>
  </si>
  <si>
    <t>ζητων την ψυχην</t>
  </si>
  <si>
    <t>και εσται η ψυχη</t>
  </si>
  <si>
    <t>και η ψυχη</t>
  </si>
  <si>
    <t>η ψυχη κυ μου</t>
  </si>
  <si>
    <t>η ψυχη σου κυριου μου</t>
  </si>
  <si>
    <t>ενδεδεμενη</t>
  </si>
  <si>
    <t>εν δεσμω</t>
  </si>
  <si>
    <t>τω δεσμω</t>
  </si>
  <si>
    <t>κς τω κυριω μου παντα</t>
  </si>
  <si>
    <t>κυριος παντα</t>
  </si>
  <si>
    <t>still lacking μου</t>
  </si>
  <si>
    <t>απεστρεψεν εις</t>
  </si>
  <si>
    <r>
      <rPr>
        <b/>
        <sz val="11"/>
        <color theme="1"/>
        <rFont val="Calibri"/>
        <family val="2"/>
        <scheme val="minor"/>
      </rPr>
      <t>απεστρεψεν</t>
    </r>
    <r>
      <rPr>
        <sz val="11"/>
        <color theme="1"/>
        <rFont val="Calibri"/>
        <family val="2"/>
        <scheme val="minor"/>
      </rPr>
      <t xml:space="preserve"> κς εις</t>
    </r>
  </si>
  <si>
    <r>
      <rPr>
        <b/>
        <sz val="11"/>
        <color theme="1"/>
        <rFont val="Calibri"/>
        <family val="2"/>
        <scheme val="minor"/>
      </rPr>
      <t>απεστρεψεν</t>
    </r>
    <r>
      <rPr>
        <sz val="11"/>
        <color theme="1"/>
        <rFont val="Calibri"/>
        <family val="2"/>
        <scheme val="minor"/>
      </rPr>
      <t xml:space="preserve"> εις</t>
    </r>
  </si>
  <si>
    <r>
      <t xml:space="preserve">απεστρεψεν </t>
    </r>
    <r>
      <rPr>
        <b/>
        <sz val="11"/>
        <color theme="1"/>
        <rFont val="Calibri"/>
        <family val="2"/>
        <scheme val="minor"/>
      </rPr>
      <t>κς</t>
    </r>
    <r>
      <rPr>
        <sz val="11"/>
        <color theme="1"/>
        <rFont val="Calibri"/>
        <family val="2"/>
        <scheme val="minor"/>
      </rPr>
      <t xml:space="preserve"> εις</t>
    </r>
  </si>
  <si>
    <t>εις κεφαλην</t>
  </si>
  <si>
    <t>εις την κεφαλην</t>
  </si>
  <si>
    <t>αβιγαια λαβειν</t>
  </si>
  <si>
    <t>αβιγαιας λαβειν</t>
  </si>
  <si>
    <t>και εταχυνεν</t>
  </si>
  <si>
    <t>και εταχυσεν</t>
  </si>
  <si>
    <t>ιζραελ</t>
  </si>
  <si>
    <t>και ησαν</t>
  </si>
  <si>
    <t>και ε ησαν</t>
  </si>
  <si>
    <t>ιεσσεμου</t>
  </si>
  <si>
    <t>τρεις χιλιαδες</t>
  </si>
  <si>
    <t>κυκλω αυτου</t>
  </si>
  <si>
    <t>οπισω αυτου</t>
  </si>
  <si>
    <t>σαρουια</t>
  </si>
  <si>
    <t>αθοωθησεται</t>
  </si>
  <si>
    <t>μηδαμως παρα κυ</t>
  </si>
  <si>
    <t>μηδαμως παρα κυριου</t>
  </si>
  <si>
    <t>μηδαμως μοι γενοιτο παρα κυριου</t>
  </si>
  <si>
    <t>ειπεν δαδ προς αβεννηρ ουκ ανηρ</t>
  </si>
  <si>
    <t>υμεις οι φυλασσοντες</t>
  </si>
  <si>
    <t>υμεις φυλασσοντες</t>
  </si>
  <si>
    <t>τουτο ο κυριος</t>
  </si>
  <si>
    <t>τουτο α ο κυριος</t>
  </si>
  <si>
    <t>επισειει</t>
  </si>
  <si>
    <t>εστηριχθαι</t>
  </si>
  <si>
    <t>ειπεν σαουλ</t>
  </si>
  <si>
    <t>ειπεν δαβιδ</t>
  </si>
  <si>
    <t>εις των παιδαριων</t>
  </si>
  <si>
    <t>εν των παιδαριων</t>
  </si>
  <si>
    <r>
      <rPr>
        <b/>
        <sz val="11"/>
        <color theme="1"/>
        <rFont val="Calibri"/>
        <family val="2"/>
        <scheme val="minor"/>
      </rPr>
      <t>εσκεπασοι</t>
    </r>
    <r>
      <rPr>
        <sz val="11"/>
        <color theme="1"/>
        <rFont val="Calibri"/>
        <family val="2"/>
        <scheme val="minor"/>
      </rPr>
      <t xml:space="preserve"> μαι</t>
    </r>
  </si>
  <si>
    <r>
      <rPr>
        <b/>
        <sz val="11"/>
        <color theme="1"/>
        <rFont val="Calibri"/>
        <family val="2"/>
        <scheme val="minor"/>
      </rPr>
      <t>σκεπασοι</t>
    </r>
    <r>
      <rPr>
        <sz val="11"/>
        <color theme="1"/>
        <rFont val="Calibri"/>
        <family val="2"/>
        <scheme val="minor"/>
      </rPr>
      <t xml:space="preserve"> με</t>
    </r>
  </si>
  <si>
    <r>
      <t xml:space="preserve">εσκεπασοι </t>
    </r>
    <r>
      <rPr>
        <b/>
        <sz val="11"/>
        <color theme="1"/>
        <rFont val="Calibri"/>
        <family val="2"/>
        <scheme val="minor"/>
      </rPr>
      <t>μαι</t>
    </r>
  </si>
  <si>
    <r>
      <t xml:space="preserve">σκεπασοι </t>
    </r>
    <r>
      <rPr>
        <b/>
        <sz val="11"/>
        <color theme="1"/>
        <rFont val="Calibri"/>
        <family val="2"/>
        <scheme val="minor"/>
      </rPr>
      <t>με</t>
    </r>
  </si>
  <si>
    <t>Alex. απεστρεψεν becomes 7522A απεστρεψεν, which gets "corrected" to επεστρεψεν</t>
  </si>
  <si>
    <t>και ουκ εστιν</t>
  </si>
  <si>
    <t>και κ ουκ εστιν</t>
  </si>
  <si>
    <t>δοτωσαν</t>
  </si>
  <si>
    <t>των ημερων δαδ ων εκαθισεν εν αγρω</t>
  </si>
  <si>
    <t>των ημερων ων εκαθισεν δαβιδ εν αγρω</t>
  </si>
  <si>
    <t>μηνες</t>
  </si>
  <si>
    <t>γεσσερει και επι</t>
  </si>
  <si>
    <r>
      <t xml:space="preserve">τον </t>
    </r>
    <r>
      <rPr>
        <b/>
        <sz val="11"/>
        <color theme="1"/>
        <rFont val="Calibri"/>
        <family val="2"/>
        <scheme val="minor"/>
      </rPr>
      <t>γεσερει</t>
    </r>
    <r>
      <rPr>
        <sz val="11"/>
        <color theme="1"/>
        <rFont val="Calibri"/>
        <family val="2"/>
        <scheme val="minor"/>
      </rPr>
      <t xml:space="preserve"> και τον γεζραιον και επι</t>
    </r>
  </si>
  <si>
    <r>
      <rPr>
        <b/>
        <sz val="11"/>
        <color theme="1"/>
        <rFont val="Calibri"/>
        <family val="2"/>
        <scheme val="minor"/>
      </rPr>
      <t>γεσσερει</t>
    </r>
    <r>
      <rPr>
        <sz val="11"/>
        <color theme="1"/>
        <rFont val="Calibri"/>
        <family val="2"/>
        <scheme val="minor"/>
      </rPr>
      <t xml:space="preserve"> και επι</t>
    </r>
  </si>
  <si>
    <t>αμαληκιτην</t>
  </si>
  <si>
    <t>εσται μου δουλος</t>
  </si>
  <si>
    <t>εσται μοι δουλος</t>
  </si>
  <si>
    <r>
      <t xml:space="preserve">οτι μετ εμου </t>
    </r>
    <r>
      <rPr>
        <b/>
        <sz val="11"/>
        <color theme="1"/>
        <rFont val="Calibri"/>
        <family val="2"/>
        <scheme val="minor"/>
      </rPr>
      <t>εξελευσει</t>
    </r>
    <r>
      <rPr>
        <sz val="11"/>
        <color theme="1"/>
        <rFont val="Calibri"/>
        <family val="2"/>
        <scheme val="minor"/>
      </rPr>
      <t xml:space="preserve"> εις τον πολεμον</t>
    </r>
  </si>
  <si>
    <r>
      <t xml:space="preserve">οτι </t>
    </r>
    <r>
      <rPr>
        <b/>
        <sz val="11"/>
        <color theme="1"/>
        <rFont val="Calibri"/>
        <family val="2"/>
        <scheme val="minor"/>
      </rPr>
      <t>μετ εμου εξελευσει</t>
    </r>
    <r>
      <rPr>
        <sz val="11"/>
        <color theme="1"/>
        <rFont val="Calibri"/>
        <family val="2"/>
        <scheme val="minor"/>
      </rPr>
      <t xml:space="preserve"> εις τον πολεμον</t>
    </r>
  </si>
  <si>
    <r>
      <t xml:space="preserve">οτι </t>
    </r>
    <r>
      <rPr>
        <b/>
        <sz val="11"/>
        <color theme="1"/>
        <rFont val="Calibri"/>
        <family val="2"/>
        <scheme val="minor"/>
      </rPr>
      <t>εξελευση</t>
    </r>
    <r>
      <rPr>
        <sz val="11"/>
        <color theme="1"/>
        <rFont val="Calibri"/>
        <family val="2"/>
        <scheme val="minor"/>
      </rPr>
      <t xml:space="preserve"> μετ εμου εις τον πολεμον</t>
    </r>
  </si>
  <si>
    <r>
      <t xml:space="preserve">οτι </t>
    </r>
    <r>
      <rPr>
        <b/>
        <sz val="11"/>
        <color theme="1"/>
        <rFont val="Calibri"/>
        <family val="2"/>
        <scheme val="minor"/>
      </rPr>
      <t>εξελευση</t>
    </r>
    <r>
      <rPr>
        <sz val="11"/>
        <color theme="1"/>
        <rFont val="Calibri"/>
        <family val="2"/>
        <scheme val="minor"/>
      </rPr>
      <t xml:space="preserve"> </t>
    </r>
    <r>
      <rPr>
        <b/>
        <sz val="11"/>
        <color theme="1"/>
        <rFont val="Calibri"/>
        <family val="2"/>
        <scheme val="minor"/>
      </rPr>
      <t>μετ εμου</t>
    </r>
    <r>
      <rPr>
        <sz val="11"/>
        <color theme="1"/>
        <rFont val="Calibri"/>
        <family val="2"/>
        <scheme val="minor"/>
      </rPr>
      <t xml:space="preserve"> εις τον πολεμον</t>
    </r>
  </si>
  <si>
    <t>σαουλ παντα</t>
  </si>
  <si>
    <t>σαουλ απαντα</t>
  </si>
  <si>
    <t>εν νηνδωρ</t>
  </si>
  <si>
    <t>εν Αενδωρ</t>
  </si>
  <si>
    <t>μοι εν τω ενγραστριμυθω</t>
  </si>
  <si>
    <t>μοι ενγαστριμυθω</t>
  </si>
  <si>
    <t>αναγαγω</t>
  </si>
  <si>
    <t>ειδεν η γυνη σαμουηλ</t>
  </si>
  <si>
    <r>
      <rPr>
        <b/>
        <sz val="11"/>
        <color theme="1"/>
        <rFont val="Calibri"/>
        <family val="2"/>
        <scheme val="minor"/>
      </rPr>
      <t>ιδεν</t>
    </r>
    <r>
      <rPr>
        <sz val="11"/>
        <color theme="1"/>
        <rFont val="Calibri"/>
        <family val="2"/>
        <scheme val="minor"/>
      </rPr>
      <t xml:space="preserve"> η γυνη τον σαμουηλ</t>
    </r>
  </si>
  <si>
    <r>
      <rPr>
        <b/>
        <sz val="11"/>
        <color theme="1"/>
        <rFont val="Calibri"/>
        <family val="2"/>
        <scheme val="minor"/>
      </rPr>
      <t>ειδεν</t>
    </r>
    <r>
      <rPr>
        <sz val="11"/>
        <color theme="1"/>
        <rFont val="Calibri"/>
        <family val="2"/>
        <scheme val="minor"/>
      </rPr>
      <t xml:space="preserve"> η γυνη σαμουηλ</t>
    </r>
  </si>
  <si>
    <r>
      <t xml:space="preserve">ιδεν η γυνη </t>
    </r>
    <r>
      <rPr>
        <b/>
        <sz val="11"/>
        <color theme="1"/>
        <rFont val="Calibri"/>
        <family val="2"/>
        <scheme val="minor"/>
      </rPr>
      <t>τον</t>
    </r>
    <r>
      <rPr>
        <sz val="11"/>
        <color theme="1"/>
        <rFont val="Calibri"/>
        <family val="2"/>
        <scheme val="minor"/>
      </rPr>
      <t xml:space="preserve"> σαμουηλ</t>
    </r>
  </si>
  <si>
    <t>ειπε τινα εορακας</t>
  </si>
  <si>
    <t>ειπεν τινα εορακας</t>
  </si>
  <si>
    <t>(13) αναβαινοντας εκ της γης (14) και ειπεν αυτη τι εγνως και ειπεν αυτω ανδρα ορθριον αναβαινοντα εκ της γης και ουτος αναβεβλημενος</t>
  </si>
  <si>
    <t>(13) αναβαινοντας εκ της γης (14) και ουτος αναβεβλημενος</t>
  </si>
  <si>
    <t>οτι σαμουηλ ουτος</t>
  </si>
  <si>
    <t>οτι σαμουηλ εστιν ουτος</t>
  </si>
  <si>
    <t>επερωτας</t>
  </si>
  <si>
    <t>οργης αυτου</t>
  </si>
  <si>
    <t>οργης κυριου</t>
  </si>
  <si>
    <t>ημεραν εκεινην</t>
  </si>
  <si>
    <t>ημεραν εκαινην</t>
  </si>
  <si>
    <t>ιδου δη η δουλη σου</t>
  </si>
  <si>
    <t>ιδου δη ηκουσεν η δουλη σου</t>
  </si>
  <si>
    <t>εν οδου</t>
  </si>
  <si>
    <t>εθυσεν αυτο</t>
  </si>
  <si>
    <t>εθυσεν αυτην</t>
  </si>
  <si>
    <t>επεψεν</t>
  </si>
  <si>
    <t>εσχατω μετα</t>
  </si>
  <si>
    <t>εσχατων μετ[α]</t>
  </si>
  <si>
    <t>(3) ταυτης (4) και ελυπηθησα</t>
  </si>
  <si>
    <t>(3) ταυτης (4) ζ και ελυπηθησα</t>
  </si>
  <si>
    <t>ουχ ουτος</t>
  </si>
  <si>
    <t>ουκ ουτος</t>
  </si>
  <si>
    <t>ημερας της σημερον</t>
  </si>
  <si>
    <t>ημερας ταυτης σημερον</t>
  </si>
  <si>
    <t>οφθαλμοις των σατραπων ουκ αγαθος</t>
  </si>
  <si>
    <t>οφθαλμοις των σατραπων των αλλοφυλων ουκ αγαθος</t>
  </si>
  <si>
    <t>οφθαλμοις μου</t>
  </si>
  <si>
    <t>οφθαλμοις εμου</t>
  </si>
  <si>
    <t>ορθρισον</t>
  </si>
  <si>
    <t>το πρωει</t>
  </si>
  <si>
    <t>πορευεσθα[ι]</t>
  </si>
  <si>
    <t>μη θη[ς] οτι αγαθος</t>
  </si>
  <si>
    <t>μη θης εν καρδια σου οτι αγαθος</t>
  </si>
  <si>
    <t>apograph reading may be later correction</t>
  </si>
  <si>
    <t>απελθειν το πρωει</t>
  </si>
  <si>
    <t>απελθειν τοπρωι</t>
  </si>
  <si>
    <t>την γην των αλλοφυλων</t>
  </si>
  <si>
    <t>την γην αλλοφυλων</t>
  </si>
  <si>
    <r>
      <t xml:space="preserve">επι την σικελαγ </t>
    </r>
    <r>
      <rPr>
        <b/>
        <sz val="11"/>
        <color theme="1"/>
        <rFont val="Calibri"/>
        <family val="2"/>
        <scheme val="minor"/>
      </rPr>
      <t>και επαταξεν την σικελαγ</t>
    </r>
    <r>
      <rPr>
        <sz val="11"/>
        <color theme="1"/>
        <rFont val="Calibri"/>
        <family val="2"/>
        <scheme val="minor"/>
      </rPr>
      <t xml:space="preserve"> και ενεπρησεν</t>
    </r>
  </si>
  <si>
    <t>επι την σικελαγ και ενηπρησεν</t>
  </si>
  <si>
    <r>
      <t xml:space="preserve">επι την σικελαγ και επαταξεν την σικελαγ και </t>
    </r>
    <r>
      <rPr>
        <b/>
        <sz val="11"/>
        <color theme="1"/>
        <rFont val="Calibri"/>
        <family val="2"/>
        <scheme val="minor"/>
      </rPr>
      <t>ενεπρησεν</t>
    </r>
  </si>
  <si>
    <r>
      <t xml:space="preserve">επι την σικελαγ και </t>
    </r>
    <r>
      <rPr>
        <b/>
        <sz val="11"/>
        <color theme="1"/>
        <rFont val="Calibri"/>
        <family val="2"/>
        <scheme val="minor"/>
      </rPr>
      <t>ενηπρησεν</t>
    </r>
  </si>
  <si>
    <t>εκλαυσαν</t>
  </si>
  <si>
    <t>παλαθης</t>
  </si>
  <si>
    <r>
      <rPr>
        <b/>
        <sz val="11"/>
        <color theme="1"/>
        <rFont val="Calibri"/>
        <family val="2"/>
        <scheme val="minor"/>
      </rPr>
      <t>ου</t>
    </r>
    <r>
      <rPr>
        <sz val="11"/>
        <color theme="1"/>
        <rFont val="Calibri"/>
        <family val="2"/>
        <scheme val="minor"/>
      </rPr>
      <t xml:space="preserve"> πεπωκει υδωρ</t>
    </r>
  </si>
  <si>
    <r>
      <rPr>
        <b/>
        <sz val="11"/>
        <color theme="1"/>
        <rFont val="Calibri"/>
        <family val="2"/>
        <scheme val="minor"/>
      </rPr>
      <t>ουκ</t>
    </r>
    <r>
      <rPr>
        <sz val="11"/>
        <color theme="1"/>
        <rFont val="Calibri"/>
        <family val="2"/>
        <scheme val="minor"/>
      </rPr>
      <t xml:space="preserve"> επεπωκει υδωρ</t>
    </r>
  </si>
  <si>
    <r>
      <t xml:space="preserve">ου </t>
    </r>
    <r>
      <rPr>
        <b/>
        <sz val="11"/>
        <color theme="1"/>
        <rFont val="Calibri"/>
        <family val="2"/>
        <scheme val="minor"/>
      </rPr>
      <t>πεπωκει</t>
    </r>
    <r>
      <rPr>
        <sz val="11"/>
        <color theme="1"/>
        <rFont val="Calibri"/>
        <family val="2"/>
        <scheme val="minor"/>
      </rPr>
      <t xml:space="preserve"> υδωρ</t>
    </r>
  </si>
  <si>
    <r>
      <t xml:space="preserve">ουκ </t>
    </r>
    <r>
      <rPr>
        <b/>
        <sz val="11"/>
        <color theme="1"/>
        <rFont val="Calibri"/>
        <family val="2"/>
        <scheme val="minor"/>
      </rPr>
      <t>επεπωκει</t>
    </r>
    <r>
      <rPr>
        <sz val="11"/>
        <color theme="1"/>
        <rFont val="Calibri"/>
        <family val="2"/>
        <scheme val="minor"/>
      </rPr>
      <t xml:space="preserve"> υδωρ</t>
    </r>
  </si>
  <si>
    <t>σικελα ενεπυρισαμεν</t>
  </si>
  <si>
    <t>σικελαγ ενεπυρισαμεν</t>
  </si>
  <si>
    <t>καταξω σαι</t>
  </si>
  <si>
    <t>καταξω σε</t>
  </si>
  <si>
    <r>
      <rPr>
        <b/>
        <sz val="11"/>
        <color theme="1"/>
        <rFont val="Calibri"/>
        <family val="2"/>
        <scheme val="minor"/>
      </rPr>
      <t>ουτοι</t>
    </r>
    <r>
      <rPr>
        <sz val="11"/>
        <color theme="1"/>
        <rFont val="Calibri"/>
        <family val="2"/>
        <scheme val="minor"/>
      </rPr>
      <t xml:space="preserve"> διακεχχυμενοι</t>
    </r>
  </si>
  <si>
    <r>
      <rPr>
        <b/>
        <sz val="11"/>
        <color theme="1"/>
        <rFont val="Calibri"/>
        <family val="2"/>
        <scheme val="minor"/>
      </rPr>
      <t>αυτοι</t>
    </r>
    <r>
      <rPr>
        <sz val="11"/>
        <color theme="1"/>
        <rFont val="Calibri"/>
        <family val="2"/>
        <scheme val="minor"/>
      </rPr>
      <t xml:space="preserve"> διακεχυμενοι</t>
    </r>
  </si>
  <si>
    <r>
      <t xml:space="preserve">ουτοι </t>
    </r>
    <r>
      <rPr>
        <b/>
        <sz val="11"/>
        <color theme="1"/>
        <rFont val="Calibri"/>
        <family val="2"/>
        <scheme val="minor"/>
      </rPr>
      <t>διακεχχυμενοι</t>
    </r>
  </si>
  <si>
    <r>
      <t xml:space="preserve">αυτοι </t>
    </r>
    <r>
      <rPr>
        <b/>
        <sz val="11"/>
        <color theme="1"/>
        <rFont val="Calibri"/>
        <family val="2"/>
        <scheme val="minor"/>
      </rPr>
      <t>διακεχυμενοι</t>
    </r>
  </si>
  <si>
    <t>τετρακοσια</t>
  </si>
  <si>
    <t>ταυτα σκυλα δαδ</t>
  </si>
  <si>
    <t>ταυτα σκυλα δαβιδ</t>
  </si>
  <si>
    <t>τατυτα τα σκυλα δαβιδ</t>
  </si>
  <si>
    <t>ειπεν διοτι</t>
  </si>
  <si>
    <t>ειπον διοτι</t>
  </si>
  <si>
    <t>την γυναικαν αυτου</t>
  </si>
  <si>
    <t>την γυναικα αυτου</t>
  </si>
  <si>
    <t>original reading not entirely clear; -&gt; απαγεσθωσαν</t>
  </si>
  <si>
    <t>μεριδα</t>
  </si>
  <si>
    <t>τα σκευη κατα το αυτο</t>
  </si>
  <si>
    <t>τα σκευη και κατα το αυτο</t>
  </si>
  <si>
    <t>αυτο μεριουνται</t>
  </si>
  <si>
    <t>αυτο ημεριουνται</t>
  </si>
  <si>
    <t>πρεσβυτεροις ιουδα</t>
  </si>
  <si>
    <t>πρεσβυτεροις ιουδας</t>
  </si>
  <si>
    <t>τοις εν ειεθερ</t>
  </si>
  <si>
    <t>τοις εν εσεθερ</t>
  </si>
  <si>
    <t>τοις εν ιεθερ</t>
  </si>
  <si>
    <t>πολεσιν του κειναιου</t>
  </si>
  <si>
    <t>πολεσιν του ραμμα</t>
  </si>
  <si>
    <t>μελχισουε</t>
  </si>
  <si>
    <t>μελχιρουε υιους</t>
  </si>
  <si>
    <t>μελχισουερα  υιους</t>
  </si>
  <si>
    <t>πολεμος επι σαουλ επι σαουλ και ευρισκουσιν</t>
  </si>
  <si>
    <t>πολεμος επι σαουλ και ευρισκουσιν</t>
  </si>
  <si>
    <t>duplication in Alex. occurs at column break</t>
  </si>
  <si>
    <t>ακοντισται ανδρες τοξοται</t>
  </si>
  <si>
    <t>ακοντισται αι τοξοται</t>
  </si>
  <si>
    <t>οι εν τω περαν του ιορδανου</t>
  </si>
  <si>
    <t>οι εν τω περαν της κοιλαδος και οι εν τω περαν του ιορδανου</t>
  </si>
  <si>
    <t>τας πολις</t>
  </si>
  <si>
    <t>τας πολεις</t>
  </si>
  <si>
    <t>αποστελλουσιν αυτα εις γην αλλοφυλων κυκλω</t>
  </si>
  <si>
    <t>αποστελλουσιν αυτα κυκλω</t>
  </si>
  <si>
    <t>ολη την νυκτα</t>
  </si>
  <si>
    <t>αυτους ειαβεις</t>
  </si>
  <si>
    <t>αυτους ιαβεις</t>
  </si>
  <si>
    <t>αυτους εις ιαβεις</t>
  </si>
  <si>
    <r>
      <rPr>
        <b/>
        <sz val="11"/>
        <color theme="1"/>
        <rFont val="Calibri"/>
        <family val="2"/>
        <scheme val="minor"/>
      </rPr>
      <t>κατακεουσιν</t>
    </r>
    <r>
      <rPr>
        <sz val="11"/>
        <color theme="1"/>
        <rFont val="Calibri"/>
        <family val="2"/>
        <scheme val="minor"/>
      </rPr>
      <t xml:space="preserve"> αυτου</t>
    </r>
  </si>
  <si>
    <r>
      <rPr>
        <b/>
        <sz val="11"/>
        <color theme="1"/>
        <rFont val="Calibri"/>
        <family val="2"/>
        <scheme val="minor"/>
      </rPr>
      <t>κατακαιουσιν</t>
    </r>
    <r>
      <rPr>
        <sz val="11"/>
        <color theme="1"/>
        <rFont val="Calibri"/>
        <family val="2"/>
        <scheme val="minor"/>
      </rPr>
      <t xml:space="preserve"> αυτους</t>
    </r>
  </si>
  <si>
    <r>
      <t xml:space="preserve">κατακεουσιν </t>
    </r>
    <r>
      <rPr>
        <b/>
        <sz val="11"/>
        <color theme="1"/>
        <rFont val="Calibri"/>
        <family val="2"/>
        <scheme val="minor"/>
      </rPr>
      <t>αυτου</t>
    </r>
  </si>
  <si>
    <r>
      <t xml:space="preserve">κατακαιουσιν </t>
    </r>
    <r>
      <rPr>
        <b/>
        <sz val="11"/>
        <color theme="1"/>
        <rFont val="Calibri"/>
        <family val="2"/>
        <scheme val="minor"/>
      </rPr>
      <t>αυτους</t>
    </r>
  </si>
  <si>
    <t>την ειαβεις</t>
  </si>
  <si>
    <t>την ιαβεις</t>
  </si>
  <si>
    <t>την εν ιαβεις</t>
  </si>
  <si>
    <t>δαυειδ ανεστρεψεν</t>
  </si>
  <si>
    <t>δαυιδ ανεστρεψεν</t>
  </si>
  <si>
    <t>εγενηθη εν τη ημερα</t>
  </si>
  <si>
    <t>εγενηθη τη ημερα</t>
  </si>
  <si>
    <t>ειπεν αυτω αυτω δαδ</t>
  </si>
  <si>
    <t>ειπεν αυτω δαυιδ</t>
  </si>
  <si>
    <t>ο λογος ουτος</t>
  </si>
  <si>
    <t>ο λογος σου ουτος</t>
  </si>
  <si>
    <t>ιωναθαν ο υιος</t>
  </si>
  <si>
    <t>ιωναθαν υιος</t>
  </si>
  <si>
    <t>περιεπεσον</t>
  </si>
  <si>
    <t>επεστηρικτο</t>
  </si>
  <si>
    <t>εθανατωσα αυτον οτι</t>
  </si>
  <si>
    <t>εθανατωσα οτι</t>
  </si>
  <si>
    <t>ημ δεινον η ου</t>
  </si>
  <si>
    <r>
      <rPr>
        <b/>
        <sz val="11"/>
        <color theme="1"/>
        <rFont val="Calibri"/>
        <family val="2"/>
        <scheme val="minor"/>
      </rPr>
      <t>ημ</t>
    </r>
    <r>
      <rPr>
        <sz val="11"/>
        <color theme="1"/>
        <rFont val="Calibri"/>
        <family val="2"/>
        <scheme val="minor"/>
      </rPr>
      <t xml:space="preserve"> δεινον η ου</t>
    </r>
  </si>
  <si>
    <r>
      <rPr>
        <b/>
        <sz val="11"/>
        <color theme="1"/>
        <rFont val="Calibri"/>
        <family val="2"/>
        <scheme val="minor"/>
      </rPr>
      <t>ην</t>
    </r>
    <r>
      <rPr>
        <sz val="11"/>
        <color theme="1"/>
        <rFont val="Calibri"/>
        <family val="2"/>
        <scheme val="minor"/>
      </rPr>
      <t xml:space="preserve"> δενον οτι η ου</t>
    </r>
  </si>
  <si>
    <r>
      <t xml:space="preserve">ημ </t>
    </r>
    <r>
      <rPr>
        <b/>
        <sz val="11"/>
        <color theme="1"/>
        <rFont val="Calibri"/>
        <family val="2"/>
        <scheme val="minor"/>
      </rPr>
      <t>δεινον</t>
    </r>
    <r>
      <rPr>
        <sz val="11"/>
        <color theme="1"/>
        <rFont val="Calibri"/>
        <family val="2"/>
        <scheme val="minor"/>
      </rPr>
      <t xml:space="preserve"> η ου</t>
    </r>
  </si>
  <si>
    <r>
      <t xml:space="preserve">ην </t>
    </r>
    <r>
      <rPr>
        <b/>
        <sz val="11"/>
        <color theme="1"/>
        <rFont val="Calibri"/>
        <family val="2"/>
        <scheme val="minor"/>
      </rPr>
      <t>δενον</t>
    </r>
    <r>
      <rPr>
        <sz val="11"/>
        <color theme="1"/>
        <rFont val="Calibri"/>
        <family val="2"/>
        <scheme val="minor"/>
      </rPr>
      <t xml:space="preserve"> οτι η ου</t>
    </r>
  </si>
  <si>
    <r>
      <t xml:space="preserve">ην δενον </t>
    </r>
    <r>
      <rPr>
        <b/>
        <sz val="11"/>
        <color theme="1"/>
        <rFont val="Calibri"/>
        <family val="2"/>
        <scheme val="minor"/>
      </rPr>
      <t>οτι</t>
    </r>
    <r>
      <rPr>
        <sz val="11"/>
        <color theme="1"/>
        <rFont val="Calibri"/>
        <family val="2"/>
        <scheme val="minor"/>
      </rPr>
      <t xml:space="preserve"> η ου</t>
    </r>
  </si>
  <si>
    <t>χλιδονα</t>
  </si>
  <si>
    <t>ενηνοχα αυτα τω κω</t>
  </si>
  <si>
    <t>ενηνοχα τω κυριω</t>
  </si>
  <si>
    <t>προς με</t>
  </si>
  <si>
    <t>προς σε</t>
  </si>
  <si>
    <t>τα ιματια</t>
  </si>
  <si>
    <t>των ιματιων</t>
  </si>
  <si>
    <t>επι τον λαον</t>
  </si>
  <si>
    <t>ειπ τον οικον</t>
  </si>
  <si>
    <t>στηλωσαν</t>
  </si>
  <si>
    <t>επεσον</t>
  </si>
  <si>
    <t>(19) δυνατοι (20) αναγγειλατε</t>
  </si>
  <si>
    <r>
      <t xml:space="preserve">δυνατοι (20) </t>
    </r>
    <r>
      <rPr>
        <b/>
        <sz val="11"/>
        <color theme="1"/>
        <rFont val="Calibri"/>
        <family val="2"/>
        <scheme val="minor"/>
      </rPr>
      <t>μη</t>
    </r>
    <r>
      <rPr>
        <sz val="11"/>
        <color theme="1"/>
        <rFont val="Calibri"/>
        <family val="2"/>
        <scheme val="minor"/>
      </rPr>
      <t xml:space="preserve"> αναγγειλητε</t>
    </r>
  </si>
  <si>
    <r>
      <t xml:space="preserve">δυνατοι (20) μη </t>
    </r>
    <r>
      <rPr>
        <b/>
        <sz val="11"/>
        <color theme="1"/>
        <rFont val="Calibri"/>
        <family val="2"/>
        <scheme val="minor"/>
      </rPr>
      <t>αναγγειλητε</t>
    </r>
  </si>
  <si>
    <t>ευαγγελισησθε</t>
  </si>
  <si>
    <t>μηποτε</t>
  </si>
  <si>
    <t>θυγατερες απεριτμητων</t>
  </si>
  <si>
    <r>
      <t xml:space="preserve">θυγατερες </t>
    </r>
    <r>
      <rPr>
        <b/>
        <sz val="11"/>
        <color theme="1"/>
        <rFont val="Calibri"/>
        <family val="2"/>
        <scheme val="minor"/>
      </rPr>
      <t>των</t>
    </r>
    <r>
      <rPr>
        <sz val="11"/>
        <color theme="1"/>
        <rFont val="Calibri"/>
        <family val="2"/>
        <scheme val="minor"/>
      </rPr>
      <t xml:space="preserve"> απεριθμητων</t>
    </r>
  </si>
  <si>
    <r>
      <t xml:space="preserve">θυγατερες των </t>
    </r>
    <r>
      <rPr>
        <b/>
        <sz val="11"/>
        <color theme="1"/>
        <rFont val="Calibri"/>
        <family val="2"/>
        <scheme val="minor"/>
      </rPr>
      <t>απεριθμητων</t>
    </r>
  </si>
  <si>
    <r>
      <t xml:space="preserve">θυγατερες </t>
    </r>
    <r>
      <rPr>
        <b/>
        <sz val="11"/>
        <color theme="1"/>
        <rFont val="Calibri"/>
        <family val="2"/>
        <scheme val="minor"/>
      </rPr>
      <t>απεριτμητων</t>
    </r>
  </si>
  <si>
    <t>θυραις ανατων</t>
  </si>
  <si>
    <t>θυραι θανατων</t>
  </si>
  <si>
    <t>εχρισθη</t>
  </si>
  <si>
    <t>απεστραφη κενον εις</t>
  </si>
  <si>
    <t>απεστραφη κενος εις</t>
  </si>
  <si>
    <t>ανεκαμψεν</t>
  </si>
  <si>
    <t>υπερ λεοντας εκραταιωθησαν</t>
  </si>
  <si>
    <t>υπερ λεοντα εκραταιωθησαν</t>
  </si>
  <si>
    <t>χρυσουν</t>
  </si>
  <si>
    <t>εγενετο μετα ταυτα</t>
  </si>
  <si>
    <t>εγενετο επι ταυτα</t>
  </si>
  <si>
    <t>και ειπεν εις χεβρων</t>
  </si>
  <si>
    <t>και ειπεν δαβιδ εις χεβρων</t>
  </si>
  <si>
    <t>καρμηλιου</t>
  </si>
  <si>
    <t>κατοικουν εν ταις πολεσιν</t>
  </si>
  <si>
    <t>κατοικουντες εν ταις πολεσιν</t>
  </si>
  <si>
    <t>ερχονται ανδρες</t>
  </si>
  <si>
    <t>ερχονται οι ανδρες</t>
  </si>
  <si>
    <t>εθαψατε (6) και νυν</t>
  </si>
  <si>
    <t>εθαψατε αυτον (6) και νυν</t>
  </si>
  <si>
    <t>επι τον θασουρ</t>
  </si>
  <si>
    <t>επι την θασουρ</t>
  </si>
  <si>
    <t>ιεβοσθ[ε] οτε εβασιλευσεν</t>
  </si>
  <si>
    <r>
      <rPr>
        <b/>
        <sz val="11"/>
        <color theme="1"/>
        <rFont val="Calibri"/>
        <family val="2"/>
        <scheme val="minor"/>
      </rPr>
      <t>ειεβοσθαι</t>
    </r>
    <r>
      <rPr>
        <sz val="11"/>
        <color theme="1"/>
        <rFont val="Calibri"/>
        <family val="2"/>
        <scheme val="minor"/>
      </rPr>
      <t xml:space="preserve"> υιος σαουλ οται εβασιλευσεν</t>
    </r>
  </si>
  <si>
    <r>
      <rPr>
        <b/>
        <sz val="11"/>
        <color theme="1"/>
        <rFont val="Calibri"/>
        <family val="2"/>
        <scheme val="minor"/>
      </rPr>
      <t>ιεβοσθ[ε]</t>
    </r>
    <r>
      <rPr>
        <sz val="11"/>
        <color theme="1"/>
        <rFont val="Calibri"/>
        <family val="2"/>
        <scheme val="minor"/>
      </rPr>
      <t xml:space="preserve"> οτε εβασιλευσεν</t>
    </r>
  </si>
  <si>
    <r>
      <t>ειεβοσθαι</t>
    </r>
    <r>
      <rPr>
        <b/>
        <sz val="11"/>
        <color theme="1"/>
        <rFont val="Calibri"/>
        <family val="2"/>
        <scheme val="minor"/>
      </rPr>
      <t xml:space="preserve"> υιος σαουλ</t>
    </r>
    <r>
      <rPr>
        <sz val="11"/>
        <color theme="1"/>
        <rFont val="Calibri"/>
        <family val="2"/>
        <scheme val="minor"/>
      </rPr>
      <t xml:space="preserve"> οται εβασιλευσεν</t>
    </r>
  </si>
  <si>
    <r>
      <t xml:space="preserve">ειεβοσθαι υιος σαουλ </t>
    </r>
    <r>
      <rPr>
        <b/>
        <sz val="11"/>
        <color theme="1"/>
        <rFont val="Calibri"/>
        <family val="2"/>
        <scheme val="minor"/>
      </rPr>
      <t>οται</t>
    </r>
    <r>
      <rPr>
        <sz val="11"/>
        <color theme="1"/>
        <rFont val="Calibri"/>
        <family val="2"/>
        <scheme val="minor"/>
      </rPr>
      <t xml:space="preserve"> εβασιλευσεν</t>
    </r>
  </si>
  <si>
    <r>
      <t xml:space="preserve">ιεβοσθ[ε] </t>
    </r>
    <r>
      <rPr>
        <b/>
        <sz val="11"/>
        <color theme="1"/>
        <rFont val="Calibri"/>
        <family val="2"/>
        <scheme val="minor"/>
      </rPr>
      <t>οτε</t>
    </r>
    <r>
      <rPr>
        <sz val="11"/>
        <color theme="1"/>
        <rFont val="Calibri"/>
        <family val="2"/>
        <scheme val="minor"/>
      </rPr>
      <t xml:space="preserve"> εβασιλευσεν</t>
    </r>
  </si>
  <si>
    <t>ημεραι ας δαδ εβασιλευσεν</t>
  </si>
  <si>
    <t>ημεραι ας εβασιλευσεν δαβιδ</t>
  </si>
  <si>
    <t>αναστητωσαν δη τα παιδαρια</t>
  </si>
  <si>
    <t>αναστητωσαν δη οι παιδες τα παιδαρια</t>
  </si>
  <si>
    <r>
      <rPr>
        <b/>
        <sz val="11"/>
        <color theme="1"/>
        <rFont val="Calibri"/>
        <family val="2"/>
        <scheme val="minor"/>
      </rPr>
      <t>ειεβοσθαι</t>
    </r>
    <r>
      <rPr>
        <sz val="11"/>
        <color theme="1"/>
        <rFont val="Calibri"/>
        <family val="2"/>
        <scheme val="minor"/>
      </rPr>
      <t xml:space="preserve"> υιου σαουλ</t>
    </r>
  </si>
  <si>
    <r>
      <rPr>
        <b/>
        <sz val="11"/>
        <color theme="1"/>
        <rFont val="Calibri"/>
        <family val="2"/>
        <scheme val="minor"/>
      </rPr>
      <t>ιεβοσθε</t>
    </r>
    <r>
      <rPr>
        <sz val="11"/>
        <color theme="1"/>
        <rFont val="Calibri"/>
        <family val="2"/>
        <scheme val="minor"/>
      </rPr>
      <t xml:space="preserve"> υιον σαουλ</t>
    </r>
  </si>
  <si>
    <r>
      <t xml:space="preserve">ειεβοσθαι </t>
    </r>
    <r>
      <rPr>
        <b/>
        <sz val="11"/>
        <color theme="1"/>
        <rFont val="Calibri"/>
        <family val="2"/>
        <scheme val="minor"/>
      </rPr>
      <t>υιου</t>
    </r>
    <r>
      <rPr>
        <sz val="11"/>
        <color theme="1"/>
        <rFont val="Calibri"/>
        <family val="2"/>
        <scheme val="minor"/>
      </rPr>
      <t xml:space="preserve"> σαουλ</t>
    </r>
  </si>
  <si>
    <r>
      <t xml:space="preserve">ιεβοσθε </t>
    </r>
    <r>
      <rPr>
        <b/>
        <sz val="11"/>
        <color theme="1"/>
        <rFont val="Calibri"/>
        <family val="2"/>
        <scheme val="minor"/>
      </rPr>
      <t>υιον</t>
    </r>
    <r>
      <rPr>
        <sz val="11"/>
        <color theme="1"/>
        <rFont val="Calibri"/>
        <family val="2"/>
        <scheme val="minor"/>
      </rPr>
      <t xml:space="preserve"> σαουλ</t>
    </r>
  </si>
  <si>
    <t>και ανδρες ιηλ</t>
  </si>
  <si>
    <t>και οι ανδρες ισραηλ</t>
  </si>
  <si>
    <t>ωση μια δορκας</t>
  </si>
  <si>
    <r>
      <rPr>
        <b/>
        <sz val="11"/>
        <color theme="1"/>
        <rFont val="Calibri"/>
        <family val="2"/>
        <scheme val="minor"/>
      </rPr>
      <t>ωση</t>
    </r>
    <r>
      <rPr>
        <sz val="11"/>
        <color theme="1"/>
        <rFont val="Calibri"/>
        <family val="2"/>
        <scheme val="minor"/>
      </rPr>
      <t xml:space="preserve"> μια δορκας</t>
    </r>
  </si>
  <si>
    <r>
      <rPr>
        <b/>
        <sz val="11"/>
        <color theme="1"/>
        <rFont val="Calibri"/>
        <family val="2"/>
        <scheme val="minor"/>
      </rPr>
      <t>ωσει</t>
    </r>
    <r>
      <rPr>
        <sz val="11"/>
        <color theme="1"/>
        <rFont val="Calibri"/>
        <family val="2"/>
        <scheme val="minor"/>
      </rPr>
      <t xml:space="preserve"> η μια δορκας</t>
    </r>
  </si>
  <si>
    <r>
      <t xml:space="preserve">οσει </t>
    </r>
    <r>
      <rPr>
        <b/>
        <sz val="11"/>
        <color theme="1"/>
        <rFont val="Calibri"/>
        <family val="2"/>
        <scheme val="minor"/>
      </rPr>
      <t>η</t>
    </r>
    <r>
      <rPr>
        <sz val="11"/>
        <color theme="1"/>
        <rFont val="Calibri"/>
        <family val="2"/>
        <scheme val="minor"/>
      </rPr>
      <t xml:space="preserve"> μια δορκας</t>
    </r>
  </si>
  <si>
    <t>ειπεν ει συ ει αυτος</t>
  </si>
  <si>
    <t>ειπεν ει συ αυτος</t>
  </si>
  <si>
    <t>εις τα αριστερα</t>
  </si>
  <si>
    <t>εις αριστερα</t>
  </si>
  <si>
    <t>και κατασχες σεαυτω</t>
  </si>
  <si>
    <t>και κατασχε σεαυτω</t>
  </si>
  <si>
    <t>corrected Alex. = εκκλεινειν</t>
  </si>
  <si>
    <t>(21) αυτου (22) και προσεθετο</t>
  </si>
  <si>
    <t>(21) αυτου και (22) και προσεθετο</t>
  </si>
  <si>
    <t>υφιστατο</t>
  </si>
  <si>
    <t>συναθροιζονται υιοι</t>
  </si>
  <si>
    <t>συναθροιζονται οι υιοι</t>
  </si>
  <si>
    <t>νικος</t>
  </si>
  <si>
    <t>καταφαγεται ρομφαια</t>
  </si>
  <si>
    <r>
      <t xml:space="preserve">καταφαγεται </t>
    </r>
    <r>
      <rPr>
        <b/>
        <sz val="11"/>
        <color theme="1"/>
        <rFont val="Calibri"/>
        <family val="2"/>
        <scheme val="minor"/>
      </rPr>
      <t>η</t>
    </r>
    <r>
      <rPr>
        <sz val="11"/>
        <color theme="1"/>
        <rFont val="Calibri"/>
        <family val="2"/>
        <scheme val="minor"/>
      </rPr>
      <t xml:space="preserve"> ρομφλια</t>
    </r>
  </si>
  <si>
    <r>
      <t xml:space="preserve">καταφαγεται η </t>
    </r>
    <r>
      <rPr>
        <b/>
        <sz val="11"/>
        <color theme="1"/>
        <rFont val="Calibri"/>
        <family val="2"/>
        <scheme val="minor"/>
      </rPr>
      <t>ρομφλια</t>
    </r>
  </si>
  <si>
    <r>
      <t xml:space="preserve">καταφαγεται </t>
    </r>
    <r>
      <rPr>
        <b/>
        <sz val="11"/>
        <color theme="1"/>
        <rFont val="Calibri"/>
        <family val="2"/>
        <scheme val="minor"/>
      </rPr>
      <t>ρομφαια</t>
    </r>
  </si>
  <si>
    <t>η ουκ οιδες οτι πικρα εσται</t>
  </si>
  <si>
    <t>η ουκ εσται πικρα εσται</t>
  </si>
  <si>
    <t>προσεθεντο ετι του πολεμειν</t>
  </si>
  <si>
    <t>προσεθεντο επι του πολεμειν</t>
  </si>
  <si>
    <t>νυκταν εκεινην</t>
  </si>
  <si>
    <t>νυκτα εκεινην</t>
  </si>
  <si>
    <t>οπισω του αβεννηρ</t>
  </si>
  <si>
    <t>οπισω αβεννηρ</t>
  </si>
  <si>
    <t>τριακοσιους εξηκοντα</t>
  </si>
  <si>
    <t>τριακοσιους και εξηκοντα</t>
  </si>
  <si>
    <t>πρς αυτου βηθλεεμ</t>
  </si>
  <si>
    <t>πατρος αυτου εν βηθλεεμ</t>
  </si>
  <si>
    <t>και ο οικος σαουλ</t>
  </si>
  <si>
    <t>και οο οικος σαουλ</t>
  </si>
  <si>
    <t>αναμεσον οικου σαουλ και αναμεσον του οικου δαδ</t>
  </si>
  <si>
    <t>αναμεσον ου οικου δαβυιδ και αναμεσον οικου σαουλ δαυιδ</t>
  </si>
  <si>
    <r>
      <t xml:space="preserve">αναμεσον </t>
    </r>
    <r>
      <rPr>
        <b/>
        <sz val="11"/>
        <color theme="1"/>
        <rFont val="Calibri"/>
        <family val="2"/>
        <scheme val="minor"/>
      </rPr>
      <t>ου</t>
    </r>
    <r>
      <rPr>
        <sz val="11"/>
        <color theme="1"/>
        <rFont val="Calibri"/>
        <family val="2"/>
        <scheme val="minor"/>
      </rPr>
      <t xml:space="preserve"> οικου δαβυιδ και αναμεσον οικου σαουλ δαυιδ</t>
    </r>
  </si>
  <si>
    <r>
      <t xml:space="preserve">αναμεσον οικου </t>
    </r>
    <r>
      <rPr>
        <b/>
        <sz val="11"/>
        <color theme="1"/>
        <rFont val="Calibri"/>
        <family val="2"/>
        <scheme val="minor"/>
      </rPr>
      <t>σαουλ</t>
    </r>
    <r>
      <rPr>
        <sz val="11"/>
        <color theme="1"/>
        <rFont val="Calibri"/>
        <family val="2"/>
        <scheme val="minor"/>
      </rPr>
      <t xml:space="preserve"> και αναμεσον του οικου δαδ</t>
    </r>
  </si>
  <si>
    <r>
      <t xml:space="preserve">αναμεσον ου οικου </t>
    </r>
    <r>
      <rPr>
        <b/>
        <sz val="11"/>
        <color theme="1"/>
        <rFont val="Calibri"/>
        <family val="2"/>
        <scheme val="minor"/>
      </rPr>
      <t>δαβυιδ</t>
    </r>
    <r>
      <rPr>
        <sz val="11"/>
        <color theme="1"/>
        <rFont val="Calibri"/>
        <family val="2"/>
        <scheme val="minor"/>
      </rPr>
      <t xml:space="preserve"> και αναμεσον οικου σαουλ δαυιδ</t>
    </r>
  </si>
  <si>
    <r>
      <t xml:space="preserve">αναμεσον οικου σαουλ και αναμεσον </t>
    </r>
    <r>
      <rPr>
        <b/>
        <sz val="11"/>
        <color theme="1"/>
        <rFont val="Calibri"/>
        <family val="2"/>
        <scheme val="minor"/>
      </rPr>
      <t>του</t>
    </r>
    <r>
      <rPr>
        <sz val="11"/>
        <color theme="1"/>
        <rFont val="Calibri"/>
        <family val="2"/>
        <scheme val="minor"/>
      </rPr>
      <t xml:space="preserve"> οικου δαδ</t>
    </r>
  </si>
  <si>
    <r>
      <t xml:space="preserve">αναμεσον ου οικου δαβυιδ και αναμεσον οικου </t>
    </r>
    <r>
      <rPr>
        <b/>
        <sz val="11"/>
        <color theme="1"/>
        <rFont val="Calibri"/>
        <family val="2"/>
        <scheme val="minor"/>
      </rPr>
      <t>σαουλ</t>
    </r>
    <r>
      <rPr>
        <sz val="11"/>
        <color theme="1"/>
        <rFont val="Calibri"/>
        <family val="2"/>
        <scheme val="minor"/>
      </rPr>
      <t xml:space="preserve"> δαυιδ</t>
    </r>
  </si>
  <si>
    <t>αβεννηρ ην κρατων</t>
  </si>
  <si>
    <t>αβεννηρ ενκρ ην κρατων</t>
  </si>
  <si>
    <t>και εθυμωθη σφοδρα αβεννηρ περι του λογου ιεβοσθε και ειπεν</t>
  </si>
  <si>
    <t>και ειπεν</t>
  </si>
  <si>
    <t>και του αναστησαι</t>
  </si>
  <si>
    <t>δαδ εγω καλως διαθησομαι</t>
  </si>
  <si>
    <t>υιου λαεις</t>
  </si>
  <si>
    <t>υιου λα λαεις</t>
  </si>
  <si>
    <t>πρεσβυτερους ιηλ λεγων</t>
  </si>
  <si>
    <t>πρεσβυτερους λεγων</t>
  </si>
  <si>
    <t>τα ωτα του δαδ</t>
  </si>
  <si>
    <t>μετα αυτου</t>
  </si>
  <si>
    <t>μετ αυτου</t>
  </si>
  <si>
    <t>ειπεν τι τουτο</t>
  </si>
  <si>
    <t>ειπεν τι ετι τουτο</t>
  </si>
  <si>
    <t>ιδου ηλθεν αβεννηρ</t>
  </si>
  <si>
    <t>ιδου αβεννηρ</t>
  </si>
  <si>
    <t>γνωναι απαντα οσα</t>
  </si>
  <si>
    <t>γνωναι οσα</t>
  </si>
  <si>
    <t>επεστρεψεν τον αβεννηρ</t>
  </si>
  <si>
    <t>επεστρεψεν αβεννηρ</t>
  </si>
  <si>
    <t>γονορρυης</t>
  </si>
  <si>
    <t>τον λαον τον μετ αυτου</t>
  </si>
  <si>
    <t>τον λαον μετ αυτου</t>
  </si>
  <si>
    <t>περιζωσασθε</t>
  </si>
  <si>
    <t>κοπτεσθε αβεννηρ εμπροσθεν</t>
  </si>
  <si>
    <r>
      <rPr>
        <b/>
        <sz val="11"/>
        <color theme="1"/>
        <rFont val="Calibri"/>
        <family val="2"/>
        <scheme val="minor"/>
      </rPr>
      <t>κοπτεσθαι</t>
    </r>
    <r>
      <rPr>
        <sz val="11"/>
        <color theme="1"/>
        <rFont val="Calibri"/>
        <family val="2"/>
        <scheme val="minor"/>
      </rPr>
      <t xml:space="preserve"> αβεννηρ εμπροσθεν</t>
    </r>
  </si>
  <si>
    <r>
      <rPr>
        <b/>
        <sz val="11"/>
        <color theme="1"/>
        <rFont val="Calibri"/>
        <family val="2"/>
        <scheme val="minor"/>
      </rPr>
      <t>κοπτεσθε</t>
    </r>
    <r>
      <rPr>
        <sz val="11"/>
        <color theme="1"/>
        <rFont val="Calibri"/>
        <family val="2"/>
        <scheme val="minor"/>
      </rPr>
      <t xml:space="preserve"> αβεννηρ εμπροσθεν</t>
    </r>
  </si>
  <si>
    <r>
      <t xml:space="preserve">κοπτεσθαι </t>
    </r>
    <r>
      <rPr>
        <b/>
        <sz val="11"/>
        <color theme="1"/>
        <rFont val="Calibri"/>
        <family val="2"/>
        <scheme val="minor"/>
      </rPr>
      <t>αβεννηρ εμπροσθεν</t>
    </r>
  </si>
  <si>
    <t>κοπτεσθε εμπροσθεν αβεννηρ</t>
  </si>
  <si>
    <t>εις χεβρων</t>
  </si>
  <si>
    <t>εν χεβρων</t>
  </si>
  <si>
    <t>εδεθησαν οι παιδες σου</t>
  </si>
  <si>
    <t>εδεθησαν οι ποδες σου</t>
  </si>
  <si>
    <t>ουκ εν παιδες σου</t>
  </si>
  <si>
    <t>ουκ εν πεδαις ου</t>
  </si>
  <si>
    <t>εισιν ανταποι κς</t>
  </si>
  <si>
    <r>
      <t xml:space="preserve">εισιν </t>
    </r>
    <r>
      <rPr>
        <b/>
        <sz val="11"/>
        <color theme="1"/>
        <rFont val="Calibri"/>
        <family val="2"/>
        <scheme val="minor"/>
      </rPr>
      <t>απ</t>
    </r>
    <r>
      <rPr>
        <sz val="11"/>
        <color theme="1"/>
        <rFont val="Calibri"/>
        <family val="2"/>
        <scheme val="minor"/>
      </rPr>
      <t xml:space="preserve"> ανταποδω κυριος</t>
    </r>
  </si>
  <si>
    <r>
      <t xml:space="preserve">εισιν </t>
    </r>
    <r>
      <rPr>
        <b/>
        <sz val="11"/>
        <color theme="1"/>
        <rFont val="Calibri"/>
        <family val="2"/>
        <scheme val="minor"/>
      </rPr>
      <t>ανταποι</t>
    </r>
    <r>
      <rPr>
        <sz val="11"/>
        <color theme="1"/>
        <rFont val="Calibri"/>
        <family val="2"/>
        <scheme val="minor"/>
      </rPr>
      <t xml:space="preserve"> κς</t>
    </r>
  </si>
  <si>
    <r>
      <t xml:space="preserve">εισιν απ </t>
    </r>
    <r>
      <rPr>
        <b/>
        <sz val="11"/>
        <color theme="1"/>
        <rFont val="Calibri"/>
        <family val="2"/>
        <scheme val="minor"/>
      </rPr>
      <t>ανταποδω</t>
    </r>
    <r>
      <rPr>
        <sz val="11"/>
        <color theme="1"/>
        <rFont val="Calibri"/>
        <family val="2"/>
        <scheme val="minor"/>
      </rPr>
      <t xml:space="preserve"> κυριος</t>
    </r>
  </si>
  <si>
    <r>
      <rPr>
        <b/>
        <sz val="11"/>
        <color theme="1"/>
        <rFont val="Calibri"/>
        <family val="2"/>
        <scheme val="minor"/>
      </rPr>
      <t>συσστρεμματων</t>
    </r>
    <r>
      <rPr>
        <sz val="11"/>
        <color theme="1"/>
        <rFont val="Calibri"/>
        <family val="2"/>
        <scheme val="minor"/>
      </rPr>
      <t xml:space="preserve"> τω μεμφιβοσθαι</t>
    </r>
  </si>
  <si>
    <r>
      <rPr>
        <b/>
        <sz val="11"/>
        <color theme="1"/>
        <rFont val="Calibri"/>
        <family val="2"/>
        <scheme val="minor"/>
      </rPr>
      <t>συαστρεμματων</t>
    </r>
    <r>
      <rPr>
        <sz val="11"/>
        <color theme="1"/>
        <rFont val="Calibri"/>
        <family val="2"/>
        <scheme val="minor"/>
      </rPr>
      <t xml:space="preserve"> των μεμφιβοσθε</t>
    </r>
  </si>
  <si>
    <r>
      <t xml:space="preserve">συσστρεμματων </t>
    </r>
    <r>
      <rPr>
        <b/>
        <sz val="11"/>
        <color theme="1"/>
        <rFont val="Calibri"/>
        <family val="2"/>
        <scheme val="minor"/>
      </rPr>
      <t>τω</t>
    </r>
    <r>
      <rPr>
        <sz val="11"/>
        <color theme="1"/>
        <rFont val="Calibri"/>
        <family val="2"/>
        <scheme val="minor"/>
      </rPr>
      <t xml:space="preserve"> μεμφιβοσθαι</t>
    </r>
  </si>
  <si>
    <r>
      <t xml:space="preserve">συαστρεμματων </t>
    </r>
    <r>
      <rPr>
        <b/>
        <sz val="11"/>
        <color theme="1"/>
        <rFont val="Calibri"/>
        <family val="2"/>
        <scheme val="minor"/>
      </rPr>
      <t>των</t>
    </r>
    <r>
      <rPr>
        <sz val="11"/>
        <color theme="1"/>
        <rFont val="Calibri"/>
        <family val="2"/>
        <scheme val="minor"/>
      </rPr>
      <t xml:space="preserve"> μεμφιβοσθε</t>
    </r>
  </si>
  <si>
    <r>
      <t xml:space="preserve">συσστρεμματων τω </t>
    </r>
    <r>
      <rPr>
        <b/>
        <sz val="11"/>
        <color theme="1"/>
        <rFont val="Calibri"/>
        <family val="2"/>
        <scheme val="minor"/>
      </rPr>
      <t>μεμφιβοσθαι</t>
    </r>
  </si>
  <si>
    <r>
      <t xml:space="preserve">συαστρεμματων των </t>
    </r>
    <r>
      <rPr>
        <b/>
        <sz val="11"/>
        <color theme="1"/>
        <rFont val="Calibri"/>
        <family val="2"/>
        <scheme val="minor"/>
      </rPr>
      <t>μεμφιβοσθε</t>
    </r>
  </si>
  <si>
    <t>ρηχαβ υιοι ρεμμων</t>
  </si>
  <si>
    <t>ρηχαβ υιου ρεμμων</t>
  </si>
  <si>
    <t>και ιδου η θυρωρος</t>
  </si>
  <si>
    <t>και η θυρωρος</t>
  </si>
  <si>
    <t>αφαιρουσιν την κεφαλην αυτου και απηλθον οδον</t>
  </si>
  <si>
    <r>
      <rPr>
        <b/>
        <sz val="11"/>
        <color theme="1"/>
        <rFont val="Calibri"/>
        <family val="2"/>
        <scheme val="minor"/>
      </rPr>
      <t>αφερουσιν</t>
    </r>
    <r>
      <rPr>
        <sz val="11"/>
        <color theme="1"/>
        <rFont val="Calibri"/>
        <family val="2"/>
        <scheme val="minor"/>
      </rPr>
      <t xml:space="preserve"> την κεφαλην αυτου και ελαβον την κεφαλην αυτου και απηλθον οδον</t>
    </r>
  </si>
  <si>
    <r>
      <rPr>
        <b/>
        <sz val="11"/>
        <color theme="1"/>
        <rFont val="Calibri"/>
        <family val="2"/>
        <scheme val="minor"/>
      </rPr>
      <t>αφαιρουσιν</t>
    </r>
    <r>
      <rPr>
        <sz val="11"/>
        <color theme="1"/>
        <rFont val="Calibri"/>
        <family val="2"/>
        <scheme val="minor"/>
      </rPr>
      <t xml:space="preserve"> την κεφαλην αυτου και απηλθον οδον</t>
    </r>
  </si>
  <si>
    <r>
      <t xml:space="preserve">αφερουσιν </t>
    </r>
    <r>
      <rPr>
        <b/>
        <sz val="11"/>
        <color theme="1"/>
        <rFont val="Calibri"/>
        <family val="2"/>
        <scheme val="minor"/>
      </rPr>
      <t xml:space="preserve">την κεφαλην αυτου και ελαβον </t>
    </r>
    <r>
      <rPr>
        <sz val="11"/>
        <color theme="1"/>
        <rFont val="Calibri"/>
        <family val="2"/>
        <scheme val="minor"/>
      </rPr>
      <t>την κεφαλην αυτου και απηλθον οδον</t>
    </r>
  </si>
  <si>
    <t>μεμφιβοσθαι τω δαδ</t>
  </si>
  <si>
    <t>μεμφιβοσθε τω δαβιδ</t>
  </si>
  <si>
    <t>μεμφιβοσθαι υιου σαουλ</t>
  </si>
  <si>
    <t>μεμφιβοσθε υιου σαουλ</t>
  </si>
  <si>
    <t>εκδικησιν των εχθρων</t>
  </si>
  <si>
    <t>εκδικησιν εχθρων</t>
  </si>
  <si>
    <t>ως η ημερα</t>
  </si>
  <si>
    <t>ως ημερα</t>
  </si>
  <si>
    <t>βαανα</t>
  </si>
  <si>
    <t>ενωπιον εμου</t>
  </si>
  <si>
    <t>ενωπιον μου</t>
  </si>
  <si>
    <t>απεκτεινα αυτον εν σικελαγ</t>
  </si>
  <si>
    <t>απεκτεινα σικελαγ</t>
  </si>
  <si>
    <t>αποκτεννουσιν</t>
  </si>
  <si>
    <t>ιδου οστα</t>
  </si>
  <si>
    <t>ιδου τα οστα</t>
  </si>
  <si>
    <t>ο εισαγων και εξαγων τον ιηλ</t>
  </si>
  <si>
    <t>ο ετσαγων και εξαγων τον ισραηλ</t>
  </si>
  <si>
    <t>Apograph unclear (Autograph reading likely)</t>
  </si>
  <si>
    <t>ο εξαγων και εισαγων τον ισραηλ</t>
  </si>
  <si>
    <t>ενωπιον κυ και χριουσιν</t>
  </si>
  <si>
    <t>εβασιλευσεν επι τον ιουδαν επτα</t>
  </si>
  <si>
    <t>εβασιλευσεν επτα</t>
  </si>
  <si>
    <t>εισελευσεται ωδε</t>
  </si>
  <si>
    <t>εισελευσεται δαβιδ ωδε</t>
  </si>
  <si>
    <t>αυτη πολις δαβιδ</t>
  </si>
  <si>
    <r>
      <t xml:space="preserve">αυτη </t>
    </r>
    <r>
      <rPr>
        <b/>
        <sz val="11"/>
        <color theme="1"/>
        <rFont val="Calibri"/>
        <family val="2"/>
        <scheme val="minor"/>
      </rPr>
      <t>η</t>
    </r>
    <r>
      <rPr>
        <sz val="11"/>
        <color theme="1"/>
        <rFont val="Calibri"/>
        <family val="2"/>
        <scheme val="minor"/>
      </rPr>
      <t xml:space="preserve"> πολις του δαδ</t>
    </r>
  </si>
  <si>
    <r>
      <t xml:space="preserve">αυτη η πολις </t>
    </r>
    <r>
      <rPr>
        <b/>
        <sz val="11"/>
        <color theme="1"/>
        <rFont val="Calibri"/>
        <family val="2"/>
        <scheme val="minor"/>
      </rPr>
      <t>του</t>
    </r>
    <r>
      <rPr>
        <sz val="11"/>
        <color theme="1"/>
        <rFont val="Calibri"/>
        <family val="2"/>
        <scheme val="minor"/>
      </rPr>
      <t xml:space="preserve"> δαδ</t>
    </r>
  </si>
  <si>
    <t>εκληθη η πολις αυτη</t>
  </si>
  <si>
    <t>εκληθη αυτη η πολις</t>
  </si>
  <si>
    <t>ελιδαε</t>
  </si>
  <si>
    <t>συνεπεσαν</t>
  </si>
  <si>
    <t>κοιλαδα</t>
  </si>
  <si>
    <t>παραδιδους</t>
  </si>
  <si>
    <t>διακοπτεται υδατα</t>
  </si>
  <si>
    <t>διακοπτεται τα υδατα</t>
  </si>
  <si>
    <t>αποστρεφου αυτων</t>
  </si>
  <si>
    <t>αποστρεφου απ αυτων</t>
  </si>
  <si>
    <t>ακουσεσαι την φωνην</t>
  </si>
  <si>
    <t>ακουσαι σε την φωνην</t>
  </si>
  <si>
    <t>αναγειν εκειθεν την κιβωτον</t>
  </si>
  <si>
    <t>αναγειν την κι εκειθεν την κιβωτον</t>
  </si>
  <si>
    <t>επεβιβασαν</t>
  </si>
  <si>
    <t>εφ αμαξαν</t>
  </si>
  <si>
    <t>επ αμαξαν</t>
  </si>
  <si>
    <r>
      <rPr>
        <b/>
        <sz val="11"/>
        <color theme="1"/>
        <rFont val="Calibri"/>
        <family val="2"/>
        <scheme val="minor"/>
      </rPr>
      <t>εις</t>
    </r>
    <r>
      <rPr>
        <sz val="11"/>
        <color theme="1"/>
        <rFont val="Calibri"/>
        <family val="2"/>
        <scheme val="minor"/>
      </rPr>
      <t xml:space="preserve"> οικον αμιναδαβ</t>
    </r>
  </si>
  <si>
    <r>
      <rPr>
        <b/>
        <sz val="11"/>
        <color theme="1"/>
        <rFont val="Calibri"/>
        <family val="2"/>
        <scheme val="minor"/>
      </rPr>
      <t>ερ</t>
    </r>
    <r>
      <rPr>
        <sz val="11"/>
        <color theme="1"/>
        <rFont val="Calibri"/>
        <family val="2"/>
        <scheme val="minor"/>
      </rPr>
      <t xml:space="preserve"> οικου αχιναδαβ</t>
    </r>
  </si>
  <si>
    <r>
      <t xml:space="preserve">εις </t>
    </r>
    <r>
      <rPr>
        <b/>
        <sz val="11"/>
        <color theme="1"/>
        <rFont val="Calibri"/>
        <family val="2"/>
        <scheme val="minor"/>
      </rPr>
      <t>οικον</t>
    </r>
    <r>
      <rPr>
        <sz val="11"/>
        <color theme="1"/>
        <rFont val="Calibri"/>
        <family val="2"/>
        <scheme val="minor"/>
      </rPr>
      <t xml:space="preserve"> αμιναδαβ</t>
    </r>
  </si>
  <si>
    <r>
      <t xml:space="preserve">ερ </t>
    </r>
    <r>
      <rPr>
        <b/>
        <sz val="11"/>
        <color theme="1"/>
        <rFont val="Calibri"/>
        <family val="2"/>
        <scheme val="minor"/>
      </rPr>
      <t>οικου</t>
    </r>
    <r>
      <rPr>
        <sz val="11"/>
        <color theme="1"/>
        <rFont val="Calibri"/>
        <family val="2"/>
        <scheme val="minor"/>
      </rPr>
      <t xml:space="preserve"> αχιναδαβ</t>
    </r>
  </si>
  <si>
    <r>
      <t xml:space="preserve">εις οικον </t>
    </r>
    <r>
      <rPr>
        <b/>
        <sz val="11"/>
        <color theme="1"/>
        <rFont val="Calibri"/>
        <family val="2"/>
        <scheme val="minor"/>
      </rPr>
      <t>αμιναδαβ</t>
    </r>
  </si>
  <si>
    <r>
      <t xml:space="preserve">ερ οικου </t>
    </r>
    <r>
      <rPr>
        <b/>
        <sz val="11"/>
        <color theme="1"/>
        <rFont val="Calibri"/>
        <family val="2"/>
        <scheme val="minor"/>
      </rPr>
      <t>αχιναδαβ</t>
    </r>
  </si>
  <si>
    <t>κυ και εν οργανοις</t>
  </si>
  <si>
    <t>κυριου και εν οργανοις</t>
  </si>
  <si>
    <t>κυριου εν οργανοις</t>
  </si>
  <si>
    <t>κινυρα και</t>
  </si>
  <si>
    <t>κινυραις και</t>
  </si>
  <si>
    <t>ναχων</t>
  </si>
  <si>
    <t>επι προπετεια</t>
  </si>
  <si>
    <t>επι τη προπετεια</t>
  </si>
  <si>
    <t>εις την πολιν δαδ</t>
  </si>
  <si>
    <t>εις πολιν δαβιδ</t>
  </si>
  <si>
    <t>τον οικον αβεδδαρα</t>
  </si>
  <si>
    <t>τον οικον αβεδδαδον</t>
  </si>
  <si>
    <t>κιβωτον του θεου</t>
  </si>
  <si>
    <t>του οικου αβεδδαρα</t>
  </si>
  <si>
    <t>του οικου αβεδδαδομ</t>
  </si>
  <si>
    <t>ενδεδυκως</t>
  </si>
  <si>
    <t>ενδεδυκω</t>
  </si>
  <si>
    <t>καρδια αυτου</t>
  </si>
  <si>
    <t>καρδια αυτης</t>
  </si>
  <si>
    <t>τοπον εαυτης</t>
  </si>
  <si>
    <t>τοπον αυτης</t>
  </si>
  <si>
    <t>δαν εως βηρσαβεε</t>
  </si>
  <si>
    <t>δαν και εως βηρσαβεε</t>
  </si>
  <si>
    <t>ανδρος εως γυναικος</t>
  </si>
  <si>
    <t>ανδρος εω γυναικος</t>
  </si>
  <si>
    <t>οικον αυτου του καταστησαι</t>
  </si>
  <si>
    <t>οικον αυτου καταστησαι</t>
  </si>
  <si>
    <t>ηγουμενον επι τον λαον</t>
  </si>
  <si>
    <t>ηγουμενον υπερ επι τον λαον</t>
  </si>
  <si>
    <t>εμ μεσω</t>
  </si>
  <si>
    <t>εγενετο εν τη νυκτι</t>
  </si>
  <si>
    <t>εγενετο τη νυκτι</t>
  </si>
  <si>
    <t>φυλην του ιηλ</t>
  </si>
  <si>
    <t>φυλην ισραηλ</t>
  </si>
  <si>
    <t>τον λαον τον ισλ</t>
  </si>
  <si>
    <t>τον λαον τον ισραηλ</t>
  </si>
  <si>
    <t>τον λαον μου τον ισραηλ</t>
  </si>
  <si>
    <t>ωκοδομηκατε</t>
  </si>
  <si>
    <t>ηγουμενον επι ιηλ</t>
  </si>
  <si>
    <t>ηγουμενον επι τον λαον μου επι τον ισραηλ</t>
  </si>
  <si>
    <t>οις επορευου και εξωλεθρευσα παντας τους εχθρους σου απο προσωπου σου και εποιησα</t>
  </si>
  <si>
    <t>οις επορευου και εποιησα</t>
  </si>
  <si>
    <t>τω λαω μου τω ισλ</t>
  </si>
  <si>
    <t>τω λαω μου ισραηλ</t>
  </si>
  <si>
    <t>καθ εαυτον</t>
  </si>
  <si>
    <t>(10) απ αρχης (11) απο των ημερων</t>
  </si>
  <si>
    <t>(10) απ αρχης (11) και απο των ημερων</t>
  </si>
  <si>
    <t>αναπαυσω σαι</t>
  </si>
  <si>
    <t>αναπαυσω σε</t>
  </si>
  <si>
    <t>εις πρα και αυτος</t>
  </si>
  <si>
    <t>εις πατερα αυ και αυτος</t>
  </si>
  <si>
    <t>αφαις</t>
  </si>
  <si>
    <t>και ο θρονος αυτου</t>
  </si>
  <si>
    <t>και θρονος αυτου</t>
  </si>
  <si>
    <t>κατα την καρδιαν</t>
  </si>
  <si>
    <t>κατα καρδιαν</t>
  </si>
  <si>
    <t>ιηλ λαον</t>
  </si>
  <si>
    <t>ισραηλ λαον</t>
  </si>
  <si>
    <t>ισραηλ εις λαον</t>
  </si>
  <si>
    <t>ο θς του ισλ</t>
  </si>
  <si>
    <t>ο θεος ισραηλ</t>
  </si>
  <si>
    <t>οτι συ ει κε</t>
  </si>
  <si>
    <t>οτι συ ει κυριε</t>
  </si>
  <si>
    <t>οτι συ κυριε</t>
  </si>
  <si>
    <t>εγενετο ταυτα</t>
  </si>
  <si>
    <t>εγενετο μωαβ εις δουλους</t>
  </si>
  <si>
    <t>εγενετο μωαβ τω δαβιδ εις δουλους</t>
  </si>
  <si>
    <t>αδρααζαρ υιον ρααβ</t>
  </si>
  <si>
    <t>αδρα ασσυριον ρααβ</t>
  </si>
  <si>
    <t>εν συρια τη κατα δαμασκον</t>
  </si>
  <si>
    <t>εν τη συρια τη κατα δαμασκον</t>
  </si>
  <si>
    <t>τους χρυσους εποιησαν επι των παιδων</t>
  </si>
  <si>
    <t>τους χρυσους οι ησαν επι των παιδω[ν]</t>
  </si>
  <si>
    <t>τους χρυσους εποιησαν επι των παιδω[ν]</t>
  </si>
  <si>
    <t>επαταξεν τον αδρααζαρ και επαταξεν αυτον οτι αντικειμενος ην τω αδρααζαρ και εν ταις χερσιν</t>
  </si>
  <si>
    <t>των υιων αμμων και εξ αμαληκ και εκ των αλλοφυλων και εκ των σκυλων αδρααζαρ</t>
  </si>
  <si>
    <t>των υιων αμμων και εξ αμαληκ και εκ των αλλοφυλων και εκ των σκυλων του αδρααζαρ</t>
  </si>
  <si>
    <r>
      <t xml:space="preserve">των υιων αμμων και εξ αμαληκ και εκ των αλλοφυλων και εκ των σκυλων </t>
    </r>
    <r>
      <rPr>
        <b/>
        <sz val="11"/>
        <color theme="1"/>
        <rFont val="Calibri"/>
        <family val="2"/>
        <scheme val="minor"/>
      </rPr>
      <t>του</t>
    </r>
    <r>
      <rPr>
        <sz val="11"/>
        <color theme="1"/>
        <rFont val="Calibri"/>
        <family val="2"/>
        <scheme val="minor"/>
      </rPr>
      <t xml:space="preserve"> αδρααζαρ</t>
    </r>
  </si>
  <si>
    <t>των υιων αμμων και εκ των αλλοφυλων και εξ αμαληκ και εκ των σκυλων Αδρααζαρ</t>
  </si>
  <si>
    <t>κριμαι και</t>
  </si>
  <si>
    <t>κριμα και</t>
  </si>
  <si>
    <r>
      <t xml:space="preserve">υιος </t>
    </r>
    <r>
      <rPr>
        <b/>
        <sz val="11"/>
        <color theme="1"/>
        <rFont val="Calibri"/>
        <family val="2"/>
        <scheme val="minor"/>
      </rPr>
      <t>ιωδα</t>
    </r>
    <r>
      <rPr>
        <sz val="11"/>
        <color theme="1"/>
        <rFont val="Calibri"/>
        <family val="2"/>
        <scheme val="minor"/>
      </rPr>
      <t xml:space="preserve"> ο συμβουλος</t>
    </r>
  </si>
  <si>
    <r>
      <t xml:space="preserve">υιος </t>
    </r>
    <r>
      <rPr>
        <b/>
        <sz val="11"/>
        <color theme="1"/>
        <rFont val="Calibri"/>
        <family val="2"/>
        <scheme val="minor"/>
      </rPr>
      <t>ιωδαε</t>
    </r>
    <r>
      <rPr>
        <sz val="11"/>
        <color theme="1"/>
        <rFont val="Calibri"/>
        <family val="2"/>
        <scheme val="minor"/>
      </rPr>
      <t xml:space="preserve"> ο συμβολος</t>
    </r>
  </si>
  <si>
    <r>
      <t xml:space="preserve">υιος ιωδα ο </t>
    </r>
    <r>
      <rPr>
        <b/>
        <sz val="11"/>
        <color theme="1"/>
        <rFont val="Calibri"/>
        <family val="2"/>
        <scheme val="minor"/>
      </rPr>
      <t>συμβουλος</t>
    </r>
  </si>
  <si>
    <r>
      <t xml:space="preserve">υιος ιωδαε ο </t>
    </r>
    <r>
      <rPr>
        <b/>
        <sz val="11"/>
        <color theme="1"/>
        <rFont val="Calibri"/>
        <family val="2"/>
        <scheme val="minor"/>
      </rPr>
      <t>συμβολος</t>
    </r>
  </si>
  <si>
    <t>και ο χερεθθε</t>
  </si>
  <si>
    <t>και οι χερεθει</t>
  </si>
  <si>
    <t>φελεθθει υιοι δαδ</t>
  </si>
  <si>
    <t>φελεθει υιοι δαβιδ</t>
  </si>
  <si>
    <r>
      <rPr>
        <b/>
        <sz val="11"/>
        <color theme="1"/>
        <rFont val="Calibri"/>
        <family val="2"/>
        <scheme val="minor"/>
      </rPr>
      <t>φελεθθει</t>
    </r>
    <r>
      <rPr>
        <sz val="11"/>
        <color theme="1"/>
        <rFont val="Calibri"/>
        <family val="2"/>
        <scheme val="minor"/>
      </rPr>
      <t xml:space="preserve"> υιοι δαδ</t>
    </r>
  </si>
  <si>
    <r>
      <rPr>
        <b/>
        <sz val="11"/>
        <color theme="1"/>
        <rFont val="Calibri"/>
        <family val="2"/>
        <scheme val="minor"/>
      </rPr>
      <t>φελεθει</t>
    </r>
    <r>
      <rPr>
        <sz val="11"/>
        <color theme="1"/>
        <rFont val="Calibri"/>
        <family val="2"/>
        <scheme val="minor"/>
      </rPr>
      <t xml:space="preserve"> υιοι δαβιδ</t>
    </r>
  </si>
  <si>
    <t>φελεθθει και οι υιοι δαβιδ</t>
  </si>
  <si>
    <t>ιωναθαν πεπληγως</t>
  </si>
  <si>
    <t>ιωναθαν και πεπληγως</t>
  </si>
  <si>
    <t>προσεκυνησεν αυτων</t>
  </si>
  <si>
    <t>προσεκυνησεν αυτω</t>
  </si>
  <si>
    <t>παραγινεται μεμφιβοσθαι</t>
  </si>
  <si>
    <t>παραγινεται μεμφιβοσθε</t>
  </si>
  <si>
    <t>ειπεν αυτω δαδ μεμφιβοσθαι</t>
  </si>
  <si>
    <t>ειπεν αυτω δαβιδ μεμφιβοσθε</t>
  </si>
  <si>
    <r>
      <rPr>
        <b/>
        <sz val="11"/>
        <color theme="1"/>
        <rFont val="Calibri"/>
        <family val="2"/>
        <scheme val="minor"/>
      </rPr>
      <t>εδωκα</t>
    </r>
    <r>
      <rPr>
        <sz val="11"/>
        <color theme="1"/>
        <rFont val="Calibri"/>
        <family val="2"/>
        <scheme val="minor"/>
      </rPr>
      <t xml:space="preserve"> τω οικω τω κυριω σου</t>
    </r>
  </si>
  <si>
    <r>
      <rPr>
        <b/>
        <sz val="11"/>
        <color theme="1"/>
        <rFont val="Calibri"/>
        <family val="2"/>
        <scheme val="minor"/>
      </rPr>
      <t>δεδωκα</t>
    </r>
    <r>
      <rPr>
        <sz val="11"/>
        <color theme="1"/>
        <rFont val="Calibri"/>
        <family val="2"/>
        <scheme val="minor"/>
      </rPr>
      <t xml:space="preserve"> τω οικω τω κυριω σου</t>
    </r>
  </si>
  <si>
    <r>
      <t xml:space="preserve">δεδωκα τω </t>
    </r>
    <r>
      <rPr>
        <b/>
        <sz val="11"/>
        <color theme="1"/>
        <rFont val="Calibri"/>
        <family val="2"/>
        <scheme val="minor"/>
      </rPr>
      <t>οικω τω κυριω σου</t>
    </r>
  </si>
  <si>
    <r>
      <t xml:space="preserve">εδωκα τω </t>
    </r>
    <r>
      <rPr>
        <b/>
        <sz val="11"/>
        <color theme="1"/>
        <rFont val="Calibri"/>
        <family val="2"/>
        <scheme val="minor"/>
      </rPr>
      <t>οικω τω κυριω σου</t>
    </r>
  </si>
  <si>
    <t>υιος του κυριου σου φαγεται</t>
  </si>
  <si>
    <t>υιος του ο κυριου φαγεται</t>
  </si>
  <si>
    <r>
      <t xml:space="preserve">υιος του </t>
    </r>
    <r>
      <rPr>
        <b/>
        <sz val="11"/>
        <color theme="1"/>
        <rFont val="Calibri"/>
        <family val="2"/>
        <scheme val="minor"/>
      </rPr>
      <t>ο</t>
    </r>
    <r>
      <rPr>
        <sz val="11"/>
        <color theme="1"/>
        <rFont val="Calibri"/>
        <family val="2"/>
        <scheme val="minor"/>
      </rPr>
      <t xml:space="preserve"> κυριου φαγεται</t>
    </r>
  </si>
  <si>
    <r>
      <t xml:space="preserve">υιος του κυριου </t>
    </r>
    <r>
      <rPr>
        <b/>
        <sz val="11"/>
        <color theme="1"/>
        <rFont val="Calibri"/>
        <family val="2"/>
        <scheme val="minor"/>
      </rPr>
      <t>σου</t>
    </r>
    <r>
      <rPr>
        <sz val="11"/>
        <color theme="1"/>
        <rFont val="Calibri"/>
        <family val="2"/>
        <scheme val="minor"/>
      </rPr>
      <t xml:space="preserve"> φαγεται</t>
    </r>
  </si>
  <si>
    <t>εντεταλται ο κυριος μου ο βασιλευς</t>
  </si>
  <si>
    <t>εντετειλται ο β κυριος μου βασιλευς</t>
  </si>
  <si>
    <r>
      <rPr>
        <b/>
        <sz val="11"/>
        <color theme="1"/>
        <rFont val="Calibri"/>
        <family val="2"/>
        <scheme val="minor"/>
      </rPr>
      <t>εντεταλται</t>
    </r>
    <r>
      <rPr>
        <sz val="11"/>
        <color theme="1"/>
        <rFont val="Calibri"/>
        <family val="2"/>
        <scheme val="minor"/>
      </rPr>
      <t xml:space="preserve"> ο κυριος μου ο βασιλευς</t>
    </r>
  </si>
  <si>
    <r>
      <rPr>
        <b/>
        <sz val="11"/>
        <color theme="1"/>
        <rFont val="Calibri"/>
        <family val="2"/>
        <scheme val="minor"/>
      </rPr>
      <t>εντετειλται</t>
    </r>
    <r>
      <rPr>
        <sz val="11"/>
        <color theme="1"/>
        <rFont val="Calibri"/>
        <family val="2"/>
        <scheme val="minor"/>
      </rPr>
      <t xml:space="preserve"> ο β κυριος μου βασιλευς</t>
    </r>
  </si>
  <si>
    <r>
      <t xml:space="preserve">εντετειλται ο </t>
    </r>
    <r>
      <rPr>
        <b/>
        <sz val="11"/>
        <color theme="1"/>
        <rFont val="Calibri"/>
        <family val="2"/>
        <scheme val="minor"/>
      </rPr>
      <t>β</t>
    </r>
    <r>
      <rPr>
        <sz val="11"/>
        <color theme="1"/>
        <rFont val="Calibri"/>
        <family val="2"/>
        <scheme val="minor"/>
      </rPr>
      <t xml:space="preserve"> κυριος μου βασιλευς</t>
    </r>
  </si>
  <si>
    <r>
      <t xml:space="preserve">εντεταλται ο κυριος μου </t>
    </r>
    <r>
      <rPr>
        <b/>
        <sz val="11"/>
        <color theme="1"/>
        <rFont val="Calibri"/>
        <family val="2"/>
        <scheme val="minor"/>
      </rPr>
      <t>ο</t>
    </r>
    <r>
      <rPr>
        <sz val="11"/>
        <color theme="1"/>
        <rFont val="Calibri"/>
        <family val="2"/>
        <scheme val="minor"/>
      </rPr>
      <t xml:space="preserve"> βασιλευς</t>
    </r>
  </si>
  <si>
    <t>και τω μεμφιβοσθαι</t>
  </si>
  <si>
    <t>δουλοι τω μεμφιβοσθαι</t>
  </si>
  <si>
    <t>και τω μεμφιβοσθε</t>
  </si>
  <si>
    <t>δουλοι τω μεμφιβοσθε</t>
  </si>
  <si>
    <t>κατοικησις αυτου οικου σιβα</t>
  </si>
  <si>
    <t>κατοικησις του σιβα</t>
  </si>
  <si>
    <t>απεθανεν βασιλευς</t>
  </si>
  <si>
    <t>απεθανεν ο βασιλευς</t>
  </si>
  <si>
    <t>εποιησεν ο πατου μετ εμου ελεος</t>
  </si>
  <si>
    <r>
      <t xml:space="preserve">εποιησεν ο </t>
    </r>
    <r>
      <rPr>
        <b/>
        <sz val="11"/>
        <color theme="1"/>
        <rFont val="Calibri"/>
        <family val="2"/>
        <scheme val="minor"/>
      </rPr>
      <t>πατου</t>
    </r>
    <r>
      <rPr>
        <sz val="11"/>
        <color theme="1"/>
        <rFont val="Calibri"/>
        <family val="2"/>
        <scheme val="minor"/>
      </rPr>
      <t xml:space="preserve"> μετ εμου ελεος</t>
    </r>
  </si>
  <si>
    <r>
      <t xml:space="preserve">εποιησεν ο </t>
    </r>
    <r>
      <rPr>
        <b/>
        <sz val="11"/>
        <color theme="1"/>
        <rFont val="Calibri"/>
        <family val="2"/>
        <scheme val="minor"/>
      </rPr>
      <t>πατηρ</t>
    </r>
    <r>
      <rPr>
        <sz val="11"/>
        <color theme="1"/>
        <rFont val="Calibri"/>
        <family val="2"/>
        <scheme val="minor"/>
      </rPr>
      <t xml:space="preserve"> αυτου μετ αυτου εμου ελεος</t>
    </r>
  </si>
  <si>
    <r>
      <t xml:space="preserve">εποιησεν ο πατηρ </t>
    </r>
    <r>
      <rPr>
        <b/>
        <sz val="11"/>
        <color theme="1"/>
        <rFont val="Calibri"/>
        <family val="2"/>
        <scheme val="minor"/>
      </rPr>
      <t>αυτου</t>
    </r>
    <r>
      <rPr>
        <sz val="11"/>
        <color theme="1"/>
        <rFont val="Calibri"/>
        <family val="2"/>
        <scheme val="minor"/>
      </rPr>
      <t xml:space="preserve"> μετ αυτου εμου ελεος</t>
    </r>
  </si>
  <si>
    <r>
      <t xml:space="preserve">εποιησεν ο πατηρ αυτου μετ </t>
    </r>
    <r>
      <rPr>
        <b/>
        <sz val="11"/>
        <color theme="1"/>
        <rFont val="Calibri"/>
        <family val="2"/>
        <scheme val="minor"/>
      </rPr>
      <t>αυτου</t>
    </r>
    <r>
      <rPr>
        <sz val="11"/>
        <color theme="1"/>
        <rFont val="Calibri"/>
        <family val="2"/>
        <scheme val="minor"/>
      </rPr>
      <t xml:space="preserve"> εμου ελεος</t>
    </r>
  </si>
  <si>
    <t>γην υιων αμμων</t>
  </si>
  <si>
    <t>γην των υιων αμμων</t>
  </si>
  <si>
    <t>εν τω ημισι εως</t>
  </si>
  <si>
    <t>εν τω ημισει εως</t>
  </si>
  <si>
    <t>πωγωνας υμων</t>
  </si>
  <si>
    <t>πωγωνας αυτων υμων</t>
  </si>
  <si>
    <t>χιλιους ανδρας και ιστωβ δωδεκα χιλιαδας ανδρων (7) και ηκουσεν</t>
  </si>
  <si>
    <t>χιλιους ανδρας (7) και ηκουσεν</t>
  </si>
  <si>
    <t>την δυναμιν τους δυνατους</t>
  </si>
  <si>
    <t>την δυναμιν των δυνατων</t>
  </si>
  <si>
    <t>παντων νεανισκων</t>
  </si>
  <si>
    <r>
      <t xml:space="preserve">παντων </t>
    </r>
    <r>
      <rPr>
        <b/>
        <sz val="11"/>
        <color theme="1"/>
        <rFont val="Calibri"/>
        <family val="2"/>
        <scheme val="minor"/>
      </rPr>
      <t>των</t>
    </r>
    <r>
      <rPr>
        <sz val="11"/>
        <color theme="1"/>
        <rFont val="Calibri"/>
        <family val="2"/>
        <scheme val="minor"/>
      </rPr>
      <t xml:space="preserve"> νεανιων</t>
    </r>
  </si>
  <si>
    <r>
      <t xml:space="preserve">παντων των </t>
    </r>
    <r>
      <rPr>
        <b/>
        <sz val="11"/>
        <color theme="1"/>
        <rFont val="Calibri"/>
        <family val="2"/>
        <scheme val="minor"/>
      </rPr>
      <t>νεανιων</t>
    </r>
  </si>
  <si>
    <t>εν χειρι</t>
  </si>
  <si>
    <t>προσωπου αυτου συρια (14) και οι υιοι</t>
  </si>
  <si>
    <t>προσωπου αυτου (14) και οι υιοι</t>
  </si>
  <si>
    <t>την συριαν την εκ του περαν</t>
  </si>
  <si>
    <t>την συριαν εκ του περαν</t>
  </si>
  <si>
    <t>και ειλεν δαδ</t>
  </si>
  <si>
    <t>και ανειλεν δαβιδ</t>
  </si>
  <si>
    <t>τον απαντα ιηλ</t>
  </si>
  <si>
    <t>τον παντα ισραηλ</t>
  </si>
  <si>
    <t>απο τη κοιτης</t>
  </si>
  <si>
    <t>απο της κοιτης</t>
  </si>
  <si>
    <t>λουομενην</t>
  </si>
  <si>
    <t>ελιαβ γυνη ουριου</t>
  </si>
  <si>
    <t>ελιαβ η γυνη ουριου</t>
  </si>
  <si>
    <t>ελαβεν αυτην και εισηλθεν προς αυτην και εκοιμηθη</t>
  </si>
  <si>
    <t>ελαβεν αυτην και εκοιμηθη</t>
  </si>
  <si>
    <t>απο ακαθαρσιας</t>
  </si>
  <si>
    <t>απο καθαρσιας</t>
  </si>
  <si>
    <t>εν γαστρι εχω</t>
  </si>
  <si>
    <t>εν γαστρι εχων</t>
  </si>
  <si>
    <t>απεστειλεν ιωαβ</t>
  </si>
  <si>
    <t>απεστειλεν ο ιωαβ</t>
  </si>
  <si>
    <t>παραγινεται ουριας</t>
  </si>
  <si>
    <t>παραγινεται ουροας</t>
  </si>
  <si>
    <t>προς αυτον</t>
  </si>
  <si>
    <t>προς δαβ αυτον</t>
  </si>
  <si>
    <t>αρσις</t>
  </si>
  <si>
    <t>κατεβη εις τον οικον</t>
  </si>
  <si>
    <t>κατεβη ουριας εις τον οικον</t>
  </si>
  <si>
    <t>ουχι εξ οδου συ ερχη</t>
  </si>
  <si>
    <t>ουχι συ εξ οδου ερχη</t>
  </si>
  <si>
    <t>Alex. = καταβη (corrected to καταβης); 7522A = κατεβης</t>
  </si>
  <si>
    <t>ει κιβωτος</t>
  </si>
  <si>
    <t>ει η κιβωτος</t>
  </si>
  <si>
    <t>γυναικος μου πως</t>
  </si>
  <si>
    <t>γυναικος μου και πως</t>
  </si>
  <si>
    <t>και πε σημερον</t>
  </si>
  <si>
    <t>καιγε σημερον</t>
  </si>
  <si>
    <t>και επιεν και εμεθυσεν</t>
  </si>
  <si>
    <t>και ειπεν επιεν και εμεθυσεν</t>
  </si>
  <si>
    <t>του κυριου αυτων</t>
  </si>
  <si>
    <t>του κυριου αυτου</t>
  </si>
  <si>
    <t>του πολεμου του κραταιου</t>
  </si>
  <si>
    <t>του πολεμου και κραταιου</t>
  </si>
  <si>
    <r>
      <rPr>
        <b/>
        <sz val="11"/>
        <color theme="1"/>
        <rFont val="Calibri"/>
        <family val="2"/>
        <scheme val="minor"/>
      </rPr>
      <t>απ</t>
    </r>
    <r>
      <rPr>
        <sz val="11"/>
        <color theme="1"/>
        <rFont val="Calibri"/>
        <family val="2"/>
        <scheme val="minor"/>
      </rPr>
      <t xml:space="preserve"> αποστραφησεσθε</t>
    </r>
  </si>
  <si>
    <r>
      <t xml:space="preserve">απ </t>
    </r>
    <r>
      <rPr>
        <b/>
        <sz val="11"/>
        <color theme="1"/>
        <rFont val="Calibri"/>
        <family val="2"/>
        <scheme val="minor"/>
      </rPr>
      <t>αποστραφησεσθε</t>
    </r>
  </si>
  <si>
    <r>
      <t xml:space="preserve">ιωαβ και </t>
    </r>
    <r>
      <rPr>
        <b/>
        <sz val="11"/>
        <color theme="1"/>
        <rFont val="Calibri"/>
        <family val="2"/>
        <scheme val="minor"/>
      </rPr>
      <t>επεσαν</t>
    </r>
    <r>
      <rPr>
        <sz val="11"/>
        <color theme="1"/>
        <rFont val="Calibri"/>
        <family val="2"/>
        <scheme val="minor"/>
      </rPr>
      <t xml:space="preserve"> εκ του λαου</t>
    </r>
  </si>
  <si>
    <r>
      <t xml:space="preserve">ιωαβ και επεσαν </t>
    </r>
    <r>
      <rPr>
        <b/>
        <sz val="11"/>
        <color theme="1"/>
        <rFont val="Calibri"/>
        <family val="2"/>
        <scheme val="minor"/>
      </rPr>
      <t>εκ</t>
    </r>
    <r>
      <rPr>
        <sz val="11"/>
        <color theme="1"/>
        <rFont val="Calibri"/>
        <family val="2"/>
        <scheme val="minor"/>
      </rPr>
      <t xml:space="preserve"> του λαου</t>
    </r>
  </si>
  <si>
    <r>
      <t xml:space="preserve">ιωαβ και επεσαν </t>
    </r>
    <r>
      <rPr>
        <b/>
        <sz val="11"/>
        <color theme="1"/>
        <rFont val="Calibri"/>
        <family val="2"/>
        <scheme val="minor"/>
      </rPr>
      <t>απο</t>
    </r>
    <r>
      <rPr>
        <sz val="11"/>
        <color theme="1"/>
        <rFont val="Calibri"/>
        <family val="2"/>
        <scheme val="minor"/>
      </rPr>
      <t xml:space="preserve"> του λαου</t>
    </r>
  </si>
  <si>
    <r>
      <t xml:space="preserve">ιωαβ και </t>
    </r>
    <r>
      <rPr>
        <b/>
        <sz val="11"/>
        <color theme="1"/>
        <rFont val="Calibri"/>
        <family val="2"/>
        <scheme val="minor"/>
      </rPr>
      <t>επεσαν</t>
    </r>
    <r>
      <rPr>
        <sz val="11"/>
        <color theme="1"/>
        <rFont val="Calibri"/>
        <family val="2"/>
        <scheme val="minor"/>
      </rPr>
      <t xml:space="preserve"> απο του λαου</t>
    </r>
  </si>
  <si>
    <t>εαν αμαβη ο θυμος</t>
  </si>
  <si>
    <t>εαν ο θυμος</t>
  </si>
  <si>
    <t>adds αναβη</t>
  </si>
  <si>
    <t>υιον ιεροβοαμ</t>
  </si>
  <si>
    <t>υιον ιεροβααα</t>
  </si>
  <si>
    <t>υιον ιεροβααλ</t>
  </si>
  <si>
    <t>κλασμα μυλου</t>
  </si>
  <si>
    <t>κλασμου μυλου</t>
  </si>
  <si>
    <t>εξηλθαν προς ημας εις τον αγρον</t>
  </si>
  <si>
    <r>
      <rPr>
        <b/>
        <sz val="11"/>
        <color theme="1"/>
        <rFont val="Calibri"/>
        <family val="2"/>
        <scheme val="minor"/>
      </rPr>
      <t>εξηλθαν</t>
    </r>
    <r>
      <rPr>
        <sz val="11"/>
        <color theme="1"/>
        <rFont val="Calibri"/>
        <family val="2"/>
        <scheme val="minor"/>
      </rPr>
      <t xml:space="preserve"> προς ημας εις τον αγρον</t>
    </r>
  </si>
  <si>
    <r>
      <t xml:space="preserve">εξηλθαν </t>
    </r>
    <r>
      <rPr>
        <b/>
        <sz val="11"/>
        <color theme="1"/>
        <rFont val="Calibri"/>
        <family val="2"/>
        <scheme val="minor"/>
      </rPr>
      <t>προς</t>
    </r>
    <r>
      <rPr>
        <sz val="11"/>
        <color theme="1"/>
        <rFont val="Calibri"/>
        <family val="2"/>
        <scheme val="minor"/>
      </rPr>
      <t xml:space="preserve"> ημας εις τον αγρον</t>
    </r>
  </si>
  <si>
    <r>
      <rPr>
        <b/>
        <sz val="11"/>
        <color theme="1"/>
        <rFont val="Calibri"/>
        <family val="2"/>
        <scheme val="minor"/>
      </rPr>
      <t>εξηλθαν</t>
    </r>
    <r>
      <rPr>
        <sz val="11"/>
        <color theme="1"/>
        <rFont val="Calibri"/>
        <family val="2"/>
        <scheme val="minor"/>
      </rPr>
      <t xml:space="preserve"> εις ημας ες εις τον αγρον</t>
    </r>
  </si>
  <si>
    <r>
      <t xml:space="preserve">εξηλθαν </t>
    </r>
    <r>
      <rPr>
        <b/>
        <sz val="11"/>
        <color theme="1"/>
        <rFont val="Calibri"/>
        <family val="2"/>
        <scheme val="minor"/>
      </rPr>
      <t>εις</t>
    </r>
    <r>
      <rPr>
        <sz val="11"/>
        <color theme="1"/>
        <rFont val="Calibri"/>
        <family val="2"/>
        <scheme val="minor"/>
      </rPr>
      <t xml:space="preserve"> ημας ες εις τον αγρον</t>
    </r>
  </si>
  <si>
    <r>
      <t xml:space="preserve">εξηλθαν εις ημας </t>
    </r>
    <r>
      <rPr>
        <b/>
        <sz val="11"/>
        <color theme="1"/>
        <rFont val="Calibri"/>
        <family val="2"/>
        <scheme val="minor"/>
      </rPr>
      <t>ες</t>
    </r>
    <r>
      <rPr>
        <sz val="11"/>
        <color theme="1"/>
        <rFont val="Calibri"/>
        <family val="2"/>
        <scheme val="minor"/>
      </rPr>
      <t xml:space="preserve"> εις τον αγρον</t>
    </r>
  </si>
  <si>
    <t>letters are unclear, but something was there and crossed out</t>
  </si>
  <si>
    <t>εως της θυρας της πυλης</t>
  </si>
  <si>
    <t>εως της πυλης</t>
  </si>
  <si>
    <t>πονηρον εστων εν οφθαλμοις</t>
  </si>
  <si>
    <t>πονηρον εστω εν οφθαλμοις</t>
  </si>
  <si>
    <t>και ηλθεν το πενθος</t>
  </si>
  <si>
    <t>και διηλθεν το πενθος</t>
  </si>
  <si>
    <t>λαβειν εκ των ποιμνιων</t>
  </si>
  <si>
    <t>λαβειν αυτην εκ των ποιμνιων</t>
  </si>
  <si>
    <t>αμναδαια ποτισει</t>
  </si>
  <si>
    <t>αμναδα αποτισει</t>
  </si>
  <si>
    <t>ει ο ανηρ ο ποιησας</t>
  </si>
  <si>
    <t>ει ανηρ ο ποιησας</t>
  </si>
  <si>
    <t>ειμι χρισας</t>
  </si>
  <si>
    <t>ειμι ο χρισας</t>
  </si>
  <si>
    <t>γυναικας του κυριου</t>
  </si>
  <si>
    <t>γυναικας του κ κυριου</t>
  </si>
  <si>
    <t>και ει μικρον εστιν προσθησω</t>
  </si>
  <si>
    <r>
      <t xml:space="preserve">και </t>
    </r>
    <r>
      <rPr>
        <b/>
        <sz val="11"/>
        <color theme="1"/>
        <rFont val="Calibri"/>
        <family val="2"/>
        <scheme val="minor"/>
      </rPr>
      <t>σμικρον</t>
    </r>
    <r>
      <rPr>
        <sz val="11"/>
        <color theme="1"/>
        <rFont val="Calibri"/>
        <family val="2"/>
        <scheme val="minor"/>
      </rPr>
      <t xml:space="preserve"> εστιν και προσθησω</t>
    </r>
  </si>
  <si>
    <r>
      <t xml:space="preserve">και σμικρον εστιν </t>
    </r>
    <r>
      <rPr>
        <b/>
        <sz val="11"/>
        <color theme="1"/>
        <rFont val="Calibri"/>
        <family val="2"/>
        <scheme val="minor"/>
      </rPr>
      <t>και</t>
    </r>
    <r>
      <rPr>
        <sz val="11"/>
        <color theme="1"/>
        <rFont val="Calibri"/>
        <family val="2"/>
        <scheme val="minor"/>
      </rPr>
      <t xml:space="preserve"> προσθησω</t>
    </r>
  </si>
  <si>
    <t>του εισαι σοι</t>
  </si>
  <si>
    <t>του ειναι σοι</t>
  </si>
  <si>
    <t>εξεγερω επι σε</t>
  </si>
  <si>
    <t>εξεγερω σοι επι σε</t>
  </si>
  <si>
    <r>
      <t xml:space="preserve">ιηλ και </t>
    </r>
    <r>
      <rPr>
        <b/>
        <sz val="11"/>
        <color theme="1"/>
        <rFont val="Calibri"/>
        <family val="2"/>
        <scheme val="minor"/>
      </rPr>
      <t>απεναντι</t>
    </r>
    <r>
      <rPr>
        <sz val="11"/>
        <color theme="1"/>
        <rFont val="Calibri"/>
        <family val="2"/>
        <scheme val="minor"/>
      </rPr>
      <t xml:space="preserve"> τουτου του ηλιου</t>
    </r>
  </si>
  <si>
    <r>
      <t xml:space="preserve">ισραηλ και </t>
    </r>
    <r>
      <rPr>
        <b/>
        <sz val="11"/>
        <color theme="1"/>
        <rFont val="Calibri"/>
        <family val="2"/>
        <scheme val="minor"/>
      </rPr>
      <t>εναντιαν</t>
    </r>
    <r>
      <rPr>
        <sz val="11"/>
        <color theme="1"/>
        <rFont val="Calibri"/>
        <family val="2"/>
        <scheme val="minor"/>
      </rPr>
      <t xml:space="preserve"> του τουτου ηλιου</t>
    </r>
  </si>
  <si>
    <r>
      <t xml:space="preserve">ισραηλ και εναντιαν </t>
    </r>
    <r>
      <rPr>
        <b/>
        <sz val="11"/>
        <color theme="1"/>
        <rFont val="Calibri"/>
        <family val="2"/>
        <scheme val="minor"/>
      </rPr>
      <t>του</t>
    </r>
    <r>
      <rPr>
        <sz val="11"/>
        <color theme="1"/>
        <rFont val="Calibri"/>
        <family val="2"/>
        <scheme val="minor"/>
      </rPr>
      <t xml:space="preserve"> </t>
    </r>
    <r>
      <rPr>
        <b/>
        <sz val="11"/>
        <color theme="1"/>
        <rFont val="Calibri"/>
        <family val="2"/>
        <scheme val="minor"/>
      </rPr>
      <t>τουτου</t>
    </r>
    <r>
      <rPr>
        <sz val="11"/>
        <color theme="1"/>
        <rFont val="Calibri"/>
        <family val="2"/>
        <scheme val="minor"/>
      </rPr>
      <t xml:space="preserve"> ηλιου</t>
    </r>
  </si>
  <si>
    <r>
      <t xml:space="preserve">ιηλ και απεναντι </t>
    </r>
    <r>
      <rPr>
        <b/>
        <sz val="11"/>
        <color theme="1"/>
        <rFont val="Calibri"/>
        <family val="2"/>
        <scheme val="minor"/>
      </rPr>
      <t>τουτου του</t>
    </r>
    <r>
      <rPr>
        <sz val="11"/>
        <color theme="1"/>
        <rFont val="Calibri"/>
        <family val="2"/>
        <scheme val="minor"/>
      </rPr>
      <t xml:space="preserve"> ηλιου</t>
    </r>
  </si>
  <si>
    <t>εν τη ημερα τη εβδομη</t>
  </si>
  <si>
    <t>εν τη ημερα εβδομη</t>
  </si>
  <si>
    <r>
      <t xml:space="preserve">παιδαριου </t>
    </r>
    <r>
      <rPr>
        <b/>
        <sz val="11"/>
        <color theme="1"/>
        <rFont val="Calibri"/>
        <family val="2"/>
        <scheme val="minor"/>
      </rPr>
      <t>οτι</t>
    </r>
    <r>
      <rPr>
        <sz val="11"/>
        <color theme="1"/>
        <rFont val="Calibri"/>
        <family val="2"/>
        <scheme val="minor"/>
      </rPr>
      <t xml:space="preserve"> ζωντος ενηστευες και εκλαιες</t>
    </r>
  </si>
  <si>
    <r>
      <t xml:space="preserve">παιδαριου </t>
    </r>
    <r>
      <rPr>
        <b/>
        <sz val="11"/>
        <color theme="1"/>
        <rFont val="Calibri"/>
        <family val="2"/>
        <scheme val="minor"/>
      </rPr>
      <t>οτι</t>
    </r>
    <r>
      <rPr>
        <sz val="11"/>
        <color theme="1"/>
        <rFont val="Calibri"/>
        <family val="2"/>
        <scheme val="minor"/>
      </rPr>
      <t xml:space="preserve"> ζωντος ενηστευσας και εκλαιες</t>
    </r>
  </si>
  <si>
    <r>
      <t xml:space="preserve">παιδαριου οτι ζωντος </t>
    </r>
    <r>
      <rPr>
        <b/>
        <sz val="11"/>
        <color theme="1"/>
        <rFont val="Calibri"/>
        <family val="2"/>
        <scheme val="minor"/>
      </rPr>
      <t>ενηστευες</t>
    </r>
    <r>
      <rPr>
        <sz val="11"/>
        <color theme="1"/>
        <rFont val="Calibri"/>
        <family val="2"/>
        <scheme val="minor"/>
      </rPr>
      <t xml:space="preserve"> και εκλαιες</t>
    </r>
  </si>
  <si>
    <r>
      <t xml:space="preserve">παιδαριου οτι ζωντος </t>
    </r>
    <r>
      <rPr>
        <b/>
        <sz val="11"/>
        <color theme="1"/>
        <rFont val="Calibri"/>
        <family val="2"/>
        <scheme val="minor"/>
      </rPr>
      <t>ενηστευσας</t>
    </r>
    <r>
      <rPr>
        <sz val="11"/>
        <color theme="1"/>
        <rFont val="Calibri"/>
        <family val="2"/>
        <scheme val="minor"/>
      </rPr>
      <t xml:space="preserve"> και εκλαιες</t>
    </r>
  </si>
  <si>
    <t>παιδαριον ανεστης</t>
  </si>
  <si>
    <t>παιδαριον εστης</t>
  </si>
  <si>
    <t>εν τω το παιδαριον ετι ζην</t>
  </si>
  <si>
    <t>εν τω παιδαριον ετι ζην</t>
  </si>
  <si>
    <t>οτι ειπα τις οιδεν</t>
  </si>
  <si>
    <t>οτι ινα τις οιδεν</t>
  </si>
  <si>
    <t>ει ελεησει με</t>
  </si>
  <si>
    <t>ει ελεησεται με</t>
  </si>
  <si>
    <t>επιστρεψαι αυτο</t>
  </si>
  <si>
    <t>επιστρεψαι αυτον</t>
  </si>
  <si>
    <t>δαδ την βηθσαβεε γυναικα</t>
  </si>
  <si>
    <t>δαβιδ βηρσαβεε γυναικα</t>
  </si>
  <si>
    <t>και νυν συ αγαγε το ναταλοιπον</t>
  </si>
  <si>
    <r>
      <t xml:space="preserve">και νυν συ </t>
    </r>
    <r>
      <rPr>
        <b/>
        <sz val="11"/>
        <color theme="1"/>
        <rFont val="Calibri"/>
        <family val="2"/>
        <scheme val="minor"/>
      </rPr>
      <t>καταγαγε</t>
    </r>
    <r>
      <rPr>
        <sz val="11"/>
        <color theme="1"/>
        <rFont val="Calibri"/>
        <family val="2"/>
        <scheme val="minor"/>
      </rPr>
      <t xml:space="preserve"> το καταλοιπον</t>
    </r>
  </si>
  <si>
    <r>
      <t xml:space="preserve">και νυν συ καταγαγε το </t>
    </r>
    <r>
      <rPr>
        <b/>
        <sz val="11"/>
        <color theme="1"/>
        <rFont val="Calibri"/>
        <family val="2"/>
        <scheme val="minor"/>
      </rPr>
      <t>καταλοιπον</t>
    </r>
  </si>
  <si>
    <t>παρεμβαλε</t>
  </si>
  <si>
    <t>ονομα αυτου επ αυτην</t>
  </si>
  <si>
    <t>ονομα μου επ αυτην</t>
  </si>
  <si>
    <t>εποιησεν εν πασιν τοις πολεσιν</t>
  </si>
  <si>
    <t>εποιησεν πασαις τοις πολεσιν</t>
  </si>
  <si>
    <t>υιων αμμων</t>
  </si>
  <si>
    <t>υιον αμμων</t>
  </si>
  <si>
    <t>τω αβεσσαλωμ υιω δαδ αδελφη</t>
  </si>
  <si>
    <t>τω αβεσσαλωμ αδελφη</t>
  </si>
  <si>
    <r>
      <t xml:space="preserve">ονομα </t>
    </r>
    <r>
      <rPr>
        <b/>
        <sz val="11"/>
        <color theme="1"/>
        <rFont val="Calibri"/>
        <family val="2"/>
        <scheme val="minor"/>
      </rPr>
      <t>αυτη</t>
    </r>
    <r>
      <rPr>
        <sz val="11"/>
        <color theme="1"/>
        <rFont val="Calibri"/>
        <family val="2"/>
        <scheme val="minor"/>
      </rPr>
      <t xml:space="preserve"> θημαρ</t>
    </r>
  </si>
  <si>
    <r>
      <t xml:space="preserve">ανομα </t>
    </r>
    <r>
      <rPr>
        <b/>
        <sz val="11"/>
        <color theme="1"/>
        <rFont val="Calibri"/>
        <family val="2"/>
        <scheme val="minor"/>
      </rPr>
      <t>αυτης</t>
    </r>
    <r>
      <rPr>
        <sz val="11"/>
        <color theme="1"/>
        <rFont val="Calibri"/>
        <family val="2"/>
        <scheme val="minor"/>
      </rPr>
      <t xml:space="preserve"> θαμαρ</t>
    </r>
  </si>
  <si>
    <r>
      <t xml:space="preserve">ονομα αυτη </t>
    </r>
    <r>
      <rPr>
        <b/>
        <sz val="11"/>
        <color theme="1"/>
        <rFont val="Calibri"/>
        <family val="2"/>
        <scheme val="minor"/>
      </rPr>
      <t>θημαρ</t>
    </r>
  </si>
  <si>
    <r>
      <t xml:space="preserve">ανομα αυτης </t>
    </r>
    <r>
      <rPr>
        <b/>
        <sz val="11"/>
        <color theme="1"/>
        <rFont val="Calibri"/>
        <family val="2"/>
        <scheme val="minor"/>
      </rPr>
      <t>θαμαρ</t>
    </r>
  </si>
  <si>
    <t>του ποιησαι αυτην (3) και ην</t>
  </si>
  <si>
    <t>απαγγελεις μοι και ειπεν</t>
  </si>
  <si>
    <t>απαγγελεις με και ειπεν</t>
  </si>
  <si>
    <t>αδελφην αβεσσαλωμ του αδελφου</t>
  </si>
  <si>
    <t>αδελφην του αβεσσαλωμ του αδελφου</t>
  </si>
  <si>
    <t>ελθετω</t>
  </si>
  <si>
    <r>
      <rPr>
        <b/>
        <sz val="11"/>
        <color theme="1"/>
        <rFont val="Calibri"/>
        <family val="2"/>
        <scheme val="minor"/>
      </rPr>
      <t>ελθατω</t>
    </r>
    <r>
      <rPr>
        <sz val="11"/>
        <color theme="1"/>
        <rFont val="Calibri"/>
        <family val="2"/>
        <scheme val="minor"/>
      </rPr>
      <t xml:space="preserve"> δη θημαρ</t>
    </r>
  </si>
  <si>
    <r>
      <t xml:space="preserve">ελθατω </t>
    </r>
    <r>
      <rPr>
        <b/>
        <sz val="11"/>
        <color theme="1"/>
        <rFont val="Calibri"/>
        <family val="2"/>
        <scheme val="minor"/>
      </rPr>
      <t>δη</t>
    </r>
    <r>
      <rPr>
        <sz val="11"/>
        <color theme="1"/>
        <rFont val="Calibri"/>
        <family val="2"/>
        <scheme val="minor"/>
      </rPr>
      <t xml:space="preserve"> θημαρ</t>
    </r>
  </si>
  <si>
    <t>ελθατω θαμαρ</t>
  </si>
  <si>
    <r>
      <rPr>
        <b/>
        <sz val="11"/>
        <color theme="1"/>
        <rFont val="Calibri"/>
        <family val="2"/>
        <scheme val="minor"/>
      </rPr>
      <t>ελθατω</t>
    </r>
    <r>
      <rPr>
        <sz val="11"/>
        <color theme="1"/>
        <rFont val="Calibri"/>
        <family val="2"/>
        <scheme val="minor"/>
      </rPr>
      <t xml:space="preserve"> θαμαρ</t>
    </r>
  </si>
  <si>
    <r>
      <t xml:space="preserve">ελθατω δη </t>
    </r>
    <r>
      <rPr>
        <b/>
        <sz val="11"/>
        <color theme="1"/>
        <rFont val="Calibri"/>
        <family val="2"/>
        <scheme val="minor"/>
      </rPr>
      <t>θημαρ</t>
    </r>
  </si>
  <si>
    <r>
      <t xml:space="preserve">ελθατω </t>
    </r>
    <r>
      <rPr>
        <b/>
        <sz val="11"/>
        <color theme="1"/>
        <rFont val="Calibri"/>
        <family val="2"/>
        <scheme val="minor"/>
      </rPr>
      <t>θαμαρ</t>
    </r>
  </si>
  <si>
    <t>εις τον οικον</t>
  </si>
  <si>
    <t>εις οικον</t>
  </si>
  <si>
    <t>ηψεν τας κολλυριδας</t>
  </si>
  <si>
    <t>ηψεν της κολλυριδας</t>
  </si>
  <si>
    <t>προς θημαρ</t>
  </si>
  <si>
    <t>ελαβεν θημαρ</t>
  </si>
  <si>
    <t>αδελφω αυτης εις</t>
  </si>
  <si>
    <t>αδελφω αυτους εις</t>
  </si>
  <si>
    <t>εις τον κοιτωναν</t>
  </si>
  <si>
    <t>εις τον κοιτωνα</t>
  </si>
  <si>
    <t>αμμων ακουσαι</t>
  </si>
  <si>
    <r>
      <rPr>
        <b/>
        <sz val="11"/>
        <color theme="1"/>
        <rFont val="Calibri"/>
        <family val="2"/>
        <scheme val="minor"/>
      </rPr>
      <t>αμνων</t>
    </r>
    <r>
      <rPr>
        <sz val="11"/>
        <color theme="1"/>
        <rFont val="Calibri"/>
        <family val="2"/>
        <scheme val="minor"/>
      </rPr>
      <t xml:space="preserve"> του ακουσαι</t>
    </r>
  </si>
  <si>
    <r>
      <rPr>
        <b/>
        <sz val="11"/>
        <color theme="1"/>
        <rFont val="Calibri"/>
        <family val="2"/>
        <scheme val="minor"/>
      </rPr>
      <t>αμμων</t>
    </r>
    <r>
      <rPr>
        <sz val="11"/>
        <color theme="1"/>
        <rFont val="Calibri"/>
        <family val="2"/>
        <scheme val="minor"/>
      </rPr>
      <t xml:space="preserve"> ακουσαι</t>
    </r>
  </si>
  <si>
    <r>
      <t xml:space="preserve">αμνων </t>
    </r>
    <r>
      <rPr>
        <b/>
        <sz val="11"/>
        <color theme="1"/>
        <rFont val="Calibri"/>
        <family val="2"/>
        <scheme val="minor"/>
      </rPr>
      <t>του</t>
    </r>
    <r>
      <rPr>
        <sz val="11"/>
        <color theme="1"/>
        <rFont val="Calibri"/>
        <family val="2"/>
        <scheme val="minor"/>
      </rPr>
      <t xml:space="preserve"> ακουσαι</t>
    </r>
  </si>
  <si>
    <t>το μισος ο εμισησεν</t>
  </si>
  <si>
    <t>το μισος εμισησεν</t>
  </si>
  <si>
    <t>ουκ ηοελησεν</t>
  </si>
  <si>
    <t>ουκ ηθελησεν</t>
  </si>
  <si>
    <t>της φωνης αυτης</t>
  </si>
  <si>
    <t>της φωνης αυτου</t>
  </si>
  <si>
    <t>κραζουσα</t>
  </si>
  <si>
    <t>ο αδελφος μου εγενετο</t>
  </si>
  <si>
    <t>και νυν αδελφη μου κωφευσον</t>
  </si>
  <si>
    <t>και νυν κωφευσον</t>
  </si>
  <si>
    <t>ελαλησεν αβεσσαλωμ μετα αμνων απο πονηρου</t>
  </si>
  <si>
    <t>ελαλησεν αμνων μετα αβεσσαλωμ μετα αμνων απο πονηρου</t>
  </si>
  <si>
    <t>τη εχομενα εφραιμ</t>
  </si>
  <si>
    <t>τη εχομενη εφραιμ</t>
  </si>
  <si>
    <t>ου μη καταβαρυνθυμεν</t>
  </si>
  <si>
    <t>ου μη βαρυνουμεν</t>
  </si>
  <si>
    <t>ηθελησεν του πορευθηναι</t>
  </si>
  <si>
    <t>ηθελησεν πορευθηναι</t>
  </si>
  <si>
    <t>απεστειλεν μετ αυτου</t>
  </si>
  <si>
    <t>απεστειλεν μεθ αυτου</t>
  </si>
  <si>
    <t>απεκριθη ιωναδαβ</t>
  </si>
  <si>
    <t>απεκριθη ιωαναδαβ</t>
  </si>
  <si>
    <t>υιος σαμα αδελφου</t>
  </si>
  <si>
    <t>υιος σαμαα αδελφου</t>
  </si>
  <si>
    <t>αδελφου δαδ μη ειπως κυριος μου</t>
  </si>
  <si>
    <t>μονωτατος</t>
  </si>
  <si>
    <t>αυτου ρημα</t>
  </si>
  <si>
    <t>αυτου το ρημα</t>
  </si>
  <si>
    <t>υιοι του βασιλεως απεθανον</t>
  </si>
  <si>
    <t>υιοι του βασιλεως απεθανεν</t>
  </si>
  <si>
    <t>των ορεων ην</t>
  </si>
  <si>
    <t>των ωρωνην</t>
  </si>
  <si>
    <t>παρεισιν</t>
  </si>
  <si>
    <t>το ρημα τουτο και εθηκεν</t>
  </si>
  <si>
    <t>το ρημα τουτον και εθηκεν</t>
  </si>
  <si>
    <t>η γυνη η θεκωιτις</t>
  </si>
  <si>
    <t>η γυνη θεκωιτις</t>
  </si>
  <si>
    <t>προσεκυνησεν αυτω σωσον</t>
  </si>
  <si>
    <t>προσεκυνησεν αυτω και ειπεν σωσον</t>
  </si>
  <si>
    <t>εις τον ενα αδελφον</t>
  </si>
  <si>
    <t>εις τον αδελφ[ον]</t>
  </si>
  <si>
    <t>εξαρουμεν</t>
  </si>
  <si>
    <r>
      <rPr>
        <b/>
        <sz val="11"/>
        <color theme="1"/>
        <rFont val="Calibri"/>
        <family val="2"/>
        <scheme val="minor"/>
      </rPr>
      <t>σβεσουσιν</t>
    </r>
    <r>
      <rPr>
        <sz val="11"/>
        <color theme="1"/>
        <rFont val="Calibri"/>
        <family val="2"/>
        <scheme val="minor"/>
      </rPr>
      <t xml:space="preserve"> τον ανθρακα μου</t>
    </r>
  </si>
  <si>
    <r>
      <rPr>
        <b/>
        <sz val="11"/>
        <color theme="1"/>
        <rFont val="Calibri"/>
        <family val="2"/>
        <scheme val="minor"/>
      </rPr>
      <t>σβεσουσι</t>
    </r>
    <r>
      <rPr>
        <sz val="11"/>
        <color theme="1"/>
        <rFont val="Calibri"/>
        <family val="2"/>
        <scheme val="minor"/>
      </rPr>
      <t xml:space="preserve"> τον ανθρακαν μου</t>
    </r>
  </si>
  <si>
    <r>
      <t xml:space="preserve">σβεσουσιν τον </t>
    </r>
    <r>
      <rPr>
        <b/>
        <sz val="11"/>
        <color theme="1"/>
        <rFont val="Calibri"/>
        <family val="2"/>
        <scheme val="minor"/>
      </rPr>
      <t>ανθρακα</t>
    </r>
    <r>
      <rPr>
        <sz val="11"/>
        <color theme="1"/>
        <rFont val="Calibri"/>
        <family val="2"/>
        <scheme val="minor"/>
      </rPr>
      <t xml:space="preserve"> μου</t>
    </r>
  </si>
  <si>
    <r>
      <t xml:space="preserve">σβεσουσι τον </t>
    </r>
    <r>
      <rPr>
        <b/>
        <sz val="11"/>
        <color theme="1"/>
        <rFont val="Calibri"/>
        <family val="2"/>
        <scheme val="minor"/>
      </rPr>
      <t>ανθρακαν</t>
    </r>
    <r>
      <rPr>
        <sz val="11"/>
        <color theme="1"/>
        <rFont val="Calibri"/>
        <family val="2"/>
        <scheme val="minor"/>
      </rPr>
      <t xml:space="preserve"> μου</t>
    </r>
  </si>
  <si>
    <t>λειμμα</t>
  </si>
  <si>
    <t>βαδιζε</t>
  </si>
  <si>
    <r>
      <t xml:space="preserve">η γυνη </t>
    </r>
    <r>
      <rPr>
        <b/>
        <sz val="11"/>
        <color theme="1"/>
        <rFont val="Calibri"/>
        <family val="2"/>
        <scheme val="minor"/>
      </rPr>
      <t>η</t>
    </r>
    <r>
      <rPr>
        <sz val="11"/>
        <color theme="1"/>
        <rFont val="Calibri"/>
        <family val="2"/>
        <scheme val="minor"/>
      </rPr>
      <t xml:space="preserve"> θεκωειτις</t>
    </r>
  </si>
  <si>
    <r>
      <t xml:space="preserve">η γυνη η </t>
    </r>
    <r>
      <rPr>
        <b/>
        <sz val="11"/>
        <color theme="1"/>
        <rFont val="Calibri"/>
        <family val="2"/>
        <scheme val="minor"/>
      </rPr>
      <t>θεκωειτις</t>
    </r>
  </si>
  <si>
    <r>
      <t xml:space="preserve">η γυνη </t>
    </r>
    <r>
      <rPr>
        <b/>
        <sz val="11"/>
        <color theme="1"/>
        <rFont val="Calibri"/>
        <family val="2"/>
        <scheme val="minor"/>
      </rPr>
      <t>θεκωιτις</t>
    </r>
  </si>
  <si>
    <t>βασιλευ η ανομια</t>
  </si>
  <si>
    <t>βασιλευ ανομια</t>
  </si>
  <si>
    <t>επι τον οικον</t>
  </si>
  <si>
    <t>επ οικον</t>
  </si>
  <si>
    <t>και αξεις αυτον</t>
  </si>
  <si>
    <t>και αξει αυτον</t>
  </si>
  <si>
    <t>αψασθαι αυτου</t>
  </si>
  <si>
    <t>αψασθαι σου</t>
  </si>
  <si>
    <t>ελογισω τοιουτον επι λαον</t>
  </si>
  <si>
    <t>ελογισω τοιουτο επι λαον</t>
  </si>
  <si>
    <t>ουτος ως</t>
  </si>
  <si>
    <t>ουτος ς ως</t>
  </si>
  <si>
    <t>επιστρεψαι τον βασιλεα</t>
  </si>
  <si>
    <t>επιστρεψαι προς τον βασιλεα</t>
  </si>
  <si>
    <t>και ερει ο λαος σου</t>
  </si>
  <si>
    <t>ο λαος -&gt; η δουλη</t>
  </si>
  <si>
    <t>ακουσει</t>
  </si>
  <si>
    <t>εν τω στοματι μου της δουλης σου</t>
  </si>
  <si>
    <t>εν τω στοματι της δουλης σου</t>
  </si>
  <si>
    <t>ο κυριος μου ιωαβ σοφος</t>
  </si>
  <si>
    <t>omits ιωαβ</t>
  </si>
  <si>
    <t>τον λογον τουτον και πορευθητι</t>
  </si>
  <si>
    <r>
      <t xml:space="preserve">τον λογον </t>
    </r>
    <r>
      <rPr>
        <b/>
        <sz val="11"/>
        <color theme="1"/>
        <rFont val="Calibri"/>
        <family val="2"/>
        <scheme val="minor"/>
      </rPr>
      <t>σου</t>
    </r>
    <r>
      <rPr>
        <sz val="11"/>
        <color theme="1"/>
        <rFont val="Calibri"/>
        <family val="2"/>
        <scheme val="minor"/>
      </rPr>
      <t xml:space="preserve"> τουτον και πορευθητι</t>
    </r>
  </si>
  <si>
    <r>
      <t xml:space="preserve">τον λογον σου τουτον </t>
    </r>
    <r>
      <rPr>
        <b/>
        <sz val="11"/>
        <color theme="1"/>
        <rFont val="Calibri"/>
        <family val="2"/>
        <scheme val="minor"/>
      </rPr>
      <t>και</t>
    </r>
    <r>
      <rPr>
        <sz val="11"/>
        <color theme="1"/>
        <rFont val="Calibri"/>
        <family val="2"/>
        <scheme val="minor"/>
      </rPr>
      <t xml:space="preserve"> πορευθητι</t>
    </r>
  </si>
  <si>
    <r>
      <t xml:space="preserve">τον λογον τουτον </t>
    </r>
    <r>
      <rPr>
        <b/>
        <sz val="11"/>
        <color theme="1"/>
        <rFont val="Calibri"/>
        <family val="2"/>
        <scheme val="minor"/>
      </rPr>
      <t>και</t>
    </r>
    <r>
      <rPr>
        <sz val="11"/>
        <color theme="1"/>
        <rFont val="Calibri"/>
        <family val="2"/>
        <scheme val="minor"/>
      </rPr>
      <t xml:space="preserve"> πορευθητι</t>
    </r>
  </si>
  <si>
    <t>omits και</t>
  </si>
  <si>
    <t>και ηγαγεν</t>
  </si>
  <si>
    <t>και ανηγαγεν</t>
  </si>
  <si>
    <t>απεστρεψεν αβεσσαλωμ</t>
  </si>
  <si>
    <r>
      <rPr>
        <b/>
        <sz val="11"/>
        <color theme="1"/>
        <rFont val="Calibri"/>
        <family val="2"/>
        <scheme val="minor"/>
      </rPr>
      <t>επεστρεψεν</t>
    </r>
    <r>
      <rPr>
        <sz val="11"/>
        <color theme="1"/>
        <rFont val="Calibri"/>
        <family val="2"/>
        <scheme val="minor"/>
      </rPr>
      <t xml:space="preserve"> ο αβεσσαλωμ</t>
    </r>
  </si>
  <si>
    <r>
      <rPr>
        <b/>
        <sz val="11"/>
        <color theme="1"/>
        <rFont val="Calibri"/>
        <family val="2"/>
        <scheme val="minor"/>
      </rPr>
      <t>απεστρεψεν</t>
    </r>
    <r>
      <rPr>
        <sz val="11"/>
        <color theme="1"/>
        <rFont val="Calibri"/>
        <family val="2"/>
        <scheme val="minor"/>
      </rPr>
      <t xml:space="preserve"> αβεσσαλωμ</t>
    </r>
  </si>
  <si>
    <r>
      <t xml:space="preserve">επεστρεψεν </t>
    </r>
    <r>
      <rPr>
        <b/>
        <sz val="11"/>
        <color theme="1"/>
        <rFont val="Calibri"/>
        <family val="2"/>
        <scheme val="minor"/>
      </rPr>
      <t>ο</t>
    </r>
    <r>
      <rPr>
        <sz val="11"/>
        <color theme="1"/>
        <rFont val="Calibri"/>
        <family val="2"/>
        <scheme val="minor"/>
      </rPr>
      <t xml:space="preserve"> αβεσσαλωμ</t>
    </r>
  </si>
  <si>
    <t>εως κορυφης</t>
  </si>
  <si>
    <t>εως της κορυφης</t>
  </si>
  <si>
    <t>εκειρετο οτι κατεβαρυνετο</t>
  </si>
  <si>
    <t>εκειρετο οτι εβαρυνετο</t>
  </si>
  <si>
    <t>εν τω σικλω</t>
  </si>
  <si>
    <t>εν σικλω</t>
  </si>
  <si>
    <t>ετεχθησαν τω βασιλει</t>
  </si>
  <si>
    <t>ετεχθησαν τω αβεσσαλωμ</t>
  </si>
  <si>
    <t>αυτη η γυνη καλη</t>
  </si>
  <si>
    <t>αυτη γυνη καλη</t>
  </si>
  <si>
    <r>
      <rPr>
        <b/>
        <sz val="11"/>
        <color theme="1"/>
        <rFont val="Calibri"/>
        <family val="2"/>
        <scheme val="minor"/>
      </rPr>
      <t>γυνεται</t>
    </r>
    <r>
      <rPr>
        <sz val="11"/>
        <color theme="1"/>
        <rFont val="Calibri"/>
        <family val="2"/>
        <scheme val="minor"/>
      </rPr>
      <t xml:space="preserve"> γυνη τω ροβοαμ υιω σαλωμων</t>
    </r>
  </si>
  <si>
    <r>
      <rPr>
        <b/>
        <sz val="11"/>
        <color theme="1"/>
        <rFont val="Calibri"/>
        <family val="2"/>
        <scheme val="minor"/>
      </rPr>
      <t>γινεται</t>
    </r>
    <r>
      <rPr>
        <sz val="11"/>
        <color theme="1"/>
        <rFont val="Calibri"/>
        <family val="2"/>
        <scheme val="minor"/>
      </rPr>
      <t xml:space="preserve"> γυνη ροβοαμ τω υιω σαλωμων</t>
    </r>
  </si>
  <si>
    <r>
      <t xml:space="preserve">γινεται γυνη </t>
    </r>
    <r>
      <rPr>
        <b/>
        <sz val="11"/>
        <color theme="1"/>
        <rFont val="Calibri"/>
        <family val="2"/>
        <scheme val="minor"/>
      </rPr>
      <t>ροβοαμ τω υιω</t>
    </r>
    <r>
      <rPr>
        <sz val="11"/>
        <color theme="1"/>
        <rFont val="Calibri"/>
        <family val="2"/>
        <scheme val="minor"/>
      </rPr>
      <t xml:space="preserve"> σαλωμων</t>
    </r>
  </si>
  <si>
    <r>
      <t xml:space="preserve">γυνεται γυνη </t>
    </r>
    <r>
      <rPr>
        <b/>
        <sz val="11"/>
        <color theme="1"/>
        <rFont val="Calibri"/>
        <family val="2"/>
        <scheme val="minor"/>
      </rPr>
      <t>τω ροβοαμ υιω</t>
    </r>
    <r>
      <rPr>
        <sz val="11"/>
        <color theme="1"/>
        <rFont val="Calibri"/>
        <family val="2"/>
        <scheme val="minor"/>
      </rPr>
      <t xml:space="preserve"> σαλωμων</t>
    </r>
  </si>
  <si>
    <t>προς τους παι αυτου</t>
  </si>
  <si>
    <t>προς τους παιδας αυτου</t>
  </si>
  <si>
    <t>ιδετε ει μερις</t>
  </si>
  <si>
    <t>ιδετε η μερις</t>
  </si>
  <si>
    <t>αγρω του ιωαβ</t>
  </si>
  <si>
    <t>αγρω ιωαβ</t>
  </si>
  <si>
    <t>αυτω κριθαι</t>
  </si>
  <si>
    <t>αυτω εκει κριθαι</t>
  </si>
  <si>
    <r>
      <rPr>
        <b/>
        <sz val="11"/>
        <color theme="1"/>
        <rFont val="Calibri"/>
        <family val="2"/>
        <scheme val="minor"/>
      </rPr>
      <t>εισι</t>
    </r>
    <r>
      <rPr>
        <sz val="11"/>
        <color theme="1"/>
        <rFont val="Calibri"/>
        <family val="2"/>
        <scheme val="minor"/>
      </rPr>
      <t xml:space="preserve"> πορευεσθαι</t>
    </r>
  </si>
  <si>
    <r>
      <rPr>
        <b/>
        <sz val="11"/>
        <color theme="1"/>
        <rFont val="Calibri"/>
        <family val="2"/>
        <scheme val="minor"/>
      </rPr>
      <t>εισιν</t>
    </r>
    <r>
      <rPr>
        <sz val="11"/>
        <color theme="1"/>
        <rFont val="Calibri"/>
        <family val="2"/>
        <scheme val="minor"/>
      </rPr>
      <t xml:space="preserve"> πορευεσθε</t>
    </r>
  </si>
  <si>
    <t>εισιν omitted entirely</t>
  </si>
  <si>
    <r>
      <t xml:space="preserve">εισι </t>
    </r>
    <r>
      <rPr>
        <b/>
        <sz val="11"/>
        <color theme="1"/>
        <rFont val="Calibri"/>
        <family val="2"/>
        <scheme val="minor"/>
      </rPr>
      <t>πορευεσθαι</t>
    </r>
  </si>
  <si>
    <r>
      <t xml:space="preserve">εισιν </t>
    </r>
    <r>
      <rPr>
        <b/>
        <sz val="11"/>
        <color theme="1"/>
        <rFont val="Calibri"/>
        <family val="2"/>
        <scheme val="minor"/>
      </rPr>
      <t>πορευεσθε</t>
    </r>
  </si>
  <si>
    <t>εμπρησατε</t>
  </si>
  <si>
    <t>και ενεπρησαν αυτας οι παιδες αβεσσαλωμ</t>
  </si>
  <si>
    <r>
      <t xml:space="preserve">και </t>
    </r>
    <r>
      <rPr>
        <b/>
        <sz val="11"/>
        <color theme="1"/>
        <rFont val="Calibri"/>
        <family val="2"/>
        <scheme val="minor"/>
      </rPr>
      <t>εν</t>
    </r>
    <r>
      <rPr>
        <sz val="11"/>
        <color theme="1"/>
        <rFont val="Calibri"/>
        <family val="2"/>
        <scheme val="minor"/>
      </rPr>
      <t xml:space="preserve"> ενεπρησαν αυτον οι παιδες αβεσσαλωμ</t>
    </r>
  </si>
  <si>
    <r>
      <t xml:space="preserve">και ενεπρησαν </t>
    </r>
    <r>
      <rPr>
        <b/>
        <sz val="11"/>
        <color theme="1"/>
        <rFont val="Calibri"/>
        <family val="2"/>
        <scheme val="minor"/>
      </rPr>
      <t>αυτας</t>
    </r>
    <r>
      <rPr>
        <sz val="11"/>
        <color theme="1"/>
        <rFont val="Calibri"/>
        <family val="2"/>
        <scheme val="minor"/>
      </rPr>
      <t xml:space="preserve"> οι παιδες αβεσσαλωμ</t>
    </r>
  </si>
  <si>
    <r>
      <t xml:space="preserve">και εν ενεπρησαν </t>
    </r>
    <r>
      <rPr>
        <b/>
        <sz val="11"/>
        <color theme="1"/>
        <rFont val="Calibri"/>
        <family val="2"/>
        <scheme val="minor"/>
      </rPr>
      <t>αυτον</t>
    </r>
    <r>
      <rPr>
        <sz val="11"/>
        <color theme="1"/>
        <rFont val="Calibri"/>
        <family val="2"/>
        <scheme val="minor"/>
      </rPr>
      <t xml:space="preserve"> οι παιδες αβεσσαλωμ</t>
    </r>
  </si>
  <si>
    <r>
      <t xml:space="preserve">και ενεπρησαν αυτας οι </t>
    </r>
    <r>
      <rPr>
        <b/>
        <sz val="11"/>
        <color theme="1"/>
        <rFont val="Calibri"/>
        <family val="2"/>
        <scheme val="minor"/>
      </rPr>
      <t>παιδες</t>
    </r>
    <r>
      <rPr>
        <sz val="11"/>
        <color theme="1"/>
        <rFont val="Calibri"/>
        <family val="2"/>
        <scheme val="minor"/>
      </rPr>
      <t xml:space="preserve"> αβεσσαλωμ</t>
    </r>
  </si>
  <si>
    <r>
      <t xml:space="preserve">και εν ενεπρησαν αυτον οι </t>
    </r>
    <r>
      <rPr>
        <b/>
        <sz val="11"/>
        <color theme="1"/>
        <rFont val="Calibri"/>
        <family val="2"/>
        <scheme val="minor"/>
      </rPr>
      <t>παιδες</t>
    </r>
    <r>
      <rPr>
        <sz val="11"/>
        <color theme="1"/>
        <rFont val="Calibri"/>
        <family val="2"/>
        <scheme val="minor"/>
      </rPr>
      <t xml:space="preserve"> αβεσσαλωμ</t>
    </r>
  </si>
  <si>
    <t>διερρηχοτες</t>
  </si>
  <si>
    <t>ιματια εαυτων</t>
  </si>
  <si>
    <t>ιματια αυτων</t>
  </si>
  <si>
    <t>οι δουλοι αβεσσαλωμ</t>
  </si>
  <si>
    <t>οι παιδες αβεσσαλωμ</t>
  </si>
  <si>
    <t>προς αβεσσαλωμ</t>
  </si>
  <si>
    <t>προς τ αβεσσαλωμ</t>
  </si>
  <si>
    <t>βασιλεως ουκ ειδε</t>
  </si>
  <si>
    <t xml:space="preserve">βασιλεως ει δε </t>
  </si>
  <si>
    <t>αδικια και θανατωσον</t>
  </si>
  <si>
    <t>αδικια θανατωσον</t>
  </si>
  <si>
    <t>εβοησεν αβεσσαλωμ προς αυτον και ελεγεν</t>
  </si>
  <si>
    <t>εβοησεν προς αυτον αβεσσαλωμ και ελεγεν</t>
  </si>
  <si>
    <t>εστιν σοι παρα του</t>
  </si>
  <si>
    <t>εστιν παρα του</t>
  </si>
  <si>
    <t>καταστησει</t>
  </si>
  <si>
    <r>
      <t xml:space="preserve">επ εμου </t>
    </r>
    <r>
      <rPr>
        <b/>
        <sz val="11"/>
        <color theme="1"/>
        <rFont val="Calibri"/>
        <family val="2"/>
        <scheme val="minor"/>
      </rPr>
      <t>ελευσεται</t>
    </r>
    <r>
      <rPr>
        <sz val="11"/>
        <color theme="1"/>
        <rFont val="Calibri"/>
        <family val="2"/>
        <scheme val="minor"/>
      </rPr>
      <t xml:space="preserve"> ο ανηρ</t>
    </r>
  </si>
  <si>
    <r>
      <t xml:space="preserve">επ εμου ελευσεται </t>
    </r>
    <r>
      <rPr>
        <b/>
        <sz val="11"/>
        <color theme="1"/>
        <rFont val="Calibri"/>
        <family val="2"/>
        <scheme val="minor"/>
      </rPr>
      <t>ο</t>
    </r>
    <r>
      <rPr>
        <sz val="11"/>
        <color theme="1"/>
        <rFont val="Calibri"/>
        <family val="2"/>
        <scheme val="minor"/>
      </rPr>
      <t xml:space="preserve"> ανηρ</t>
    </r>
  </si>
  <si>
    <r>
      <t xml:space="preserve">επ εμου επελευσεται </t>
    </r>
    <r>
      <rPr>
        <b/>
        <sz val="11"/>
        <color theme="1"/>
        <rFont val="Calibri"/>
        <family val="2"/>
        <scheme val="minor"/>
      </rPr>
      <t>πας</t>
    </r>
    <r>
      <rPr>
        <sz val="11"/>
        <color theme="1"/>
        <rFont val="Calibri"/>
        <family val="2"/>
        <scheme val="minor"/>
      </rPr>
      <t xml:space="preserve"> ανηρ</t>
    </r>
  </si>
  <si>
    <t>και εγενε εν τω εγγιζειν</t>
  </si>
  <si>
    <t>και εγενετο εν τω εγγιζειν</t>
  </si>
  <si>
    <t>παντι ιηλ</t>
  </si>
  <si>
    <t>παντι τω ισραηλ</t>
  </si>
  <si>
    <t>εν τη απλοτητι αυτων</t>
  </si>
  <si>
    <t>εν τη απλοτητι τω αυτων</t>
  </si>
  <si>
    <t>παταξη την πολιν στοματι</t>
  </si>
  <si>
    <t>παταξη την πολιν εν στοματι</t>
  </si>
  <si>
    <t>αιρειται</t>
  </si>
  <si>
    <t>αφηκεν ο βασιλευς τας δε γυναικας</t>
  </si>
  <si>
    <t>αφηκεν ο βασιλευς τας δεκαγυναικας</t>
  </si>
  <si>
    <t>αφηκεν ο βασιλευς δεκα γυναικας</t>
  </si>
  <si>
    <t>παρηγον ανα χειρα</t>
  </si>
  <si>
    <t>ανηγον ανα χειρα</t>
  </si>
  <si>
    <r>
      <t xml:space="preserve">οι </t>
    </r>
    <r>
      <rPr>
        <b/>
        <sz val="11"/>
        <color theme="1"/>
        <rFont val="Calibri"/>
        <family val="2"/>
        <scheme val="minor"/>
      </rPr>
      <t>ελθοντες</t>
    </r>
    <r>
      <rPr>
        <sz val="11"/>
        <color theme="1"/>
        <rFont val="Calibri"/>
        <family val="2"/>
        <scheme val="minor"/>
      </rPr>
      <t xml:space="preserve"> εν ταις πολεσιν</t>
    </r>
  </si>
  <si>
    <r>
      <t xml:space="preserve">οι </t>
    </r>
    <r>
      <rPr>
        <b/>
        <sz val="11"/>
        <color theme="1"/>
        <rFont val="Calibri"/>
        <family val="2"/>
        <scheme val="minor"/>
      </rPr>
      <t>εξελθοντες</t>
    </r>
    <r>
      <rPr>
        <sz val="11"/>
        <color theme="1"/>
        <rFont val="Calibri"/>
        <family val="2"/>
        <scheme val="minor"/>
      </rPr>
      <t xml:space="preserve"> εκ των πολεσιν</t>
    </r>
  </si>
  <si>
    <r>
      <t xml:space="preserve">οι ελθοντες </t>
    </r>
    <r>
      <rPr>
        <b/>
        <sz val="11"/>
        <color theme="1"/>
        <rFont val="Calibri"/>
        <family val="2"/>
        <scheme val="minor"/>
      </rPr>
      <t>εν ταις</t>
    </r>
    <r>
      <rPr>
        <sz val="11"/>
        <color theme="1"/>
        <rFont val="Calibri"/>
        <family val="2"/>
        <scheme val="minor"/>
      </rPr>
      <t xml:space="preserve"> πολεσιν</t>
    </r>
  </si>
  <si>
    <r>
      <t>οι εξελθοντες</t>
    </r>
    <r>
      <rPr>
        <b/>
        <sz val="11"/>
        <color theme="1"/>
        <rFont val="Calibri"/>
        <family val="2"/>
        <scheme val="minor"/>
      </rPr>
      <t xml:space="preserve"> εκ των</t>
    </r>
    <r>
      <rPr>
        <sz val="11"/>
        <color theme="1"/>
        <rFont val="Calibri"/>
        <family val="2"/>
        <scheme val="minor"/>
      </rPr>
      <t xml:space="preserve"> πολεσιν</t>
    </r>
  </si>
  <si>
    <t>οι ελθοντες τοις ποσιν</t>
  </si>
  <si>
    <t>εκ γεθ</t>
  </si>
  <si>
    <t>εις γεθ πορευομενοι</t>
  </si>
  <si>
    <r>
      <rPr>
        <b/>
        <sz val="11"/>
        <color theme="1"/>
        <rFont val="Calibri"/>
        <family val="2"/>
        <scheme val="minor"/>
      </rPr>
      <t>εις</t>
    </r>
    <r>
      <rPr>
        <sz val="11"/>
        <color theme="1"/>
        <rFont val="Calibri"/>
        <family val="2"/>
        <scheme val="minor"/>
      </rPr>
      <t xml:space="preserve"> γεθ πορευομενοι</t>
    </r>
  </si>
  <si>
    <r>
      <rPr>
        <b/>
        <sz val="11"/>
        <color theme="1"/>
        <rFont val="Calibri"/>
        <family val="2"/>
        <scheme val="minor"/>
      </rPr>
      <t>εις</t>
    </r>
    <r>
      <rPr>
        <sz val="11"/>
        <color theme="1"/>
        <rFont val="Calibri"/>
        <family val="2"/>
        <scheme val="minor"/>
      </rPr>
      <t xml:space="preserve"> γεθ και πορευομενοι</t>
    </r>
  </si>
  <si>
    <r>
      <t xml:space="preserve">εις γεθ </t>
    </r>
    <r>
      <rPr>
        <b/>
        <sz val="11"/>
        <color theme="1"/>
        <rFont val="Calibri"/>
        <family val="2"/>
        <scheme val="minor"/>
      </rPr>
      <t>και</t>
    </r>
    <r>
      <rPr>
        <sz val="11"/>
        <color theme="1"/>
        <rFont val="Calibri"/>
        <family val="2"/>
        <scheme val="minor"/>
      </rPr>
      <t xml:space="preserve"> πορευομενοι</t>
    </r>
  </si>
  <si>
    <t>και οτι μετωκηκας</t>
  </si>
  <si>
    <t>και μετωκηκας</t>
  </si>
  <si>
    <t>ου εαν η ο κυριος</t>
  </si>
  <si>
    <t>ου αν η ο κυριος</t>
  </si>
  <si>
    <t>κιβωτον διαθηκης</t>
  </si>
  <si>
    <t>κιβωτον της διαθηκης</t>
  </si>
  <si>
    <t>απο βαιθαρ</t>
  </si>
  <si>
    <t>εκ βαιθαρ</t>
  </si>
  <si>
    <t>τον τοπον αυτου</t>
  </si>
  <si>
    <t>τον τοπον αυτης</t>
  </si>
  <si>
    <t>ποιειτω μοι κατα το αγαθον</t>
  </si>
  <si>
    <t>ποιειτω μοι αγαθον</t>
  </si>
  <si>
    <t>λεγοντες αχιτοφελ</t>
  </si>
  <si>
    <t>λεγοντες και αχιτοφελ</t>
  </si>
  <si>
    <t>κε ο θς μου</t>
  </si>
  <si>
    <t>κυριος ο θεος μου</t>
  </si>
  <si>
    <t>δαδ διερρηχως</t>
  </si>
  <si>
    <t>δαβιδ ερρηχως</t>
  </si>
  <si>
    <t>Alex. = δαδ ιερρηχως</t>
  </si>
  <si>
    <t>οι ειερεις</t>
  </si>
  <si>
    <t>οι ιερεις</t>
  </si>
  <si>
    <t>και ιδου εκειθεν ανηρ εξεπορευετο</t>
  </si>
  <si>
    <t>και ιδου ανηρ εκειθεν εξεπορευετο</t>
  </si>
  <si>
    <t>εξ ευωνυμων</t>
  </si>
  <si>
    <t>εξ ευονυμων</t>
  </si>
  <si>
    <t>αιματα του οικου σαουλ</t>
  </si>
  <si>
    <t>αιματα οικου σαουλ</t>
  </si>
  <si>
    <t>εβασιλευσας αντ αυτου</t>
  </si>
  <si>
    <t>εβασιλευσας δη αντ αυτου</t>
  </si>
  <si>
    <t>τι εμοι και υμιν</t>
  </si>
  <si>
    <t>τι μοι και υμιν</t>
  </si>
  <si>
    <t>προσετι νυν ο υιος</t>
  </si>
  <si>
    <t>προς τι νυν ο υιος</t>
  </si>
  <si>
    <r>
      <rPr>
        <b/>
        <sz val="11"/>
        <color theme="1"/>
        <rFont val="Calibri"/>
        <family val="2"/>
        <scheme val="minor"/>
      </rPr>
      <t>ειεμενει</t>
    </r>
    <r>
      <rPr>
        <sz val="11"/>
        <color theme="1"/>
        <rFont val="Calibri"/>
        <family val="2"/>
        <scheme val="minor"/>
      </rPr>
      <t xml:space="preserve"> αφετε αυτων καταρασθω</t>
    </r>
  </si>
  <si>
    <r>
      <t xml:space="preserve">ειεμενει </t>
    </r>
    <r>
      <rPr>
        <b/>
        <sz val="11"/>
        <color theme="1"/>
        <rFont val="Calibri"/>
        <family val="2"/>
        <scheme val="minor"/>
      </rPr>
      <t>αφετε</t>
    </r>
    <r>
      <rPr>
        <sz val="11"/>
        <color theme="1"/>
        <rFont val="Calibri"/>
        <family val="2"/>
        <scheme val="minor"/>
      </rPr>
      <t xml:space="preserve"> αυτων καταρασθω</t>
    </r>
  </si>
  <si>
    <r>
      <rPr>
        <b/>
        <sz val="11"/>
        <color theme="1"/>
        <rFont val="Calibri"/>
        <family val="2"/>
        <scheme val="minor"/>
      </rPr>
      <t>ιεμινει</t>
    </r>
    <r>
      <rPr>
        <sz val="11"/>
        <color theme="1"/>
        <rFont val="Calibri"/>
        <family val="2"/>
        <scheme val="minor"/>
      </rPr>
      <t xml:space="preserve"> και φετε αυτων καταρασθω</t>
    </r>
  </si>
  <si>
    <r>
      <t xml:space="preserve">ειεμενει αφετε </t>
    </r>
    <r>
      <rPr>
        <b/>
        <sz val="11"/>
        <color theme="1"/>
        <rFont val="Calibri"/>
        <family val="2"/>
        <scheme val="minor"/>
      </rPr>
      <t>αυτων</t>
    </r>
    <r>
      <rPr>
        <sz val="11"/>
        <color theme="1"/>
        <rFont val="Calibri"/>
        <family val="2"/>
        <scheme val="minor"/>
      </rPr>
      <t xml:space="preserve"> καταρασθω</t>
    </r>
  </si>
  <si>
    <r>
      <t xml:space="preserve">ιεμινει και φετε </t>
    </r>
    <r>
      <rPr>
        <b/>
        <sz val="11"/>
        <color theme="1"/>
        <rFont val="Calibri"/>
        <family val="2"/>
        <scheme val="minor"/>
      </rPr>
      <t>αυτων</t>
    </r>
    <r>
      <rPr>
        <sz val="11"/>
        <color theme="1"/>
        <rFont val="Calibri"/>
        <family val="2"/>
        <scheme val="minor"/>
      </rPr>
      <t xml:space="preserve"> καταρασθω</t>
    </r>
  </si>
  <si>
    <t>αυτων -&gt; αυτον</t>
  </si>
  <si>
    <t>επι τη οδω</t>
  </si>
  <si>
    <t>εις πλευρας</t>
  </si>
  <si>
    <t>εκ πλευρας</t>
  </si>
  <si>
    <t>του ορους εχομενα</t>
  </si>
  <si>
    <t>του ορους π α εχομενα</t>
  </si>
  <si>
    <t>π omitted, α remains</t>
  </si>
  <si>
    <t>λιθαζων εν λιθοις εκ πλαγιων</t>
  </si>
  <si>
    <t>λιθαζων εν λιθοις εκ λπλαγιων</t>
  </si>
  <si>
    <t>τω χοσι πασων</t>
  </si>
  <si>
    <t>τω χοι πασσων</t>
  </si>
  <si>
    <t>τουτο το ελεος</t>
  </si>
  <si>
    <t>τουτο ελεος</t>
  </si>
  <si>
    <t>ειπεν χουσιν προς αβεσσαλωμ</t>
  </si>
  <si>
    <t>ειπεν χουσι προσ αβεσσαλωμ</t>
  </si>
  <si>
    <t>εσομαι ενωπιον σου</t>
  </si>
  <si>
    <t>εσομαι και ενωπιον σου</t>
  </si>
  <si>
    <t>επι το δωμα</t>
  </si>
  <si>
    <t>επι τω δωμα</t>
  </si>
  <si>
    <t>αβεσσαλωμ του πατρος</t>
  </si>
  <si>
    <t>αβεσσαλωμ προς τας παλλακας του πατρος</t>
  </si>
  <si>
    <t>και η βουλη</t>
  </si>
  <si>
    <t>και βουλη</t>
  </si>
  <si>
    <r>
      <rPr>
        <b/>
        <sz val="11"/>
        <color theme="1"/>
        <rFont val="Calibri"/>
        <family val="2"/>
        <scheme val="minor"/>
      </rPr>
      <t>επηρω[lac]τηση</t>
    </r>
    <r>
      <rPr>
        <sz val="11"/>
        <color theme="1"/>
        <rFont val="Calibri"/>
        <family val="2"/>
        <scheme val="minor"/>
      </rPr>
      <t xml:space="preserve"> εν λογω</t>
    </r>
  </si>
  <si>
    <r>
      <rPr>
        <b/>
        <sz val="11"/>
        <color theme="1"/>
        <rFont val="Calibri"/>
        <family val="2"/>
        <scheme val="minor"/>
      </rPr>
      <t>επερωτησεν</t>
    </r>
    <r>
      <rPr>
        <sz val="11"/>
        <color theme="1"/>
        <rFont val="Calibri"/>
        <family val="2"/>
        <scheme val="minor"/>
      </rPr>
      <t xml:space="preserve"> εν λογοις</t>
    </r>
  </si>
  <si>
    <r>
      <t xml:space="preserve">επηρω[lac]τηση εν </t>
    </r>
    <r>
      <rPr>
        <b/>
        <sz val="11"/>
        <color theme="1"/>
        <rFont val="Calibri"/>
        <family val="2"/>
        <scheme val="minor"/>
      </rPr>
      <t>λογω</t>
    </r>
  </si>
  <si>
    <r>
      <t xml:space="preserve">επερωτησεν εν </t>
    </r>
    <r>
      <rPr>
        <b/>
        <sz val="11"/>
        <color theme="1"/>
        <rFont val="Calibri"/>
        <family val="2"/>
        <scheme val="minor"/>
      </rPr>
      <t>λογοις</t>
    </r>
  </si>
  <si>
    <t>και αυτος κοπιων</t>
  </si>
  <si>
    <t>χερσιν και εκστησω</t>
  </si>
  <si>
    <t>χερσιν εκστησω</t>
  </si>
  <si>
    <t>τον χουσι αραχι</t>
  </si>
  <si>
    <r>
      <t xml:space="preserve">τον </t>
    </r>
    <r>
      <rPr>
        <b/>
        <sz val="11"/>
        <color theme="1"/>
        <rFont val="Calibri"/>
        <family val="2"/>
        <scheme val="minor"/>
      </rPr>
      <t>χουσει</t>
    </r>
    <r>
      <rPr>
        <sz val="11"/>
        <color theme="1"/>
        <rFont val="Calibri"/>
        <family val="2"/>
        <scheme val="minor"/>
      </rPr>
      <t xml:space="preserve"> τον αραχει</t>
    </r>
  </si>
  <si>
    <r>
      <t xml:space="preserve">τον </t>
    </r>
    <r>
      <rPr>
        <b/>
        <sz val="11"/>
        <color theme="1"/>
        <rFont val="Calibri"/>
        <family val="2"/>
        <scheme val="minor"/>
      </rPr>
      <t>χουσι</t>
    </r>
    <r>
      <rPr>
        <sz val="11"/>
        <color theme="1"/>
        <rFont val="Calibri"/>
        <family val="2"/>
        <scheme val="minor"/>
      </rPr>
      <t xml:space="preserve"> αραχι</t>
    </r>
  </si>
  <si>
    <r>
      <t xml:space="preserve">τον χουσει </t>
    </r>
    <r>
      <rPr>
        <b/>
        <sz val="11"/>
        <color theme="1"/>
        <rFont val="Calibri"/>
        <family val="2"/>
        <scheme val="minor"/>
      </rPr>
      <t>τον</t>
    </r>
    <r>
      <rPr>
        <sz val="11"/>
        <color theme="1"/>
        <rFont val="Calibri"/>
        <family val="2"/>
        <scheme val="minor"/>
      </rPr>
      <t xml:space="preserve"> αραχει</t>
    </r>
  </si>
  <si>
    <r>
      <t xml:space="preserve">τον χουσει τον </t>
    </r>
    <r>
      <rPr>
        <b/>
        <sz val="11"/>
        <color theme="1"/>
        <rFont val="Calibri"/>
        <family val="2"/>
        <scheme val="minor"/>
      </rPr>
      <t>αραχει</t>
    </r>
  </si>
  <si>
    <r>
      <t xml:space="preserve">τον χουσι </t>
    </r>
    <r>
      <rPr>
        <b/>
        <sz val="11"/>
        <color theme="1"/>
        <rFont val="Calibri"/>
        <family val="2"/>
        <scheme val="minor"/>
      </rPr>
      <t>αραχι</t>
    </r>
  </si>
  <si>
    <t>ελαλησεν αχιτοφελ ει ποιησομεν</t>
  </si>
  <si>
    <t>ελαλησεν αχιτοφελ ποιησομεν</t>
  </si>
  <si>
    <t>αγαθη αυτη η βουλη</t>
  </si>
  <si>
    <t>αγαθη β αυτη η βουλη</t>
  </si>
  <si>
    <t>τη ψυχη αυτων ως</t>
  </si>
  <si>
    <t>τη ψυχη ως</t>
  </si>
  <si>
    <t>ητεκνωμενη</t>
  </si>
  <si>
    <t>και ειπη εγενηθη</t>
  </si>
  <si>
    <t>και ειπε εγενηθη</t>
  </si>
  <si>
    <t>και εως βηρσαβεε εως η αμμος</t>
  </si>
  <si>
    <t>και εως βηρσαβεε ως η αμμος</t>
  </si>
  <si>
    <t>πορευομενον</t>
  </si>
  <si>
    <t>εν αυτω εν πασιν</t>
  </si>
  <si>
    <t>εν αυτω και εν πασιν</t>
  </si>
  <si>
    <t>πασιν και τοις ανδρασιν</t>
  </si>
  <si>
    <t>omit και</t>
  </si>
  <si>
    <t>υπερ την βουλην αχιτοφελ</t>
  </si>
  <si>
    <t>υπερ την βουλην του αχιτοφελ</t>
  </si>
  <si>
    <t>επαγαγη κς επι αβεσσαλωμ</t>
  </si>
  <si>
    <t>επαγαγη επι αβεσσαλωμ</t>
  </si>
  <si>
    <t>αχιτοφελ τω αβεσσαλωμ</t>
  </si>
  <si>
    <t>αχιτοφελ και τω αβεσσαλωμ</t>
  </si>
  <si>
    <t>μηποτε καταβη τον βασιλεα</t>
  </si>
  <si>
    <t>μηποτε καταπιητο τον βασιλεα</t>
  </si>
  <si>
    <t>καταπιητο -&gt; καταπιη</t>
  </si>
  <si>
    <r>
      <rPr>
        <b/>
        <sz val="11"/>
        <color theme="1"/>
        <rFont val="Calibri"/>
        <family val="2"/>
        <scheme val="minor"/>
      </rPr>
      <t>αναγγελλουσιν</t>
    </r>
    <r>
      <rPr>
        <sz val="11"/>
        <color theme="1"/>
        <rFont val="Calibri"/>
        <family val="2"/>
        <scheme val="minor"/>
      </rPr>
      <t xml:space="preserve"> τω βασιλει δαδ</t>
    </r>
  </si>
  <si>
    <r>
      <rPr>
        <b/>
        <sz val="11"/>
        <color theme="1"/>
        <rFont val="Calibri"/>
        <family val="2"/>
        <scheme val="minor"/>
      </rPr>
      <t>αναγγελουσιν</t>
    </r>
    <r>
      <rPr>
        <sz val="11"/>
        <color theme="1"/>
        <rFont val="Calibri"/>
        <family val="2"/>
        <scheme val="minor"/>
      </rPr>
      <t xml:space="preserve"> τω αβασιλει δαβιδ</t>
    </r>
  </si>
  <si>
    <r>
      <t xml:space="preserve">αναγγελλουσιν τω </t>
    </r>
    <r>
      <rPr>
        <b/>
        <sz val="11"/>
        <color theme="1"/>
        <rFont val="Calibri"/>
        <family val="2"/>
        <scheme val="minor"/>
      </rPr>
      <t>βασιλει</t>
    </r>
    <r>
      <rPr>
        <sz val="11"/>
        <color theme="1"/>
        <rFont val="Calibri"/>
        <family val="2"/>
        <scheme val="minor"/>
      </rPr>
      <t xml:space="preserve"> δαδ</t>
    </r>
  </si>
  <si>
    <r>
      <t xml:space="preserve">αναγγελουσιν τω </t>
    </r>
    <r>
      <rPr>
        <b/>
        <sz val="11"/>
        <color theme="1"/>
        <rFont val="Calibri"/>
        <family val="2"/>
        <scheme val="minor"/>
      </rPr>
      <t>αβασιλει</t>
    </r>
    <r>
      <rPr>
        <sz val="11"/>
        <color theme="1"/>
        <rFont val="Calibri"/>
        <family val="2"/>
        <scheme val="minor"/>
      </rPr>
      <t xml:space="preserve"> δαβιδ</t>
    </r>
  </si>
  <si>
    <t>ηλθαν οι παιδες</t>
  </si>
  <si>
    <t>ηλθον οι παιδες</t>
  </si>
  <si>
    <t>ο λαος μετ αυτου</t>
  </si>
  <si>
    <t>ο λαος ο μετ αυτου</t>
  </si>
  <si>
    <t>τω οικω εαυτου</t>
  </si>
  <si>
    <t>τω οικω αυτου</t>
  </si>
  <si>
    <t>ιορδανην αυτος και πας</t>
  </si>
  <si>
    <t>ιορδανην και πας</t>
  </si>
  <si>
    <t>και μελι και βουτυρον</t>
  </si>
  <si>
    <t>και μελι βουτυρον</t>
  </si>
  <si>
    <r>
      <rPr>
        <b/>
        <sz val="11"/>
        <color theme="1"/>
        <rFont val="Calibri"/>
        <family val="2"/>
        <scheme val="minor"/>
      </rPr>
      <t>πινων</t>
    </r>
    <r>
      <rPr>
        <sz val="11"/>
        <color theme="1"/>
        <rFont val="Calibri"/>
        <family val="2"/>
        <scheme val="minor"/>
      </rPr>
      <t xml:space="preserve"> και διψω και</t>
    </r>
  </si>
  <si>
    <r>
      <rPr>
        <b/>
        <sz val="11"/>
        <color theme="1"/>
        <rFont val="Calibri"/>
        <family val="2"/>
        <scheme val="minor"/>
      </rPr>
      <t>πεινων</t>
    </r>
    <r>
      <rPr>
        <sz val="11"/>
        <color theme="1"/>
        <rFont val="Calibri"/>
        <family val="2"/>
        <scheme val="minor"/>
      </rPr>
      <t xml:space="preserve"> και διψων και</t>
    </r>
  </si>
  <si>
    <r>
      <t xml:space="preserve">πινων και </t>
    </r>
    <r>
      <rPr>
        <b/>
        <sz val="11"/>
        <color theme="1"/>
        <rFont val="Calibri"/>
        <family val="2"/>
        <scheme val="minor"/>
      </rPr>
      <t>διψω</t>
    </r>
    <r>
      <rPr>
        <sz val="11"/>
        <color theme="1"/>
        <rFont val="Calibri"/>
        <family val="2"/>
        <scheme val="minor"/>
      </rPr>
      <t xml:space="preserve"> και</t>
    </r>
  </si>
  <si>
    <r>
      <t xml:space="preserve">πεινων και </t>
    </r>
    <r>
      <rPr>
        <b/>
        <sz val="11"/>
        <color theme="1"/>
        <rFont val="Calibri"/>
        <family val="2"/>
        <scheme val="minor"/>
      </rPr>
      <t>διψων</t>
    </r>
    <r>
      <rPr>
        <sz val="11"/>
        <color theme="1"/>
        <rFont val="Calibri"/>
        <family val="2"/>
        <scheme val="minor"/>
      </rPr>
      <t xml:space="preserve"> και</t>
    </r>
  </si>
  <si>
    <t>τον λαον τον τριτον</t>
  </si>
  <si>
    <t>τον λαον το τριτον</t>
  </si>
  <si>
    <t>μεθ υμων</t>
  </si>
  <si>
    <t>του αβεσσαλωμ (6) και εξηλθεν</t>
  </si>
  <si>
    <t>δρυμον εξεναντιον</t>
  </si>
  <si>
    <t>δρυμον εναντιον</t>
  </si>
  <si>
    <t>το παιδαριον τον αβεσσαλωμ</t>
  </si>
  <si>
    <t>το παιδαριον το αβεσσαλωμ</t>
  </si>
  <si>
    <t>πας ο λογος</t>
  </si>
  <si>
    <t>πας λογος</t>
  </si>
  <si>
    <t>οπισω ιηλ</t>
  </si>
  <si>
    <t>οπισω αβεσσαλωμ ισραηλ</t>
  </si>
  <si>
    <t>την στηλωσιν την εν τη</t>
  </si>
  <si>
    <t>την στηλωσιν εν τη</t>
  </si>
  <si>
    <t>βασιλεως ως οτι ειπεν</t>
  </si>
  <si>
    <t>βασιλεως οτι ειπεν</t>
  </si>
  <si>
    <t>εστιν σοι ευαγγελια</t>
  </si>
  <si>
    <t>εστιν σοι ε ευαγγελια</t>
  </si>
  <si>
    <t>τρεχων μονος ενωπιον</t>
  </si>
  <si>
    <t>τρεχων μονοι ενωπιον</t>
  </si>
  <si>
    <t>και ειπεν αχιμαας ειδον</t>
  </si>
  <si>
    <t>ο βασιλευς επιστρεψον στηλωθητι</t>
  </si>
  <si>
    <t>ο βασιλευς στηλωθητι</t>
  </si>
  <si>
    <t>ο βασιλευς εκρυψεν</t>
  </si>
  <si>
    <t>εξαιροντων</t>
  </si>
  <si>
    <t>και ψυχην των γυναικων</t>
  </si>
  <si>
    <t>και την ψυχην των γυναικων</t>
  </si>
  <si>
    <t>κωφευετε του επιστρεψαι</t>
  </si>
  <si>
    <t>κωφευετε επιστρεψαι</t>
  </si>
  <si>
    <t>εσχατοι του επιστρεψαι</t>
  </si>
  <si>
    <t>εσχατοι επιστρεψαι</t>
  </si>
  <si>
    <t>πασαις τας ημερας</t>
  </si>
  <si>
    <t>πασας τας ημερας</t>
  </si>
  <si>
    <t>ανδρος αινος και</t>
  </si>
  <si>
    <t>ανδρος ενος και</t>
  </si>
  <si>
    <t>παντες οι δουλοις σου</t>
  </si>
  <si>
    <t>παντες οι δουλοι σου</t>
  </si>
  <si>
    <t>παιδαριον του οικου</t>
  </si>
  <si>
    <t>παιδαριον εκ του οικου</t>
  </si>
  <si>
    <t>διαβασις εξεγειραι</t>
  </si>
  <si>
    <t>διαβασις του εξεγειραι</t>
  </si>
  <si>
    <t>ο βασιλευς εξ ιλημ του θεσθαι</t>
  </si>
  <si>
    <t>ο βασιλευς του θεσθαι</t>
  </si>
  <si>
    <t>προτερος παντος οικου</t>
  </si>
  <si>
    <t>προτερον παντος οικου</t>
  </si>
  <si>
    <t>εις απαντην του κυριου</t>
  </si>
  <si>
    <t>εις απαντησιν του κυριου</t>
  </si>
  <si>
    <t>ανηρ εξ ιηλ</t>
  </si>
  <si>
    <t>ανηρ ισραηλ</t>
  </si>
  <si>
    <r>
      <t xml:space="preserve">ο δουλος </t>
    </r>
    <r>
      <rPr>
        <b/>
        <sz val="11"/>
        <color theme="1"/>
        <rFont val="Calibri"/>
        <family val="2"/>
        <scheme val="minor"/>
      </rPr>
      <t>σου</t>
    </r>
    <r>
      <rPr>
        <sz val="11"/>
        <color theme="1"/>
        <rFont val="Calibri"/>
        <family val="2"/>
        <scheme val="minor"/>
      </rPr>
      <t xml:space="preserve"> παρελογισατο με</t>
    </r>
  </si>
  <si>
    <r>
      <t xml:space="preserve">ο δουλος </t>
    </r>
    <r>
      <rPr>
        <b/>
        <sz val="11"/>
        <color theme="1"/>
        <rFont val="Calibri"/>
        <family val="2"/>
        <scheme val="minor"/>
      </rPr>
      <t>σου</t>
    </r>
    <r>
      <rPr>
        <sz val="11"/>
        <color theme="1"/>
        <rFont val="Calibri"/>
        <family val="2"/>
        <scheme val="minor"/>
      </rPr>
      <t xml:space="preserve"> παρηλογισατο με</t>
    </r>
  </si>
  <si>
    <t>σου -&gt; μου</t>
  </si>
  <si>
    <r>
      <t xml:space="preserve">ο δουλος σου </t>
    </r>
    <r>
      <rPr>
        <b/>
        <sz val="11"/>
        <color theme="1"/>
        <rFont val="Calibri"/>
        <family val="2"/>
        <scheme val="minor"/>
      </rPr>
      <t>παρελογισατο</t>
    </r>
    <r>
      <rPr>
        <sz val="11"/>
        <color theme="1"/>
        <rFont val="Calibri"/>
        <family val="2"/>
        <scheme val="minor"/>
      </rPr>
      <t xml:space="preserve"> με</t>
    </r>
  </si>
  <si>
    <r>
      <t xml:space="preserve">ο δουλος σου </t>
    </r>
    <r>
      <rPr>
        <b/>
        <sz val="11"/>
        <color theme="1"/>
        <rFont val="Calibri"/>
        <family val="2"/>
        <scheme val="minor"/>
      </rPr>
      <t>παρηλογισατο</t>
    </r>
    <r>
      <rPr>
        <sz val="11"/>
        <color theme="1"/>
        <rFont val="Calibri"/>
        <family val="2"/>
        <scheme val="minor"/>
      </rPr>
      <t xml:space="preserve"> με</t>
    </r>
  </si>
  <si>
    <t>του πατρος σου</t>
  </si>
  <si>
    <t>του πατρος μου σου</t>
  </si>
  <si>
    <t>τι εστιν μοι ετι</t>
  </si>
  <si>
    <t>τι εστιν μου ετι</t>
  </si>
  <si>
    <t>και διεβ[η μ]ετα</t>
  </si>
  <si>
    <t>και κατεβη μετα</t>
  </si>
  <si>
    <t>και [β]ερζελλει ανηρ πρεσβυτερος</t>
  </si>
  <si>
    <t>και πρε βερζελλει ανηρ πρεσβυτερος</t>
  </si>
  <si>
    <t>βασιλευς βερζελλει</t>
  </si>
  <si>
    <t>βασιλευς προς τον βερζελλει</t>
  </si>
  <si>
    <t>βασιλεα ποσαι ημεραι</t>
  </si>
  <si>
    <t>βασιλεα πασαι ημεραι</t>
  </si>
  <si>
    <t>η πιομαι η ακουσομαι</t>
  </si>
  <si>
    <t>η πιομαι και ακουσομαι</t>
  </si>
  <si>
    <t>ετι φωνην αδοντων</t>
  </si>
  <si>
    <t>ετι αρωνην αδοντων</t>
  </si>
  <si>
    <t>ετι εις φορτιον</t>
  </si>
  <si>
    <t>ετι φορτιον</t>
  </si>
  <si>
    <t>βασιλευς μετ εμου διαβητω</t>
  </si>
  <si>
    <t>βασιλευς μετελθων διαβητω</t>
  </si>
  <si>
    <t>ποιησω αυτω</t>
  </si>
  <si>
    <t>ποιησω ααυτω</t>
  </si>
  <si>
    <t>διεβη πας ο λαος εις</t>
  </si>
  <si>
    <t>διεβη ο βασιλευς εις</t>
  </si>
  <si>
    <t>οι αδελφοι ημων</t>
  </si>
  <si>
    <t>οι αδελφων ημων</t>
  </si>
  <si>
    <t>και απεκριθη πας ανηρ</t>
  </si>
  <si>
    <t>εφαγομεν εκ του βασιλεως</t>
  </si>
  <si>
    <t>εφαγομεν του βασιλεως</t>
  </si>
  <si>
    <t>η δομα εδωκεν</t>
  </si>
  <si>
    <t>η δομα δεδωκεν</t>
  </si>
  <si>
    <t>καιγε εν τω δαδ</t>
  </si>
  <si>
    <t>καιγε εν εν τω δαβιδ</t>
  </si>
  <si>
    <t>αβεε υιος</t>
  </si>
  <si>
    <t>αβεε και υιος</t>
  </si>
  <si>
    <t>ανηρ ιεμενει</t>
  </si>
  <si>
    <r>
      <t xml:space="preserve">ανηρ </t>
    </r>
    <r>
      <rPr>
        <b/>
        <sz val="11"/>
        <color theme="1"/>
        <rFont val="Calibri"/>
        <family val="2"/>
        <scheme val="minor"/>
      </rPr>
      <t>ο</t>
    </r>
    <r>
      <rPr>
        <sz val="11"/>
        <color theme="1"/>
        <rFont val="Calibri"/>
        <family val="2"/>
        <scheme val="minor"/>
      </rPr>
      <t xml:space="preserve"> ειεμενει</t>
    </r>
  </si>
  <si>
    <r>
      <t xml:space="preserve">ανηρ ο </t>
    </r>
    <r>
      <rPr>
        <b/>
        <sz val="11"/>
        <color theme="1"/>
        <rFont val="Calibri"/>
        <family val="2"/>
        <scheme val="minor"/>
      </rPr>
      <t>ειεμενει</t>
    </r>
  </si>
  <si>
    <r>
      <t xml:space="preserve">ανηρ </t>
    </r>
    <r>
      <rPr>
        <b/>
        <sz val="11"/>
        <color theme="1"/>
        <rFont val="Calibri"/>
        <family val="2"/>
        <scheme val="minor"/>
      </rPr>
      <t>ιεμενει</t>
    </r>
  </si>
  <si>
    <t>τον ιουδανι και</t>
  </si>
  <si>
    <t>τον ιουδαν και</t>
  </si>
  <si>
    <t>και εξαν εξ ιλημ</t>
  </si>
  <si>
    <t>και εξαν εξ ιερουσαλημ</t>
  </si>
  <si>
    <t>εξαν -&gt; εξηλθον</t>
  </si>
  <si>
    <t>και αυτω παρα τω</t>
  </si>
  <si>
    <t>αυτω -&gt; αυτοις</t>
  </si>
  <si>
    <t>λιθω τω μεγαλω των εν γαβαων</t>
  </si>
  <si>
    <t>λιθω τω μεγαλω εν γαβαων</t>
  </si>
  <si>
    <t>αμεσσαει του καταφιλησαι</t>
  </si>
  <si>
    <t>αμεσσαει ου καταφιλησαι</t>
  </si>
  <si>
    <t>και αβισαει ο αδελφος</t>
  </si>
  <si>
    <t>και ο αδελφος</t>
  </si>
  <si>
    <t>τις του δαδ</t>
  </si>
  <si>
    <t>τις ο του δαβιδ</t>
  </si>
  <si>
    <t>διωξαι οπισω σαβεε</t>
  </si>
  <si>
    <t>διωξαι σα οπισω σαβεε</t>
  </si>
  <si>
    <t>βηθμαχα</t>
  </si>
  <si>
    <t>ερωτωντες επερωτησουσιν</t>
  </si>
  <si>
    <r>
      <rPr>
        <b/>
        <sz val="11"/>
        <color theme="1"/>
        <rFont val="Calibri"/>
        <family val="2"/>
        <scheme val="minor"/>
      </rPr>
      <t>ερωτωντες</t>
    </r>
    <r>
      <rPr>
        <sz val="11"/>
        <color theme="1"/>
        <rFont val="Calibri"/>
        <family val="2"/>
        <scheme val="minor"/>
      </rPr>
      <t xml:space="preserve"> επερωτησουσιν</t>
    </r>
  </si>
  <si>
    <r>
      <rPr>
        <b/>
        <sz val="11"/>
        <color theme="1"/>
        <rFont val="Calibri"/>
        <family val="2"/>
        <scheme val="minor"/>
      </rPr>
      <t>ερωτωνται</t>
    </r>
    <r>
      <rPr>
        <sz val="11"/>
        <color theme="1"/>
        <rFont val="Calibri"/>
        <family val="2"/>
        <scheme val="minor"/>
      </rPr>
      <t xml:space="preserve"> ετ επερωτησουσιν</t>
    </r>
  </si>
  <si>
    <r>
      <t xml:space="preserve">ερωτωνται </t>
    </r>
    <r>
      <rPr>
        <b/>
        <sz val="11"/>
        <color theme="1"/>
        <rFont val="Calibri"/>
        <family val="2"/>
        <scheme val="minor"/>
      </rPr>
      <t>ετ</t>
    </r>
    <r>
      <rPr>
        <sz val="11"/>
        <color theme="1"/>
        <rFont val="Calibri"/>
        <family val="2"/>
        <scheme val="minor"/>
      </rPr>
      <t xml:space="preserve"> επερωτησουσιν</t>
    </r>
  </si>
  <si>
    <t>εν τη κερατινη</t>
  </si>
  <si>
    <t>εν κερατινη</t>
  </si>
  <si>
    <t>και ο φελεθθει</t>
  </si>
  <si>
    <r>
      <t xml:space="preserve">και </t>
    </r>
    <r>
      <rPr>
        <b/>
        <sz val="11"/>
        <color theme="1"/>
        <rFont val="Calibri"/>
        <family val="2"/>
        <scheme val="minor"/>
      </rPr>
      <t>του</t>
    </r>
    <r>
      <rPr>
        <sz val="11"/>
        <color theme="1"/>
        <rFont val="Calibri"/>
        <family val="2"/>
        <scheme val="minor"/>
      </rPr>
      <t xml:space="preserve"> οφελεθθει</t>
    </r>
  </si>
  <si>
    <t>και σους</t>
  </si>
  <si>
    <t>και ισους</t>
  </si>
  <si>
    <t>αβιαθαρ ιερεις</t>
  </si>
  <si>
    <t>αβιαθαρ οι ιερεις</t>
  </si>
  <si>
    <t>καιγε ειρας</t>
  </si>
  <si>
    <t>καιγε ιρας</t>
  </si>
  <si>
    <t>ημεραις δαδ τρια ετη ενιαυτος</t>
  </si>
  <si>
    <t>ημεραις δαβιδ ενιαυτος</t>
  </si>
  <si>
    <t>δαδ το προσωπον</t>
  </si>
  <si>
    <t>δαβιδ προσωπον</t>
  </si>
  <si>
    <t>εισιν οτι αλλ η</t>
  </si>
  <si>
    <t>εισιν αλλ η</t>
  </si>
  <si>
    <t>συνετελεσεν εφ ημας</t>
  </si>
  <si>
    <t>συνετελεσθη εφ ημας</t>
  </si>
  <si>
    <t>εδιωξεν ημας ος</t>
  </si>
  <si>
    <t>εδιωξεν ημας και ος</t>
  </si>
  <si>
    <t>εξηλιασωμεν</t>
  </si>
  <si>
    <t>ιωναθαν υιον σαουλ</t>
  </si>
  <si>
    <t>ιωναθαν υιου σαουλ</t>
  </si>
  <si>
    <r>
      <t xml:space="preserve">ανα μεσον δαδ και ανα μεσον </t>
    </r>
    <r>
      <rPr>
        <b/>
        <sz val="11"/>
        <color theme="1"/>
        <rFont val="Calibri"/>
        <family val="2"/>
        <scheme val="minor"/>
      </rPr>
      <t>ιωναθαν</t>
    </r>
  </si>
  <si>
    <r>
      <t xml:space="preserve">αναμεσον ιωναθαν και αναμεσον δ </t>
    </r>
    <r>
      <rPr>
        <b/>
        <sz val="11"/>
        <color theme="1"/>
        <rFont val="Calibri"/>
        <family val="2"/>
        <scheme val="minor"/>
      </rPr>
      <t>ιωννθαν</t>
    </r>
  </si>
  <si>
    <t>ελαβεν ιωναθαν τους δυο</t>
  </si>
  <si>
    <t>ιωναθαν -&gt; ο βασιλευς</t>
  </si>
  <si>
    <t>ρεσφαθ</t>
  </si>
  <si>
    <r>
      <rPr>
        <b/>
        <sz val="11"/>
        <color theme="1"/>
        <rFont val="Calibri"/>
        <family val="2"/>
        <scheme val="minor"/>
      </rPr>
      <t>ρεφφαθ</t>
    </r>
    <r>
      <rPr>
        <sz val="11"/>
        <color theme="1"/>
        <rFont val="Calibri"/>
        <family val="2"/>
        <scheme val="minor"/>
      </rPr>
      <t xml:space="preserve"> θυγατρος αια</t>
    </r>
  </si>
  <si>
    <r>
      <rPr>
        <b/>
        <sz val="11"/>
        <color theme="1"/>
        <rFont val="Calibri"/>
        <family val="2"/>
        <scheme val="minor"/>
      </rPr>
      <t>ρεφφαθ</t>
    </r>
    <r>
      <rPr>
        <sz val="11"/>
        <color theme="1"/>
        <rFont val="Calibri"/>
        <family val="2"/>
        <scheme val="minor"/>
      </rPr>
      <t xml:space="preserve"> θυγατρος σαουλ</t>
    </r>
  </si>
  <si>
    <r>
      <t xml:space="preserve">ρεφφαθ θυγατρος </t>
    </r>
    <r>
      <rPr>
        <b/>
        <sz val="11"/>
        <color theme="1"/>
        <rFont val="Calibri"/>
        <family val="2"/>
        <scheme val="minor"/>
      </rPr>
      <t>αια</t>
    </r>
  </si>
  <si>
    <r>
      <t xml:space="preserve">ρεφφαθ θυγατρος </t>
    </r>
    <r>
      <rPr>
        <b/>
        <sz val="11"/>
        <color theme="1"/>
        <rFont val="Calibri"/>
        <family val="2"/>
        <scheme val="minor"/>
      </rPr>
      <t>σαουλ</t>
    </r>
  </si>
  <si>
    <t>Alex. = μοουλαθειτη, 7522A =μοουλαθιτη</t>
  </si>
  <si>
    <t>αυτοι απεθανατωθησαν εν ημεραις</t>
  </si>
  <si>
    <t>και κατελαβεν αυτους</t>
  </si>
  <si>
    <t>και ελαβεν αυτους</t>
  </si>
  <si>
    <t>αυτον οι αλλοφυλοι</t>
  </si>
  <si>
    <t>αυτον αλλοφυλοι</t>
  </si>
  <si>
    <t>και εποιησαν παντα οσα</t>
  </si>
  <si>
    <t>και εποιησεν παντα οσα</t>
  </si>
  <si>
    <t>πολεμος τοις αλλοφυλοις</t>
  </si>
  <si>
    <t>πολεμος μ τοις αλλοφυλοις</t>
  </si>
  <si>
    <t>και ιεσβι εν νοβ ος ην</t>
  </si>
  <si>
    <t>και ιεσβιεννος ος ην</t>
  </si>
  <si>
    <t>ραφα</t>
  </si>
  <si>
    <t>αυτος περιεζωσμενος κορυνην</t>
  </si>
  <si>
    <r>
      <rPr>
        <b/>
        <sz val="11"/>
        <color theme="1"/>
        <rFont val="Calibri"/>
        <family val="2"/>
        <scheme val="minor"/>
      </rPr>
      <t>αυτος</t>
    </r>
    <r>
      <rPr>
        <sz val="11"/>
        <color theme="1"/>
        <rFont val="Calibri"/>
        <family val="2"/>
        <scheme val="minor"/>
      </rPr>
      <t xml:space="preserve"> περιεζωσμενος κορυνην</t>
    </r>
  </si>
  <si>
    <r>
      <rPr>
        <b/>
        <sz val="11"/>
        <color theme="1"/>
        <rFont val="Calibri"/>
        <family val="2"/>
        <scheme val="minor"/>
      </rPr>
      <t>αυτον</t>
    </r>
    <r>
      <rPr>
        <sz val="11"/>
        <color theme="1"/>
        <rFont val="Calibri"/>
        <family val="2"/>
        <scheme val="minor"/>
      </rPr>
      <t xml:space="preserve"> περιεζωσμενος την κορυνην</t>
    </r>
  </si>
  <si>
    <r>
      <t xml:space="preserve">αυτον περιεζωσμενος </t>
    </r>
    <r>
      <rPr>
        <b/>
        <sz val="11"/>
        <color theme="1"/>
        <rFont val="Calibri"/>
        <family val="2"/>
        <scheme val="minor"/>
      </rPr>
      <t>την</t>
    </r>
    <r>
      <rPr>
        <sz val="11"/>
        <color theme="1"/>
        <rFont val="Calibri"/>
        <family val="2"/>
        <scheme val="minor"/>
      </rPr>
      <t xml:space="preserve"> κορυνην</t>
    </r>
  </si>
  <si>
    <t>7522Α = αουσαστωθι</t>
  </si>
  <si>
    <t>εικοσι τεσσαρες</t>
  </si>
  <si>
    <t>και γεθ ουτος</t>
  </si>
  <si>
    <t>καιγε ουτος</t>
  </si>
  <si>
    <t>εν γεθ οικος και επεσαν</t>
  </si>
  <si>
    <t>εν γεθ και επεσαν</t>
  </si>
  <si>
    <t>ελαλησεν δαδ τω κω τους λογους</t>
  </si>
  <si>
    <t>ελαλησεν δαβιδ τους λογους</t>
  </si>
  <si>
    <t>φυλαξ εσται μου</t>
  </si>
  <si>
    <t>φυλαξ εσται εμου</t>
  </si>
  <si>
    <t>βοησομαι</t>
  </si>
  <si>
    <t>βοη[]σομαι</t>
  </si>
  <si>
    <t>εκ ναου αυτου φωνης μου</t>
  </si>
  <si>
    <t>εκ του ναου φωνης μου</t>
  </si>
  <si>
    <r>
      <t xml:space="preserve">εκ </t>
    </r>
    <r>
      <rPr>
        <b/>
        <sz val="11"/>
        <color theme="1"/>
        <rFont val="Calibri"/>
        <family val="2"/>
        <scheme val="minor"/>
      </rPr>
      <t>του</t>
    </r>
    <r>
      <rPr>
        <sz val="11"/>
        <color theme="1"/>
        <rFont val="Calibri"/>
        <family val="2"/>
        <scheme val="minor"/>
      </rPr>
      <t xml:space="preserve"> ναου φωνης μου</t>
    </r>
  </si>
  <si>
    <r>
      <t xml:space="preserve">εκ ναου </t>
    </r>
    <r>
      <rPr>
        <b/>
        <sz val="11"/>
        <color theme="1"/>
        <rFont val="Calibri"/>
        <family val="2"/>
        <scheme val="minor"/>
      </rPr>
      <t>αυτου</t>
    </r>
    <r>
      <rPr>
        <sz val="11"/>
        <color theme="1"/>
        <rFont val="Calibri"/>
        <family val="2"/>
        <scheme val="minor"/>
      </rPr>
      <t xml:space="preserve"> φωνης μου</t>
    </r>
  </si>
  <si>
    <t>και η κραυγη μου</t>
  </si>
  <si>
    <t>και κραυγη μου</t>
  </si>
  <si>
    <t>θεμελια του ουρανου</t>
  </si>
  <si>
    <t>θεμελια εκ του ουρανου</t>
  </si>
  <si>
    <t>πνοης πνευματος</t>
  </si>
  <si>
    <t>πνοης ευ πνευματος</t>
  </si>
  <si>
    <t>προεφθασαν με ημεραι θλιψεως</t>
  </si>
  <si>
    <t>ανταπεδωκεν μοι κς</t>
  </si>
  <si>
    <t>ανταπεδωκεν μου κς</t>
  </si>
  <si>
    <t>δικαιοσυνην μου κατα την</t>
  </si>
  <si>
    <t>δικαιοσυνην μου και κατα την</t>
  </si>
  <si>
    <t>κς μου εκλαμψει</t>
  </si>
  <si>
    <t>τω θω μου υπερβησομαι</t>
  </si>
  <si>
    <t>τω θω υπερβησομαι</t>
  </si>
  <si>
    <t>η οδος αυτου ποιημα πεπυρωμενον</t>
  </si>
  <si>
    <r>
      <t xml:space="preserve">η οδος αυτου </t>
    </r>
    <r>
      <rPr>
        <b/>
        <sz val="11"/>
        <color theme="1"/>
        <rFont val="Calibri"/>
        <family val="2"/>
        <scheme val="minor"/>
      </rPr>
      <t>το ρημα</t>
    </r>
    <r>
      <rPr>
        <sz val="11"/>
        <color theme="1"/>
        <rFont val="Calibri"/>
        <family val="2"/>
        <scheme val="minor"/>
      </rPr>
      <t xml:space="preserve"> κυ πεπυρωμενον</t>
    </r>
  </si>
  <si>
    <r>
      <t xml:space="preserve">η οδος αυτου </t>
    </r>
    <r>
      <rPr>
        <b/>
        <sz val="11"/>
        <color theme="1"/>
        <rFont val="Calibri"/>
        <family val="2"/>
        <scheme val="minor"/>
      </rPr>
      <t>ποιημα</t>
    </r>
    <r>
      <rPr>
        <sz val="11"/>
        <color theme="1"/>
        <rFont val="Calibri"/>
        <family val="2"/>
        <scheme val="minor"/>
      </rPr>
      <t xml:space="preserve"> πεπυρωμενον</t>
    </r>
  </si>
  <si>
    <r>
      <t xml:space="preserve">η οδος αυτου το ρημα </t>
    </r>
    <r>
      <rPr>
        <b/>
        <sz val="11"/>
        <color theme="1"/>
        <rFont val="Calibri"/>
        <family val="2"/>
        <scheme val="minor"/>
      </rPr>
      <t>κυ</t>
    </r>
    <r>
      <rPr>
        <sz val="11"/>
        <color theme="1"/>
        <rFont val="Calibri"/>
        <family val="2"/>
        <scheme val="minor"/>
      </rPr>
      <t xml:space="preserve"> πεπυρωμενον</t>
    </r>
  </si>
  <si>
    <t>και υπακοη μου</t>
  </si>
  <si>
    <r>
      <t xml:space="preserve">και </t>
    </r>
    <r>
      <rPr>
        <b/>
        <sz val="11"/>
        <color theme="1"/>
        <rFont val="Calibri"/>
        <family val="2"/>
        <scheme val="minor"/>
      </rPr>
      <t>η</t>
    </r>
    <r>
      <rPr>
        <sz val="11"/>
        <color theme="1"/>
        <rFont val="Calibri"/>
        <family val="2"/>
        <scheme val="minor"/>
      </rPr>
      <t xml:space="preserve"> υπακοη σου</t>
    </r>
  </si>
  <si>
    <r>
      <t xml:space="preserve">και η υπακοη </t>
    </r>
    <r>
      <rPr>
        <b/>
        <sz val="11"/>
        <color theme="1"/>
        <rFont val="Calibri"/>
        <family val="2"/>
        <scheme val="minor"/>
      </rPr>
      <t>σου</t>
    </r>
  </si>
  <si>
    <r>
      <t xml:space="preserve">και υπακοη </t>
    </r>
    <r>
      <rPr>
        <b/>
        <sz val="11"/>
        <color theme="1"/>
        <rFont val="Calibri"/>
        <family val="2"/>
        <scheme val="minor"/>
      </rPr>
      <t>μου</t>
    </r>
  </si>
  <si>
    <t>πλαυσμον</t>
  </si>
  <si>
    <t>αναστησονται</t>
  </si>
  <si>
    <t>δυναμι εις πολεμον</t>
  </si>
  <si>
    <t>δυναμει εις πολεμον</t>
  </si>
  <si>
    <t>πολεμον καμψει τους</t>
  </si>
  <si>
    <t>πολεμον καιαμψει τους</t>
  </si>
  <si>
    <t>εδουλευσεν μοι (45) υιοι</t>
  </si>
  <si>
    <t>εδουλευσεν μει (45) υιοι</t>
  </si>
  <si>
    <t>φυλαξ σωτηριας</t>
  </si>
  <si>
    <t>φυλαξ της σωτηριας</t>
  </si>
  <si>
    <t>σωτηριας μου και υψηλος (48) κς ο διδους</t>
  </si>
  <si>
    <t>σωτηριας μου (48) υψηλος κυριος ο διδους</t>
  </si>
  <si>
    <t>αδικηματων ρυση με</t>
  </si>
  <si>
    <t>αδικηματων φη ρυση με</t>
  </si>
  <si>
    <t>εν τοις εθνεσιν</t>
  </si>
  <si>
    <t>εν εθνεσιν</t>
  </si>
  <si>
    <t>πιστος δαδ</t>
  </si>
  <si>
    <t>πιστος ο δαβιδ</t>
  </si>
  <si>
    <t>πιστος ανηρ</t>
  </si>
  <si>
    <t>πιστος ο ανηρ</t>
  </si>
  <si>
    <t>επι χν κυ θυ</t>
  </si>
  <si>
    <t>επι ισραηλ χριστον κυριου θεου</t>
  </si>
  <si>
    <t>εν πυρι καυσει καυθησεται</t>
  </si>
  <si>
    <t>εν πυρι καυσει και καυθησεται</t>
  </si>
  <si>
    <r>
      <rPr>
        <b/>
        <sz val="11"/>
        <color theme="1"/>
        <rFont val="Calibri"/>
        <family val="2"/>
        <scheme val="minor"/>
      </rPr>
      <t>αυτος</t>
    </r>
    <r>
      <rPr>
        <sz val="11"/>
        <color theme="1"/>
        <rFont val="Calibri"/>
        <family val="2"/>
        <scheme val="minor"/>
      </rPr>
      <t xml:space="preserve"> εστιν αδειν ο ασωναος</t>
    </r>
  </si>
  <si>
    <r>
      <rPr>
        <b/>
        <sz val="11"/>
        <color theme="1"/>
        <rFont val="Calibri"/>
        <family val="2"/>
        <scheme val="minor"/>
      </rPr>
      <t>ουτος</t>
    </r>
    <r>
      <rPr>
        <sz val="11"/>
        <color theme="1"/>
        <rFont val="Calibri"/>
        <family val="2"/>
        <scheme val="minor"/>
      </rPr>
      <t xml:space="preserve"> εστιν αδεινο ασωναιος</t>
    </r>
  </si>
  <si>
    <r>
      <t xml:space="preserve">αυτος εστιν αδειν ο </t>
    </r>
    <r>
      <rPr>
        <b/>
        <sz val="11"/>
        <color theme="1"/>
        <rFont val="Calibri"/>
        <family val="2"/>
        <scheme val="minor"/>
      </rPr>
      <t>ασωναος</t>
    </r>
  </si>
  <si>
    <r>
      <t xml:space="preserve">ουτος εστιν αδεινο </t>
    </r>
    <r>
      <rPr>
        <b/>
        <sz val="11"/>
        <color theme="1"/>
        <rFont val="Calibri"/>
        <family val="2"/>
        <scheme val="minor"/>
      </rPr>
      <t>ασωναιος</t>
    </r>
  </si>
  <si>
    <t>εν τω ονειδισαι</t>
  </si>
  <si>
    <t>εν τω ωνειδισαι</t>
  </si>
  <si>
    <r>
      <rPr>
        <b/>
        <sz val="11"/>
        <color theme="1"/>
        <rFont val="Calibri"/>
        <family val="2"/>
        <scheme val="minor"/>
      </rPr>
      <t>σαμμεας</t>
    </r>
    <r>
      <rPr>
        <sz val="11"/>
        <color theme="1"/>
        <rFont val="Calibri"/>
        <family val="2"/>
        <scheme val="minor"/>
      </rPr>
      <t xml:space="preserve"> υιος</t>
    </r>
  </si>
  <si>
    <t>ην εκει μερι του αγρου</t>
  </si>
  <si>
    <t>ην εκει μερις του αγρου</t>
  </si>
  <si>
    <t>αγρου πληρεις φακου</t>
  </si>
  <si>
    <t>πληρεις -&gt; πληρης</t>
  </si>
  <si>
    <t>το δε συστεμα</t>
  </si>
  <si>
    <t>το δε στ συστημα</t>
  </si>
  <si>
    <r>
      <t xml:space="preserve">πιειν </t>
    </r>
    <r>
      <rPr>
        <b/>
        <sz val="11"/>
        <color theme="1"/>
        <rFont val="Calibri"/>
        <family val="2"/>
        <scheme val="minor"/>
      </rPr>
      <t>αυτον</t>
    </r>
    <r>
      <rPr>
        <sz val="11"/>
        <color theme="1"/>
        <rFont val="Calibri"/>
        <family val="2"/>
        <scheme val="minor"/>
      </rPr>
      <t xml:space="preserve"> και επισεν αυτο τω κω</t>
    </r>
  </si>
  <si>
    <r>
      <t xml:space="preserve">πιειν </t>
    </r>
    <r>
      <rPr>
        <b/>
        <sz val="11"/>
        <color theme="1"/>
        <rFont val="Calibri"/>
        <family val="2"/>
        <scheme val="minor"/>
      </rPr>
      <t>αυτον</t>
    </r>
    <r>
      <rPr>
        <sz val="11"/>
        <color theme="1"/>
        <rFont val="Calibri"/>
        <family val="2"/>
        <scheme val="minor"/>
      </rPr>
      <t xml:space="preserve"> και επιεν αυτος τω κυριω</t>
    </r>
  </si>
  <si>
    <t>αυτον -&gt; αυτο</t>
  </si>
  <si>
    <r>
      <t xml:space="preserve">πιειν αυτον και </t>
    </r>
    <r>
      <rPr>
        <b/>
        <sz val="11"/>
        <color theme="1"/>
        <rFont val="Calibri"/>
        <family val="2"/>
        <scheme val="minor"/>
      </rPr>
      <t>επισεν</t>
    </r>
    <r>
      <rPr>
        <sz val="11"/>
        <color theme="1"/>
        <rFont val="Calibri"/>
        <family val="2"/>
        <scheme val="minor"/>
      </rPr>
      <t xml:space="preserve"> αυτο τω κω</t>
    </r>
  </si>
  <si>
    <r>
      <t xml:space="preserve">πιειν αυτον και </t>
    </r>
    <r>
      <rPr>
        <b/>
        <sz val="11"/>
        <color theme="1"/>
        <rFont val="Calibri"/>
        <family val="2"/>
        <scheme val="minor"/>
      </rPr>
      <t>επιεν</t>
    </r>
    <r>
      <rPr>
        <sz val="11"/>
        <color theme="1"/>
        <rFont val="Calibri"/>
        <family val="2"/>
        <scheme val="minor"/>
      </rPr>
      <t xml:space="preserve"> αυτος τω κυριω</t>
    </r>
  </si>
  <si>
    <r>
      <t xml:space="preserve">πιειν αυτον και επισεν </t>
    </r>
    <r>
      <rPr>
        <b/>
        <sz val="11"/>
        <color theme="1"/>
        <rFont val="Calibri"/>
        <family val="2"/>
        <scheme val="minor"/>
      </rPr>
      <t>αυτο</t>
    </r>
    <r>
      <rPr>
        <sz val="11"/>
        <color theme="1"/>
        <rFont val="Calibri"/>
        <family val="2"/>
        <scheme val="minor"/>
      </rPr>
      <t xml:space="preserve"> τω κω</t>
    </r>
  </si>
  <si>
    <r>
      <t xml:space="preserve">πιειν αυτον και επιεν </t>
    </r>
    <r>
      <rPr>
        <b/>
        <sz val="11"/>
        <color theme="1"/>
        <rFont val="Calibri"/>
        <family val="2"/>
        <scheme val="minor"/>
      </rPr>
      <t>αυτος</t>
    </r>
    <r>
      <rPr>
        <sz val="11"/>
        <color theme="1"/>
        <rFont val="Calibri"/>
        <family val="2"/>
        <scheme val="minor"/>
      </rPr>
      <t xml:space="preserve"> τω κυριω</t>
    </r>
  </si>
  <si>
    <t>μοι κε του</t>
  </si>
  <si>
    <t>μοι κυριος του</t>
  </si>
  <si>
    <t>αυτο ταυτα εποιησαν</t>
  </si>
  <si>
    <t>αυτο τουτα εποιησαν</t>
  </si>
  <si>
    <t>αβισαι υιος σαρουιας</t>
  </si>
  <si>
    <r>
      <t xml:space="preserve">αβισαι </t>
    </r>
    <r>
      <rPr>
        <b/>
        <sz val="11"/>
        <color theme="1"/>
        <rFont val="Calibri"/>
        <family val="2"/>
        <scheme val="minor"/>
      </rPr>
      <t>αδελφος ιωαβ</t>
    </r>
    <r>
      <rPr>
        <sz val="11"/>
        <color theme="1"/>
        <rFont val="Calibri"/>
        <family val="2"/>
        <scheme val="minor"/>
      </rPr>
      <t xml:space="preserve"> υιος σαιρουιας</t>
    </r>
  </si>
  <si>
    <r>
      <t xml:space="preserve">αβισαι αδελφος ιωαβ υιος </t>
    </r>
    <r>
      <rPr>
        <b/>
        <sz val="11"/>
        <color theme="1"/>
        <rFont val="Calibri"/>
        <family val="2"/>
        <scheme val="minor"/>
      </rPr>
      <t>σαιρουιας</t>
    </r>
  </si>
  <si>
    <r>
      <t xml:space="preserve">αβισαι υιος </t>
    </r>
    <r>
      <rPr>
        <b/>
        <sz val="11"/>
        <color theme="1"/>
        <rFont val="Calibri"/>
        <family val="2"/>
        <scheme val="minor"/>
      </rPr>
      <t>σαρουιας</t>
    </r>
  </si>
  <si>
    <t>αυτος εξηγειρεν</t>
  </si>
  <si>
    <t>αυτος ηγειρεν</t>
  </si>
  <si>
    <t>δυνατων δαβιδ ασαηλ</t>
  </si>
  <si>
    <t>δυνατων δαδ βασιλεως ασαηλ</t>
  </si>
  <si>
    <t>υιος δουδει</t>
  </si>
  <si>
    <r>
      <t xml:space="preserve">υιος </t>
    </r>
    <r>
      <rPr>
        <b/>
        <sz val="11"/>
        <color theme="1"/>
        <rFont val="Calibri"/>
        <family val="2"/>
        <scheme val="minor"/>
      </rPr>
      <t>λ</t>
    </r>
    <r>
      <rPr>
        <sz val="11"/>
        <color theme="1"/>
        <rFont val="Calibri"/>
        <family val="2"/>
        <scheme val="minor"/>
      </rPr>
      <t xml:space="preserve"> λουδει</t>
    </r>
  </si>
  <si>
    <r>
      <t xml:space="preserve">υιος </t>
    </r>
    <r>
      <rPr>
        <b/>
        <sz val="11"/>
        <color theme="1"/>
        <rFont val="Calibri"/>
        <family val="2"/>
        <scheme val="minor"/>
      </rPr>
      <t>δουδει</t>
    </r>
  </si>
  <si>
    <r>
      <t xml:space="preserve">υιος λ </t>
    </r>
    <r>
      <rPr>
        <b/>
        <sz val="11"/>
        <color theme="1"/>
        <rFont val="Calibri"/>
        <family val="2"/>
        <scheme val="minor"/>
      </rPr>
      <t>λουδει</t>
    </r>
  </si>
  <si>
    <t>εν βηθλεεμ</t>
  </si>
  <si>
    <r>
      <rPr>
        <b/>
        <sz val="11"/>
        <color theme="1"/>
        <rFont val="Calibri"/>
        <family val="2"/>
        <scheme val="minor"/>
      </rPr>
      <t>εν</t>
    </r>
    <r>
      <rPr>
        <sz val="11"/>
        <color theme="1"/>
        <rFont val="Calibri"/>
        <family val="2"/>
        <scheme val="minor"/>
      </rPr>
      <t xml:space="preserve"> βηθλεεμ</t>
    </r>
  </si>
  <si>
    <r>
      <rPr>
        <b/>
        <sz val="11"/>
        <color theme="1"/>
        <rFont val="Calibri"/>
        <family val="2"/>
        <scheme val="minor"/>
      </rPr>
      <t>εκ</t>
    </r>
    <r>
      <rPr>
        <sz val="11"/>
        <color theme="1"/>
        <rFont val="Calibri"/>
        <family val="2"/>
        <scheme val="minor"/>
      </rPr>
      <t xml:space="preserve"> του βηθλεεμ</t>
    </r>
  </si>
  <si>
    <r>
      <t xml:space="preserve">εκ </t>
    </r>
    <r>
      <rPr>
        <b/>
        <sz val="11"/>
        <color theme="1"/>
        <rFont val="Calibri"/>
        <family val="2"/>
        <scheme val="minor"/>
      </rPr>
      <t>του</t>
    </r>
    <r>
      <rPr>
        <sz val="11"/>
        <color theme="1"/>
        <rFont val="Calibri"/>
        <family val="2"/>
        <scheme val="minor"/>
      </rPr>
      <t xml:space="preserve"> βηθλεεμ</t>
    </r>
  </si>
  <si>
    <t>αλαφι υιος</t>
  </si>
  <si>
    <t>αλαφ υιος</t>
  </si>
  <si>
    <t>βαανααι του</t>
  </si>
  <si>
    <t>βααναιμ του</t>
  </si>
  <si>
    <t>αραβωθει ασμωθ</t>
  </si>
  <si>
    <t>αραβωθει ας ασμωθ</t>
  </si>
  <si>
    <t>μαχαται ελιαφ</t>
  </si>
  <si>
    <t>μαχαταιου ελιαφ</t>
  </si>
  <si>
    <t>υιος αχιτοφελ</t>
  </si>
  <si>
    <t>υιος αχιταφελ</t>
  </si>
  <si>
    <r>
      <rPr>
        <b/>
        <sz val="11"/>
        <color theme="1"/>
        <rFont val="Calibri"/>
        <family val="2"/>
        <scheme val="minor"/>
      </rPr>
      <t>αραχει</t>
    </r>
    <r>
      <rPr>
        <sz val="11"/>
        <color theme="1"/>
        <rFont val="Calibri"/>
        <family val="2"/>
        <scheme val="minor"/>
      </rPr>
      <t>εις (36) γααλ</t>
    </r>
  </si>
  <si>
    <r>
      <rPr>
        <b/>
        <sz val="11"/>
        <color theme="1"/>
        <rFont val="Calibri"/>
        <family val="2"/>
        <scheme val="minor"/>
      </rPr>
      <t>αραχι</t>
    </r>
    <r>
      <rPr>
        <sz val="11"/>
        <color theme="1"/>
        <rFont val="Calibri"/>
        <family val="2"/>
        <scheme val="minor"/>
      </rPr>
      <t xml:space="preserve"> (36) ισγααλ</t>
    </r>
  </si>
  <si>
    <r>
      <t>αραχει</t>
    </r>
    <r>
      <rPr>
        <b/>
        <sz val="11"/>
        <color theme="1"/>
        <rFont val="Calibri"/>
        <family val="2"/>
        <scheme val="minor"/>
      </rPr>
      <t>εις</t>
    </r>
    <r>
      <rPr>
        <sz val="11"/>
        <color theme="1"/>
        <rFont val="Calibri"/>
        <family val="2"/>
        <scheme val="minor"/>
      </rPr>
      <t xml:space="preserve"> (36) γααλ</t>
    </r>
  </si>
  <si>
    <r>
      <t xml:space="preserve">αραχι (36) </t>
    </r>
    <r>
      <rPr>
        <b/>
        <sz val="11"/>
        <color theme="1"/>
        <rFont val="Calibri"/>
        <family val="2"/>
        <scheme val="minor"/>
      </rPr>
      <t>ισ</t>
    </r>
    <r>
      <rPr>
        <sz val="11"/>
        <color theme="1"/>
        <rFont val="Calibri"/>
        <family val="2"/>
        <scheme val="minor"/>
      </rPr>
      <t>γααλ</t>
    </r>
  </si>
  <si>
    <t>επεσεισε τον δαδ</t>
  </si>
  <si>
    <t>επεσεισετο τον δαβιδ</t>
  </si>
  <si>
    <t>προσθειη κς ο θς σου προς τον λαον</t>
  </si>
  <si>
    <t>προσθειη κυριος ο λαος σου προς τον λαον</t>
  </si>
  <si>
    <t>ωσπερ αυτους</t>
  </si>
  <si>
    <t>ως αυτους</t>
  </si>
  <si>
    <r>
      <rPr>
        <b/>
        <sz val="11"/>
        <color theme="1"/>
        <rFont val="Calibri"/>
        <family val="2"/>
        <scheme val="minor"/>
      </rPr>
      <t>εμ</t>
    </r>
    <r>
      <rPr>
        <sz val="11"/>
        <color theme="1"/>
        <rFont val="Calibri"/>
        <family val="2"/>
        <scheme val="minor"/>
      </rPr>
      <t xml:space="preserve"> μεσω της φαραγγος γαδ και ελιαζηρ</t>
    </r>
  </si>
  <si>
    <r>
      <t xml:space="preserve">εμ μεσω της φαραγγος </t>
    </r>
    <r>
      <rPr>
        <b/>
        <sz val="11"/>
        <color theme="1"/>
        <rFont val="Calibri"/>
        <family val="2"/>
        <scheme val="minor"/>
      </rPr>
      <t>γαδ</t>
    </r>
    <r>
      <rPr>
        <sz val="11"/>
        <color theme="1"/>
        <rFont val="Calibri"/>
        <family val="2"/>
        <scheme val="minor"/>
      </rPr>
      <t xml:space="preserve"> και ελιαζηρ</t>
    </r>
  </si>
  <si>
    <t>real error is a separated duplication, not a transposition: 7522A = εν μεσω γαδ της φαραγγος γαδ και ελιαζηρ; note that 7522A was then corrected to match Alex.</t>
  </si>
  <si>
    <t>εις γην εθαων</t>
  </si>
  <si>
    <t>εις την εθαων</t>
  </si>
  <si>
    <t>δανιαραν και ιουδαν</t>
  </si>
  <si>
    <t>δαν ιαραν τον ιουδαν</t>
  </si>
  <si>
    <t>οκτακοσιαι χιλι ανδρων</t>
  </si>
  <si>
    <t>οκτακοσιαι χιλιαδες ανδρων</t>
  </si>
  <si>
    <t>τουτο νυν κε παραβιβασον</t>
  </si>
  <si>
    <t>τουτο και νυν παραβιβασον</t>
  </si>
  <si>
    <r>
      <t xml:space="preserve">τουτο </t>
    </r>
    <r>
      <rPr>
        <b/>
        <sz val="11"/>
        <color theme="1"/>
        <rFont val="Calibri"/>
        <family val="2"/>
        <scheme val="minor"/>
      </rPr>
      <t>και</t>
    </r>
    <r>
      <rPr>
        <sz val="11"/>
        <color theme="1"/>
        <rFont val="Calibri"/>
        <family val="2"/>
        <scheme val="minor"/>
      </rPr>
      <t xml:space="preserve"> νυν παραβιβασον</t>
    </r>
  </si>
  <si>
    <r>
      <t xml:space="preserve">τουτο νυν </t>
    </r>
    <r>
      <rPr>
        <b/>
        <sz val="11"/>
        <color theme="1"/>
        <rFont val="Calibri"/>
        <family val="2"/>
        <scheme val="minor"/>
      </rPr>
      <t>κε</t>
    </r>
    <r>
      <rPr>
        <sz val="11"/>
        <color theme="1"/>
        <rFont val="Calibri"/>
        <family val="2"/>
        <scheme val="minor"/>
      </rPr>
      <t xml:space="preserve"> παραβιβασον</t>
    </r>
  </si>
  <si>
    <t>και ανηγγειλεν</t>
  </si>
  <si>
    <t>και ανην ανηγγειλεν</t>
  </si>
  <si>
    <t>τη γη σου η τρεις μηνας</t>
  </si>
  <si>
    <t>τη γη σου τρεις μηνας</t>
  </si>
  <si>
    <t>γενεσθαι τις ημερας</t>
  </si>
  <si>
    <t>γενεσθαι τρεις ημερας</t>
  </si>
  <si>
    <t>γαδ στενο μοι</t>
  </si>
  <si>
    <t>γαδ στενα μοι</t>
  </si>
  <si>
    <t>7522Α = οικτριρμοι</t>
  </si>
  <si>
    <t>τω λαω πολυν ανες</t>
  </si>
  <si>
    <t>τω λαω πολυ ανες</t>
  </si>
  <si>
    <t>του πατρος μου</t>
  </si>
  <si>
    <t>του πατρος ου μου</t>
  </si>
  <si>
    <t>Alex. = συνεσχεσθη</t>
  </si>
  <si>
    <t>ωκοδομησεν εκει δαδ</t>
  </si>
  <si>
    <t>και συνεσχεσθη</t>
  </si>
  <si>
    <t>και ω συ συνεσχεσθη</t>
  </si>
  <si>
    <t>εθερμενετο (2) αυτου ζητησατωσαν</t>
  </si>
  <si>
    <r>
      <rPr>
        <b/>
        <sz val="11"/>
        <color theme="1"/>
        <rFont val="Calibri"/>
        <family val="2"/>
        <scheme val="minor"/>
      </rPr>
      <t>εθερμενετο</t>
    </r>
    <r>
      <rPr>
        <sz val="11"/>
        <color theme="1"/>
        <rFont val="Calibri"/>
        <family val="2"/>
        <scheme val="minor"/>
      </rPr>
      <t xml:space="preserve"> (2) αυτου ζητησατωσαν</t>
    </r>
  </si>
  <si>
    <r>
      <rPr>
        <b/>
        <sz val="11"/>
        <color theme="1"/>
        <rFont val="Calibri"/>
        <family val="2"/>
        <scheme val="minor"/>
      </rPr>
      <t>εθερμαινετο</t>
    </r>
    <r>
      <rPr>
        <sz val="11"/>
        <color theme="1"/>
        <rFont val="Calibri"/>
        <family val="2"/>
        <scheme val="minor"/>
      </rPr>
      <t xml:space="preserve"> (2) και ειπαν οι παιδες αυτου ζητησατωσαν</t>
    </r>
  </si>
  <si>
    <r>
      <t xml:space="preserve">εθερμαινετο (2) </t>
    </r>
    <r>
      <rPr>
        <b/>
        <sz val="11"/>
        <color theme="1"/>
        <rFont val="Calibri"/>
        <family val="2"/>
        <scheme val="minor"/>
      </rPr>
      <t>και ειπαν οι παιδες</t>
    </r>
    <r>
      <rPr>
        <sz val="11"/>
        <color theme="1"/>
        <rFont val="Calibri"/>
        <family val="2"/>
        <scheme val="minor"/>
      </rPr>
      <t xml:space="preserve"> αυτου ζητησατωσαν</t>
    </r>
  </si>
  <si>
    <t>7522A = σουναμιτην, corrected to σουναμιτιν</t>
  </si>
  <si>
    <t>και η νενεανις</t>
  </si>
  <si>
    <t>και η νεανις</t>
  </si>
  <si>
    <t>7522Α = και ην η νεανις</t>
  </si>
  <si>
    <t>παρατρεχοντας αυτω εμπροσθεν</t>
  </si>
  <si>
    <t>παρατρεχοντας εμπροσθεν</t>
  </si>
  <si>
    <t>βοας</t>
  </si>
  <si>
    <t>του ζωελεθ</t>
  </si>
  <si>
    <t>του ιωελεθ</t>
  </si>
  <si>
    <t>τους αδρας</t>
  </si>
  <si>
    <t>τους ανδρας</t>
  </si>
  <si>
    <t>δευρο συμβουλευσω</t>
  </si>
  <si>
    <t>δευρο συμβουσευσω</t>
  </si>
  <si>
    <t>μετ εμε και αυτος</t>
  </si>
  <si>
    <t>μετ εμου και αυτος</t>
  </si>
  <si>
    <t>σουμανιτις ην λειτουργουσα</t>
  </si>
  <si>
    <t>σουμανιτις λειτουργουσα</t>
  </si>
  <si>
    <t>λεγων οτι σαλωμων</t>
  </si>
  <si>
    <t>λεγων ο σαλωμων</t>
  </si>
  <si>
    <t>προβατα εις πληθος</t>
  </si>
  <si>
    <t>προβατα εκ πληθος</t>
  </si>
  <si>
    <t>του υιους του βασιλεως</t>
  </si>
  <si>
    <t>τους υιους του βασιλεως</t>
  </si>
  <si>
    <r>
      <t xml:space="preserve">αδωνιας </t>
    </r>
    <r>
      <rPr>
        <b/>
        <sz val="11"/>
        <color theme="1"/>
        <rFont val="Calibri"/>
        <family val="2"/>
        <scheme val="minor"/>
      </rPr>
      <t>συ</t>
    </r>
    <r>
      <rPr>
        <sz val="11"/>
        <color theme="1"/>
        <rFont val="Calibri"/>
        <family val="2"/>
        <scheme val="minor"/>
      </rPr>
      <t xml:space="preserve"> βασιλευσει οπισω μου</t>
    </r>
  </si>
  <si>
    <r>
      <t xml:space="preserve">αδωνιας συ </t>
    </r>
    <r>
      <rPr>
        <b/>
        <sz val="11"/>
        <color theme="1"/>
        <rFont val="Calibri"/>
        <family val="2"/>
        <scheme val="minor"/>
      </rPr>
      <t>βασιλευσει</t>
    </r>
    <r>
      <rPr>
        <sz val="11"/>
        <color theme="1"/>
        <rFont val="Calibri"/>
        <family val="2"/>
        <scheme val="minor"/>
      </rPr>
      <t xml:space="preserve"> οπισω μου</t>
    </r>
  </si>
  <si>
    <r>
      <t xml:space="preserve">αδωνιας συ </t>
    </r>
    <r>
      <rPr>
        <b/>
        <sz val="11"/>
        <color theme="1"/>
        <rFont val="Calibri"/>
        <family val="2"/>
        <scheme val="minor"/>
      </rPr>
      <t>βασιλευσεις</t>
    </r>
    <r>
      <rPr>
        <sz val="11"/>
        <color theme="1"/>
        <rFont val="Calibri"/>
        <family val="2"/>
        <scheme val="minor"/>
      </rPr>
      <t xml:space="preserve"> οπισω μου</t>
    </r>
  </si>
  <si>
    <t>συ omitted</t>
  </si>
  <si>
    <r>
      <t xml:space="preserve">αδωνιας </t>
    </r>
    <r>
      <rPr>
        <b/>
        <sz val="11"/>
        <color theme="1"/>
        <rFont val="Calibri"/>
        <family val="2"/>
        <scheme val="minor"/>
      </rPr>
      <t>συ</t>
    </r>
    <r>
      <rPr>
        <sz val="11"/>
        <color theme="1"/>
        <rFont val="Calibri"/>
        <family val="2"/>
        <scheme val="minor"/>
      </rPr>
      <t xml:space="preserve"> βασιλευσεις οπισω μου</t>
    </r>
  </si>
  <si>
    <t>αβιαθαρ τον αρχιερεα</t>
  </si>
  <si>
    <t>αβιαθαρ τον ιερεα αρχιερεα</t>
  </si>
  <si>
    <t>βασιλευς αδωνιου</t>
  </si>
  <si>
    <t>αδωνιου -&gt; αδωνιας</t>
  </si>
  <si>
    <t>υιον ιωδαε</t>
  </si>
  <si>
    <t>υιον ιωιαδαε</t>
  </si>
  <si>
    <t>σαλωμων τον δουλον</t>
  </si>
  <si>
    <t>σαλωμωντα τον δουλον</t>
  </si>
  <si>
    <t>δια του κυριου μου του βασιλεως γεγονεν το ρημα του κυριου μου του βασιλεως γεγονεν το ρημα τουτο</t>
  </si>
  <si>
    <t>δια του κυριου μου του βασιλεως γεγονεν το ρημα τουτο</t>
  </si>
  <si>
    <t>τις καθησεται επι τον θρονον του κυριου</t>
  </si>
  <si>
    <r>
      <t xml:space="preserve">τις καθησεται </t>
    </r>
    <r>
      <rPr>
        <b/>
        <sz val="11"/>
        <color theme="1"/>
        <rFont val="Calibri"/>
        <family val="2"/>
        <scheme val="minor"/>
      </rPr>
      <t>τι</t>
    </r>
    <r>
      <rPr>
        <sz val="11"/>
        <color theme="1"/>
        <rFont val="Calibri"/>
        <family val="2"/>
        <scheme val="minor"/>
      </rPr>
      <t xml:space="preserve"> επι τον θρονον του κυριου</t>
    </r>
  </si>
  <si>
    <r>
      <t>τις καθησεται επι</t>
    </r>
    <r>
      <rPr>
        <b/>
        <sz val="11"/>
        <color theme="1"/>
        <rFont val="Calibri"/>
        <family val="2"/>
        <scheme val="minor"/>
      </rPr>
      <t xml:space="preserve"> τον θρονον</t>
    </r>
    <r>
      <rPr>
        <sz val="11"/>
        <color theme="1"/>
        <rFont val="Calibri"/>
        <family val="2"/>
        <scheme val="minor"/>
      </rPr>
      <t xml:space="preserve"> του κυριου</t>
    </r>
  </si>
  <si>
    <r>
      <t xml:space="preserve">τις καθησεται τι επι </t>
    </r>
    <r>
      <rPr>
        <b/>
        <sz val="11"/>
        <color theme="1"/>
        <rFont val="Calibri"/>
        <family val="2"/>
        <scheme val="minor"/>
      </rPr>
      <t>τον θρονον</t>
    </r>
    <r>
      <rPr>
        <sz val="11"/>
        <color theme="1"/>
        <rFont val="Calibri"/>
        <family val="2"/>
        <scheme val="minor"/>
      </rPr>
      <t xml:space="preserve"> του κυριου</t>
    </r>
  </si>
  <si>
    <t>τον θρονον -&gt; του θρονου</t>
  </si>
  <si>
    <t>σαλωμων τον υιον</t>
  </si>
  <si>
    <t>σαλωμωντα τον υιον</t>
  </si>
  <si>
    <t>προφητης εις βασιλεα</t>
  </si>
  <si>
    <t>προφητης και εις βασιλεα</t>
  </si>
  <si>
    <t>αναβησεσθε</t>
  </si>
  <si>
    <t>εισελυσετε</t>
  </si>
  <si>
    <t>επι του θρονου μου</t>
  </si>
  <si>
    <t>επι τον θρονον μου</t>
  </si>
  <si>
    <t>και εγω ενετειλαμην</t>
  </si>
  <si>
    <t>εγω -&gt; αυτω</t>
  </si>
  <si>
    <t>τον σαλωμων επι</t>
  </si>
  <si>
    <t>τον σαλωμωντα επι</t>
  </si>
  <si>
    <t>τον σαλωμων και</t>
  </si>
  <si>
    <t>τον σαλωμωντα και</t>
  </si>
  <si>
    <t>και ι ιδου</t>
  </si>
  <si>
    <t>ιερεως ηλθεν και ειπεν</t>
  </si>
  <si>
    <t>ιερεως εισηλθεν και ειπεν</t>
  </si>
  <si>
    <t>εισελθε οτι</t>
  </si>
  <si>
    <t>εισελθεν οτι</t>
  </si>
  <si>
    <t>τον σαλωμων (44) και</t>
  </si>
  <si>
    <t>τον σαλωμωντα (44) και</t>
  </si>
  <si>
    <t>βασιλεα εν γιων</t>
  </si>
  <si>
    <r>
      <rPr>
        <b/>
        <sz val="11"/>
        <color theme="1"/>
        <rFont val="Calibri"/>
        <family val="2"/>
        <scheme val="minor"/>
      </rPr>
      <t>βασιλεαν</t>
    </r>
    <r>
      <rPr>
        <sz val="11"/>
        <color theme="1"/>
        <rFont val="Calibri"/>
        <family val="2"/>
        <scheme val="minor"/>
      </rPr>
      <t xml:space="preserve"> εν τω γιων</t>
    </r>
  </si>
  <si>
    <r>
      <rPr>
        <b/>
        <sz val="11"/>
        <color theme="1"/>
        <rFont val="Calibri"/>
        <family val="2"/>
        <scheme val="minor"/>
      </rPr>
      <t>βασιλεα</t>
    </r>
    <r>
      <rPr>
        <sz val="11"/>
        <color theme="1"/>
        <rFont val="Calibri"/>
        <family val="2"/>
        <scheme val="minor"/>
      </rPr>
      <t xml:space="preserve"> εν γιων</t>
    </r>
  </si>
  <si>
    <r>
      <t xml:space="preserve">βασιλεαν εν </t>
    </r>
    <r>
      <rPr>
        <b/>
        <sz val="11"/>
        <color theme="1"/>
        <rFont val="Calibri"/>
        <family val="2"/>
        <scheme val="minor"/>
      </rPr>
      <t>τω</t>
    </r>
    <r>
      <rPr>
        <sz val="11"/>
        <color theme="1"/>
        <rFont val="Calibri"/>
        <family val="2"/>
        <scheme val="minor"/>
      </rPr>
      <t xml:space="preserve"> γιων</t>
    </r>
  </si>
  <si>
    <t>η φωνη κουσατε</t>
  </si>
  <si>
    <t>η φωνη ην ηκουσατε</t>
  </si>
  <si>
    <t>επι θρονον της</t>
  </si>
  <si>
    <t>αγαθυνε ο θς</t>
  </si>
  <si>
    <t>αγαθυναι ο θεος</t>
  </si>
  <si>
    <t>του θρονου και</t>
  </si>
  <si>
    <t>του θρονου μου και</t>
  </si>
  <si>
    <t>κλητοι του αδωνιου</t>
  </si>
  <si>
    <t>κλητοι αδωνιου</t>
  </si>
  <si>
    <t>σαλωμων τω υιω</t>
  </si>
  <si>
    <t>σαλωμων υιω</t>
  </si>
  <si>
    <t>τουτο ρευεσθαι</t>
  </si>
  <si>
    <t>του πορευεσθαι</t>
  </si>
  <si>
    <t>Alex. = τουτο ρυεσθαι</t>
  </si>
  <si>
    <t>οσα εντειλωμε σοι</t>
  </si>
  <si>
    <r>
      <t xml:space="preserve">οσα </t>
    </r>
    <r>
      <rPr>
        <b/>
        <sz val="11"/>
        <color theme="1"/>
        <rFont val="Calibri"/>
        <family val="2"/>
        <scheme val="minor"/>
      </rPr>
      <t>αν</t>
    </r>
    <r>
      <rPr>
        <sz val="11"/>
        <color theme="1"/>
        <rFont val="Calibri"/>
        <family val="2"/>
        <scheme val="minor"/>
      </rPr>
      <t xml:space="preserve"> εντειλωμαι σοι</t>
    </r>
  </si>
  <si>
    <r>
      <t xml:space="preserve">οσα </t>
    </r>
    <r>
      <rPr>
        <b/>
        <sz val="11"/>
        <color theme="1"/>
        <rFont val="Calibri"/>
        <family val="2"/>
        <scheme val="minor"/>
      </rPr>
      <t>εντειλωμε</t>
    </r>
    <r>
      <rPr>
        <sz val="11"/>
        <color theme="1"/>
        <rFont val="Calibri"/>
        <family val="2"/>
        <scheme val="minor"/>
      </rPr>
      <t xml:space="preserve"> σοι</t>
    </r>
  </si>
  <si>
    <r>
      <t xml:space="preserve">οσα αν </t>
    </r>
    <r>
      <rPr>
        <b/>
        <sz val="11"/>
        <color theme="1"/>
        <rFont val="Calibri"/>
        <family val="2"/>
        <scheme val="minor"/>
      </rPr>
      <t>εντειλωμαι</t>
    </r>
    <r>
      <rPr>
        <sz val="11"/>
        <color theme="1"/>
        <rFont val="Calibri"/>
        <family val="2"/>
        <scheme val="minor"/>
      </rPr>
      <t xml:space="preserve"> σοι</t>
    </r>
  </si>
  <si>
    <t>επανωθεν του θρονου</t>
  </si>
  <si>
    <t>επανωθεν θρονου</t>
  </si>
  <si>
    <r>
      <rPr>
        <b/>
        <sz val="11"/>
        <color theme="1"/>
        <rFont val="Calibri"/>
        <family val="2"/>
        <scheme val="minor"/>
      </rPr>
      <t>υιος</t>
    </r>
    <r>
      <rPr>
        <sz val="11"/>
        <color theme="1"/>
        <rFont val="Calibri"/>
        <family val="2"/>
        <scheme val="minor"/>
      </rPr>
      <t xml:space="preserve"> αρουιας</t>
    </r>
  </si>
  <si>
    <r>
      <rPr>
        <b/>
        <sz val="11"/>
        <color theme="1"/>
        <rFont val="Calibri"/>
        <family val="2"/>
        <scheme val="minor"/>
      </rPr>
      <t>υιος</t>
    </r>
    <r>
      <rPr>
        <sz val="11"/>
        <color theme="1"/>
        <rFont val="Calibri"/>
        <family val="2"/>
        <scheme val="minor"/>
      </rPr>
      <t xml:space="preserve"> σαρουιας</t>
    </r>
  </si>
  <si>
    <t>7522A = υιοις</t>
  </si>
  <si>
    <t>υποδηματι αυτου του εν τω ποδι</t>
  </si>
  <si>
    <t>υποδηματι αυτου τον εν τω ποδι</t>
  </si>
  <si>
    <t>τον εν τω ποδι -&gt; τω εν τω ποδι</t>
  </si>
  <si>
    <t>βερζελλει του γαλααδιτου</t>
  </si>
  <si>
    <t>βερζελλει γαλααδιτου</t>
  </si>
  <si>
    <t>βασιλεια αυτου σφοδρα</t>
  </si>
  <si>
    <t>βασιλεια αυτου σφφ σφοδρα</t>
  </si>
  <si>
    <t>προσεκυνησεν αυτην η δε ειπεν</t>
  </si>
  <si>
    <t>προσεκυνησεν αυτω η δε ειπεν</t>
  </si>
  <si>
    <t>αυτω -&gt; αυτην</t>
  </si>
  <si>
    <t>τω βασιλει</t>
  </si>
  <si>
    <t>τω βασιβασιλει</t>
  </si>
  <si>
    <t>βασιλεα σαλωμων λαλησαι</t>
  </si>
  <si>
    <t>βασιλεα σαλωμωντα λαλησαι</t>
  </si>
  <si>
    <t>απαντησιν αυτη και</t>
  </si>
  <si>
    <t>απαντησιν αυτης και</t>
  </si>
  <si>
    <t>εκαθισεν επι του θρονου</t>
  </si>
  <si>
    <t>εκαθισεν εν επι του θρονου</t>
  </si>
  <si>
    <t>αδελφος μου μεγας</t>
  </si>
  <si>
    <t>αδελφος μου ο μεγας</t>
  </si>
  <si>
    <t>της ευχης αυτου</t>
  </si>
  <si>
    <t>της ψυχης αυτου</t>
  </si>
  <si>
    <t>τω σαλωμων λεγοντες</t>
  </si>
  <si>
    <t>τω σαλωμωντι λεγοντες</t>
  </si>
  <si>
    <t>κατεχει των</t>
  </si>
  <si>
    <t>κατεσχεν των</t>
  </si>
  <si>
    <t>ηλθεν βαναιου υιος</t>
  </si>
  <si>
    <t>ηλθεν βαναιαν υιος</t>
  </si>
  <si>
    <t>ηλθεν βαναιας υιος</t>
  </si>
  <si>
    <r>
      <t xml:space="preserve">απεστρεψεν </t>
    </r>
    <r>
      <rPr>
        <b/>
        <sz val="11"/>
        <color theme="1"/>
        <rFont val="Calibri"/>
        <family val="2"/>
        <scheme val="minor"/>
      </rPr>
      <t>βαναιου</t>
    </r>
    <r>
      <rPr>
        <sz val="11"/>
        <color theme="1"/>
        <rFont val="Calibri"/>
        <family val="2"/>
        <scheme val="minor"/>
      </rPr>
      <t xml:space="preserve"> υιος</t>
    </r>
  </si>
  <si>
    <r>
      <t xml:space="preserve">απεστρεψεν </t>
    </r>
    <r>
      <rPr>
        <b/>
        <sz val="11"/>
        <color theme="1"/>
        <rFont val="Calibri"/>
        <family val="2"/>
        <scheme val="minor"/>
      </rPr>
      <t>βαναια</t>
    </r>
    <r>
      <rPr>
        <sz val="11"/>
        <color theme="1"/>
        <rFont val="Calibri"/>
        <family val="2"/>
        <scheme val="minor"/>
      </rPr>
      <t xml:space="preserve"> ουος</t>
    </r>
  </si>
  <si>
    <r>
      <t xml:space="preserve">απεστρεψεν βαναιου </t>
    </r>
    <r>
      <rPr>
        <b/>
        <sz val="11"/>
        <color theme="1"/>
        <rFont val="Calibri"/>
        <family val="2"/>
        <scheme val="minor"/>
      </rPr>
      <t>υιος</t>
    </r>
  </si>
  <si>
    <r>
      <t xml:space="preserve">απεστρεψεν βαναια </t>
    </r>
    <r>
      <rPr>
        <b/>
        <sz val="11"/>
        <color theme="1"/>
        <rFont val="Calibri"/>
        <family val="2"/>
        <scheme val="minor"/>
      </rPr>
      <t>ουος</t>
    </r>
  </si>
  <si>
    <t>Alex. = βανιου; 7522A "corrected" to βαναιας</t>
  </si>
  <si>
    <t>ταδε ελαληκεν</t>
  </si>
  <si>
    <t>ταδε λελαληκεν</t>
  </si>
  <si>
    <t>ρομφαια και ο πατηρ</t>
  </si>
  <si>
    <t>ρομφαια και δαβιδ ο πατηρ</t>
  </si>
  <si>
    <t>υιος ιωιαδαε και</t>
  </si>
  <si>
    <t>υιος και</t>
  </si>
  <si>
    <t>τον βαναιου υιον</t>
  </si>
  <si>
    <t>τον βαναιαν υιον</t>
  </si>
  <si>
    <t>βασιλεια κατωρθουτον εν</t>
  </si>
  <si>
    <t>κατωρθουτον -&gt; κατωρθουτο</t>
  </si>
  <si>
    <t>τω σαλωμωντι και σοφιαν πολλην</t>
  </si>
  <si>
    <r>
      <t xml:space="preserve">τω </t>
    </r>
    <r>
      <rPr>
        <b/>
        <sz val="11"/>
        <color theme="1"/>
        <rFont val="Calibri"/>
        <family val="2"/>
        <scheme val="minor"/>
      </rPr>
      <t>σαλωμων</t>
    </r>
    <r>
      <rPr>
        <sz val="11"/>
        <color theme="1"/>
        <rFont val="Calibri"/>
        <family val="2"/>
        <scheme val="minor"/>
      </rPr>
      <t xml:space="preserve"> φρονησιν και σοφιαν πολλην</t>
    </r>
  </si>
  <si>
    <r>
      <t xml:space="preserve">τω </t>
    </r>
    <r>
      <rPr>
        <b/>
        <sz val="11"/>
        <color theme="1"/>
        <rFont val="Calibri"/>
        <family val="2"/>
        <scheme val="minor"/>
      </rPr>
      <t>σαλωμωντι</t>
    </r>
    <r>
      <rPr>
        <sz val="11"/>
        <color theme="1"/>
        <rFont val="Calibri"/>
        <family val="2"/>
        <scheme val="minor"/>
      </rPr>
      <t xml:space="preserve"> και σοφιαν πολλην</t>
    </r>
  </si>
  <si>
    <r>
      <t xml:space="preserve">τω σαλωμων </t>
    </r>
    <r>
      <rPr>
        <b/>
        <sz val="11"/>
        <color theme="1"/>
        <rFont val="Calibri"/>
        <family val="2"/>
        <scheme val="minor"/>
      </rPr>
      <t>φρονησιν</t>
    </r>
    <r>
      <rPr>
        <sz val="11"/>
        <color theme="1"/>
        <rFont val="Calibri"/>
        <family val="2"/>
        <scheme val="minor"/>
      </rPr>
      <t xml:space="preserve"> και σοφιαν πολλην</t>
    </r>
  </si>
  <si>
    <t>φρονησις σαλωμων παντων αρχαιων</t>
  </si>
  <si>
    <t>φρονησις σαλωμωντος παντων αρχαιων</t>
  </si>
  <si>
    <r>
      <t xml:space="preserve">φρονησις </t>
    </r>
    <r>
      <rPr>
        <b/>
        <sz val="11"/>
        <color theme="1"/>
        <rFont val="Calibri"/>
        <family val="2"/>
        <scheme val="minor"/>
      </rPr>
      <t>σαλωμων</t>
    </r>
    <r>
      <rPr>
        <sz val="11"/>
        <color theme="1"/>
        <rFont val="Calibri"/>
        <family val="2"/>
        <scheme val="minor"/>
      </rPr>
      <t xml:space="preserve"> παντων αρχαιων</t>
    </r>
  </si>
  <si>
    <r>
      <t xml:space="preserve">φρονησις </t>
    </r>
    <r>
      <rPr>
        <b/>
        <sz val="11"/>
        <color theme="1"/>
        <rFont val="Calibri"/>
        <family val="2"/>
        <scheme val="minor"/>
      </rPr>
      <t>σαλωμωντος</t>
    </r>
    <r>
      <rPr>
        <sz val="11"/>
        <color theme="1"/>
        <rFont val="Calibri"/>
        <family val="2"/>
        <scheme val="minor"/>
      </rPr>
      <t xml:space="preserve"> παντων αρχαιων</t>
    </r>
  </si>
  <si>
    <t>φρονησις σαλωμωντος υπερ την φρονησιν παντων αρχαιων</t>
  </si>
  <si>
    <t>κυκλοθεν εν επτα ετεσιν</t>
  </si>
  <si>
    <t>κυκλοθεν επτα ετεσιν</t>
  </si>
  <si>
    <t>μεγαλους και τους στυλους</t>
  </si>
  <si>
    <t>μεγαλους τους στυλους</t>
  </si>
  <si>
    <t>τρεις τω ενιαυτω</t>
  </si>
  <si>
    <t>τρεις εν τω ενιαυτω</t>
  </si>
  <si>
    <t>εθυμια ενωπιον κυ</t>
  </si>
  <si>
    <t>εθυμιασεν ενωπιον κυριου</t>
  </si>
  <si>
    <t>καθεσταμενοι</t>
  </si>
  <si>
    <t>και τα βαλαλαθ</t>
  </si>
  <si>
    <t>και την τα βαλαλαθ</t>
  </si>
  <si>
    <t>μοι επι τον ιορδανην</t>
  </si>
  <si>
    <t>γινωσκων γνωση οτι</t>
  </si>
  <si>
    <t>τον ορκοη κυ</t>
  </si>
  <si>
    <t>τον ορκον κυριου</t>
  </si>
  <si>
    <r>
      <t xml:space="preserve">τον </t>
    </r>
    <r>
      <rPr>
        <b/>
        <sz val="11"/>
        <color theme="1"/>
        <rFont val="Calibri"/>
        <family val="2"/>
        <scheme val="minor"/>
      </rPr>
      <t>ορκοη</t>
    </r>
    <r>
      <rPr>
        <sz val="11"/>
        <color theme="1"/>
        <rFont val="Calibri"/>
        <family val="2"/>
        <scheme val="minor"/>
      </rPr>
      <t xml:space="preserve"> κυ</t>
    </r>
  </si>
  <si>
    <r>
      <t xml:space="preserve">τον </t>
    </r>
    <r>
      <rPr>
        <b/>
        <sz val="11"/>
        <color theme="1"/>
        <rFont val="Calibri"/>
        <family val="2"/>
        <scheme val="minor"/>
      </rPr>
      <t>ορκον</t>
    </r>
    <r>
      <rPr>
        <sz val="11"/>
        <color theme="1"/>
        <rFont val="Calibri"/>
        <family val="2"/>
        <scheme val="minor"/>
      </rPr>
      <t xml:space="preserve"> κυριου</t>
    </r>
  </si>
  <si>
    <t>Both transcripts in error, but still a variant</t>
  </si>
  <si>
    <t>Not a variant: error in both transcripts</t>
  </si>
  <si>
    <t>Both MSS have a του between ορκοη/ορκον and κυριου</t>
  </si>
  <si>
    <t>βαναια υιω ιωιαδαε</t>
  </si>
  <si>
    <t>βαναιαυτω ιωιαδαε</t>
  </si>
  <si>
    <t>ονοματι κυ εως</t>
  </si>
  <si>
    <t>ονοματι κυρισυ εως</t>
  </si>
  <si>
    <t>ελαιος μεγα</t>
  </si>
  <si>
    <t>ελαιος σου</t>
  </si>
  <si>
    <t>αυτου ως η ημερα</t>
  </si>
  <si>
    <t>αυτου καθως η ημερα</t>
  </si>
  <si>
    <t>τον δουλον σου</t>
  </si>
  <si>
    <t>τον λαον σου</t>
  </si>
  <si>
    <t>παρ εμου</t>
  </si>
  <si>
    <t>παρ κ εμου</t>
  </si>
  <si>
    <t>του εισακουειν</t>
  </si>
  <si>
    <t>του ακουειν</t>
  </si>
  <si>
    <t>εμπροσθεν σου και μετα σε</t>
  </si>
  <si>
    <t>εμπροσθεν σου και μετα σου</t>
  </si>
  <si>
    <t>(15) εαυτου (16) τοτε ωφθησαν</t>
  </si>
  <si>
    <t>(15) εαυτου (16) [] ωφθησαν</t>
  </si>
  <si>
    <t>(16) αυτου (17) και ειπεν</t>
  </si>
  <si>
    <t>(16) αυτου (17) ειπεν</t>
  </si>
  <si>
    <t>τον υιον τον τον τεθνηκοτα</t>
  </si>
  <si>
    <t>τον υιον αυτης τον τεθνηκοτα</t>
  </si>
  <si>
    <t>original reading obscured by correction, but seems to be τον υιον σου τον τεθνηκοτα; σου was subsequently corrected to αυτης</t>
  </si>
  <si>
    <t>αλλ ο υιος μου</t>
  </si>
  <si>
    <t>αλλ ο μου υιος μου</t>
  </si>
  <si>
    <t>ο ζων ο δε υιος</t>
  </si>
  <si>
    <t>ο ζων και ο δε υιος</t>
  </si>
  <si>
    <t>ελαλησαν ενωπιον</t>
  </si>
  <si>
    <t>ελαλησας ενωπιον</t>
  </si>
  <si>
    <t>θανατωσητε αυτον και</t>
  </si>
  <si>
    <t>θανατωσητε αυτο και</t>
  </si>
  <si>
    <t>εμοι μητε</t>
  </si>
  <si>
    <t>εμοι μη μητε</t>
  </si>
  <si>
    <t>και απεκριθη ο βασιλευς</t>
  </si>
  <si>
    <t>και ειπεν ο βασιλευς</t>
  </si>
  <si>
    <t>βασιλεως οτι ειδον</t>
  </si>
  <si>
    <r>
      <t xml:space="preserve">βασιλεως </t>
    </r>
    <r>
      <rPr>
        <b/>
        <sz val="11"/>
        <color theme="1"/>
        <rFont val="Calibri"/>
        <family val="2"/>
        <scheme val="minor"/>
      </rPr>
      <t>και</t>
    </r>
    <r>
      <rPr>
        <sz val="11"/>
        <color theme="1"/>
        <rFont val="Calibri"/>
        <family val="2"/>
        <scheme val="minor"/>
      </rPr>
      <t xml:space="preserve"> ετι ειδον</t>
    </r>
  </si>
  <si>
    <r>
      <t xml:space="preserve">βασιλεως </t>
    </r>
    <r>
      <rPr>
        <b/>
        <sz val="11"/>
        <color theme="1"/>
        <rFont val="Calibri"/>
        <family val="2"/>
        <scheme val="minor"/>
      </rPr>
      <t>οτι</t>
    </r>
    <r>
      <rPr>
        <sz val="11"/>
        <color theme="1"/>
        <rFont val="Calibri"/>
        <family val="2"/>
        <scheme val="minor"/>
      </rPr>
      <t xml:space="preserve"> ειδον</t>
    </r>
  </si>
  <si>
    <r>
      <t xml:space="preserve">βασιλεως και </t>
    </r>
    <r>
      <rPr>
        <b/>
        <sz val="11"/>
        <color theme="1"/>
        <rFont val="Calibri"/>
        <family val="2"/>
        <scheme val="minor"/>
      </rPr>
      <t>ετι</t>
    </r>
    <r>
      <rPr>
        <sz val="11"/>
        <color theme="1"/>
        <rFont val="Calibri"/>
        <family val="2"/>
        <scheme val="minor"/>
      </rPr>
      <t xml:space="preserve"> ειδον</t>
    </r>
  </si>
  <si>
    <t xml:space="preserve">οι ησαν αυτου </t>
  </si>
  <si>
    <t>οι ησαν αυτω</t>
  </si>
  <si>
    <t>υιος αχιμα αναμιμνησκων</t>
  </si>
  <si>
    <t>υιος αχιμαας αναμιμνησκων</t>
  </si>
  <si>
    <t>στρατιας</t>
  </si>
  <si>
    <t>μηνα ενιαυτω</t>
  </si>
  <si>
    <t>μηνα εν τω ενιαυτω</t>
  </si>
  <si>
    <t>εν ορει εφραιμ</t>
  </si>
  <si>
    <t>εν εφραιμ</t>
  </si>
  <si>
    <t>και εν σαλαβειμ</t>
  </si>
  <si>
    <t>και σαλαβειμ</t>
  </si>
  <si>
    <t>εκ βεθσαν</t>
  </si>
  <si>
    <r>
      <t xml:space="preserve">μεμβρα </t>
    </r>
    <r>
      <rPr>
        <b/>
        <sz val="11"/>
        <color theme="1"/>
        <rFont val="Calibri"/>
        <family val="2"/>
        <scheme val="minor"/>
      </rPr>
      <t>λει</t>
    </r>
    <r>
      <rPr>
        <sz val="11"/>
        <color theme="1"/>
        <rFont val="Calibri"/>
        <family val="2"/>
        <scheme val="minor"/>
      </rPr>
      <t>εκμααν εις</t>
    </r>
  </si>
  <si>
    <r>
      <t>μεμβρα</t>
    </r>
    <r>
      <rPr>
        <b/>
        <sz val="11"/>
        <color theme="1"/>
        <rFont val="Calibri"/>
        <family val="2"/>
        <scheme val="minor"/>
      </rPr>
      <t>δει</t>
    </r>
    <r>
      <rPr>
        <sz val="11"/>
        <color theme="1"/>
        <rFont val="Calibri"/>
        <family val="2"/>
        <scheme val="minor"/>
      </rPr>
      <t xml:space="preserve"> εκ μαανεις</t>
    </r>
  </si>
  <si>
    <t>αυτω ο αυωθ</t>
  </si>
  <si>
    <t>αυτω αυωθ</t>
  </si>
  <si>
    <t>ιαρειρ υκου</t>
  </si>
  <si>
    <t>ιαειρ υιου</t>
  </si>
  <si>
    <t>did not originally follow the corrected form in Alex (= νασιφ)</t>
  </si>
  <si>
    <t>ενασιφ εν γη ιουδα</t>
  </si>
  <si>
    <t>ενασιρ εν γη ιουδα</t>
  </si>
  <si>
    <r>
      <rPr>
        <b/>
        <sz val="11"/>
        <color theme="1"/>
        <rFont val="Calibri"/>
        <family val="2"/>
        <scheme val="minor"/>
      </rPr>
      <t>ενασιφ</t>
    </r>
    <r>
      <rPr>
        <sz val="11"/>
        <color theme="1"/>
        <rFont val="Calibri"/>
        <family val="2"/>
        <scheme val="minor"/>
      </rPr>
      <t xml:space="preserve"> εν γη ιουδα</t>
    </r>
  </si>
  <si>
    <r>
      <rPr>
        <b/>
        <sz val="11"/>
        <color theme="1"/>
        <rFont val="Calibri"/>
        <family val="2"/>
        <scheme val="minor"/>
      </rPr>
      <t>ενασιρ</t>
    </r>
    <r>
      <rPr>
        <sz val="11"/>
        <color theme="1"/>
        <rFont val="Calibri"/>
        <family val="2"/>
        <scheme val="minor"/>
      </rPr>
      <t xml:space="preserve"> εν γη ιουδα</t>
    </r>
  </si>
  <si>
    <t>add εις before εν γη ιουδα</t>
  </si>
  <si>
    <t>η αμμος η επι της θαλασσης</t>
  </si>
  <si>
    <t>η αμμος της θαλασσης</t>
  </si>
  <si>
    <t>των ημερων κυκλοθεν</t>
  </si>
  <si>
    <t>των μερων κυκλοθεν</t>
  </si>
  <si>
    <t>εχορηγουν οι καθεσταμενοι ουτως</t>
  </si>
  <si>
    <r>
      <t xml:space="preserve">εχορηγουν </t>
    </r>
    <r>
      <rPr>
        <b/>
        <sz val="11"/>
        <color theme="1"/>
        <rFont val="Calibri"/>
        <family val="2"/>
        <scheme val="minor"/>
      </rPr>
      <t>ου</t>
    </r>
    <r>
      <rPr>
        <sz val="11"/>
        <color theme="1"/>
        <rFont val="Calibri"/>
        <family val="2"/>
        <scheme val="minor"/>
      </rPr>
      <t xml:space="preserve"> οι καθεσταμενοι ουτως</t>
    </r>
  </si>
  <si>
    <r>
      <t xml:space="preserve">εχορηγουν οι καθεσταμενοι </t>
    </r>
    <r>
      <rPr>
        <b/>
        <sz val="11"/>
        <color theme="1"/>
        <rFont val="Calibri"/>
        <family val="2"/>
        <scheme val="minor"/>
      </rPr>
      <t>ουτως</t>
    </r>
  </si>
  <si>
    <r>
      <t xml:space="preserve">εχορηγουν ου οι καθεσταμενοι </t>
    </r>
    <r>
      <rPr>
        <b/>
        <sz val="11"/>
        <color theme="1"/>
        <rFont val="Calibri"/>
        <family val="2"/>
        <scheme val="minor"/>
      </rPr>
      <t>ουτως</t>
    </r>
  </si>
  <si>
    <t>ουτως -&gt; ουτοι</t>
  </si>
  <si>
    <t>η οι βασιλευς</t>
  </si>
  <si>
    <t>η ο βασιλευς</t>
  </si>
  <si>
    <t>και γρονησιν</t>
  </si>
  <si>
    <t>και φρονησιν</t>
  </si>
  <si>
    <t>επληθυνθη η σοφια</t>
  </si>
  <si>
    <t>επληθυνεν η σοφια</t>
  </si>
  <si>
    <t>αρχαιων ανθρωπων ανθρωπων</t>
  </si>
  <si>
    <t>omits second ανθρωπων</t>
  </si>
  <si>
    <t>υσωπου</t>
  </si>
  <si>
    <t>απεστειλεν σαλωμων</t>
  </si>
  <si>
    <r>
      <rPr>
        <b/>
        <sz val="11"/>
        <color theme="1"/>
        <rFont val="Calibri"/>
        <family val="2"/>
        <scheme val="minor"/>
      </rPr>
      <t>απεστειλεν</t>
    </r>
    <r>
      <rPr>
        <sz val="11"/>
        <color theme="1"/>
        <rFont val="Calibri"/>
        <family val="2"/>
        <scheme val="minor"/>
      </rPr>
      <t xml:space="preserve"> σαλωμων</t>
    </r>
  </si>
  <si>
    <r>
      <rPr>
        <b/>
        <sz val="11"/>
        <color theme="1"/>
        <rFont val="Calibri"/>
        <family val="2"/>
        <scheme val="minor"/>
      </rPr>
      <t>απεστειλεν</t>
    </r>
    <r>
      <rPr>
        <sz val="11"/>
        <color theme="1"/>
        <rFont val="Calibri"/>
        <family val="2"/>
        <scheme val="minor"/>
      </rPr>
      <t xml:space="preserve"> ο σαλωμων</t>
    </r>
  </si>
  <si>
    <r>
      <t xml:space="preserve">απεστειλεν </t>
    </r>
    <r>
      <rPr>
        <b/>
        <sz val="11"/>
        <color theme="1"/>
        <rFont val="Calibri"/>
        <family val="2"/>
        <scheme val="minor"/>
      </rPr>
      <t>ο</t>
    </r>
    <r>
      <rPr>
        <sz val="11"/>
        <color theme="1"/>
        <rFont val="Calibri"/>
        <family val="2"/>
        <scheme val="minor"/>
      </rPr>
      <t xml:space="preserve"> σαλωμων</t>
    </r>
  </si>
  <si>
    <t>απεστιλεν</t>
  </si>
  <si>
    <t>οικοδομησω οικον</t>
  </si>
  <si>
    <t>οικοδομησαι οικον</t>
  </si>
  <si>
    <t>οικοδομησει τον οικον</t>
  </si>
  <si>
    <t>οικοδομησει οικον</t>
  </si>
  <si>
    <t>βεθ ελαιου</t>
  </si>
  <si>
    <t>σοφιαν τω σαλωμων</t>
  </si>
  <si>
    <t>σοφιαν σαλωμων</t>
  </si>
  <si>
    <t>δεκα χιλιαδας</t>
  </si>
  <si>
    <t>δεκα χιλιαδες</t>
  </si>
  <si>
    <t>αρχοντων καθεσταμενων</t>
  </si>
  <si>
    <t>αρχοντων των καθεσταμενων</t>
  </si>
  <si>
    <t>επελεκησαν</t>
  </si>
  <si>
    <t>ο βασιλευς σαλωμων τω κω</t>
  </si>
  <si>
    <t>ο βασιλευς τω κυριω</t>
  </si>
  <si>
    <t>του οικου και εν πηχει</t>
  </si>
  <si>
    <t>του οικου εικοσι εν πηχει</t>
  </si>
  <si>
    <t>συν τυχοις</t>
  </si>
  <si>
    <t>συν τοιχο[ις]</t>
  </si>
  <si>
    <t>το πλατος αυτης</t>
  </si>
  <si>
    <t>το πλατος εαυτης</t>
  </si>
  <si>
    <t>υποκατωθεν υπο την ωμιαν</t>
  </si>
  <si>
    <t>υποκατωθεν επι την ωμιαν</t>
  </si>
  <si>
    <t>original 7522A = υπο; this is "corrected" to επι</t>
  </si>
  <si>
    <t>ειλικτη αναβασις</t>
  </si>
  <si>
    <t>ειλικτη αναβασεις</t>
  </si>
  <si>
    <t>οικου εν πλευραις</t>
  </si>
  <si>
    <t>οικου πλευραις</t>
  </si>
  <si>
    <t>ακρου του οικου</t>
  </si>
  <si>
    <t>ακρου του τοιχου</t>
  </si>
  <si>
    <t>τεσσερακοντα πηχων ην</t>
  </si>
  <si>
    <t>πηχων -&gt; πηχεων</t>
  </si>
  <si>
    <t>μηκος πηχεις</t>
  </si>
  <si>
    <t>μηκος εικοσι πηχεις</t>
  </si>
  <si>
    <t>χερουβ του δευτερου</t>
  </si>
  <si>
    <t>χερουβ του ετερου</t>
  </si>
  <si>
    <t>εγ κολαπτα</t>
  </si>
  <si>
    <t>χερουβειν και φοινικες</t>
  </si>
  <si>
    <t>φοινικες -&gt; φοινικας</t>
  </si>
  <si>
    <t>εγκυπτοντα</t>
  </si>
  <si>
    <t>θυρας εκ ξυλων</t>
  </si>
  <si>
    <t>θυρας εξ εκ ξυλων</t>
  </si>
  <si>
    <t>πυλωνι του ου φλιαι</t>
  </si>
  <si>
    <t>πυλωνι του ναου φλιαι</t>
  </si>
  <si>
    <t>ενδεκατω ενι αυτω</t>
  </si>
  <si>
    <t>ενδεκατω μ ετει ενι αυ ενιαυτω</t>
  </si>
  <si>
    <t>εν μηνι βουλ ουτος</t>
  </si>
  <si>
    <t>εν μηνι βουλ βουλ ουτος</t>
  </si>
  <si>
    <t>(1) τυρου (2) υιου γυναικος</t>
  </si>
  <si>
    <t>(1) τυρου (2) υιαν γυναικος</t>
  </si>
  <si>
    <t>ανηρ τιμιος τεκτων</t>
  </si>
  <si>
    <r>
      <t xml:space="preserve">ανηρ </t>
    </r>
    <r>
      <rPr>
        <b/>
        <sz val="11"/>
        <color theme="1"/>
        <rFont val="Calibri"/>
        <family val="2"/>
        <scheme val="minor"/>
      </rPr>
      <t>τιμιος</t>
    </r>
    <r>
      <rPr>
        <sz val="11"/>
        <color theme="1"/>
        <rFont val="Calibri"/>
        <family val="2"/>
        <scheme val="minor"/>
      </rPr>
      <t xml:space="preserve"> τεκτων</t>
    </r>
  </si>
  <si>
    <r>
      <t xml:space="preserve">ανηρ </t>
    </r>
    <r>
      <rPr>
        <b/>
        <sz val="11"/>
        <color theme="1"/>
        <rFont val="Calibri"/>
        <family val="2"/>
        <scheme val="minor"/>
      </rPr>
      <t>τιμιος</t>
    </r>
    <r>
      <rPr>
        <sz val="11"/>
        <color theme="1"/>
        <rFont val="Calibri"/>
        <family val="2"/>
        <scheme val="minor"/>
      </rPr>
      <t xml:space="preserve"> και τεκτων</t>
    </r>
  </si>
  <si>
    <r>
      <t xml:space="preserve">ανηρ τιμιος </t>
    </r>
    <r>
      <rPr>
        <b/>
        <sz val="11"/>
        <color theme="1"/>
        <rFont val="Calibri"/>
        <family val="2"/>
        <scheme val="minor"/>
      </rPr>
      <t>και</t>
    </r>
    <r>
      <rPr>
        <sz val="11"/>
        <color theme="1"/>
        <rFont val="Calibri"/>
        <family val="2"/>
        <scheme val="minor"/>
      </rPr>
      <t xml:space="preserve"> τεκτων</t>
    </r>
  </si>
  <si>
    <t>τιμιος -&gt; τυριος</t>
  </si>
  <si>
    <t>οκτωκαιδεκα πηχεις</t>
  </si>
  <si>
    <t>οκτωκαιδεκα η πηχεις</t>
  </si>
  <si>
    <t>δικτυον</t>
  </si>
  <si>
    <r>
      <t xml:space="preserve">χαλκων </t>
    </r>
    <r>
      <rPr>
        <b/>
        <sz val="11"/>
        <color theme="1"/>
        <rFont val="Calibri"/>
        <family val="2"/>
        <scheme val="minor"/>
      </rPr>
      <t>δεδικτυωμενοι</t>
    </r>
    <r>
      <rPr>
        <sz val="11"/>
        <color theme="1"/>
        <rFont val="Calibri"/>
        <family val="2"/>
        <scheme val="minor"/>
      </rPr>
      <t xml:space="preserve"> εργον κρεμαστον</t>
    </r>
  </si>
  <si>
    <r>
      <t xml:space="preserve">χαλκων </t>
    </r>
    <r>
      <rPr>
        <b/>
        <sz val="11"/>
        <color theme="1"/>
        <rFont val="Calibri"/>
        <family val="2"/>
        <scheme val="minor"/>
      </rPr>
      <t>δεδικτυομενοι</t>
    </r>
    <r>
      <rPr>
        <sz val="11"/>
        <color theme="1"/>
        <rFont val="Calibri"/>
        <family val="2"/>
        <scheme val="minor"/>
      </rPr>
      <t xml:space="preserve"> εγγον κρεμαστον</t>
    </r>
  </si>
  <si>
    <r>
      <t xml:space="preserve">χαλκων δεδικτυωμενοι </t>
    </r>
    <r>
      <rPr>
        <b/>
        <sz val="11"/>
        <color theme="1"/>
        <rFont val="Calibri"/>
        <family val="2"/>
        <scheme val="minor"/>
      </rPr>
      <t>εργον</t>
    </r>
    <r>
      <rPr>
        <sz val="11"/>
        <color theme="1"/>
        <rFont val="Calibri"/>
        <family val="2"/>
        <scheme val="minor"/>
      </rPr>
      <t xml:space="preserve"> κρεμαστον</t>
    </r>
  </si>
  <si>
    <r>
      <t xml:space="preserve">χαλκων δεδικτυομενοι </t>
    </r>
    <r>
      <rPr>
        <b/>
        <sz val="11"/>
        <color theme="1"/>
        <rFont val="Calibri"/>
        <family val="2"/>
        <scheme val="minor"/>
      </rPr>
      <t>εγγον</t>
    </r>
    <r>
      <rPr>
        <sz val="11"/>
        <color theme="1"/>
        <rFont val="Calibri"/>
        <family val="2"/>
        <scheme val="minor"/>
      </rPr>
      <t xml:space="preserve"> κρεμαστον</t>
    </r>
  </si>
  <si>
    <t>κρινους και</t>
  </si>
  <si>
    <t>κρινου και</t>
  </si>
  <si>
    <t>υποστηριγματα υποκατωθεν</t>
  </si>
  <si>
    <t>υποστηριγματα αυτου υποκατωθεν</t>
  </si>
  <si>
    <t>οι τρεις επιβλεποντες νοτον και οι τρεις επιβλεποντες ανατολην</t>
  </si>
  <si>
    <t>οι τρεις επιβλεποντες θαλασσαν και οι τρεις επιβλεποντες ανατολην</t>
  </si>
  <si>
    <t>παντα τα οπισθια</t>
  </si>
  <si>
    <t>παντα τα επισθια</t>
  </si>
  <si>
    <t>συγκλιστον αυτοις</t>
  </si>
  <si>
    <t>συγκλιστον ανα μεσον</t>
  </si>
  <si>
    <t>συγκλειστον αυτοις</t>
  </si>
  <si>
    <t>συγκλειστον ανα μεσον</t>
  </si>
  <si>
    <t>λεοντων</t>
  </si>
  <si>
    <t>εν τω μεχωνωθ</t>
  </si>
  <si>
    <t>τω -&gt; τη</t>
  </si>
  <si>
    <t>λεοντας και φοινικες</t>
  </si>
  <si>
    <t>λεοντες και φοινικες</t>
  </si>
  <si>
    <t>(22) κυκλοθεν (23) κατ αυτην εποιησεν</t>
  </si>
  <si>
    <t>(22) κυκλοθεν (23) αυτην κατ εποιησεν</t>
  </si>
  <si>
    <t>ωμιδος του οικου εκ δεξιων</t>
  </si>
  <si>
    <t>κλιτους</t>
  </si>
  <si>
    <t>ροας τετρακοσιας</t>
  </si>
  <si>
    <t>ροας τε τετρακοσιας</t>
  </si>
  <si>
    <t>αμφοτερα τα οντα τα στρεπτα της μεχωνωθ επ  αμφοτεροις</t>
  </si>
  <si>
    <t>αμφοτερα τα στρεπτα της μεχωνωθ τα οντα επ αμφοτεροις</t>
  </si>
  <si>
    <t>επι της μεχωνωθ</t>
  </si>
  <si>
    <t>επι των μεχωνωθ</t>
  </si>
  <si>
    <t>επι της των μεχωνωθ</t>
  </si>
  <si>
    <t>οι στυλοι τεσσαρακοντα</t>
  </si>
  <si>
    <r>
      <t xml:space="preserve">οι στυλοι </t>
    </r>
    <r>
      <rPr>
        <b/>
        <sz val="11"/>
        <color theme="1"/>
        <rFont val="Calibri"/>
        <family val="2"/>
        <scheme val="minor"/>
      </rPr>
      <t>οι</t>
    </r>
    <r>
      <rPr>
        <sz val="11"/>
        <color theme="1"/>
        <rFont val="Calibri"/>
        <family val="2"/>
        <scheme val="minor"/>
      </rPr>
      <t xml:space="preserve"> τεσσερακοντα</t>
    </r>
  </si>
  <si>
    <r>
      <t xml:space="preserve">οι στυλοι </t>
    </r>
    <r>
      <rPr>
        <b/>
        <sz val="11"/>
        <color theme="1"/>
        <rFont val="Calibri"/>
        <family val="2"/>
        <scheme val="minor"/>
      </rPr>
      <t>τεσσαρακοντα</t>
    </r>
  </si>
  <si>
    <r>
      <t xml:space="preserve">οι στυλοι οι </t>
    </r>
    <r>
      <rPr>
        <b/>
        <sz val="11"/>
        <color theme="1"/>
        <rFont val="Calibri"/>
        <family val="2"/>
        <scheme val="minor"/>
      </rPr>
      <t>τεσσερακοντα</t>
    </r>
  </si>
  <si>
    <t>τα εν τω οικω</t>
  </si>
  <si>
    <t>τα εν οικω</t>
  </si>
  <si>
    <t>τραπεζαν εφ ης</t>
  </si>
  <si>
    <t>δαβειρ</t>
  </si>
  <si>
    <t>τρισκαιδεκα αιτεσιν</t>
  </si>
  <si>
    <t>τρισκαιδεκα ετεσιν</t>
  </si>
  <si>
    <t>τριακοντα πηχων υψος</t>
  </si>
  <si>
    <t>εφατνωσεν</t>
  </si>
  <si>
    <t>πεντε δεκα και πεντε</t>
  </si>
  <si>
    <t>πεντε δεκακ και πεντε</t>
  </si>
  <si>
    <t>1Kgs.7.43</t>
  </si>
  <si>
    <t>1Kgs.7.44</t>
  </si>
  <si>
    <t>επι ουραν τρισσως</t>
  </si>
  <si>
    <t>επι θυραν τρισσως</t>
  </si>
  <si>
    <t>την αυλην την μεγαλην</t>
  </si>
  <si>
    <t>την πυλην την μεγαλην</t>
  </si>
  <si>
    <t>τεθεμελιωμενην τιμιοις</t>
  </si>
  <si>
    <t>τεθεμελιωμενην τ τιμιοις</t>
  </si>
  <si>
    <t>λιθοις δεκας πηχεσιν (48) και επανωθεν</t>
  </si>
  <si>
    <r>
      <t xml:space="preserve">λιθοις </t>
    </r>
    <r>
      <rPr>
        <b/>
        <sz val="11"/>
        <color theme="1"/>
        <rFont val="Calibri"/>
        <family val="2"/>
        <scheme val="minor"/>
      </rPr>
      <t>δεκαιπηχεσιν</t>
    </r>
    <r>
      <rPr>
        <sz val="11"/>
        <color theme="1"/>
        <rFont val="Calibri"/>
        <family val="2"/>
        <scheme val="minor"/>
      </rPr>
      <t xml:space="preserve"> και τοις οκταπηχεσιν (48) και επανωθεν</t>
    </r>
  </si>
  <si>
    <r>
      <t xml:space="preserve">λιθοις </t>
    </r>
    <r>
      <rPr>
        <b/>
        <sz val="11"/>
        <color theme="1"/>
        <rFont val="Calibri"/>
        <family val="2"/>
        <scheme val="minor"/>
      </rPr>
      <t>δεκας πηχεσιν</t>
    </r>
    <r>
      <rPr>
        <sz val="11"/>
        <color theme="1"/>
        <rFont val="Calibri"/>
        <family val="2"/>
        <scheme val="minor"/>
      </rPr>
      <t xml:space="preserve"> (48) και επανωθεν</t>
    </r>
  </si>
  <si>
    <r>
      <t xml:space="preserve">λιθοις δεκαιπηχεσιν </t>
    </r>
    <r>
      <rPr>
        <b/>
        <sz val="11"/>
        <color theme="1"/>
        <rFont val="Calibri"/>
        <family val="2"/>
        <scheme val="minor"/>
      </rPr>
      <t>και τοις οκταπηχεσιν</t>
    </r>
    <r>
      <rPr>
        <sz val="11"/>
        <color theme="1"/>
        <rFont val="Calibri"/>
        <family val="2"/>
        <scheme val="minor"/>
      </rPr>
      <t xml:space="preserve"> (48) και επανωθεν</t>
    </r>
  </si>
  <si>
    <r>
      <rPr>
        <b/>
        <sz val="11"/>
        <color theme="1"/>
        <rFont val="Calibri"/>
        <family val="2"/>
        <scheme val="minor"/>
      </rPr>
      <t>κυκλως</t>
    </r>
    <r>
      <rPr>
        <sz val="11"/>
        <color theme="1"/>
        <rFont val="Calibri"/>
        <family val="2"/>
        <scheme val="minor"/>
      </rPr>
      <t xml:space="preserve"> τρις επιχοι</t>
    </r>
  </si>
  <si>
    <r>
      <t xml:space="preserve">κυκλωθ </t>
    </r>
    <r>
      <rPr>
        <b/>
        <sz val="11"/>
        <color theme="1"/>
        <rFont val="Calibri"/>
        <family val="2"/>
        <scheme val="minor"/>
      </rPr>
      <t>τρεις</t>
    </r>
    <r>
      <rPr>
        <sz val="11"/>
        <color theme="1"/>
        <rFont val="Calibri"/>
        <family val="2"/>
        <scheme val="minor"/>
      </rPr>
      <t xml:space="preserve"> επιχοι</t>
    </r>
  </si>
  <si>
    <r>
      <t xml:space="preserve">κυκλως </t>
    </r>
    <r>
      <rPr>
        <b/>
        <sz val="11"/>
        <color theme="1"/>
        <rFont val="Calibri"/>
        <family val="2"/>
        <scheme val="minor"/>
      </rPr>
      <t>τρις</t>
    </r>
    <r>
      <rPr>
        <sz val="11"/>
        <color theme="1"/>
        <rFont val="Calibri"/>
        <family val="2"/>
        <scheme val="minor"/>
      </rPr>
      <t xml:space="preserve"> επιχοι</t>
    </r>
  </si>
  <si>
    <r>
      <t xml:space="preserve">κυκλως τρις </t>
    </r>
    <r>
      <rPr>
        <b/>
        <sz val="11"/>
        <color theme="1"/>
        <rFont val="Calibri"/>
        <family val="2"/>
        <scheme val="minor"/>
      </rPr>
      <t>επιχοι</t>
    </r>
  </si>
  <si>
    <r>
      <t xml:space="preserve">κυκλωθ τρεις </t>
    </r>
    <r>
      <rPr>
        <b/>
        <sz val="11"/>
        <color theme="1"/>
        <rFont val="Calibri"/>
        <family val="2"/>
        <scheme val="minor"/>
      </rPr>
      <t>επιχοι</t>
    </r>
  </si>
  <si>
    <r>
      <rPr>
        <b/>
        <sz val="11"/>
        <color theme="1"/>
        <rFont val="Calibri"/>
        <family val="2"/>
        <scheme val="minor"/>
      </rPr>
      <t>κυκλως</t>
    </r>
    <r>
      <rPr>
        <sz val="11"/>
        <color theme="1"/>
        <rFont val="Calibri"/>
        <family val="2"/>
        <scheme val="minor"/>
      </rPr>
      <t xml:space="preserve"> τρεις επιχοι</t>
    </r>
  </si>
  <si>
    <t>επιχοι -&gt; στιχοι</t>
  </si>
  <si>
    <t>ισλ συν πασας κεφαλας</t>
  </si>
  <si>
    <t>ισραηλ συμπασας κεφαλας</t>
  </si>
  <si>
    <t>ισραηλ συν πασας κεφαλας</t>
  </si>
  <si>
    <t>κιβωτον διαθηκης κς εκ πολεως</t>
  </si>
  <si>
    <r>
      <t xml:space="preserve">κιβωτον </t>
    </r>
    <r>
      <rPr>
        <b/>
        <sz val="11"/>
        <color theme="1"/>
        <rFont val="Calibri"/>
        <family val="2"/>
        <scheme val="minor"/>
      </rPr>
      <t>της</t>
    </r>
    <r>
      <rPr>
        <sz val="11"/>
        <color theme="1"/>
        <rFont val="Calibri"/>
        <family val="2"/>
        <scheme val="minor"/>
      </rPr>
      <t xml:space="preserve"> διαθηκης κυριου εκ πολεως</t>
    </r>
  </si>
  <si>
    <r>
      <t xml:space="preserve">κιβωτον διαθηκης </t>
    </r>
    <r>
      <rPr>
        <b/>
        <sz val="11"/>
        <color theme="1"/>
        <rFont val="Calibri"/>
        <family val="2"/>
        <scheme val="minor"/>
      </rPr>
      <t>κς</t>
    </r>
    <r>
      <rPr>
        <sz val="11"/>
        <color theme="1"/>
        <rFont val="Calibri"/>
        <family val="2"/>
        <scheme val="minor"/>
      </rPr>
      <t xml:space="preserve"> εκ πολεως</t>
    </r>
  </si>
  <si>
    <r>
      <t xml:space="preserve">κιβωτον της διαθηκης </t>
    </r>
    <r>
      <rPr>
        <b/>
        <sz val="11"/>
        <color theme="1"/>
        <rFont val="Calibri"/>
        <family val="2"/>
        <scheme val="minor"/>
      </rPr>
      <t>κυριος</t>
    </r>
    <r>
      <rPr>
        <sz val="11"/>
        <color theme="1"/>
        <rFont val="Calibri"/>
        <family val="2"/>
        <scheme val="minor"/>
      </rPr>
      <t xml:space="preserve"> εκ πολεως</t>
    </r>
  </si>
  <si>
    <t>πας ανηρ ισλ εν μηνι αθανειμ</t>
  </si>
  <si>
    <r>
      <t xml:space="preserve">πας ανηρ </t>
    </r>
    <r>
      <rPr>
        <b/>
        <sz val="11"/>
        <color theme="1"/>
        <rFont val="Calibri"/>
        <family val="2"/>
        <scheme val="minor"/>
      </rPr>
      <t>εν</t>
    </r>
    <r>
      <rPr>
        <sz val="11"/>
        <color theme="1"/>
        <rFont val="Calibri"/>
        <family val="2"/>
        <scheme val="minor"/>
      </rPr>
      <t xml:space="preserve"> ισραηλ εν μηνι αβανειμ</t>
    </r>
  </si>
  <si>
    <r>
      <t xml:space="preserve">πας ανηρ ισλ εν μηνι </t>
    </r>
    <r>
      <rPr>
        <b/>
        <sz val="11"/>
        <color theme="1"/>
        <rFont val="Calibri"/>
        <family val="2"/>
        <scheme val="minor"/>
      </rPr>
      <t>αθανειμ</t>
    </r>
  </si>
  <si>
    <r>
      <t xml:space="preserve">πας ανηρ εν ισραηλ εν μηνι </t>
    </r>
    <r>
      <rPr>
        <b/>
        <sz val="11"/>
        <color theme="1"/>
        <rFont val="Calibri"/>
        <family val="2"/>
        <scheme val="minor"/>
      </rPr>
      <t>αβανειμ</t>
    </r>
  </si>
  <si>
    <t>ο μην εβδομηκοστος εβδομος</t>
  </si>
  <si>
    <t>ο μην ο εβδομηκοστος εβδομος</t>
  </si>
  <si>
    <t>ο μην ο εβδομος</t>
  </si>
  <si>
    <t>συντεταγμενοι</t>
  </si>
  <si>
    <t>αναριθμητα</t>
  </si>
  <si>
    <r>
      <t xml:space="preserve">τον τοπον της </t>
    </r>
    <r>
      <rPr>
        <b/>
        <sz val="11"/>
        <color theme="1"/>
        <rFont val="Calibri"/>
        <family val="2"/>
        <scheme val="minor"/>
      </rPr>
      <t>κιβωτου</t>
    </r>
    <r>
      <rPr>
        <sz val="11"/>
        <color theme="1"/>
        <rFont val="Calibri"/>
        <family val="2"/>
        <scheme val="minor"/>
      </rPr>
      <t xml:space="preserve"> και περιεκαλυπτον τα χερουβειν την κιβωτον</t>
    </r>
  </si>
  <si>
    <r>
      <t xml:space="preserve">τον τοπον της </t>
    </r>
    <r>
      <rPr>
        <b/>
        <sz val="11"/>
        <color theme="1"/>
        <rFont val="Calibri"/>
        <family val="2"/>
        <scheme val="minor"/>
      </rPr>
      <t>χερουβειν</t>
    </r>
    <r>
      <rPr>
        <sz val="11"/>
        <color theme="1"/>
        <rFont val="Calibri"/>
        <family val="2"/>
        <scheme val="minor"/>
      </rPr>
      <t xml:space="preserve"> και περιεκαλυπτον τα χερουβειν την κιβωτον</t>
    </r>
  </si>
  <si>
    <r>
      <t xml:space="preserve">τον τοπον της κιβωτου και περιεκαλυπτον τα </t>
    </r>
    <r>
      <rPr>
        <b/>
        <sz val="11"/>
        <color theme="1"/>
        <rFont val="Calibri"/>
        <family val="2"/>
        <scheme val="minor"/>
      </rPr>
      <t>χερουβειν την κιβωτον</t>
    </r>
  </si>
  <si>
    <r>
      <t xml:space="preserve">τον τοπον της χερουβειν και περιεκαλυπτον τα </t>
    </r>
    <r>
      <rPr>
        <b/>
        <sz val="11"/>
        <color theme="1"/>
        <rFont val="Calibri"/>
        <family val="2"/>
        <scheme val="minor"/>
      </rPr>
      <t>χερουβειν την κιβωτον</t>
    </r>
  </si>
  <si>
    <t>χερουβειν επι την κιβωτον</t>
  </si>
  <si>
    <t>αι κελαι</t>
  </si>
  <si>
    <t>αι κεφαλαι</t>
  </si>
  <si>
    <t>χωρηβ α διεθετο</t>
  </si>
  <si>
    <t>χωρηβ ας διεθετο</t>
  </si>
  <si>
    <t>μετα υιων ισλ</t>
  </si>
  <si>
    <t>μετα των υιων ισραηλ</t>
  </si>
  <si>
    <t>ιηλ ιστηκει</t>
  </si>
  <si>
    <t>ισραηλ ειστηκει</t>
  </si>
  <si>
    <t>εν στοματι</t>
  </si>
  <si>
    <t>εν τω στοματι</t>
  </si>
  <si>
    <t>επληρωσεν</t>
  </si>
  <si>
    <t>εξελεξαμην τον δαδ</t>
  </si>
  <si>
    <t>εξελεξαμην εν δαβιδ</t>
  </si>
  <si>
    <t>ειναι τον λαον</t>
  </si>
  <si>
    <t>του ειναι ηγουμενον επι τον λαον</t>
  </si>
  <si>
    <t>οικοδομησεις τον οικον</t>
  </si>
  <si>
    <t>οικοδομησεις οικον</t>
  </si>
  <si>
    <t>δαδ του πατρος</t>
  </si>
  <si>
    <t>δαβιδ του β πατρος</t>
  </si>
  <si>
    <t>(23) αυτου (24) ας εφυλαξας</t>
  </si>
  <si>
    <t>(23) αυτου (24) α εφυλαξας</t>
  </si>
  <si>
    <t>και εν χερσιν σου επληρωσας</t>
  </si>
  <si>
    <t>και εν χερσιν σου και εν χερσιν σου επη επληρωσας</t>
  </si>
  <si>
    <t>πιστωθη δη</t>
  </si>
  <si>
    <t>πιστωθητι δη</t>
  </si>
  <si>
    <t>πιστωθητω δη</t>
  </si>
  <si>
    <t>τω δουλω σου δαδ τω πατρι</t>
  </si>
  <si>
    <t>τω δουλω σου τω δαδ τω πατρι</t>
  </si>
  <si>
    <t>ει ο ουρανος και ουρανος</t>
  </si>
  <si>
    <t>ει ο ουρανος και ο ουρανος</t>
  </si>
  <si>
    <t>δεησιν ο θς</t>
  </si>
  <si>
    <t>δεησιν μου ο θεος</t>
  </si>
  <si>
    <t>ηνεωγμενους</t>
  </si>
  <si>
    <t>της φωνης του δουλου</t>
  </si>
  <si>
    <t>της δ φωνης του δουλου</t>
  </si>
  <si>
    <t>δουλου σου ισλ</t>
  </si>
  <si>
    <t>δουλου σου ισραηλ</t>
  </si>
  <si>
    <t>δουλου και του λαου σου ισραηλ</t>
  </si>
  <si>
    <t>προσωπον του θυ σααστηριου</t>
  </si>
  <si>
    <t>προσωπον του θυ θυσιαστηριου</t>
  </si>
  <si>
    <t>ανομηθηναι</t>
  </si>
  <si>
    <t>δικαιοσυνην</t>
  </si>
  <si>
    <t>τον λαον σου ισλ ενωπιον εχθρων οτι</t>
  </si>
  <si>
    <t>τον λαον σου ενωπιον του ισρα εχθρων οτι</t>
  </si>
  <si>
    <r>
      <t xml:space="preserve">τον λαον σου </t>
    </r>
    <r>
      <rPr>
        <b/>
        <sz val="11"/>
        <color theme="1"/>
        <rFont val="Calibri"/>
        <family val="2"/>
        <scheme val="minor"/>
      </rPr>
      <t>ισλ</t>
    </r>
    <r>
      <rPr>
        <sz val="11"/>
        <color theme="1"/>
        <rFont val="Calibri"/>
        <family val="2"/>
        <scheme val="minor"/>
      </rPr>
      <t xml:space="preserve"> ενωπιον εχθρων οτι</t>
    </r>
  </si>
  <si>
    <r>
      <t xml:space="preserve">τον λαον σου ενωπιον </t>
    </r>
    <r>
      <rPr>
        <b/>
        <sz val="11"/>
        <color theme="1"/>
        <rFont val="Calibri"/>
        <family val="2"/>
        <scheme val="minor"/>
      </rPr>
      <t>του ισρα</t>
    </r>
    <r>
      <rPr>
        <sz val="11"/>
        <color theme="1"/>
        <rFont val="Calibri"/>
        <family val="2"/>
        <scheme val="minor"/>
      </rPr>
      <t xml:space="preserve"> εχθρων οτι</t>
    </r>
  </si>
  <si>
    <t>επιστρεψεις</t>
  </si>
  <si>
    <t>αμαρτιων επιστρεψουσιν</t>
  </si>
  <si>
    <r>
      <t xml:space="preserve">αμαρτιων </t>
    </r>
    <r>
      <rPr>
        <b/>
        <sz val="11"/>
        <color theme="1"/>
        <rFont val="Calibri"/>
        <family val="2"/>
        <scheme val="minor"/>
      </rPr>
      <t>αυτων</t>
    </r>
    <r>
      <rPr>
        <sz val="11"/>
        <color theme="1"/>
        <rFont val="Calibri"/>
        <family val="2"/>
        <scheme val="minor"/>
      </rPr>
      <t xml:space="preserve"> επιστρεψουσιν</t>
    </r>
  </si>
  <si>
    <r>
      <t xml:space="preserve">αμαρτιων αυτων </t>
    </r>
    <r>
      <rPr>
        <b/>
        <sz val="11"/>
        <color theme="1"/>
        <rFont val="Calibri"/>
        <family val="2"/>
        <scheme val="minor"/>
      </rPr>
      <t>επιστρεψουσιν</t>
    </r>
  </si>
  <si>
    <r>
      <t xml:space="preserve">αμαρτιων </t>
    </r>
    <r>
      <rPr>
        <b/>
        <sz val="11"/>
        <color theme="1"/>
        <rFont val="Calibri"/>
        <family val="2"/>
        <scheme val="minor"/>
      </rPr>
      <t>επιστρεψουσιν</t>
    </r>
  </si>
  <si>
    <t>αποστρεψουσιν</t>
  </si>
  <si>
    <r>
      <t xml:space="preserve">αμαρτιαις του </t>
    </r>
    <r>
      <rPr>
        <b/>
        <sz val="11"/>
        <color theme="1"/>
        <rFont val="Calibri"/>
        <family val="2"/>
        <scheme val="minor"/>
      </rPr>
      <t>λαου</t>
    </r>
    <r>
      <rPr>
        <sz val="11"/>
        <color theme="1"/>
        <rFont val="Calibri"/>
        <family val="2"/>
        <scheme val="minor"/>
      </rPr>
      <t xml:space="preserve"> σου και του λαου σου ισλ</t>
    </r>
  </si>
  <si>
    <r>
      <t xml:space="preserve">αμαρτιαις του </t>
    </r>
    <r>
      <rPr>
        <b/>
        <sz val="11"/>
        <color theme="1"/>
        <rFont val="Calibri"/>
        <family val="2"/>
        <scheme val="minor"/>
      </rPr>
      <t>λαου</t>
    </r>
    <r>
      <rPr>
        <sz val="11"/>
        <color theme="1"/>
        <rFont val="Calibri"/>
        <family val="2"/>
        <scheme val="minor"/>
      </rPr>
      <t xml:space="preserve"> σου και του λαου σου ισραηλ</t>
    </r>
  </si>
  <si>
    <t>αυτον εχθρος αυτου</t>
  </si>
  <si>
    <t>αυτον εχθρον αυτου</t>
  </si>
  <si>
    <t>κατα τας οδους</t>
  </si>
  <si>
    <t>παντων υιων ανθρωπων</t>
  </si>
  <si>
    <t>παντων των υιων ανθρωπων</t>
  </si>
  <si>
    <t>πασας τας ημερας αυτοι</t>
  </si>
  <si>
    <t>πασας ημερας ας αυτοι</t>
  </si>
  <si>
    <r>
      <t xml:space="preserve">πασας </t>
    </r>
    <r>
      <rPr>
        <b/>
        <sz val="11"/>
        <color theme="1"/>
        <rFont val="Calibri"/>
        <family val="2"/>
        <scheme val="minor"/>
      </rPr>
      <t>τας</t>
    </r>
    <r>
      <rPr>
        <sz val="11"/>
        <color theme="1"/>
        <rFont val="Calibri"/>
        <family val="2"/>
        <scheme val="minor"/>
      </rPr>
      <t xml:space="preserve"> ημερας αυτοι</t>
    </r>
  </si>
  <si>
    <r>
      <t xml:space="preserve">πασας ημερας </t>
    </r>
    <r>
      <rPr>
        <b/>
        <sz val="11"/>
        <color theme="1"/>
        <rFont val="Calibri"/>
        <family val="2"/>
        <scheme val="minor"/>
      </rPr>
      <t>ας</t>
    </r>
    <r>
      <rPr>
        <sz val="11"/>
        <color theme="1"/>
        <rFont val="Calibri"/>
        <family val="2"/>
        <scheme val="minor"/>
      </rPr>
      <t xml:space="preserve"> αυτοι</t>
    </r>
  </si>
  <si>
    <t>ουκ εστιν απο λαου σου</t>
  </si>
  <si>
    <r>
      <t xml:space="preserve">ουκ εστιν </t>
    </r>
    <r>
      <rPr>
        <b/>
        <sz val="11"/>
        <color theme="1"/>
        <rFont val="Calibri"/>
        <family val="2"/>
        <scheme val="minor"/>
      </rPr>
      <t>απο</t>
    </r>
    <r>
      <rPr>
        <sz val="11"/>
        <color theme="1"/>
        <rFont val="Calibri"/>
        <family val="2"/>
        <scheme val="minor"/>
      </rPr>
      <t xml:space="preserve"> λαου σου</t>
    </r>
  </si>
  <si>
    <r>
      <t xml:space="preserve">ουκ εστιν </t>
    </r>
    <r>
      <rPr>
        <b/>
        <sz val="11"/>
        <color theme="1"/>
        <rFont val="Calibri"/>
        <family val="2"/>
        <scheme val="minor"/>
      </rPr>
      <t>εκ</t>
    </r>
    <r>
      <rPr>
        <sz val="11"/>
        <color theme="1"/>
        <rFont val="Calibri"/>
        <family val="2"/>
        <scheme val="minor"/>
      </rPr>
      <t xml:space="preserve"> του λαου σου</t>
    </r>
  </si>
  <si>
    <r>
      <t xml:space="preserve">ουκ εστιν εκ </t>
    </r>
    <r>
      <rPr>
        <b/>
        <sz val="11"/>
        <color theme="1"/>
        <rFont val="Calibri"/>
        <family val="2"/>
        <scheme val="minor"/>
      </rPr>
      <t>του</t>
    </r>
    <r>
      <rPr>
        <sz val="11"/>
        <color theme="1"/>
        <rFont val="Calibri"/>
        <family val="2"/>
        <scheme val="minor"/>
      </rPr>
      <t xml:space="preserve"> λαου σου</t>
    </r>
  </si>
  <si>
    <t>και ελθη απο</t>
  </si>
  <si>
    <t>και ηλθεν απο</t>
  </si>
  <si>
    <t>επικαλεσηται σει ο αλλοτριος</t>
  </si>
  <si>
    <t>επικαλεσηται σε ο αλλοτριος</t>
  </si>
  <si>
    <t>τον οικον ον ωκοδομησα</t>
  </si>
  <si>
    <t>τον οικον τουτον ον ωκοδομησα</t>
  </si>
  <si>
    <t>οτι εξελευσεται</t>
  </si>
  <si>
    <t>οτι -&gt; οτε</t>
  </si>
  <si>
    <t>εισακουση εκ του</t>
  </si>
  <si>
    <t>εισακουσει εκ του</t>
  </si>
  <si>
    <r>
      <t xml:space="preserve">ος </t>
    </r>
    <r>
      <rPr>
        <b/>
        <sz val="11"/>
        <color theme="1"/>
        <rFont val="Calibri"/>
        <family val="2"/>
        <scheme val="minor"/>
      </rPr>
      <t>ουχ</t>
    </r>
    <r>
      <rPr>
        <sz val="11"/>
        <color theme="1"/>
        <rFont val="Calibri"/>
        <family val="2"/>
        <scheme val="minor"/>
      </rPr>
      <t xml:space="preserve"> αμαρτησεται σοι και</t>
    </r>
  </si>
  <si>
    <r>
      <t xml:space="preserve">ος </t>
    </r>
    <r>
      <rPr>
        <b/>
        <sz val="11"/>
        <color theme="1"/>
        <rFont val="Calibri"/>
        <family val="2"/>
        <scheme val="minor"/>
      </rPr>
      <t>ουκ</t>
    </r>
    <r>
      <rPr>
        <sz val="11"/>
        <color theme="1"/>
        <rFont val="Calibri"/>
        <family val="2"/>
        <scheme val="minor"/>
      </rPr>
      <t xml:space="preserve"> αμαρτησεται σε και</t>
    </r>
  </si>
  <si>
    <r>
      <t xml:space="preserve">ος ουχ αμαρτησεται </t>
    </r>
    <r>
      <rPr>
        <b/>
        <sz val="11"/>
        <color theme="1"/>
        <rFont val="Calibri"/>
        <family val="2"/>
        <scheme val="minor"/>
      </rPr>
      <t>σοι</t>
    </r>
    <r>
      <rPr>
        <sz val="11"/>
        <color theme="1"/>
        <rFont val="Calibri"/>
        <family val="2"/>
        <scheme val="minor"/>
      </rPr>
      <t xml:space="preserve"> και</t>
    </r>
  </si>
  <si>
    <r>
      <t xml:space="preserve">ος ουκ αμαρτησεται </t>
    </r>
    <r>
      <rPr>
        <b/>
        <sz val="11"/>
        <color theme="1"/>
        <rFont val="Calibri"/>
        <family val="2"/>
        <scheme val="minor"/>
      </rPr>
      <t>σε</t>
    </r>
    <r>
      <rPr>
        <sz val="11"/>
        <color theme="1"/>
        <rFont val="Calibri"/>
        <family val="2"/>
        <scheme val="minor"/>
      </rPr>
      <t xml:space="preserve"> και</t>
    </r>
  </si>
  <si>
    <t>εν γη μετοικειας αυτων</t>
  </si>
  <si>
    <r>
      <t xml:space="preserve">εν </t>
    </r>
    <r>
      <rPr>
        <b/>
        <sz val="11"/>
        <color theme="1"/>
        <rFont val="Calibri"/>
        <family val="2"/>
        <scheme val="minor"/>
      </rPr>
      <t>τη</t>
    </r>
    <r>
      <rPr>
        <sz val="11"/>
        <color theme="1"/>
        <rFont val="Calibri"/>
        <family val="2"/>
        <scheme val="minor"/>
      </rPr>
      <t xml:space="preserve"> γη μετοικειας αυτων</t>
    </r>
  </si>
  <si>
    <r>
      <t xml:space="preserve">εν γη </t>
    </r>
    <r>
      <rPr>
        <b/>
        <sz val="11"/>
        <color theme="1"/>
        <rFont val="Calibri"/>
        <family val="2"/>
        <scheme val="minor"/>
      </rPr>
      <t>μετοικειας</t>
    </r>
    <r>
      <rPr>
        <sz val="11"/>
        <color theme="1"/>
        <rFont val="Calibri"/>
        <family val="2"/>
        <scheme val="minor"/>
      </rPr>
      <t xml:space="preserve"> αυτων</t>
    </r>
  </si>
  <si>
    <r>
      <t xml:space="preserve">εν τη γη </t>
    </r>
    <r>
      <rPr>
        <b/>
        <sz val="11"/>
        <color theme="1"/>
        <rFont val="Calibri"/>
        <family val="2"/>
        <scheme val="minor"/>
      </rPr>
      <t>μετοικειας</t>
    </r>
    <r>
      <rPr>
        <sz val="11"/>
        <color theme="1"/>
        <rFont val="Calibri"/>
        <family val="2"/>
        <scheme val="minor"/>
      </rPr>
      <t xml:space="preserve"> αυτων</t>
    </r>
  </si>
  <si>
    <t>μετοικιας</t>
  </si>
  <si>
    <t>ποιησεις κρισιν</t>
  </si>
  <si>
    <t>ποιησεις την κρισιν</t>
  </si>
  <si>
    <t>εξ αιγυπτου τοτε ελαλησεν</t>
  </si>
  <si>
    <t>εξ αιγυπτου κυριε κυριε τοτε ελαλησεν</t>
  </si>
  <si>
    <t>καινοτητος</t>
  </si>
  <si>
    <t>θυσιαστηριου κυ οκακλως</t>
  </si>
  <si>
    <t>θυσιαστηριου οκακλως</t>
  </si>
  <si>
    <t>τα γονα αυτου</t>
  </si>
  <si>
    <t>τα γονατα αυτου</t>
  </si>
  <si>
    <t>διεφωνησεν λογοις εις εν</t>
  </si>
  <si>
    <t>λογοις -&gt; λογος</t>
  </si>
  <si>
    <t>εγκαταλιποιτο</t>
  </si>
  <si>
    <t>θν ημων και οσιως</t>
  </si>
  <si>
    <t>θεον ημων του οσιως</t>
  </si>
  <si>
    <t>θεον ημων και οσιως</t>
  </si>
  <si>
    <t>ως η ημερα αυτη</t>
  </si>
  <si>
    <t>σαλωμων τας θυσιας των ειρηνικων ας εθυσεν</t>
  </si>
  <si>
    <t>σαλωμων την θυσιαν των ειρηνικων ην εθυσεν</t>
  </si>
  <si>
    <t>προβατων εκατον εικοσι χιλιαδας</t>
  </si>
  <si>
    <t>προβατων εικοσι χιλιαδας</t>
  </si>
  <si>
    <t>του οικου κυ</t>
  </si>
  <si>
    <t>του κλου οικου κυριου</t>
  </si>
  <si>
    <t>δυνασθαι την ολοκαυτωσιν</t>
  </si>
  <si>
    <t>δυνασθαι δεξασθαι την ολοκαυτωσιν</t>
  </si>
  <si>
    <t>εκεινη την εορτην</t>
  </si>
  <si>
    <t>omit την</t>
  </si>
  <si>
    <t>εν τω οικω ω ωοικοδομησεν</t>
  </si>
  <si>
    <t>εν τω οικω ω οικοδομησεν</t>
  </si>
  <si>
    <t>σκηνωματα αυτου χαιροντες</t>
  </si>
  <si>
    <t>σκηνωματα αυτω χαιροντες</t>
  </si>
  <si>
    <t>επι πασιν</t>
  </si>
  <si>
    <t>εν πασιν</t>
  </si>
  <si>
    <t>οφθαλμοι μου και</t>
  </si>
  <si>
    <t>οφθαλμοι μου εκει και</t>
  </si>
  <si>
    <t>καρδιας και εν ευθυτητι</t>
  </si>
  <si>
    <t>καρδιας εν ευθυτητι</t>
  </si>
  <si>
    <t>ενετειλαμην αυτω</t>
  </si>
  <si>
    <t>ενετειλαμην σοι αυτω</t>
  </si>
  <si>
    <t>θρονον σου</t>
  </si>
  <si>
    <t>θρονον της βασιλειας σου</t>
  </si>
  <si>
    <r>
      <t xml:space="preserve">εξαρθησεται </t>
    </r>
    <r>
      <rPr>
        <b/>
        <sz val="11"/>
        <color theme="1"/>
        <rFont val="Calibri"/>
        <family val="2"/>
        <scheme val="minor"/>
      </rPr>
      <t>σου</t>
    </r>
    <r>
      <rPr>
        <sz val="11"/>
        <color theme="1"/>
        <rFont val="Calibri"/>
        <family val="2"/>
        <scheme val="minor"/>
      </rPr>
      <t xml:space="preserve"> ανηρ ηκουμενος</t>
    </r>
  </si>
  <si>
    <r>
      <t xml:space="preserve">εξαρθησεται </t>
    </r>
    <r>
      <rPr>
        <b/>
        <sz val="11"/>
        <color theme="1"/>
        <rFont val="Calibri"/>
        <family val="2"/>
        <scheme val="minor"/>
      </rPr>
      <t>σοι</t>
    </r>
    <r>
      <rPr>
        <sz val="11"/>
        <color theme="1"/>
        <rFont val="Calibri"/>
        <family val="2"/>
        <scheme val="minor"/>
      </rPr>
      <t xml:space="preserve"> ανηρ ηκουμενος</t>
    </r>
  </si>
  <si>
    <r>
      <t xml:space="preserve">εξαρθησεται σου ανηρ </t>
    </r>
    <r>
      <rPr>
        <b/>
        <sz val="11"/>
        <color theme="1"/>
        <rFont val="Calibri"/>
        <family val="2"/>
        <scheme val="minor"/>
      </rPr>
      <t>ηκουμενος</t>
    </r>
  </si>
  <si>
    <r>
      <t xml:space="preserve">εξαρθησεται σοι ανηρ </t>
    </r>
    <r>
      <rPr>
        <b/>
        <sz val="11"/>
        <color theme="1"/>
        <rFont val="Calibri"/>
        <family val="2"/>
        <scheme val="minor"/>
      </rPr>
      <t>ηκουμενος</t>
    </r>
  </si>
  <si>
    <t>ηγουμενος</t>
  </si>
  <si>
    <t>Alex. προσκυνησηται</t>
  </si>
  <si>
    <t>(6) αυτοις (7) και εξαρω τον ισλ απο της γης ης εδωκα αυτοις και εξαρω τον ισλ απο της γης ης εδωκα αυτοις και τον οικον</t>
  </si>
  <si>
    <t>και συριει</t>
  </si>
  <si>
    <t>και εκσυριει</t>
  </si>
  <si>
    <r>
      <rPr>
        <b/>
        <sz val="11"/>
        <color theme="1"/>
        <rFont val="Calibri"/>
        <family val="2"/>
        <scheme val="minor"/>
      </rPr>
      <t>εγκατελιπον</t>
    </r>
    <r>
      <rPr>
        <sz val="11"/>
        <color theme="1"/>
        <rFont val="Calibri"/>
        <family val="2"/>
        <scheme val="minor"/>
      </rPr>
      <t xml:space="preserve"> τ κυριον</t>
    </r>
  </si>
  <si>
    <r>
      <t xml:space="preserve">εγκατελιπον </t>
    </r>
    <r>
      <rPr>
        <b/>
        <sz val="11"/>
        <color theme="1"/>
        <rFont val="Calibri"/>
        <family val="2"/>
        <scheme val="minor"/>
      </rPr>
      <t>τ</t>
    </r>
    <r>
      <rPr>
        <sz val="11"/>
        <color theme="1"/>
        <rFont val="Calibri"/>
        <family val="2"/>
        <scheme val="minor"/>
      </rPr>
      <t xml:space="preserve"> κυριον</t>
    </r>
  </si>
  <si>
    <t>some sort of correction may be taking place in 7522A, but if the original reading was different it seems to be δουλιιας</t>
  </si>
  <si>
    <t>αντελαβον των θεων</t>
  </si>
  <si>
    <t>αντελαβον τον θεων</t>
  </si>
  <si>
    <t>αυτου ον ωκοδομησεν εαυτω</t>
  </si>
  <si>
    <r>
      <t xml:space="preserve">αυτου ον </t>
    </r>
    <r>
      <rPr>
        <b/>
        <sz val="11"/>
        <color theme="1"/>
        <rFont val="Calibri"/>
        <family val="2"/>
        <scheme val="minor"/>
      </rPr>
      <t>οι</t>
    </r>
    <r>
      <rPr>
        <sz val="11"/>
        <color theme="1"/>
        <rFont val="Calibri"/>
        <family val="2"/>
        <scheme val="minor"/>
      </rPr>
      <t xml:space="preserve"> ωκοδομησεν αυτω</t>
    </r>
  </si>
  <si>
    <r>
      <t xml:space="preserve">αυτου ον ωκοδομησεν </t>
    </r>
    <r>
      <rPr>
        <b/>
        <sz val="11"/>
        <color theme="1"/>
        <rFont val="Calibri"/>
        <family val="2"/>
        <scheme val="minor"/>
      </rPr>
      <t>εαυτω</t>
    </r>
  </si>
  <si>
    <r>
      <t xml:space="preserve">αυτου ον οι ωκοδομησεν </t>
    </r>
    <r>
      <rPr>
        <b/>
        <sz val="11"/>
        <color theme="1"/>
        <rFont val="Calibri"/>
        <family val="2"/>
        <scheme val="minor"/>
      </rPr>
      <t>αυτω</t>
    </r>
  </si>
  <si>
    <t>αντελαβετο του σαλωμων</t>
  </si>
  <si>
    <t>αντελαβετο σαλωμων</t>
  </si>
  <si>
    <t>τοτε ωκοδομησεν ο βασιλευς</t>
  </si>
  <si>
    <t>ωκοδομησεν -&gt; εδωκεν</t>
  </si>
  <si>
    <t>κεδρινοις και εν χρυσιω</t>
  </si>
  <si>
    <t>κεδρινοις και εν ξυλοις πευχινοις και εν χρυσιω</t>
  </si>
  <si>
    <t>αυτα οριον</t>
  </si>
  <si>
    <t>αυτας οριον</t>
  </si>
  <si>
    <t>και συντην μελω και την</t>
  </si>
  <si>
    <t>και συντην μελων και την</t>
  </si>
  <si>
    <t>γεζερ</t>
  </si>
  <si>
    <t>σκηνωματων αι ησαν τω σαλωμων και τας πολεις των αρματων και πασας</t>
  </si>
  <si>
    <t>σκηνωματων και πασας</t>
  </si>
  <si>
    <t>επραγματευσαι το</t>
  </si>
  <si>
    <t>επραγματευσα το</t>
  </si>
  <si>
    <t>εν τω λιβανω</t>
  </si>
  <si>
    <t>εν λιβανω</t>
  </si>
  <si>
    <t>τον λαον υπολελειμμενον</t>
  </si>
  <si>
    <r>
      <t xml:space="preserve">τον λαον </t>
    </r>
    <r>
      <rPr>
        <b/>
        <sz val="11"/>
        <color theme="1"/>
        <rFont val="Calibri"/>
        <family val="2"/>
        <scheme val="minor"/>
      </rPr>
      <t>τον</t>
    </r>
    <r>
      <rPr>
        <sz val="11"/>
        <color theme="1"/>
        <rFont val="Calibri"/>
        <family val="2"/>
        <scheme val="minor"/>
      </rPr>
      <t xml:space="preserve"> υπολελιμμενον</t>
    </r>
  </si>
  <si>
    <r>
      <t xml:space="preserve">τον λαον τον </t>
    </r>
    <r>
      <rPr>
        <b/>
        <sz val="11"/>
        <color theme="1"/>
        <rFont val="Calibri"/>
        <family val="2"/>
        <scheme val="minor"/>
      </rPr>
      <t>υπολελιμμενον</t>
    </r>
  </si>
  <si>
    <r>
      <t xml:space="preserve">τον λαον </t>
    </r>
    <r>
      <rPr>
        <b/>
        <sz val="11"/>
        <color theme="1"/>
        <rFont val="Calibri"/>
        <family val="2"/>
        <scheme val="minor"/>
      </rPr>
      <t>υπολελειμμενον</t>
    </r>
  </si>
  <si>
    <r>
      <t xml:space="preserve">του </t>
    </r>
    <r>
      <rPr>
        <b/>
        <sz val="11"/>
        <color theme="1"/>
        <rFont val="Calibri"/>
        <family val="2"/>
        <scheme val="minor"/>
      </rPr>
      <t>γεργεσαιου</t>
    </r>
    <r>
      <rPr>
        <sz val="11"/>
        <color theme="1"/>
        <rFont val="Calibri"/>
        <family val="2"/>
        <scheme val="minor"/>
      </rPr>
      <t xml:space="preserve"> του μη</t>
    </r>
  </si>
  <si>
    <r>
      <t xml:space="preserve">του </t>
    </r>
    <r>
      <rPr>
        <b/>
        <sz val="11"/>
        <color theme="1"/>
        <rFont val="Calibri"/>
        <family val="2"/>
        <scheme val="minor"/>
      </rPr>
      <t>γεργεζαιου</t>
    </r>
    <r>
      <rPr>
        <sz val="11"/>
        <color theme="1"/>
        <rFont val="Calibri"/>
        <family val="2"/>
        <scheme val="minor"/>
      </rPr>
      <t xml:space="preserve"> των μη</t>
    </r>
  </si>
  <si>
    <r>
      <t xml:space="preserve">του γεργεσαιου </t>
    </r>
    <r>
      <rPr>
        <b/>
        <sz val="11"/>
        <color theme="1"/>
        <rFont val="Calibri"/>
        <family val="2"/>
        <scheme val="minor"/>
      </rPr>
      <t>του</t>
    </r>
    <r>
      <rPr>
        <sz val="11"/>
        <color theme="1"/>
        <rFont val="Calibri"/>
        <family val="2"/>
        <scheme val="minor"/>
      </rPr>
      <t xml:space="preserve"> μη</t>
    </r>
  </si>
  <si>
    <r>
      <t xml:space="preserve">του γεργεζαιου </t>
    </r>
    <r>
      <rPr>
        <b/>
        <sz val="11"/>
        <color theme="1"/>
        <rFont val="Calibri"/>
        <family val="2"/>
        <scheme val="minor"/>
      </rPr>
      <t>των</t>
    </r>
    <r>
      <rPr>
        <sz val="11"/>
        <color theme="1"/>
        <rFont val="Calibri"/>
        <family val="2"/>
        <scheme val="minor"/>
      </rPr>
      <t xml:space="preserve"> μη</t>
    </r>
  </si>
  <si>
    <t>υπολελειμμενα</t>
  </si>
  <si>
    <t>αρχοντες αυτου των αρματων</t>
  </si>
  <si>
    <r>
      <t xml:space="preserve">αρχοντες </t>
    </r>
    <r>
      <rPr>
        <b/>
        <sz val="11"/>
        <color theme="1"/>
        <rFont val="Calibri"/>
        <family val="2"/>
        <scheme val="minor"/>
      </rPr>
      <t>δυο</t>
    </r>
    <r>
      <rPr>
        <sz val="11"/>
        <color theme="1"/>
        <rFont val="Calibri"/>
        <family val="2"/>
        <scheme val="minor"/>
      </rPr>
      <t xml:space="preserve"> αυτων αρματων</t>
    </r>
  </si>
  <si>
    <r>
      <t xml:space="preserve">αρχοντες δυο </t>
    </r>
    <r>
      <rPr>
        <b/>
        <sz val="11"/>
        <color theme="1"/>
        <rFont val="Calibri"/>
        <family val="2"/>
        <scheme val="minor"/>
      </rPr>
      <t>αυτων</t>
    </r>
    <r>
      <rPr>
        <sz val="11"/>
        <color theme="1"/>
        <rFont val="Calibri"/>
        <family val="2"/>
        <scheme val="minor"/>
      </rPr>
      <t xml:space="preserve"> αρματων</t>
    </r>
  </si>
  <si>
    <r>
      <t xml:space="preserve">αρχοντες </t>
    </r>
    <r>
      <rPr>
        <b/>
        <sz val="11"/>
        <color theme="1"/>
        <rFont val="Calibri"/>
        <family val="2"/>
        <scheme val="minor"/>
      </rPr>
      <t>αυτου των</t>
    </r>
    <r>
      <rPr>
        <sz val="11"/>
        <color theme="1"/>
        <rFont val="Calibri"/>
        <family val="2"/>
        <scheme val="minor"/>
      </rPr>
      <t xml:space="preserve"> αρματων</t>
    </r>
  </si>
  <si>
    <t>προς οικον</t>
  </si>
  <si>
    <t>προς ο οικον</t>
  </si>
  <si>
    <t>ον ωκοδομησεν</t>
  </si>
  <si>
    <t>ον οκοδομησεν</t>
  </si>
  <si>
    <t>ολοκαυτωμα και</t>
  </si>
  <si>
    <t>ολοκαυτωματι και</t>
  </si>
  <si>
    <t>ου ωκοδομησεν</t>
  </si>
  <si>
    <t>γαζιων γαβερ</t>
  </si>
  <si>
    <r>
      <rPr>
        <b/>
        <sz val="11"/>
        <color theme="1"/>
        <rFont val="Calibri"/>
        <family val="2"/>
        <scheme val="minor"/>
      </rPr>
      <t>αιν</t>
    </r>
    <r>
      <rPr>
        <sz val="11"/>
        <color theme="1"/>
        <rFont val="Calibri"/>
        <family val="2"/>
        <scheme val="minor"/>
      </rPr>
      <t xml:space="preserve"> ενιγμασιν</t>
    </r>
  </si>
  <si>
    <r>
      <rPr>
        <b/>
        <sz val="11"/>
        <color theme="1"/>
        <rFont val="Calibri"/>
        <family val="2"/>
        <scheme val="minor"/>
      </rPr>
      <t>εν</t>
    </r>
    <r>
      <rPr>
        <sz val="11"/>
        <color theme="1"/>
        <rFont val="Calibri"/>
        <family val="2"/>
        <scheme val="minor"/>
      </rPr>
      <t xml:space="preserve"> αινιγμασιν</t>
    </r>
  </si>
  <si>
    <r>
      <t xml:space="preserve">αιν </t>
    </r>
    <r>
      <rPr>
        <b/>
        <sz val="11"/>
        <color theme="1"/>
        <rFont val="Calibri"/>
        <family val="2"/>
        <scheme val="minor"/>
      </rPr>
      <t>ενιγμασιν</t>
    </r>
  </si>
  <si>
    <r>
      <t xml:space="preserve">εν </t>
    </r>
    <r>
      <rPr>
        <b/>
        <sz val="11"/>
        <color theme="1"/>
        <rFont val="Calibri"/>
        <family val="2"/>
        <scheme val="minor"/>
      </rPr>
      <t>αινιγμασιν</t>
    </r>
  </si>
  <si>
    <t>ηδυσματα χρυσιον</t>
  </si>
  <si>
    <t>ηδυσματα και χρυσιον</t>
  </si>
  <si>
    <t>εστιν το καθως</t>
  </si>
  <si>
    <t>εστιν καθως</t>
  </si>
  <si>
    <t>κν τον ισλ στησαι εις τον αιωνα</t>
  </si>
  <si>
    <r>
      <t xml:space="preserve">κυριον </t>
    </r>
    <r>
      <rPr>
        <b/>
        <sz val="11"/>
        <color theme="1"/>
        <rFont val="Calibri"/>
        <family val="2"/>
        <scheme val="minor"/>
      </rPr>
      <t>τη</t>
    </r>
    <r>
      <rPr>
        <sz val="11"/>
        <color theme="1"/>
        <rFont val="Calibri"/>
        <family val="2"/>
        <scheme val="minor"/>
      </rPr>
      <t xml:space="preserve"> τον ισραηλ στησαι στησαι αυτον εις τον αιωνα</t>
    </r>
  </si>
  <si>
    <t>duplicated at page break</t>
  </si>
  <si>
    <r>
      <t xml:space="preserve">του </t>
    </r>
    <r>
      <rPr>
        <b/>
        <sz val="11"/>
        <color theme="1"/>
        <rFont val="Calibri"/>
        <family val="2"/>
        <scheme val="minor"/>
      </rPr>
      <t>ποιειν</t>
    </r>
    <r>
      <rPr>
        <sz val="11"/>
        <color theme="1"/>
        <rFont val="Calibri"/>
        <family val="2"/>
        <scheme val="minor"/>
      </rPr>
      <t xml:space="preserve"> κριμα και δικαιοσυνην</t>
    </r>
  </si>
  <si>
    <r>
      <t xml:space="preserve">του ποιειν κριμα </t>
    </r>
    <r>
      <rPr>
        <b/>
        <sz val="11"/>
        <color theme="1"/>
        <rFont val="Calibri"/>
        <family val="2"/>
        <scheme val="minor"/>
      </rPr>
      <t>και</t>
    </r>
    <r>
      <rPr>
        <sz val="11"/>
        <color theme="1"/>
        <rFont val="Calibri"/>
        <family val="2"/>
        <scheme val="minor"/>
      </rPr>
      <t xml:space="preserve"> δικαιοσυνην</t>
    </r>
  </si>
  <si>
    <t>του ποισαι κριμα  δικαιωσυνην</t>
  </si>
  <si>
    <r>
      <t xml:space="preserve">του ποιειν κριμα και </t>
    </r>
    <r>
      <rPr>
        <b/>
        <sz val="11"/>
        <color theme="1"/>
        <rFont val="Calibri"/>
        <family val="2"/>
        <scheme val="minor"/>
      </rPr>
      <t>δικαιοσυνην</t>
    </r>
  </si>
  <si>
    <r>
      <t xml:space="preserve">του ποισαι κριμα  </t>
    </r>
    <r>
      <rPr>
        <b/>
        <sz val="11"/>
        <color theme="1"/>
        <rFont val="Calibri"/>
        <family val="2"/>
        <scheme val="minor"/>
      </rPr>
      <t>δικαιωσυνην</t>
    </r>
  </si>
  <si>
    <t>απελεκητα</t>
  </si>
  <si>
    <t>ξυλα που εως</t>
  </si>
  <si>
    <t>ξυλα απο ου εως</t>
  </si>
  <si>
    <t>ξυλα πελεκητα ουδε ωφθη που εως</t>
  </si>
  <si>
    <r>
      <t xml:space="preserve">ων </t>
    </r>
    <r>
      <rPr>
        <b/>
        <sz val="11"/>
        <color theme="1"/>
        <rFont val="Calibri"/>
        <family val="2"/>
        <scheme val="minor"/>
      </rPr>
      <t>δεδωκει</t>
    </r>
    <r>
      <rPr>
        <sz val="11"/>
        <color theme="1"/>
        <rFont val="Calibri"/>
        <family val="2"/>
        <scheme val="minor"/>
      </rPr>
      <t xml:space="preserve"> αυτω δια</t>
    </r>
  </si>
  <si>
    <r>
      <t xml:space="preserve">ων </t>
    </r>
    <r>
      <rPr>
        <b/>
        <sz val="11"/>
        <color theme="1"/>
        <rFont val="Calibri"/>
        <family val="2"/>
        <scheme val="minor"/>
      </rPr>
      <t>εδεδωκει</t>
    </r>
    <r>
      <rPr>
        <sz val="11"/>
        <color theme="1"/>
        <rFont val="Calibri"/>
        <family val="2"/>
        <scheme val="minor"/>
      </rPr>
      <t xml:space="preserve"> αυτω δια</t>
    </r>
  </si>
  <si>
    <r>
      <t xml:space="preserve">ων δεδωκει </t>
    </r>
    <r>
      <rPr>
        <b/>
        <sz val="11"/>
        <color theme="1"/>
        <rFont val="Calibri"/>
        <family val="2"/>
        <scheme val="minor"/>
      </rPr>
      <t>αυτω</t>
    </r>
    <r>
      <rPr>
        <sz val="11"/>
        <color theme="1"/>
        <rFont val="Calibri"/>
        <family val="2"/>
        <scheme val="minor"/>
      </rPr>
      <t xml:space="preserve"> δια</t>
    </r>
  </si>
  <si>
    <r>
      <t xml:space="preserve">ων εδεδωκει </t>
    </r>
    <r>
      <rPr>
        <b/>
        <sz val="11"/>
        <color theme="1"/>
        <rFont val="Calibri"/>
        <family val="2"/>
        <scheme val="minor"/>
      </rPr>
      <t>αυτω</t>
    </r>
    <r>
      <rPr>
        <sz val="11"/>
        <color theme="1"/>
        <rFont val="Calibri"/>
        <family val="2"/>
        <scheme val="minor"/>
      </rPr>
      <t xml:space="preserve"> δια</t>
    </r>
  </si>
  <si>
    <t>αυτω -&gt; αυτη</t>
  </si>
  <si>
    <t>την γην αυτης και παντες</t>
  </si>
  <si>
    <t>τη γην αυτης αυτη και παντες</t>
  </si>
  <si>
    <t>οπλα ελατα και τρεις</t>
  </si>
  <si>
    <t>οπλα ελατα τρεις</t>
  </si>
  <si>
    <t>τρεις μναι χρυσιου</t>
  </si>
  <si>
    <t>τρεις μααι χρυσιου</t>
  </si>
  <si>
    <t>επησαν</t>
  </si>
  <si>
    <t>δοκιμου (19) εξ</t>
  </si>
  <si>
    <t>δοκιμει (19) εξ</t>
  </si>
  <si>
    <r>
      <t xml:space="preserve">δρυμου του </t>
    </r>
    <r>
      <rPr>
        <b/>
        <sz val="11"/>
        <color theme="1"/>
        <rFont val="Calibri"/>
        <family val="2"/>
        <scheme val="minor"/>
      </rPr>
      <t>λαβανω</t>
    </r>
    <r>
      <rPr>
        <sz val="11"/>
        <color theme="1"/>
        <rFont val="Calibri"/>
        <family val="2"/>
        <scheme val="minor"/>
      </rPr>
      <t xml:space="preserve"> χρυσιω συγκεκλισμενω ουκ ην</t>
    </r>
  </si>
  <si>
    <r>
      <t xml:space="preserve">δρυμου του </t>
    </r>
    <r>
      <rPr>
        <b/>
        <sz val="11"/>
        <color theme="1"/>
        <rFont val="Calibri"/>
        <family val="2"/>
        <scheme val="minor"/>
      </rPr>
      <t>λαβανω</t>
    </r>
    <r>
      <rPr>
        <sz val="11"/>
        <color theme="1"/>
        <rFont val="Calibri"/>
        <family val="2"/>
        <scheme val="minor"/>
      </rPr>
      <t xml:space="preserve"> χρυσιου συγκεκλεισμενα ουκ ην</t>
    </r>
  </si>
  <si>
    <t>λιβανου</t>
  </si>
  <si>
    <r>
      <t xml:space="preserve">δρυμου του λαβανω </t>
    </r>
    <r>
      <rPr>
        <b/>
        <sz val="11"/>
        <color theme="1"/>
        <rFont val="Calibri"/>
        <family val="2"/>
        <scheme val="minor"/>
      </rPr>
      <t>χρυσιω</t>
    </r>
    <r>
      <rPr>
        <sz val="11"/>
        <color theme="1"/>
        <rFont val="Calibri"/>
        <family val="2"/>
        <scheme val="minor"/>
      </rPr>
      <t xml:space="preserve"> συγκεκλισμενω ουκ ην</t>
    </r>
  </si>
  <si>
    <r>
      <t xml:space="preserve">δρυμου του λαβανω </t>
    </r>
    <r>
      <rPr>
        <b/>
        <sz val="11"/>
        <color theme="1"/>
        <rFont val="Calibri"/>
        <family val="2"/>
        <scheme val="minor"/>
      </rPr>
      <t>χρυσιου</t>
    </r>
    <r>
      <rPr>
        <sz val="11"/>
        <color theme="1"/>
        <rFont val="Calibri"/>
        <family val="2"/>
        <scheme val="minor"/>
      </rPr>
      <t xml:space="preserve"> συγκεκλεισμενα ουκ ην</t>
    </r>
  </si>
  <si>
    <r>
      <t xml:space="preserve">δρυμου του λαβανω χρυσιω </t>
    </r>
    <r>
      <rPr>
        <b/>
        <sz val="11"/>
        <color theme="1"/>
        <rFont val="Calibri"/>
        <family val="2"/>
        <scheme val="minor"/>
      </rPr>
      <t>συγκεκλισμενω</t>
    </r>
    <r>
      <rPr>
        <sz val="11"/>
        <color theme="1"/>
        <rFont val="Calibri"/>
        <family val="2"/>
        <scheme val="minor"/>
      </rPr>
      <t xml:space="preserve"> ουκ ην</t>
    </r>
  </si>
  <si>
    <r>
      <t xml:space="preserve">δρυμου του λαβανω χρυσιου </t>
    </r>
    <r>
      <rPr>
        <b/>
        <sz val="11"/>
        <color theme="1"/>
        <rFont val="Calibri"/>
        <family val="2"/>
        <scheme val="minor"/>
      </rPr>
      <t>συγκεκλεισμενα</t>
    </r>
    <r>
      <rPr>
        <sz val="11"/>
        <color theme="1"/>
        <rFont val="Calibri"/>
        <family val="2"/>
        <scheme val="minor"/>
      </rPr>
      <t xml:space="preserve"> ουκ ην</t>
    </r>
  </si>
  <si>
    <t>(21) οτι ουν (22) οτι ναυς θαρσεις</t>
  </si>
  <si>
    <t>(21) οτι ουν (22) ναου οτι ναυς θαρσεις</t>
  </si>
  <si>
    <t>κς τη καρδια</t>
  </si>
  <si>
    <t>κυριος τη καρδια</t>
  </si>
  <si>
    <t>κυριος εν τη καρδια</t>
  </si>
  <si>
    <t>αυτον τα δωρα</t>
  </si>
  <si>
    <t>αυτον εκαστος τα δωρα</t>
  </si>
  <si>
    <t>αυτου σκευη</t>
  </si>
  <si>
    <t>αυτου σχευ σκευη</t>
  </si>
  <si>
    <t>θηλειαι</t>
  </si>
  <si>
    <t>ιπποι και εις αρματα</t>
  </si>
  <si>
    <t>ιπποι εις αρματα</t>
  </si>
  <si>
    <t>εθετο αυτας εν ταις</t>
  </si>
  <si>
    <t>αυτας -&gt; αυτους</t>
  </si>
  <si>
    <t>πολεσιν των αρματων</t>
  </si>
  <si>
    <t>ποταμου και εως</t>
  </si>
  <si>
    <t>ποταμου και και εως</t>
  </si>
  <si>
    <t>η εξοδον των ιππων</t>
  </si>
  <si>
    <t>εν αλλαγματι</t>
  </si>
  <si>
    <t>εν αλα αλλαγματι</t>
  </si>
  <si>
    <t>εξοδος αρματα εξ αιγυπτου αντι εκατον</t>
  </si>
  <si>
    <t>βασιλευσιν [] και βασιλευσιν συριας</t>
  </si>
  <si>
    <t>βασιλευσιν και βασιλευσιν συριας</t>
  </si>
  <si>
    <t>συρας</t>
  </si>
  <si>
    <t>καρδιας αυτων οπισω ειδωλων αυτων</t>
  </si>
  <si>
    <r>
      <t xml:space="preserve">καρδιας </t>
    </r>
    <r>
      <rPr>
        <b/>
        <sz val="11"/>
        <color theme="1"/>
        <rFont val="Calibri"/>
        <family val="2"/>
        <scheme val="minor"/>
      </rPr>
      <t>αυτων</t>
    </r>
    <r>
      <rPr>
        <sz val="11"/>
        <color theme="1"/>
        <rFont val="Calibri"/>
        <family val="2"/>
        <scheme val="minor"/>
      </rPr>
      <t xml:space="preserve"> οπισω ειδωλων αυτων</t>
    </r>
  </si>
  <si>
    <r>
      <t xml:space="preserve">καρδιας </t>
    </r>
    <r>
      <rPr>
        <b/>
        <sz val="11"/>
        <color theme="1"/>
        <rFont val="Calibri"/>
        <family val="2"/>
        <scheme val="minor"/>
      </rPr>
      <t>αυτων</t>
    </r>
    <r>
      <rPr>
        <sz val="11"/>
        <color theme="1"/>
        <rFont val="Calibri"/>
        <family val="2"/>
        <scheme val="minor"/>
      </rPr>
      <t xml:space="preserve"> οπισω των ειδωλων αυτων</t>
    </r>
  </si>
  <si>
    <r>
      <t xml:space="preserve">καρδιας αυτων οπισω </t>
    </r>
    <r>
      <rPr>
        <b/>
        <sz val="11"/>
        <color theme="1"/>
        <rFont val="Calibri"/>
        <family val="2"/>
        <scheme val="minor"/>
      </rPr>
      <t>των</t>
    </r>
    <r>
      <rPr>
        <sz val="11"/>
        <color theme="1"/>
        <rFont val="Calibri"/>
        <family val="2"/>
        <scheme val="minor"/>
      </rPr>
      <t xml:space="preserve"> ειδωλων αυτων</t>
    </r>
  </si>
  <si>
    <t>και εκκλιναν</t>
  </si>
  <si>
    <t>και ενεκλιναν</t>
  </si>
  <si>
    <t>αυτου την καρδιαν αυτου</t>
  </si>
  <si>
    <t>αυτου καρδιαν αυτου</t>
  </si>
  <si>
    <t>γηρως σαλωμων</t>
  </si>
  <si>
    <t>γηρω σαλωμων</t>
  </si>
  <si>
    <t>γηρους σαλωμων</t>
  </si>
  <si>
    <t>οπισων θεων</t>
  </si>
  <si>
    <t>οπισω θεων</t>
  </si>
  <si>
    <t>κυ ως δαδ</t>
  </si>
  <si>
    <t>κυριου καθως δαβιδ</t>
  </si>
  <si>
    <r>
      <t xml:space="preserve">τω </t>
    </r>
    <r>
      <rPr>
        <b/>
        <sz val="11"/>
        <color theme="1"/>
        <rFont val="Calibri"/>
        <family val="2"/>
        <scheme val="minor"/>
      </rPr>
      <t>μελχο</t>
    </r>
    <r>
      <rPr>
        <sz val="11"/>
        <color theme="1"/>
        <rFont val="Calibri"/>
        <family val="2"/>
        <scheme val="minor"/>
      </rPr>
      <t xml:space="preserve"> ειδωλω υιω αμμων</t>
    </r>
  </si>
  <si>
    <r>
      <t xml:space="preserve">τω </t>
    </r>
    <r>
      <rPr>
        <b/>
        <sz val="11"/>
        <color theme="1"/>
        <rFont val="Calibri"/>
        <family val="2"/>
        <scheme val="minor"/>
      </rPr>
      <t>μελχομ</t>
    </r>
    <r>
      <rPr>
        <sz val="11"/>
        <color theme="1"/>
        <rFont val="Calibri"/>
        <family val="2"/>
        <scheme val="minor"/>
      </rPr>
      <t xml:space="preserve"> ειδωλω υιων αμμων</t>
    </r>
  </si>
  <si>
    <r>
      <t xml:space="preserve">τω μελχο ειδωλω </t>
    </r>
    <r>
      <rPr>
        <b/>
        <sz val="11"/>
        <color theme="1"/>
        <rFont val="Calibri"/>
        <family val="2"/>
        <scheme val="minor"/>
      </rPr>
      <t>υιω</t>
    </r>
    <r>
      <rPr>
        <sz val="11"/>
        <color theme="1"/>
        <rFont val="Calibri"/>
        <family val="2"/>
        <scheme val="minor"/>
      </rPr>
      <t xml:space="preserve"> αμμων</t>
    </r>
  </si>
  <si>
    <r>
      <t xml:space="preserve">τω μελχομ ειδωλω </t>
    </r>
    <r>
      <rPr>
        <b/>
        <sz val="11"/>
        <color theme="1"/>
        <rFont val="Calibri"/>
        <family val="2"/>
        <scheme val="minor"/>
      </rPr>
      <t>υιων</t>
    </r>
    <r>
      <rPr>
        <sz val="11"/>
        <color theme="1"/>
        <rFont val="Calibri"/>
        <family val="2"/>
        <scheme val="minor"/>
      </rPr>
      <t xml:space="preserve"> αμμων</t>
    </r>
  </si>
  <si>
    <t>εθυον τοις ειδωλοις</t>
  </si>
  <si>
    <t>εθυοντο τοις ειδωλοις</t>
  </si>
  <si>
    <t>διαρρησσων διαρρησω</t>
  </si>
  <si>
    <t>διαρρησω -&gt; διαρρηξω</t>
  </si>
  <si>
    <t>βασιλειαν ολην ου μη</t>
  </si>
  <si>
    <t>βασιλειαν ου μη</t>
  </si>
  <si>
    <t>κς σαταν</t>
  </si>
  <si>
    <t>κυριος τ σαταν</t>
  </si>
  <si>
    <t xml:space="preserve">θαπτειν τους </t>
  </si>
  <si>
    <t>θαψαι τους</t>
  </si>
  <si>
    <t>πας ισλ εν τη</t>
  </si>
  <si>
    <t>πας ισραηλ και εν τη</t>
  </si>
  <si>
    <t>ιδουμαιοι των παιδων</t>
  </si>
  <si>
    <t>ιδουμαιοι δουλοι των παιδων</t>
  </si>
  <si>
    <t>ανισταντε ανδρες</t>
  </si>
  <si>
    <t>ανισταντες ανδρες</t>
  </si>
  <si>
    <t>λαμβανουσιν ανδρας</t>
  </si>
  <si>
    <t>λαμβανονται ανδρας</t>
  </si>
  <si>
    <t>εις αιγυπτου προς</t>
  </si>
  <si>
    <t>εις αιγυπτον προς</t>
  </si>
  <si>
    <t>αδελφην θεκεμινας</t>
  </si>
  <si>
    <t>αδελφην τεκεμινας</t>
  </si>
  <si>
    <t>εν αιγυπτου οτι</t>
  </si>
  <si>
    <t>εν αιγυπτω οτι</t>
  </si>
  <si>
    <t>της στρατειας και</t>
  </si>
  <si>
    <t>της στρατιας και</t>
  </si>
  <si>
    <t>επορευθησαν δαμασκον</t>
  </si>
  <si>
    <t>επορευθησαν εις δαμασκον</t>
  </si>
  <si>
    <t>εν τω εδωμ</t>
  </si>
  <si>
    <t>εν γη εδωμ</t>
  </si>
  <si>
    <t>επι αρσεις</t>
  </si>
  <si>
    <t>επι τας αρσεις</t>
  </si>
  <si>
    <t>αμφοτεροι μονοι εν τω</t>
  </si>
  <si>
    <r>
      <rPr>
        <b/>
        <sz val="11"/>
        <color theme="1"/>
        <rFont val="Calibri"/>
        <family val="2"/>
        <scheme val="minor"/>
      </rPr>
      <t>αμφοτεροι εν</t>
    </r>
    <r>
      <rPr>
        <sz val="11"/>
        <color theme="1"/>
        <rFont val="Calibri"/>
        <family val="2"/>
        <scheme val="minor"/>
      </rPr>
      <t xml:space="preserve"> τω παιδιω</t>
    </r>
  </si>
  <si>
    <r>
      <rPr>
        <b/>
        <sz val="11"/>
        <color theme="1"/>
        <rFont val="Calibri"/>
        <family val="2"/>
        <scheme val="minor"/>
      </rPr>
      <t>αμφοτεροι εν</t>
    </r>
    <r>
      <rPr>
        <sz val="11"/>
        <color theme="1"/>
        <rFont val="Calibri"/>
        <family val="2"/>
        <scheme val="minor"/>
      </rPr>
      <t xml:space="preserve"> τω πεδιω</t>
    </r>
  </si>
  <si>
    <r>
      <t xml:space="preserve">αμφοτεροι εν τω </t>
    </r>
    <r>
      <rPr>
        <b/>
        <sz val="11"/>
        <color theme="1"/>
        <rFont val="Calibri"/>
        <family val="2"/>
        <scheme val="minor"/>
      </rPr>
      <t>παιδιω</t>
    </r>
  </si>
  <si>
    <r>
      <t xml:space="preserve">αμφοτεροι εν τω </t>
    </r>
    <r>
      <rPr>
        <b/>
        <sz val="11"/>
        <color theme="1"/>
        <rFont val="Calibri"/>
        <family val="2"/>
        <scheme val="minor"/>
      </rPr>
      <t>πεδιω</t>
    </r>
  </si>
  <si>
    <t>διερρηξεν αυτα δωδεκα</t>
  </si>
  <si>
    <t>δεκα ρηγματα (32) και δυο</t>
  </si>
  <si>
    <t>ρηγματα -&gt; σκηπτρα</t>
  </si>
  <si>
    <t>ασταρτη βδελυγματη</t>
  </si>
  <si>
    <r>
      <t xml:space="preserve">ασταρτη </t>
    </r>
    <r>
      <rPr>
        <b/>
        <sz val="11"/>
        <color theme="1"/>
        <rFont val="Calibri"/>
        <family val="2"/>
        <scheme val="minor"/>
      </rPr>
      <t>δ</t>
    </r>
    <r>
      <rPr>
        <sz val="11"/>
        <color theme="1"/>
        <rFont val="Calibri"/>
        <family val="2"/>
        <scheme val="minor"/>
      </rPr>
      <t xml:space="preserve"> βδελυγματι</t>
    </r>
  </si>
  <si>
    <r>
      <t xml:space="preserve">ασταρτη </t>
    </r>
    <r>
      <rPr>
        <b/>
        <sz val="11"/>
        <color theme="1"/>
        <rFont val="Calibri"/>
        <family val="2"/>
        <scheme val="minor"/>
      </rPr>
      <t>βδελυγματη</t>
    </r>
  </si>
  <si>
    <r>
      <t xml:space="preserve">ασταρτη δ </t>
    </r>
    <r>
      <rPr>
        <b/>
        <sz val="11"/>
        <color theme="1"/>
        <rFont val="Calibri"/>
        <family val="2"/>
        <scheme val="minor"/>
      </rPr>
      <t>βδελυγματι</t>
    </r>
  </si>
  <si>
    <r>
      <t xml:space="preserve">και </t>
    </r>
    <r>
      <rPr>
        <b/>
        <sz val="11"/>
        <color theme="1"/>
        <rFont val="Calibri"/>
        <family val="2"/>
        <scheme val="minor"/>
      </rPr>
      <t>τοις</t>
    </r>
    <r>
      <rPr>
        <sz val="11"/>
        <color theme="1"/>
        <rFont val="Calibri"/>
        <family val="2"/>
        <scheme val="minor"/>
      </rPr>
      <t xml:space="preserve"> χαμως και τοις ειδωλοις μωαβ</t>
    </r>
  </si>
  <si>
    <r>
      <t xml:space="preserve">και τοις χαμως </t>
    </r>
    <r>
      <rPr>
        <b/>
        <sz val="11"/>
        <color theme="1"/>
        <rFont val="Calibri"/>
        <family val="2"/>
        <scheme val="minor"/>
      </rPr>
      <t>και</t>
    </r>
    <r>
      <rPr>
        <sz val="11"/>
        <color theme="1"/>
        <rFont val="Calibri"/>
        <family val="2"/>
        <scheme val="minor"/>
      </rPr>
      <t xml:space="preserve"> τοις ειδωλοις μωαβ</t>
    </r>
  </si>
  <si>
    <r>
      <t xml:space="preserve">και τοις χαμως και </t>
    </r>
    <r>
      <rPr>
        <b/>
        <sz val="11"/>
        <color theme="1"/>
        <rFont val="Calibri"/>
        <family val="2"/>
        <scheme val="minor"/>
      </rPr>
      <t>τοις ειδωλοις</t>
    </r>
    <r>
      <rPr>
        <sz val="11"/>
        <color theme="1"/>
        <rFont val="Calibri"/>
        <family val="2"/>
        <scheme val="minor"/>
      </rPr>
      <t xml:space="preserve"> μωαβ</t>
    </r>
  </si>
  <si>
    <t>τω ειδωλω</t>
  </si>
  <si>
    <t>προσοχθισματι υιω αμμων</t>
  </si>
  <si>
    <t>προσοχθισματι υιων αμμων</t>
  </si>
  <si>
    <t>και κρεις μου</t>
  </si>
  <si>
    <t>και κρισεις μου</t>
  </si>
  <si>
    <t>εφυλαξεν εντολας</t>
  </si>
  <si>
    <t>εφυλαξεν τας εντολας</t>
  </si>
  <si>
    <t>χειρος του υιου αυτου</t>
  </si>
  <si>
    <t>χειρος αυ του υιου αυτου</t>
  </si>
  <si>
    <t>τω δε υιω</t>
  </si>
  <si>
    <t>τω λευι ω δε υιω</t>
  </si>
  <si>
    <t>εν τοις οδοις</t>
  </si>
  <si>
    <t>εν ταις οδοις</t>
  </si>
  <si>
    <t>οικοδομησω σοι οικον</t>
  </si>
  <si>
    <r>
      <t xml:space="preserve">κακουχησω </t>
    </r>
    <r>
      <rPr>
        <b/>
        <sz val="11"/>
        <color theme="1"/>
        <rFont val="Calibri"/>
        <family val="2"/>
        <scheme val="minor"/>
      </rPr>
      <t>το</t>
    </r>
    <r>
      <rPr>
        <sz val="11"/>
        <color theme="1"/>
        <rFont val="Calibri"/>
        <family val="2"/>
        <scheme val="minor"/>
      </rPr>
      <t xml:space="preserve"> σπερμα ισλ δια ταυτην πλην</t>
    </r>
  </si>
  <si>
    <t>κακουχησω σπερμα ισραηλ δια ταυτην πλην</t>
  </si>
  <si>
    <r>
      <t xml:space="preserve">κακουχησω το σπερμα </t>
    </r>
    <r>
      <rPr>
        <b/>
        <sz val="11"/>
        <color theme="1"/>
        <rFont val="Calibri"/>
        <family val="2"/>
        <scheme val="minor"/>
      </rPr>
      <t>ισλ</t>
    </r>
    <r>
      <rPr>
        <sz val="11"/>
        <color theme="1"/>
        <rFont val="Calibri"/>
        <family val="2"/>
        <scheme val="minor"/>
      </rPr>
      <t xml:space="preserve"> δια ταυτην πλην</t>
    </r>
  </si>
  <si>
    <r>
      <t xml:space="preserve">κακουχησω σπερμα </t>
    </r>
    <r>
      <rPr>
        <b/>
        <sz val="11"/>
        <color theme="1"/>
        <rFont val="Calibri"/>
        <family val="2"/>
        <scheme val="minor"/>
      </rPr>
      <t>ισραηλ</t>
    </r>
    <r>
      <rPr>
        <sz val="11"/>
        <color theme="1"/>
        <rFont val="Calibri"/>
        <family val="2"/>
        <scheme val="minor"/>
      </rPr>
      <t xml:space="preserve"> δια ταυτην πλην</t>
    </r>
  </si>
  <si>
    <r>
      <t xml:space="preserve">κακουχησω το σπερμα ισλ δια </t>
    </r>
    <r>
      <rPr>
        <b/>
        <sz val="11"/>
        <color theme="1"/>
        <rFont val="Calibri"/>
        <family val="2"/>
        <scheme val="minor"/>
      </rPr>
      <t>ταυτην</t>
    </r>
    <r>
      <rPr>
        <sz val="11"/>
        <color theme="1"/>
        <rFont val="Calibri"/>
        <family val="2"/>
        <scheme val="minor"/>
      </rPr>
      <t xml:space="preserve"> πλην</t>
    </r>
  </si>
  <si>
    <r>
      <t xml:space="preserve">κακουχησω σπερμα ισραηλ δια </t>
    </r>
    <r>
      <rPr>
        <b/>
        <sz val="11"/>
        <color theme="1"/>
        <rFont val="Calibri"/>
        <family val="2"/>
        <scheme val="minor"/>
      </rPr>
      <t>ταυτην</t>
    </r>
    <r>
      <rPr>
        <sz val="11"/>
        <color theme="1"/>
        <rFont val="Calibri"/>
        <family val="2"/>
        <scheme val="minor"/>
      </rPr>
      <t xml:space="preserve"> πλην</t>
    </r>
  </si>
  <si>
    <r>
      <t xml:space="preserve">εν </t>
    </r>
    <r>
      <rPr>
        <b/>
        <sz val="11"/>
        <color theme="1"/>
        <rFont val="Calibri"/>
        <family val="2"/>
        <scheme val="minor"/>
      </rPr>
      <t>αιγυπτου</t>
    </r>
    <r>
      <rPr>
        <sz val="11"/>
        <color theme="1"/>
        <rFont val="Calibri"/>
        <family val="2"/>
        <scheme val="minor"/>
      </rPr>
      <t xml:space="preserve"> εως σου απεθανεν</t>
    </r>
  </si>
  <si>
    <r>
      <t xml:space="preserve">εν </t>
    </r>
    <r>
      <rPr>
        <b/>
        <sz val="11"/>
        <color theme="1"/>
        <rFont val="Calibri"/>
        <family val="2"/>
        <scheme val="minor"/>
      </rPr>
      <t>αιγυπτου</t>
    </r>
    <r>
      <rPr>
        <sz val="11"/>
        <color theme="1"/>
        <rFont val="Calibri"/>
        <family val="2"/>
        <scheme val="minor"/>
      </rPr>
      <t xml:space="preserve"> εως ου απεθανεν</t>
    </r>
  </si>
  <si>
    <r>
      <t xml:space="preserve">εν αιγυπτου εως </t>
    </r>
    <r>
      <rPr>
        <b/>
        <sz val="11"/>
        <color theme="1"/>
        <rFont val="Calibri"/>
        <family val="2"/>
        <scheme val="minor"/>
      </rPr>
      <t>σου</t>
    </r>
    <r>
      <rPr>
        <sz val="11"/>
        <color theme="1"/>
        <rFont val="Calibri"/>
        <family val="2"/>
        <scheme val="minor"/>
      </rPr>
      <t xml:space="preserve"> απεθανεν</t>
    </r>
  </si>
  <si>
    <r>
      <t xml:space="preserve">εν αιγυπτου εως </t>
    </r>
    <r>
      <rPr>
        <b/>
        <sz val="11"/>
        <color theme="1"/>
        <rFont val="Calibri"/>
        <family val="2"/>
        <scheme val="minor"/>
      </rPr>
      <t>ου</t>
    </r>
    <r>
      <rPr>
        <sz val="11"/>
        <color theme="1"/>
        <rFont val="Calibri"/>
        <family val="2"/>
        <scheme val="minor"/>
      </rPr>
      <t xml:space="preserve"> απεθανεν</t>
    </r>
  </si>
  <si>
    <t>ουχ ιδου</t>
  </si>
  <si>
    <t>ουκ ιδου</t>
  </si>
  <si>
    <t>προσωπου τουτου βασιλεως</t>
  </si>
  <si>
    <t>προσωπου του βασιλεως</t>
  </si>
  <si>
    <t>ο λαος προς τον βασιλεα</t>
  </si>
  <si>
    <t>ο βα λαος προς τον βασιλεα</t>
  </si>
  <si>
    <t>ο βασιλευς ροβοαμ τοις πρεσβυτεροις</t>
  </si>
  <si>
    <t>ο βασιλευς τοις πρεσβυτεροις</t>
  </si>
  <si>
    <t>βουλευσθε</t>
  </si>
  <si>
    <t>ειξεις και λαλησεις αυτοις</t>
  </si>
  <si>
    <r>
      <rPr>
        <b/>
        <sz val="11"/>
        <color theme="1"/>
        <rFont val="Calibri"/>
        <family val="2"/>
        <scheme val="minor"/>
      </rPr>
      <t>ειξις</t>
    </r>
    <r>
      <rPr>
        <sz val="11"/>
        <color theme="1"/>
        <rFont val="Calibri"/>
        <family val="2"/>
        <scheme val="minor"/>
      </rPr>
      <t xml:space="preserve"> αυτοις και λαλησεις αυτοις</t>
    </r>
  </si>
  <si>
    <r>
      <rPr>
        <b/>
        <sz val="11"/>
        <color theme="1"/>
        <rFont val="Calibri"/>
        <family val="2"/>
        <scheme val="minor"/>
      </rPr>
      <t>ειξεις</t>
    </r>
    <r>
      <rPr>
        <sz val="11"/>
        <color theme="1"/>
        <rFont val="Calibri"/>
        <family val="2"/>
        <scheme val="minor"/>
      </rPr>
      <t xml:space="preserve"> και λαλησεις αυτοις</t>
    </r>
  </si>
  <si>
    <r>
      <t xml:space="preserve">ειξις </t>
    </r>
    <r>
      <rPr>
        <b/>
        <sz val="11"/>
        <color theme="1"/>
        <rFont val="Calibri"/>
        <family val="2"/>
        <scheme val="minor"/>
      </rPr>
      <t>αυτοις</t>
    </r>
    <r>
      <rPr>
        <sz val="11"/>
        <color theme="1"/>
        <rFont val="Calibri"/>
        <family val="2"/>
        <scheme val="minor"/>
      </rPr>
      <t xml:space="preserve"> και λαλησεις αυτοις</t>
    </r>
  </si>
  <si>
    <t>μετ αυτου των</t>
  </si>
  <si>
    <t>μετ αυτου ω των</t>
  </si>
  <si>
    <t>προσωπου σου αυτου</t>
  </si>
  <si>
    <t>omits σου</t>
  </si>
  <si>
    <t>και τι αποκριθω</t>
  </si>
  <si>
    <t>και αποκριθω</t>
  </si>
  <si>
    <t>ου ενδωκεν</t>
  </si>
  <si>
    <t>ου εδωκεν</t>
  </si>
  <si>
    <t>επεσασσετο</t>
  </si>
  <si>
    <t>εν μαστιξειν</t>
  </si>
  <si>
    <r>
      <t xml:space="preserve">εν </t>
    </r>
    <r>
      <rPr>
        <b/>
        <sz val="11"/>
        <color theme="1"/>
        <rFont val="Calibri"/>
        <family val="2"/>
        <scheme val="minor"/>
      </rPr>
      <t>μαξ</t>
    </r>
    <r>
      <rPr>
        <sz val="11"/>
        <color theme="1"/>
        <rFont val="Calibri"/>
        <family val="2"/>
        <scheme val="minor"/>
      </rPr>
      <t xml:space="preserve"> μαστιξιν</t>
    </r>
  </si>
  <si>
    <r>
      <t xml:space="preserve">εν </t>
    </r>
    <r>
      <rPr>
        <b/>
        <sz val="11"/>
        <color theme="1"/>
        <rFont val="Calibri"/>
        <family val="2"/>
        <scheme val="minor"/>
      </rPr>
      <t>μαστιξειν</t>
    </r>
  </si>
  <si>
    <r>
      <t xml:space="preserve">εν μαξ </t>
    </r>
    <r>
      <rPr>
        <b/>
        <sz val="11"/>
        <color theme="1"/>
        <rFont val="Calibri"/>
        <family val="2"/>
        <scheme val="minor"/>
      </rPr>
      <t>μαστιξιν</t>
    </r>
  </si>
  <si>
    <t>προς αυτους και συνελαλησεν προς αυτους κατα την</t>
  </si>
  <si>
    <t>προς αυτους κατα την</t>
  </si>
  <si>
    <t>και ουκ ηκουσεν</t>
  </si>
  <si>
    <t>και ηκουσεν</t>
  </si>
  <si>
    <t>αυτου ο ελαλησεν</t>
  </si>
  <si>
    <t>αυτουο ο ελαλησεν</t>
  </si>
  <si>
    <t>και ειδον πας</t>
  </si>
  <si>
    <t>και οδον πας</t>
  </si>
  <si>
    <t>βασιλει λογον λεγων</t>
  </si>
  <si>
    <t>βασιλει λεγων</t>
  </si>
  <si>
    <t>εστιν υμιν κληρονομια</t>
  </si>
  <si>
    <t>εστιν ημιν κληρονομια</t>
  </si>
  <si>
    <t>και υιων ισλ</t>
  </si>
  <si>
    <t>και υιων ισραηλ</t>
  </si>
  <si>
    <t>και επι υιων ισραηλ</t>
  </si>
  <si>
    <t>ελιθοβολησαν αυτον πας ισλ</t>
  </si>
  <si>
    <t>ελιθοβολησαν αυτω πας ισραηλ</t>
  </si>
  <si>
    <t>ηκουσεν πας ισλ</t>
  </si>
  <si>
    <t>ηκουσεν ισραηλ</t>
  </si>
  <si>
    <t>και εισηγαγεν</t>
  </si>
  <si>
    <t>και εκαλεσαν</t>
  </si>
  <si>
    <t>παρεξ σκηπτρου ιουδα</t>
  </si>
  <si>
    <t>παρεξ σκηπτρων ιουδα</t>
  </si>
  <si>
    <t>παντα οικον ιουδα και βενιαμειν</t>
  </si>
  <si>
    <t>παντα ιουδαν και βενιαμειν</t>
  </si>
  <si>
    <t>πολεμησητε</t>
  </si>
  <si>
    <t>εν οικω κυ εις ιλημ</t>
  </si>
  <si>
    <t>εν οικω κυριω εις ιερουσαλημ</t>
  </si>
  <si>
    <t>προς κν και κυριον αυτων</t>
  </si>
  <si>
    <t>προς κυριον αυτων</t>
  </si>
  <si>
    <t>προς κυριον και κυριον αυτων</t>
  </si>
  <si>
    <t>ανηγαγον σε εκ γης</t>
  </si>
  <si>
    <t>οικους επι υψηλων</t>
  </si>
  <si>
    <t>οικους υψηλων</t>
  </si>
  <si>
    <t>οι ησαν</t>
  </si>
  <si>
    <t>οι ουκ ησαν</t>
  </si>
  <si>
    <t>ταις δαμαλεσιν</t>
  </si>
  <si>
    <t>ταις δαμασελεσιν</t>
  </si>
  <si>
    <t>καρδιας αυτου</t>
  </si>
  <si>
    <t>καρδιας εαυτου</t>
  </si>
  <si>
    <t>ιεροβοαμ ιστηκει</t>
  </si>
  <si>
    <t>ιεροβοαμ ειστηκει</t>
  </si>
  <si>
    <t>ονομα αυτω και</t>
  </si>
  <si>
    <t>ονομα αυτου και</t>
  </si>
  <si>
    <t>τους υ ιερεις</t>
  </si>
  <si>
    <t>τους ιερεις</t>
  </si>
  <si>
    <t>ρηγνυται</t>
  </si>
  <si>
    <t>η εν αυτω (4) και</t>
  </si>
  <si>
    <t>η εν αυτη (4) και</t>
  </si>
  <si>
    <t>επι το θυσιαστηριον το εν βαιθηλ</t>
  </si>
  <si>
    <t>επι του θυσιαστηριου το εν βαιθηλ</t>
  </si>
  <si>
    <t>συλλαβεται αυτον</t>
  </si>
  <si>
    <t>συλλαβετε αυτον</t>
  </si>
  <si>
    <t>ουκ ηδυνηθη επιστρεψαι</t>
  </si>
  <si>
    <t>ουκ ηδυνασθη επιστρεψαι</t>
  </si>
  <si>
    <t>το τερας εδωκεν ο ανος</t>
  </si>
  <si>
    <t>το τερας ο εδωκεν ο ανθρωπος</t>
  </si>
  <si>
    <t>δεηθητι τω προσωπω κυ</t>
  </si>
  <si>
    <t>δεηθητι του προσωπου κυριου</t>
  </si>
  <si>
    <t>δεηθητι τω προσωπω κυριου</t>
  </si>
  <si>
    <t>καθως προτερον</t>
  </si>
  <si>
    <t>καθως το προτερον</t>
  </si>
  <si>
    <t>και αριστη και δωσω σοι</t>
  </si>
  <si>
    <r>
      <t xml:space="preserve">και </t>
    </r>
    <r>
      <rPr>
        <b/>
        <sz val="11"/>
        <color theme="1"/>
        <rFont val="Calibri"/>
        <family val="2"/>
        <scheme val="minor"/>
      </rPr>
      <t>αριστη</t>
    </r>
    <r>
      <rPr>
        <sz val="11"/>
        <color theme="1"/>
        <rFont val="Calibri"/>
        <family val="2"/>
        <scheme val="minor"/>
      </rPr>
      <t xml:space="preserve"> και δωσω σοι</t>
    </r>
  </si>
  <si>
    <t>αριστησον</t>
  </si>
  <si>
    <r>
      <t xml:space="preserve">και </t>
    </r>
    <r>
      <rPr>
        <b/>
        <sz val="11"/>
        <color theme="1"/>
        <rFont val="Calibri"/>
        <family val="2"/>
        <scheme val="minor"/>
      </rPr>
      <t>αριστη</t>
    </r>
    <r>
      <rPr>
        <sz val="11"/>
        <color theme="1"/>
        <rFont val="Calibri"/>
        <family val="2"/>
        <scheme val="minor"/>
      </rPr>
      <t xml:space="preserve"> και δωσει σοι</t>
    </r>
  </si>
  <si>
    <t>και αριστη και δωσει σοι</t>
  </si>
  <si>
    <t>αρτον και μη πιης</t>
  </si>
  <si>
    <t>αρτον μη πιης</t>
  </si>
  <si>
    <t>εις βαιθηλ</t>
  </si>
  <si>
    <t>εις την βαιθηλ</t>
  </si>
  <si>
    <t>τη ημερα εν βαιθηλ</t>
  </si>
  <si>
    <t>τη ημερα εκεινη εν βαιθηλ</t>
  </si>
  <si>
    <t>απεστρεψαν το προσωπον</t>
  </si>
  <si>
    <t>απεστρεψαντο το προσωπον</t>
  </si>
  <si>
    <t>απεστρεψαντο -&gt; επεστρεψαντο</t>
  </si>
  <si>
    <t>προς αυτον ο πηρ</t>
  </si>
  <si>
    <t>προς αυτους ο πατηρ</t>
  </si>
  <si>
    <t>εξελθων εξ ιουδα</t>
  </si>
  <si>
    <t>εξελθων εκ ιουδα</t>
  </si>
  <si>
    <t>(13) επ αυτην (14) κατοπισθεν</t>
  </si>
  <si>
    <t>(13) επ αυτην (14) και επορευθη κατοπισθεν</t>
  </si>
  <si>
    <t>καθημενον επι δρυν</t>
  </si>
  <si>
    <t>επι -&gt; υπο</t>
  </si>
  <si>
    <t>ο ανος ο εληλυθως</t>
  </si>
  <si>
    <t>ο ανθρωπος ο εληλυθως</t>
  </si>
  <si>
    <t>ο ανθρωπος του θεου ο εληλυθως</t>
  </si>
  <si>
    <t>δυνωμαι του επιστρεψαι</t>
  </si>
  <si>
    <t>δυνωμαι επιστρεψαι</t>
  </si>
  <si>
    <t>φαγης εκει αυτον</t>
  </si>
  <si>
    <t>φαγης εκει αρτον</t>
  </si>
  <si>
    <t>υδωρ εκει και</t>
  </si>
  <si>
    <t>υδωρ και</t>
  </si>
  <si>
    <t>εν ρηματι κυ</t>
  </si>
  <si>
    <t>εν λογω κυριου</t>
  </si>
  <si>
    <t>επιστρεψον αυτον</t>
  </si>
  <si>
    <t>προς σεαυτον οικον</t>
  </si>
  <si>
    <t>προς σεαυτον εις τον οικον</t>
  </si>
  <si>
    <t>φαγεται αρτον</t>
  </si>
  <si>
    <t>πιεται υδωρ</t>
  </si>
  <si>
    <t>φαγετω αρτον</t>
  </si>
  <si>
    <t>πιετω υδωρ</t>
  </si>
  <si>
    <t>αυτων καθημενον</t>
  </si>
  <si>
    <t>αυτων καθημενων</t>
  </si>
  <si>
    <t>εγενετο λογος</t>
  </si>
  <si>
    <t>εγενετο ο λογος</t>
  </si>
  <si>
    <t>ως ελαλησεν προς σε</t>
  </si>
  <si>
    <r>
      <rPr>
        <b/>
        <sz val="11"/>
        <color theme="1"/>
        <rFont val="Calibri"/>
        <family val="2"/>
        <scheme val="minor"/>
      </rPr>
      <t>ως</t>
    </r>
    <r>
      <rPr>
        <sz val="11"/>
        <color theme="1"/>
        <rFont val="Calibri"/>
        <family val="2"/>
        <scheme val="minor"/>
      </rPr>
      <t xml:space="preserve"> ελαλησεν προς σε</t>
    </r>
  </si>
  <si>
    <r>
      <rPr>
        <b/>
        <sz val="11"/>
        <color theme="1"/>
        <rFont val="Calibri"/>
        <family val="2"/>
        <scheme val="minor"/>
      </rPr>
      <t>ω</t>
    </r>
    <r>
      <rPr>
        <sz val="11"/>
        <color theme="1"/>
        <rFont val="Calibri"/>
        <family val="2"/>
        <scheme val="minor"/>
      </rPr>
      <t xml:space="preserve"> ελαλησεν σοι προς σε</t>
    </r>
  </si>
  <si>
    <r>
      <t xml:space="preserve">ω ελαλησεν </t>
    </r>
    <r>
      <rPr>
        <b/>
        <sz val="11"/>
        <color theme="1"/>
        <rFont val="Calibri"/>
        <family val="2"/>
        <scheme val="minor"/>
      </rPr>
      <t>σοι</t>
    </r>
    <r>
      <rPr>
        <sz val="11"/>
        <color theme="1"/>
        <rFont val="Calibri"/>
        <family val="2"/>
        <scheme val="minor"/>
      </rPr>
      <t xml:space="preserve"> προς σε</t>
    </r>
  </si>
  <si>
    <t>το σωμα σου</t>
  </si>
  <si>
    <r>
      <t xml:space="preserve">το </t>
    </r>
    <r>
      <rPr>
        <b/>
        <sz val="11"/>
        <color theme="1"/>
        <rFont val="Calibri"/>
        <family val="2"/>
        <scheme val="minor"/>
      </rPr>
      <t>σωμα</t>
    </r>
    <r>
      <rPr>
        <sz val="11"/>
        <color theme="1"/>
        <rFont val="Calibri"/>
        <family val="2"/>
        <scheme val="minor"/>
      </rPr>
      <t xml:space="preserve"> σου</t>
    </r>
  </si>
  <si>
    <r>
      <t xml:space="preserve">το </t>
    </r>
    <r>
      <rPr>
        <b/>
        <sz val="11"/>
        <color theme="1"/>
        <rFont val="Calibri"/>
        <family val="2"/>
        <scheme val="minor"/>
      </rPr>
      <t>στομα</t>
    </r>
    <r>
      <rPr>
        <sz val="11"/>
        <color theme="1"/>
        <rFont val="Calibri"/>
        <family val="2"/>
        <scheme val="minor"/>
      </rPr>
      <t xml:space="preserve"> στ σου</t>
    </r>
  </si>
  <si>
    <r>
      <t xml:space="preserve">το στομα </t>
    </r>
    <r>
      <rPr>
        <b/>
        <sz val="11"/>
        <color theme="1"/>
        <rFont val="Calibri"/>
        <family val="2"/>
        <scheme val="minor"/>
      </rPr>
      <t>στ</t>
    </r>
    <r>
      <rPr>
        <sz val="11"/>
        <color theme="1"/>
        <rFont val="Calibri"/>
        <family val="2"/>
        <scheme val="minor"/>
      </rPr>
      <t xml:space="preserve"> σου</t>
    </r>
  </si>
  <si>
    <r>
      <t xml:space="preserve">και ο ονος </t>
    </r>
    <r>
      <rPr>
        <b/>
        <sz val="11"/>
        <color theme="1"/>
        <rFont val="Calibri"/>
        <family val="2"/>
        <scheme val="minor"/>
      </rPr>
      <t>ιστηκει</t>
    </r>
    <r>
      <rPr>
        <sz val="11"/>
        <color theme="1"/>
        <rFont val="Calibri"/>
        <family val="2"/>
        <scheme val="minor"/>
      </rPr>
      <t xml:space="preserve"> παρ αυτο το σωμα</t>
    </r>
  </si>
  <si>
    <r>
      <t xml:space="preserve">και ε ονος </t>
    </r>
    <r>
      <rPr>
        <b/>
        <sz val="11"/>
        <color theme="1"/>
        <rFont val="Calibri"/>
        <family val="2"/>
        <scheme val="minor"/>
      </rPr>
      <t>ειστηκει</t>
    </r>
    <r>
      <rPr>
        <sz val="11"/>
        <color theme="1"/>
        <rFont val="Calibri"/>
        <family val="2"/>
        <scheme val="minor"/>
      </rPr>
      <t xml:space="preserve"> παρα το σωμα</t>
    </r>
  </si>
  <si>
    <r>
      <t xml:space="preserve">και ο ονος ιστηκει </t>
    </r>
    <r>
      <rPr>
        <b/>
        <sz val="11"/>
        <color theme="1"/>
        <rFont val="Calibri"/>
        <family val="2"/>
        <scheme val="minor"/>
      </rPr>
      <t>παρ αυτο</t>
    </r>
    <r>
      <rPr>
        <sz val="11"/>
        <color theme="1"/>
        <rFont val="Calibri"/>
        <family val="2"/>
        <scheme val="minor"/>
      </rPr>
      <t xml:space="preserve"> </t>
    </r>
    <r>
      <rPr>
        <b/>
        <sz val="11"/>
        <color theme="1"/>
        <rFont val="Calibri"/>
        <family val="2"/>
        <scheme val="minor"/>
      </rPr>
      <t>το</t>
    </r>
    <r>
      <rPr>
        <sz val="11"/>
        <color theme="1"/>
        <rFont val="Calibri"/>
        <family val="2"/>
        <scheme val="minor"/>
      </rPr>
      <t xml:space="preserve"> σωμα</t>
    </r>
  </si>
  <si>
    <r>
      <t xml:space="preserve">και ε ονος ειστηκει </t>
    </r>
    <r>
      <rPr>
        <b/>
        <sz val="11"/>
        <color theme="1"/>
        <rFont val="Calibri"/>
        <family val="2"/>
        <scheme val="minor"/>
      </rPr>
      <t>παρα το</t>
    </r>
    <r>
      <rPr>
        <sz val="11"/>
        <color theme="1"/>
        <rFont val="Calibri"/>
        <family val="2"/>
        <scheme val="minor"/>
      </rPr>
      <t xml:space="preserve"> σωμα</t>
    </r>
  </si>
  <si>
    <t>ειστηκει παρ αυτο και ο λεων ειστηκει το σωμα</t>
  </si>
  <si>
    <t>και ιδον</t>
  </si>
  <si>
    <t>και ειδον</t>
  </si>
  <si>
    <t>λεων ιστηκεισαν</t>
  </si>
  <si>
    <r>
      <t xml:space="preserve">λεων </t>
    </r>
    <r>
      <rPr>
        <b/>
        <sz val="11"/>
        <color theme="1"/>
        <rFont val="Calibri"/>
        <family val="2"/>
        <scheme val="minor"/>
      </rPr>
      <t>ιστηκει</t>
    </r>
    <r>
      <rPr>
        <sz val="11"/>
        <color theme="1"/>
        <rFont val="Calibri"/>
        <family val="2"/>
        <scheme val="minor"/>
      </rPr>
      <t xml:space="preserve"> εχονομα</t>
    </r>
  </si>
  <si>
    <r>
      <t xml:space="preserve">λεων </t>
    </r>
    <r>
      <rPr>
        <b/>
        <sz val="11"/>
        <color theme="1"/>
        <rFont val="Calibri"/>
        <family val="2"/>
        <scheme val="minor"/>
      </rPr>
      <t>ειστηκει</t>
    </r>
    <r>
      <rPr>
        <sz val="11"/>
        <color theme="1"/>
        <rFont val="Calibri"/>
        <family val="2"/>
        <scheme val="minor"/>
      </rPr>
      <t xml:space="preserve"> εχονομα</t>
    </r>
  </si>
  <si>
    <r>
      <t xml:space="preserve">λεων ιστηκει </t>
    </r>
    <r>
      <rPr>
        <b/>
        <sz val="11"/>
        <color theme="1"/>
        <rFont val="Calibri"/>
        <family val="2"/>
        <scheme val="minor"/>
      </rPr>
      <t>εχονομα</t>
    </r>
  </si>
  <si>
    <r>
      <t xml:space="preserve">λεων ειστηκει </t>
    </r>
    <r>
      <rPr>
        <b/>
        <sz val="11"/>
        <color theme="1"/>
        <rFont val="Calibri"/>
        <family val="2"/>
        <scheme val="minor"/>
      </rPr>
      <t>εχονομα</t>
    </r>
  </si>
  <si>
    <t>εχομενα</t>
  </si>
  <si>
    <t>ελαλησον</t>
  </si>
  <si>
    <t>ερρεν το σωμα</t>
  </si>
  <si>
    <t>ευρεν το σωμα</t>
  </si>
  <si>
    <t>λεων ειστηκεισαν</t>
  </si>
  <si>
    <t>(29) θαψαι αυτον (30) και ανεπαυσεν το νεκριμαιον αυτου ο προφητης του θαψαι αυτον εν τω ταφω</t>
  </si>
  <si>
    <t>(29) θαψαι αυτον (30) εν τω ταφω</t>
  </si>
  <si>
    <r>
      <rPr>
        <b/>
        <sz val="11"/>
        <color theme="1"/>
        <rFont val="Calibri"/>
        <family val="2"/>
        <scheme val="minor"/>
      </rPr>
      <t>εκοψατο</t>
    </r>
    <r>
      <rPr>
        <sz val="11"/>
        <color theme="1"/>
        <rFont val="Calibri"/>
        <family val="2"/>
        <scheme val="minor"/>
      </rPr>
      <t xml:space="preserve"> αυτον ουαι αδελφαι</t>
    </r>
  </si>
  <si>
    <r>
      <t xml:space="preserve">εκοψατο αυτον </t>
    </r>
    <r>
      <rPr>
        <b/>
        <sz val="11"/>
        <color theme="1"/>
        <rFont val="Calibri"/>
        <family val="2"/>
        <scheme val="minor"/>
      </rPr>
      <t>ουαι</t>
    </r>
    <r>
      <rPr>
        <sz val="11"/>
        <color theme="1"/>
        <rFont val="Calibri"/>
        <family val="2"/>
        <scheme val="minor"/>
      </rPr>
      <t xml:space="preserve"> αδελφαι</t>
    </r>
  </si>
  <si>
    <r>
      <rPr>
        <b/>
        <sz val="11"/>
        <color theme="1"/>
        <rFont val="Calibri"/>
        <family val="2"/>
        <scheme val="minor"/>
      </rPr>
      <t>εκοψαντο</t>
    </r>
    <r>
      <rPr>
        <sz val="11"/>
        <color theme="1"/>
        <rFont val="Calibri"/>
        <family val="2"/>
        <scheme val="minor"/>
      </rPr>
      <t xml:space="preserve"> αυτον και αδελφε</t>
    </r>
  </si>
  <si>
    <r>
      <t xml:space="preserve">εκοψαντο αυτον </t>
    </r>
    <r>
      <rPr>
        <b/>
        <sz val="11"/>
        <color theme="1"/>
        <rFont val="Calibri"/>
        <family val="2"/>
        <scheme val="minor"/>
      </rPr>
      <t>και</t>
    </r>
    <r>
      <rPr>
        <sz val="11"/>
        <color theme="1"/>
        <rFont val="Calibri"/>
        <family val="2"/>
        <scheme val="minor"/>
      </rPr>
      <t xml:space="preserve"> αδελφε</t>
    </r>
  </si>
  <si>
    <r>
      <t xml:space="preserve">εκοψατο αυτον ουαι </t>
    </r>
    <r>
      <rPr>
        <b/>
        <sz val="11"/>
        <color theme="1"/>
        <rFont val="Calibri"/>
        <family val="2"/>
        <scheme val="minor"/>
      </rPr>
      <t>αδελφαι</t>
    </r>
  </si>
  <si>
    <r>
      <t xml:space="preserve">εκοψαντο αυτον και </t>
    </r>
    <r>
      <rPr>
        <b/>
        <sz val="11"/>
        <color theme="1"/>
        <rFont val="Calibri"/>
        <family val="2"/>
        <scheme val="minor"/>
      </rPr>
      <t>αδελφε</t>
    </r>
  </si>
  <si>
    <t>τεθαπται παρ αυτου</t>
  </si>
  <si>
    <t>τεθαπται εν αυτω</t>
  </si>
  <si>
    <t>επι του θυσιαστηριου του εν βαιθηλ</t>
  </si>
  <si>
    <t>ειπεν ο ιεροβοαμ</t>
  </si>
  <si>
    <t>ειπεν ιεροβοαμ</t>
  </si>
  <si>
    <t>εις σηλω και ιδου</t>
  </si>
  <si>
    <t>εις σηλω ιδου</t>
  </si>
  <si>
    <t>εμε του βασιλευσαι</t>
  </si>
  <si>
    <t>εμε βασιλευσαι</t>
  </si>
  <si>
    <t>κολλυρια</t>
  </si>
  <si>
    <t>original Alex. = κολλυριδα; 7522A corrects to κολλυρια</t>
  </si>
  <si>
    <t>κολλυριδα</t>
  </si>
  <si>
    <t>ουτως γυνη ιεροβοαμ</t>
  </si>
  <si>
    <t>ουτως γυμνη ιεροβοαμ</t>
  </si>
  <si>
    <t>γυνη του ιεροβοαμ</t>
  </si>
  <si>
    <t>γυνη ιεροβοαμ</t>
  </si>
  <si>
    <t>παρα σου υιου αυτης</t>
  </si>
  <si>
    <t>παρα σου υπερ υιου αυτης</t>
  </si>
  <si>
    <t>ερρηξα συν το βασιλειον</t>
  </si>
  <si>
    <t>omit συν</t>
  </si>
  <si>
    <t>παρα παντος οσοι</t>
  </si>
  <si>
    <t>παρα παντας οσοι</t>
  </si>
  <si>
    <t>ετερους χωνευτα παροργισαι</t>
  </si>
  <si>
    <r>
      <t xml:space="preserve">ετερους </t>
    </r>
    <r>
      <rPr>
        <b/>
        <sz val="11"/>
        <color theme="1"/>
        <rFont val="Calibri"/>
        <family val="2"/>
        <scheme val="minor"/>
      </rPr>
      <t>και</t>
    </r>
    <r>
      <rPr>
        <sz val="11"/>
        <color theme="1"/>
        <rFont val="Calibri"/>
        <family val="2"/>
        <scheme val="minor"/>
      </rPr>
      <t xml:space="preserve"> χωνευτα του παροργισαι</t>
    </r>
  </si>
  <si>
    <r>
      <t xml:space="preserve">ετερους και χωνευτα </t>
    </r>
    <r>
      <rPr>
        <b/>
        <sz val="11"/>
        <color theme="1"/>
        <rFont val="Calibri"/>
        <family val="2"/>
        <scheme val="minor"/>
      </rPr>
      <t>του</t>
    </r>
    <r>
      <rPr>
        <sz val="11"/>
        <color theme="1"/>
        <rFont val="Calibri"/>
        <family val="2"/>
        <scheme val="minor"/>
      </rPr>
      <t xml:space="preserve"> παροργισαι</t>
    </r>
  </si>
  <si>
    <t>δια τουτο εγω</t>
  </si>
  <si>
    <t>δια τουτο ιδου εγω</t>
  </si>
  <si>
    <t>ιεροβοαμ και εξολεθρευσω</t>
  </si>
  <si>
    <t>ιεροβοαμ εξολεθρευσω</t>
  </si>
  <si>
    <t>note that 7522A nevertheless corrects to ιεροβοαμ και εξολεθρευσω</t>
  </si>
  <si>
    <t>προς τοιχον εχομενον</t>
  </si>
  <si>
    <t>προς τοιχος εχομενον</t>
  </si>
  <si>
    <t>επιλεξω οικου</t>
  </si>
  <si>
    <t>επιλεξω οικον</t>
  </si>
  <si>
    <t>επιλεγετε η κοπρος</t>
  </si>
  <si>
    <t>επιλεγετει η κοπρος</t>
  </si>
  <si>
    <t>επιλεγεται η κοπρος</t>
  </si>
  <si>
    <t>οι τεθνηκοτες</t>
  </si>
  <si>
    <t>τον τεθνηκοτα</t>
  </si>
  <si>
    <t>ποδα σου</t>
  </si>
  <si>
    <t>ποδας σου</t>
  </si>
  <si>
    <t>ημερα και τι</t>
  </si>
  <si>
    <t>ημερα και και τι</t>
  </si>
  <si>
    <t>και νυν κς πληξει</t>
  </si>
  <si>
    <t>και νυν πληξει</t>
  </si>
  <si>
    <t>και νυν και κυριος πληξει</t>
  </si>
  <si>
    <t>ο ανεμος εν τω υδατι</t>
  </si>
  <si>
    <t>ανεμος -&gt; καλαμος</t>
  </si>
  <si>
    <t>εκτιλει</t>
  </si>
  <si>
    <t>γυμη ιεροβοαμ</t>
  </si>
  <si>
    <t>εις γην σαριρα</t>
  </si>
  <si>
    <t>εις την σαριρα</t>
  </si>
  <si>
    <t>σαριρα -&gt; θερσα</t>
  </si>
  <si>
    <r>
      <t xml:space="preserve">εθαψαν </t>
    </r>
    <r>
      <rPr>
        <b/>
        <sz val="11"/>
        <color theme="1"/>
        <rFont val="Calibri"/>
        <family val="2"/>
        <scheme val="minor"/>
      </rPr>
      <t>αυτον</t>
    </r>
    <r>
      <rPr>
        <sz val="11"/>
        <color theme="1"/>
        <rFont val="Calibri"/>
        <family val="2"/>
        <scheme val="minor"/>
      </rPr>
      <t xml:space="preserve"> και εκοψαντο αυτον πας ισλ</t>
    </r>
  </si>
  <si>
    <t>και εκοψαν αυτο</t>
  </si>
  <si>
    <t>κς θεσθαι</t>
  </si>
  <si>
    <t>κυριος του θεσθαι</t>
  </si>
  <si>
    <t>εκει και εκ πασων</t>
  </si>
  <si>
    <t>εκει εκ πασων</t>
  </si>
  <si>
    <t>ονομα της μρς αυτου</t>
  </si>
  <si>
    <t>ονομα τη μητρι αυτου</t>
  </si>
  <si>
    <t>πρες αυτου και</t>
  </si>
  <si>
    <t>πατερες αυτου και</t>
  </si>
  <si>
    <t>αυτου -&gt; αυτων</t>
  </si>
  <si>
    <t>βουνον υψηλου και</t>
  </si>
  <si>
    <t>βουνον υψηλον και</t>
  </si>
  <si>
    <t>οπλα χαλκα</t>
  </si>
  <si>
    <t>οπλα χρυσα χαλκα</t>
  </si>
  <si>
    <t>επ αυτον</t>
  </si>
  <si>
    <t>επ αυτων</t>
  </si>
  <si>
    <t>απηρειδοντο</t>
  </si>
  <si>
    <t>ουχι ιδου</t>
  </si>
  <si>
    <t>εν βιβλιω</t>
  </si>
  <si>
    <t>επι βιβλιου</t>
  </si>
  <si>
    <r>
      <rPr>
        <b/>
        <sz val="11"/>
        <color theme="1"/>
        <rFont val="Calibri"/>
        <family val="2"/>
        <scheme val="minor"/>
      </rPr>
      <t>τοις βασιλευσιν</t>
    </r>
    <r>
      <rPr>
        <sz val="11"/>
        <color theme="1"/>
        <rFont val="Calibri"/>
        <family val="2"/>
        <scheme val="minor"/>
      </rPr>
      <t xml:space="preserve"> ιουδα</t>
    </r>
  </si>
  <si>
    <r>
      <rPr>
        <b/>
        <sz val="11"/>
        <color theme="1"/>
        <rFont val="Calibri"/>
        <family val="2"/>
        <scheme val="minor"/>
      </rPr>
      <t>τοις βασιλευσιν</t>
    </r>
    <r>
      <rPr>
        <sz val="11"/>
        <color theme="1"/>
        <rFont val="Calibri"/>
        <family val="2"/>
        <scheme val="minor"/>
      </rPr>
      <t xml:space="preserve"> ισραηλ</t>
    </r>
  </si>
  <si>
    <r>
      <t xml:space="preserve">τοις βασιλευσιν </t>
    </r>
    <r>
      <rPr>
        <b/>
        <sz val="11"/>
        <color theme="1"/>
        <rFont val="Calibri"/>
        <family val="2"/>
        <scheme val="minor"/>
      </rPr>
      <t>ιουδα</t>
    </r>
  </si>
  <si>
    <r>
      <t xml:space="preserve">τοις βασιλευσιν </t>
    </r>
    <r>
      <rPr>
        <b/>
        <sz val="11"/>
        <color theme="1"/>
        <rFont val="Calibri"/>
        <family val="2"/>
        <scheme val="minor"/>
      </rPr>
      <t>ισραηλ</t>
    </r>
  </si>
  <si>
    <t>των βασιλεων</t>
  </si>
  <si>
    <t>βασιλευει αβιου υιος</t>
  </si>
  <si>
    <t>βασιλευει αβια υιος</t>
  </si>
  <si>
    <t>εβασιλευσεν ιλημ</t>
  </si>
  <si>
    <t>εβασιλευσεν εν ιερουσαλημ</t>
  </si>
  <si>
    <t>μετοξυ ροβοαμ</t>
  </si>
  <si>
    <t>μεταξυ ροβοαμ</t>
  </si>
  <si>
    <t>μετοξυ ιεροβοαμ</t>
  </si>
  <si>
    <t>μεταξυ ιεροβοαμ</t>
  </si>
  <si>
    <t>και τα λοιπα</t>
  </si>
  <si>
    <t>και λοιπα</t>
  </si>
  <si>
    <t>ημερων τοις βασιλευσιν ιουδα</t>
  </si>
  <si>
    <t>ημερων των ημερων ιουδα</t>
  </si>
  <si>
    <t>εικοστου του ιεροβοαμ</t>
  </si>
  <si>
    <t>εικοστω του ιεροβοαμ</t>
  </si>
  <si>
    <t>την μααχα την μρα</t>
  </si>
  <si>
    <t>την μααχα μητερα</t>
  </si>
  <si>
    <t>ημερας αυτου</t>
  </si>
  <si>
    <t>ηερας αυτων</t>
  </si>
  <si>
    <t>αυτου ο βασιλευς</t>
  </si>
  <si>
    <t>αυτου και εξαπεστειλεν αυτους ο βασιλευς</t>
  </si>
  <si>
    <t>ανα μεσον εμου</t>
  </si>
  <si>
    <t>αναμεσον μου</t>
  </si>
  <si>
    <t>προς βασιλεα ιηλ</t>
  </si>
  <si>
    <t>προς βασιλεα ισραηλ</t>
  </si>
  <si>
    <t>προς βαασα βασιλεα ισραηλ</t>
  </si>
  <si>
    <t>δυναμεων  αυτου</t>
  </si>
  <si>
    <r>
      <rPr>
        <b/>
        <sz val="11"/>
        <color theme="1"/>
        <rFont val="Calibri"/>
        <family val="2"/>
        <scheme val="minor"/>
      </rPr>
      <t>δυναμαιων</t>
    </r>
    <r>
      <rPr>
        <sz val="11"/>
        <color theme="1"/>
        <rFont val="Calibri"/>
        <family val="2"/>
        <scheme val="minor"/>
      </rPr>
      <t xml:space="preserve"> των αυτου</t>
    </r>
  </si>
  <si>
    <r>
      <rPr>
        <b/>
        <sz val="11"/>
        <color theme="1"/>
        <rFont val="Calibri"/>
        <family val="2"/>
        <scheme val="minor"/>
      </rPr>
      <t>δυναμεων</t>
    </r>
    <r>
      <rPr>
        <sz val="11"/>
        <color theme="1"/>
        <rFont val="Calibri"/>
        <family val="2"/>
        <scheme val="minor"/>
      </rPr>
      <t xml:space="preserve">  αυτου</t>
    </r>
  </si>
  <si>
    <r>
      <t xml:space="preserve">δυναμαιων </t>
    </r>
    <r>
      <rPr>
        <b/>
        <sz val="11"/>
        <color theme="1"/>
        <rFont val="Calibri"/>
        <family val="2"/>
        <scheme val="minor"/>
      </rPr>
      <t>των</t>
    </r>
    <r>
      <rPr>
        <sz val="11"/>
        <color theme="1"/>
        <rFont val="Calibri"/>
        <family val="2"/>
        <scheme val="minor"/>
      </rPr>
      <t xml:space="preserve"> αυτου</t>
    </r>
  </si>
  <si>
    <r>
      <t xml:space="preserve">την </t>
    </r>
    <r>
      <rPr>
        <b/>
        <sz val="11"/>
        <color theme="1"/>
        <rFont val="Calibri"/>
        <family val="2"/>
        <scheme val="minor"/>
      </rPr>
      <t>αβελ</t>
    </r>
    <r>
      <rPr>
        <sz val="11"/>
        <color theme="1"/>
        <rFont val="Calibri"/>
        <family val="2"/>
        <scheme val="minor"/>
      </rPr>
      <t xml:space="preserve"> ουκ ου μααχα</t>
    </r>
  </si>
  <si>
    <r>
      <t xml:space="preserve">την </t>
    </r>
    <r>
      <rPr>
        <b/>
        <sz val="11"/>
        <color theme="1"/>
        <rFont val="Calibri"/>
        <family val="2"/>
        <scheme val="minor"/>
      </rPr>
      <t>ααβελ</t>
    </r>
    <r>
      <rPr>
        <sz val="11"/>
        <color theme="1"/>
        <rFont val="Calibri"/>
        <family val="2"/>
        <scheme val="minor"/>
      </rPr>
      <t xml:space="preserve"> οικου μααχα</t>
    </r>
  </si>
  <si>
    <r>
      <t xml:space="preserve">την αβελ </t>
    </r>
    <r>
      <rPr>
        <b/>
        <sz val="11"/>
        <color theme="1"/>
        <rFont val="Calibri"/>
        <family val="2"/>
        <scheme val="minor"/>
      </rPr>
      <t>ουκ ου</t>
    </r>
    <r>
      <rPr>
        <sz val="11"/>
        <color theme="1"/>
        <rFont val="Calibri"/>
        <family val="2"/>
        <scheme val="minor"/>
      </rPr>
      <t xml:space="preserve"> μααχα</t>
    </r>
  </si>
  <si>
    <r>
      <t xml:space="preserve">την ααβελ </t>
    </r>
    <r>
      <rPr>
        <b/>
        <sz val="11"/>
        <color theme="1"/>
        <rFont val="Calibri"/>
        <family val="2"/>
        <scheme val="minor"/>
      </rPr>
      <t>οικου</t>
    </r>
    <r>
      <rPr>
        <sz val="11"/>
        <color theme="1"/>
        <rFont val="Calibri"/>
        <family val="2"/>
        <scheme val="minor"/>
      </rPr>
      <t xml:space="preserve"> μααχα</t>
    </r>
  </si>
  <si>
    <t>βαασα του οικοδομειν</t>
  </si>
  <si>
    <t>βαασα και διελιπεν του οικοδομειν</t>
  </si>
  <si>
    <r>
      <t xml:space="preserve">ωκοδομησεν ο βασιλευς </t>
    </r>
    <r>
      <rPr>
        <b/>
        <sz val="11"/>
        <color theme="1"/>
        <rFont val="Calibri"/>
        <family val="2"/>
        <scheme val="minor"/>
      </rPr>
      <t>παν</t>
    </r>
    <r>
      <rPr>
        <sz val="11"/>
        <color theme="1"/>
        <rFont val="Calibri"/>
        <family val="2"/>
        <scheme val="minor"/>
      </rPr>
      <t xml:space="preserve"> βουνον</t>
    </r>
  </si>
  <si>
    <r>
      <rPr>
        <b/>
        <sz val="11"/>
        <color theme="1"/>
        <rFont val="Calibri"/>
        <family val="2"/>
        <scheme val="minor"/>
      </rPr>
      <t>ωκοδομησεν ο</t>
    </r>
    <r>
      <rPr>
        <sz val="11"/>
        <color theme="1"/>
        <rFont val="Calibri"/>
        <family val="2"/>
        <scheme val="minor"/>
      </rPr>
      <t xml:space="preserve"> βασιλευς παν βουνον</t>
    </r>
  </si>
  <si>
    <t>ωκοδομησεν εν αυτοις ο βασιλευς</t>
  </si>
  <si>
    <t>ασα τον</t>
  </si>
  <si>
    <t>των λογων ασα</t>
  </si>
  <si>
    <t>των λογων αυτου ασα</t>
  </si>
  <si>
    <t>η δυναστια αυτου</t>
  </si>
  <si>
    <t>η δυναμις αυτου</t>
  </si>
  <si>
    <t>ημερων των βασιλεων ιουδα</t>
  </si>
  <si>
    <t>τον οικον εις αχαρ</t>
  </si>
  <si>
    <t>τον οικον ισσαχαρ</t>
  </si>
  <si>
    <t>εν γαβαθων τη των αλλοφυλων</t>
  </si>
  <si>
    <r>
      <t xml:space="preserve">εν </t>
    </r>
    <r>
      <rPr>
        <b/>
        <sz val="11"/>
        <color theme="1"/>
        <rFont val="Calibri"/>
        <family val="2"/>
        <scheme val="minor"/>
      </rPr>
      <t>γα</t>
    </r>
    <r>
      <rPr>
        <sz val="11"/>
        <color theme="1"/>
        <rFont val="Calibri"/>
        <family val="2"/>
        <scheme val="minor"/>
      </rPr>
      <t xml:space="preserve"> γαβαθων της των αλλοφυλων</t>
    </r>
  </si>
  <si>
    <r>
      <t xml:space="preserve">εν γα γαβαθων </t>
    </r>
    <r>
      <rPr>
        <b/>
        <sz val="11"/>
        <color theme="1"/>
        <rFont val="Calibri"/>
        <family val="2"/>
        <scheme val="minor"/>
      </rPr>
      <t>της</t>
    </r>
    <r>
      <rPr>
        <sz val="11"/>
        <color theme="1"/>
        <rFont val="Calibri"/>
        <family val="2"/>
        <scheme val="minor"/>
      </rPr>
      <t xml:space="preserve"> των αλλοφυλων</t>
    </r>
  </si>
  <si>
    <t>επι γαβαθων</t>
  </si>
  <si>
    <t>περι γαβαθων</t>
  </si>
  <si>
    <r>
      <t xml:space="preserve">συμπαντα </t>
    </r>
    <r>
      <rPr>
        <b/>
        <sz val="11"/>
        <color theme="1"/>
        <rFont val="Calibri"/>
        <family val="2"/>
        <scheme val="minor"/>
      </rPr>
      <t>οικου</t>
    </r>
    <r>
      <rPr>
        <sz val="11"/>
        <color theme="1"/>
        <rFont val="Calibri"/>
        <family val="2"/>
        <scheme val="minor"/>
      </rPr>
      <t xml:space="preserve"> ιεροβοαμ εως ου εξολεθρευσαι αυτον και ουχ</t>
    </r>
  </si>
  <si>
    <r>
      <t xml:space="preserve">συμπαντα οικου ιεροβοαμ </t>
    </r>
    <r>
      <rPr>
        <b/>
        <sz val="11"/>
        <color theme="1"/>
        <rFont val="Calibri"/>
        <family val="2"/>
        <scheme val="minor"/>
      </rPr>
      <t>εως ου εξολεθρευσαι αυτον</t>
    </r>
    <r>
      <rPr>
        <sz val="11"/>
        <color theme="1"/>
        <rFont val="Calibri"/>
        <family val="2"/>
        <scheme val="minor"/>
      </rPr>
      <t xml:space="preserve"> και ουχ</t>
    </r>
  </si>
  <si>
    <t>εως του εξολεθρευσαι αυτον κατα το ρημα κυριου ο ελαλησεν εν χειρι δουλου αυτου αχια του σηλωνιτου περι των αματιων αμαρτιων ιεροβοαμ</t>
  </si>
  <si>
    <t>πνοην του ιεροβοαμ</t>
  </si>
  <si>
    <t>του -&gt; τω</t>
  </si>
  <si>
    <t>ισλ και εν τω</t>
  </si>
  <si>
    <t>ισραηλ και εν τω</t>
  </si>
  <si>
    <t>οτε -&gt; ω</t>
  </si>
  <si>
    <t>αυτου οτε παρωργισεν κυριον</t>
  </si>
  <si>
    <r>
      <t xml:space="preserve">αυτου </t>
    </r>
    <r>
      <rPr>
        <b/>
        <sz val="11"/>
        <color theme="1"/>
        <rFont val="Calibri"/>
        <family val="2"/>
        <scheme val="minor"/>
      </rPr>
      <t>ως</t>
    </r>
    <r>
      <rPr>
        <sz val="11"/>
        <color theme="1"/>
        <rFont val="Calibri"/>
        <family val="2"/>
        <scheme val="minor"/>
      </rPr>
      <t xml:space="preserve"> παρωργισεν τον κν</t>
    </r>
  </si>
  <si>
    <r>
      <t xml:space="preserve">αυτου </t>
    </r>
    <r>
      <rPr>
        <b/>
        <sz val="11"/>
        <color theme="1"/>
        <rFont val="Calibri"/>
        <family val="2"/>
        <scheme val="minor"/>
      </rPr>
      <t>οτε</t>
    </r>
    <r>
      <rPr>
        <sz val="11"/>
        <color theme="1"/>
        <rFont val="Calibri"/>
        <family val="2"/>
        <scheme val="minor"/>
      </rPr>
      <t xml:space="preserve"> παρωργισεν κυριον</t>
    </r>
  </si>
  <si>
    <r>
      <t xml:space="preserve">αυτου ως παρωργισεν </t>
    </r>
    <r>
      <rPr>
        <b/>
        <sz val="11"/>
        <color theme="1"/>
        <rFont val="Calibri"/>
        <family val="2"/>
        <scheme val="minor"/>
      </rPr>
      <t>τον</t>
    </r>
    <r>
      <rPr>
        <sz val="11"/>
        <color theme="1"/>
        <rFont val="Calibri"/>
        <family val="2"/>
        <scheme val="minor"/>
      </rPr>
      <t xml:space="preserve"> κν</t>
    </r>
  </si>
  <si>
    <t>ουχι ταυτα γεγραμμενα</t>
  </si>
  <si>
    <t>ουχι ιδου ταυτα γεγραμμενα</t>
  </si>
  <si>
    <t>ημερων τοις βασιλευσειν ισλ</t>
  </si>
  <si>
    <t>ημερων τοις βασιλευσιν ισραηλ</t>
  </si>
  <si>
    <t>ημερων των βασιλεων ισραηλ</t>
  </si>
  <si>
    <t>εν τω αιτει</t>
  </si>
  <si>
    <t>εν τω ετει</t>
  </si>
  <si>
    <t>εν ταις αμαρτιαις ως εξημαρτεν</t>
  </si>
  <si>
    <t>εν ταις αμαρτιαις αυτου εν αις εξημαρτεν</t>
  </si>
  <si>
    <t>χειρι ειηου</t>
  </si>
  <si>
    <t>χειρι ιηου</t>
  </si>
  <si>
    <t>λαον μου του παροργισαι</t>
  </si>
  <si>
    <t>λαον μου ισραηλ του παροργισαι</t>
  </si>
  <si>
    <t>επι βιβλιω λογων</t>
  </si>
  <si>
    <r>
      <t xml:space="preserve">επι </t>
    </r>
    <r>
      <rPr>
        <b/>
        <sz val="11"/>
        <color theme="1"/>
        <rFont val="Calibri"/>
        <family val="2"/>
        <scheme val="minor"/>
      </rPr>
      <t>βιβλιω</t>
    </r>
    <r>
      <rPr>
        <sz val="11"/>
        <color theme="1"/>
        <rFont val="Calibri"/>
        <family val="2"/>
        <scheme val="minor"/>
      </rPr>
      <t xml:space="preserve"> λογων</t>
    </r>
  </si>
  <si>
    <r>
      <t xml:space="preserve">επι </t>
    </r>
    <r>
      <rPr>
        <b/>
        <sz val="11"/>
        <color theme="1"/>
        <rFont val="Calibri"/>
        <family val="2"/>
        <scheme val="minor"/>
      </rPr>
      <t>βιβλιω</t>
    </r>
    <r>
      <rPr>
        <sz val="11"/>
        <color theme="1"/>
        <rFont val="Calibri"/>
        <family val="2"/>
        <scheme val="minor"/>
      </rPr>
      <t xml:space="preserve"> υιων λογων</t>
    </r>
  </si>
  <si>
    <r>
      <t xml:space="preserve">επι βιβλιω </t>
    </r>
    <r>
      <rPr>
        <b/>
        <sz val="11"/>
        <color theme="1"/>
        <rFont val="Calibri"/>
        <family val="2"/>
        <scheme val="minor"/>
      </rPr>
      <t>υιων</t>
    </r>
    <r>
      <rPr>
        <sz val="11"/>
        <color theme="1"/>
        <rFont val="Calibri"/>
        <family val="2"/>
        <scheme val="minor"/>
      </rPr>
      <t xml:space="preserve"> λογων</t>
    </r>
  </si>
  <si>
    <t>υιου ανανια</t>
  </si>
  <si>
    <t>υιου ανανι</t>
  </si>
  <si>
    <t>περι -&gt; επι</t>
  </si>
  <si>
    <r>
      <t xml:space="preserve">ελαλησεν κς </t>
    </r>
    <r>
      <rPr>
        <b/>
        <sz val="11"/>
        <color theme="1"/>
        <rFont val="Calibri"/>
        <family val="2"/>
        <scheme val="minor"/>
      </rPr>
      <t>περι</t>
    </r>
    <r>
      <rPr>
        <sz val="11"/>
        <color theme="1"/>
        <rFont val="Calibri"/>
        <family val="2"/>
        <scheme val="minor"/>
      </rPr>
      <t xml:space="preserve"> βαασα την κακιαν</t>
    </r>
  </si>
  <si>
    <r>
      <t xml:space="preserve">ελαλησεν κυριος </t>
    </r>
    <r>
      <rPr>
        <b/>
        <sz val="11"/>
        <color theme="1"/>
        <rFont val="Calibri"/>
        <family val="2"/>
        <scheme val="minor"/>
      </rPr>
      <t>περι</t>
    </r>
    <r>
      <rPr>
        <sz val="11"/>
        <color theme="1"/>
        <rFont val="Calibri"/>
        <family val="2"/>
        <scheme val="minor"/>
      </rPr>
      <t xml:space="preserve"> βαασα την κακιαν</t>
    </r>
  </si>
  <si>
    <r>
      <t xml:space="preserve">ελαλησεν κς περι </t>
    </r>
    <r>
      <rPr>
        <b/>
        <sz val="11"/>
        <color theme="1"/>
        <rFont val="Calibri"/>
        <family val="2"/>
        <scheme val="minor"/>
      </rPr>
      <t>βαασα την</t>
    </r>
    <r>
      <rPr>
        <sz val="11"/>
        <color theme="1"/>
        <rFont val="Calibri"/>
        <family val="2"/>
        <scheme val="minor"/>
      </rPr>
      <t xml:space="preserve"> κακιαν</t>
    </r>
  </si>
  <si>
    <r>
      <t xml:space="preserve">ελαλησεν κυριος περι </t>
    </r>
    <r>
      <rPr>
        <b/>
        <sz val="11"/>
        <color theme="1"/>
        <rFont val="Calibri"/>
        <family val="2"/>
        <scheme val="minor"/>
      </rPr>
      <t>βαασα την</t>
    </r>
    <r>
      <rPr>
        <sz val="11"/>
        <color theme="1"/>
        <rFont val="Calibri"/>
        <family val="2"/>
        <scheme val="minor"/>
      </rPr>
      <t xml:space="preserve"> κακιαν</t>
    </r>
  </si>
  <si>
    <t>βαασα και επι τον οικον αυτου και επι πασαν την</t>
  </si>
  <si>
    <t>επι ισλ δυο ετη</t>
  </si>
  <si>
    <t>επι ισραηλ εν θερσα δυο ετη</t>
  </si>
  <si>
    <t>συνεστρεψεν</t>
  </si>
  <si>
    <t>αρχων της ημισους</t>
  </si>
  <si>
    <t>αρχων του ημισους</t>
  </si>
  <si>
    <t>(10) αντ αυτου (11) εν τω καθισαι</t>
  </si>
  <si>
    <t>(10) αντ αυτου (11) και εγενετο εν τω βασιλευσαι αυτον εν τω καθισαι</t>
  </si>
  <si>
    <t>επι τον οικον βαασα και προς ειηου</t>
  </si>
  <si>
    <t>επι β τον οικον βαασα  προς ειηου</t>
  </si>
  <si>
    <r>
      <t xml:space="preserve">επι </t>
    </r>
    <r>
      <rPr>
        <b/>
        <sz val="11"/>
        <color theme="1"/>
        <rFont val="Calibri"/>
        <family val="2"/>
        <scheme val="minor"/>
      </rPr>
      <t>β</t>
    </r>
    <r>
      <rPr>
        <sz val="11"/>
        <color theme="1"/>
        <rFont val="Calibri"/>
        <family val="2"/>
        <scheme val="minor"/>
      </rPr>
      <t xml:space="preserve"> τον οικον βαασα  προς ειηου</t>
    </r>
  </si>
  <si>
    <r>
      <t xml:space="preserve">επι τον οικον βαασα </t>
    </r>
    <r>
      <rPr>
        <b/>
        <sz val="11"/>
        <color theme="1"/>
        <rFont val="Calibri"/>
        <family val="2"/>
        <scheme val="minor"/>
      </rPr>
      <t>και</t>
    </r>
    <r>
      <rPr>
        <sz val="11"/>
        <color theme="1"/>
        <rFont val="Calibri"/>
        <family val="2"/>
        <scheme val="minor"/>
      </rPr>
      <t xml:space="preserve"> προς ειηου</t>
    </r>
  </si>
  <si>
    <r>
      <t xml:space="preserve">επι τον οικον βαασα και προς </t>
    </r>
    <r>
      <rPr>
        <b/>
        <sz val="11"/>
        <color theme="1"/>
        <rFont val="Calibri"/>
        <family val="2"/>
        <scheme val="minor"/>
      </rPr>
      <t>ειηου</t>
    </r>
  </si>
  <si>
    <r>
      <t xml:space="preserve">επι β τον οικον βαασα  προς </t>
    </r>
    <r>
      <rPr>
        <b/>
        <sz val="11"/>
        <color theme="1"/>
        <rFont val="Calibri"/>
        <family val="2"/>
        <scheme val="minor"/>
      </rPr>
      <t>ειηου</t>
    </r>
  </si>
  <si>
    <t>αυτου ου ημαρτον</t>
  </si>
  <si>
    <t>αυτου οι ημαρτον</t>
  </si>
  <si>
    <r>
      <t xml:space="preserve">και </t>
    </r>
    <r>
      <rPr>
        <b/>
        <sz val="11"/>
        <color theme="1"/>
        <rFont val="Calibri"/>
        <family val="2"/>
        <scheme val="minor"/>
      </rPr>
      <t>ως</t>
    </r>
    <r>
      <rPr>
        <sz val="11"/>
        <color theme="1"/>
        <rFont val="Calibri"/>
        <family val="2"/>
        <scheme val="minor"/>
      </rPr>
      <t xml:space="preserve"> εξημαρτεν τον ισλ</t>
    </r>
  </si>
  <si>
    <r>
      <t xml:space="preserve">και </t>
    </r>
    <r>
      <rPr>
        <b/>
        <sz val="11"/>
        <color theme="1"/>
        <rFont val="Calibri"/>
        <family val="2"/>
        <scheme val="minor"/>
      </rPr>
      <t>ως</t>
    </r>
    <r>
      <rPr>
        <sz val="11"/>
        <color theme="1"/>
        <rFont val="Calibri"/>
        <family val="2"/>
        <scheme val="minor"/>
      </rPr>
      <t xml:space="preserve"> εξημαρτεν τον ισραηλ</t>
    </r>
  </si>
  <si>
    <r>
      <t xml:space="preserve">και ως </t>
    </r>
    <r>
      <rPr>
        <b/>
        <sz val="11"/>
        <color theme="1"/>
        <rFont val="Calibri"/>
        <family val="2"/>
        <scheme val="minor"/>
      </rPr>
      <t>εξημαρτεν</t>
    </r>
    <r>
      <rPr>
        <sz val="11"/>
        <color theme="1"/>
        <rFont val="Calibri"/>
        <family val="2"/>
        <scheme val="minor"/>
      </rPr>
      <t xml:space="preserve"> τον ισλ</t>
    </r>
  </si>
  <si>
    <r>
      <t xml:space="preserve">και ως </t>
    </r>
    <r>
      <rPr>
        <b/>
        <sz val="11"/>
        <color theme="1"/>
        <rFont val="Calibri"/>
        <family val="2"/>
        <scheme val="minor"/>
      </rPr>
      <t>εξημαρτεν</t>
    </r>
    <r>
      <rPr>
        <sz val="11"/>
        <color theme="1"/>
        <rFont val="Calibri"/>
        <family val="2"/>
        <scheme val="minor"/>
      </rPr>
      <t xml:space="preserve"> τον ισραηλ</t>
    </r>
  </si>
  <si>
    <t>omit ως</t>
  </si>
  <si>
    <t>εξημαρτον</t>
  </si>
  <si>
    <t>θεον ισραηλ και τοις ματαιοις</t>
  </si>
  <si>
    <r>
      <t xml:space="preserve">θν </t>
    </r>
    <r>
      <rPr>
        <b/>
        <sz val="11"/>
        <color theme="1"/>
        <rFont val="Calibri"/>
        <family val="2"/>
        <scheme val="minor"/>
      </rPr>
      <t>του</t>
    </r>
    <r>
      <rPr>
        <sz val="11"/>
        <color theme="1"/>
        <rFont val="Calibri"/>
        <family val="2"/>
        <scheme val="minor"/>
      </rPr>
      <t xml:space="preserve"> ισλ και τοις ματαιοις</t>
    </r>
  </si>
  <si>
    <r>
      <t xml:space="preserve">θν του ισλ </t>
    </r>
    <r>
      <rPr>
        <b/>
        <sz val="11"/>
        <color theme="1"/>
        <rFont val="Calibri"/>
        <family val="2"/>
        <scheme val="minor"/>
      </rPr>
      <t>και</t>
    </r>
    <r>
      <rPr>
        <sz val="11"/>
        <color theme="1"/>
        <rFont val="Calibri"/>
        <family val="2"/>
        <scheme val="minor"/>
      </rPr>
      <t xml:space="preserve"> τοις ματαιοις</t>
    </r>
  </si>
  <si>
    <r>
      <t xml:space="preserve">θεον ισραηλ </t>
    </r>
    <r>
      <rPr>
        <b/>
        <sz val="11"/>
        <color theme="1"/>
        <rFont val="Calibri"/>
        <family val="2"/>
        <scheme val="minor"/>
      </rPr>
      <t>και</t>
    </r>
    <r>
      <rPr>
        <sz val="11"/>
        <color theme="1"/>
        <rFont val="Calibri"/>
        <family val="2"/>
        <scheme val="minor"/>
      </rPr>
      <t xml:space="preserve"> τοις ματαιοις</t>
    </r>
  </si>
  <si>
    <t>και -&gt; εν</t>
  </si>
  <si>
    <t>εβδομου του ασα</t>
  </si>
  <si>
    <t>ιουδα και εβασιλευσεν</t>
  </si>
  <si>
    <t>τον ζαμβρι</t>
  </si>
  <si>
    <t>τον αμβρι</t>
  </si>
  <si>
    <t>στρατιας εν τη ημερα εκεινη</t>
  </si>
  <si>
    <t>στρατιας εκεινη</t>
  </si>
  <si>
    <t>αμβρι</t>
  </si>
  <si>
    <t>περιεκαθισαν ενι θερσα</t>
  </si>
  <si>
    <t>περιεκαθισαν επι θερσα</t>
  </si>
  <si>
    <r>
      <t xml:space="preserve">ειδεν ζαμβρι </t>
    </r>
    <r>
      <rPr>
        <b/>
        <sz val="11"/>
        <color theme="1"/>
        <rFont val="Calibri"/>
        <family val="2"/>
        <scheme val="minor"/>
      </rPr>
      <t>οτι</t>
    </r>
    <r>
      <rPr>
        <sz val="11"/>
        <color theme="1"/>
        <rFont val="Calibri"/>
        <family val="2"/>
        <scheme val="minor"/>
      </rPr>
      <t xml:space="preserve"> προκατειλημπται αυτου</t>
    </r>
  </si>
  <si>
    <r>
      <t xml:space="preserve">ειδεν ζαμβρι </t>
    </r>
    <r>
      <rPr>
        <b/>
        <sz val="11"/>
        <color theme="1"/>
        <rFont val="Calibri"/>
        <family val="2"/>
        <scheme val="minor"/>
      </rPr>
      <t>ο και</t>
    </r>
    <r>
      <rPr>
        <sz val="11"/>
        <color theme="1"/>
        <rFont val="Calibri"/>
        <family val="2"/>
        <scheme val="minor"/>
      </rPr>
      <t xml:space="preserve"> προκατηληπται αυτου</t>
    </r>
  </si>
  <si>
    <r>
      <t xml:space="preserve">ειδεν ζαμβρι οτι </t>
    </r>
    <r>
      <rPr>
        <b/>
        <sz val="11"/>
        <color theme="1"/>
        <rFont val="Calibri"/>
        <family val="2"/>
        <scheme val="minor"/>
      </rPr>
      <t>προκατειλημπται</t>
    </r>
    <r>
      <rPr>
        <sz val="11"/>
        <color theme="1"/>
        <rFont val="Calibri"/>
        <family val="2"/>
        <scheme val="minor"/>
      </rPr>
      <t xml:space="preserve"> αυτου</t>
    </r>
  </si>
  <si>
    <r>
      <t xml:space="preserve">ειδεν ζαμβρι ο και </t>
    </r>
    <r>
      <rPr>
        <b/>
        <sz val="11"/>
        <color theme="1"/>
        <rFont val="Calibri"/>
        <family val="2"/>
        <scheme val="minor"/>
      </rPr>
      <t>προκατηληπται</t>
    </r>
    <r>
      <rPr>
        <sz val="11"/>
        <color theme="1"/>
        <rFont val="Calibri"/>
        <family val="2"/>
        <scheme val="minor"/>
      </rPr>
      <t xml:space="preserve"> αυτου</t>
    </r>
  </si>
  <si>
    <t>Alex. = προκατηλημπται; 7522A corrected to προκατειληπται</t>
  </si>
  <si>
    <t>εισπορευεται</t>
  </si>
  <si>
    <t>ενεπυρισεν</t>
  </si>
  <si>
    <t>κυ πορευθηναι</t>
  </si>
  <si>
    <t>κυριου του πορευθηναι</t>
  </si>
  <si>
    <t>εποιησεν ως εξημαρτεν</t>
  </si>
  <si>
    <t>ως -&gt; ος</t>
  </si>
  <si>
    <t>και τας συναψεις</t>
  </si>
  <si>
    <t>τας -&gt; ας</t>
  </si>
  <si>
    <t>ισλ ημισυ του λαου</t>
  </si>
  <si>
    <t>ισραηλ το ημισυ του λαου</t>
  </si>
  <si>
    <t>ακολουθων τω ζαμβρι</t>
  </si>
  <si>
    <t>εβασιλευσεν ζαμβρι  </t>
  </si>
  <si>
    <t>ζαμβρι -&gt; αμβρι</t>
  </si>
  <si>
    <t>θαμνι και ο ιωραμ αδελφος αυτου</t>
  </si>
  <si>
    <r>
      <t xml:space="preserve">θαμνι και ο ιωραμ </t>
    </r>
    <r>
      <rPr>
        <b/>
        <sz val="11"/>
        <color theme="1"/>
        <rFont val="Calibri"/>
        <family val="2"/>
        <scheme val="minor"/>
      </rPr>
      <t>ο</t>
    </r>
    <r>
      <rPr>
        <sz val="11"/>
        <color theme="1"/>
        <rFont val="Calibri"/>
        <family val="2"/>
        <scheme val="minor"/>
      </rPr>
      <t xml:space="preserve"> αδελφος αυτου</t>
    </r>
  </si>
  <si>
    <t>θαμνι υιου τωναθ και απεθανεν θαμνι και ιωραμ</t>
  </si>
  <si>
    <r>
      <rPr>
        <b/>
        <sz val="11"/>
        <color theme="1"/>
        <rFont val="Calibri"/>
        <family val="2"/>
        <scheme val="minor"/>
      </rPr>
      <t>θαμνι και ο ιωραμ</t>
    </r>
    <r>
      <rPr>
        <sz val="11"/>
        <color theme="1"/>
        <rFont val="Calibri"/>
        <family val="2"/>
        <scheme val="minor"/>
      </rPr>
      <t xml:space="preserve"> αδελφος αυτου</t>
    </r>
  </si>
  <si>
    <r>
      <rPr>
        <b/>
        <sz val="11"/>
        <color theme="1"/>
        <rFont val="Calibri"/>
        <family val="2"/>
        <scheme val="minor"/>
      </rPr>
      <t>θαμνι και ο ιωραμ</t>
    </r>
    <r>
      <rPr>
        <sz val="11"/>
        <color theme="1"/>
        <rFont val="Calibri"/>
        <family val="2"/>
        <scheme val="minor"/>
      </rPr>
      <t xml:space="preserve"> ο αδελφος αυτου</t>
    </r>
  </si>
  <si>
    <t>ετει τω βασιλεως</t>
  </si>
  <si>
    <r>
      <t xml:space="preserve">ετει </t>
    </r>
    <r>
      <rPr>
        <b/>
        <sz val="11"/>
        <color theme="1"/>
        <rFont val="Calibri"/>
        <family val="2"/>
        <scheme val="minor"/>
      </rPr>
      <t>τω</t>
    </r>
    <r>
      <rPr>
        <sz val="11"/>
        <color theme="1"/>
        <rFont val="Calibri"/>
        <family val="2"/>
        <scheme val="minor"/>
      </rPr>
      <t xml:space="preserve"> ασα βασιλεως</t>
    </r>
  </si>
  <si>
    <r>
      <t xml:space="preserve">ετει </t>
    </r>
    <r>
      <rPr>
        <b/>
        <sz val="11"/>
        <color theme="1"/>
        <rFont val="Calibri"/>
        <family val="2"/>
        <scheme val="minor"/>
      </rPr>
      <t>τω</t>
    </r>
    <r>
      <rPr>
        <sz val="11"/>
        <color theme="1"/>
        <rFont val="Calibri"/>
        <family val="2"/>
        <scheme val="minor"/>
      </rPr>
      <t xml:space="preserve"> βασιλεως</t>
    </r>
  </si>
  <si>
    <r>
      <t xml:space="preserve">ετει τω </t>
    </r>
    <r>
      <rPr>
        <b/>
        <sz val="11"/>
        <color theme="1"/>
        <rFont val="Calibri"/>
        <family val="2"/>
        <scheme val="minor"/>
      </rPr>
      <t>ασα</t>
    </r>
    <r>
      <rPr>
        <sz val="11"/>
        <color theme="1"/>
        <rFont val="Calibri"/>
        <family val="2"/>
        <scheme val="minor"/>
      </rPr>
      <t xml:space="preserve"> βασιλεως</t>
    </r>
  </si>
  <si>
    <t>δωδεκα εν θερσα</t>
  </si>
  <si>
    <t>δωδεκα ετη εν θερσα</t>
  </si>
  <si>
    <t>εκτησατο ζαμβρι</t>
  </si>
  <si>
    <t>εκτησατο αμβρι</t>
  </si>
  <si>
    <t>εμερων -&gt; σομερων</t>
  </si>
  <si>
    <t>ορος το εμερων</t>
  </si>
  <si>
    <t>ορους δυο ταλαντων</t>
  </si>
  <si>
    <t>ορους εν δυο ταλαντων</t>
  </si>
  <si>
    <t>επεκαλεσεν το ονομα του ορους</t>
  </si>
  <si>
    <t>επεκαλεσεν το ονομα αυτου ορους</t>
  </si>
  <si>
    <t>ωκοδομεσεν</t>
  </si>
  <si>
    <t>σομερων</t>
  </si>
  <si>
    <t>αι δυναστιαι</t>
  </si>
  <si>
    <t>η δυναστεια</t>
  </si>
  <si>
    <t>υιος ζαμβρι εβασιλευσεν</t>
  </si>
  <si>
    <t>υιος ζαμβρι επι ισλ</t>
  </si>
  <si>
    <t>υιος ζαμβρι επι ισραηλ</t>
  </si>
  <si>
    <t>εικοσι δυο ετη</t>
  </si>
  <si>
    <t>εικοσι και δυο ετη</t>
  </si>
  <si>
    <t>ικανον του πορευεσθαι</t>
  </si>
  <si>
    <t>ικανον πορευεσθαι</t>
  </si>
  <si>
    <t>ιαβααλ βασιλευς σιδωνιων</t>
  </si>
  <si>
    <t>βασιλευς -&gt; βασιλεως</t>
  </si>
  <si>
    <t>εδουλευσεν τω βααλ και προσεκυνησεν αυτω (32) και εστησεν θυσιαστηριον τω βααλ ενωπιον των προσοχθισματων</t>
  </si>
  <si>
    <t>εδουλευσεν τω βααλ  (32) ενωπιον των προσοχθισματων</t>
  </si>
  <si>
    <t>αυτου ον ωκοδομησεν</t>
  </si>
  <si>
    <t>αυτου ων ωκοδομησεν</t>
  </si>
  <si>
    <t>Alex. = ων; 7522A "corrects" from ων  to ον</t>
  </si>
  <si>
    <t>παροργισαι τον κν</t>
  </si>
  <si>
    <t>παροργισαι κυριον</t>
  </si>
  <si>
    <t>τα ετη ταυτα</t>
  </si>
  <si>
    <t>τα ετι ετη ταυτα</t>
  </si>
  <si>
    <t>κατα ανατολας</t>
  </si>
  <si>
    <t>κατ ανατολας</t>
  </si>
  <si>
    <t>χορραθ τω επι προσωπον</t>
  </si>
  <si>
    <r>
      <rPr>
        <b/>
        <sz val="11"/>
        <color theme="1"/>
        <rFont val="Calibri"/>
        <family val="2"/>
        <scheme val="minor"/>
      </rPr>
      <t>χορραθ επι</t>
    </r>
    <r>
      <rPr>
        <sz val="11"/>
        <color theme="1"/>
        <rFont val="Calibri"/>
        <family val="2"/>
        <scheme val="minor"/>
      </rPr>
      <t xml:space="preserve"> προσωπου</t>
    </r>
  </si>
  <si>
    <r>
      <t xml:space="preserve">χορραθ επι </t>
    </r>
    <r>
      <rPr>
        <b/>
        <sz val="11"/>
        <color theme="1"/>
        <rFont val="Calibri"/>
        <family val="2"/>
        <scheme val="minor"/>
      </rPr>
      <t>προσωπου</t>
    </r>
  </si>
  <si>
    <t>και εποιησεν και εκαθισεν</t>
  </si>
  <si>
    <t>και εποιησεν κατα το ρημα κυριου και εκαθισεν</t>
  </si>
  <si>
    <t>αρτους και κρεας</t>
  </si>
  <si>
    <t>αρτονε και κρεας</t>
  </si>
  <si>
    <t>αρτονε -&gt; αρτονι</t>
  </si>
  <si>
    <t>σαρεπτα</t>
  </si>
  <si>
    <t>ψωμον αρτον</t>
  </si>
  <si>
    <t>ψωμον αρτου</t>
  </si>
  <si>
    <t>ει εσται μοι</t>
  </si>
  <si>
    <t>ει εστιν μοι</t>
  </si>
  <si>
    <t>ει εστι μοι</t>
  </si>
  <si>
    <t>ελαιον εν τω καμψακη και ιδου</t>
  </si>
  <si>
    <t>ελαιον εν τη καμψακη και ιδου</t>
  </si>
  <si>
    <t>τη καμψακη -&gt; τω καψακη</t>
  </si>
  <si>
    <t>ξυλαρια</t>
  </si>
  <si>
    <t>επι προσωπου της γης</t>
  </si>
  <si>
    <t>προσωπου -&gt; προσωπον</t>
  </si>
  <si>
    <t>εως ουχ υπελειφθη εν αυτω</t>
  </si>
  <si>
    <r>
      <t xml:space="preserve">εως </t>
    </r>
    <r>
      <rPr>
        <b/>
        <sz val="11"/>
        <color theme="1"/>
        <rFont val="Calibri"/>
        <family val="2"/>
        <scheme val="minor"/>
      </rPr>
      <t>ου</t>
    </r>
    <r>
      <rPr>
        <sz val="11"/>
        <color theme="1"/>
        <rFont val="Calibri"/>
        <family val="2"/>
        <scheme val="minor"/>
      </rPr>
      <t xml:space="preserve"> ουχ υπελειφθησεν αυτω</t>
    </r>
  </si>
  <si>
    <r>
      <t xml:space="preserve">εως ουχ </t>
    </r>
    <r>
      <rPr>
        <b/>
        <sz val="11"/>
        <color theme="1"/>
        <rFont val="Calibri"/>
        <family val="2"/>
        <scheme val="minor"/>
      </rPr>
      <t>υπελειφθη εν</t>
    </r>
    <r>
      <rPr>
        <sz val="11"/>
        <color theme="1"/>
        <rFont val="Calibri"/>
        <family val="2"/>
        <scheme val="minor"/>
      </rPr>
      <t xml:space="preserve"> αυτω</t>
    </r>
  </si>
  <si>
    <r>
      <t xml:space="preserve">εως ου ουχ </t>
    </r>
    <r>
      <rPr>
        <b/>
        <sz val="11"/>
        <color theme="1"/>
        <rFont val="Calibri"/>
        <family val="2"/>
        <scheme val="minor"/>
      </rPr>
      <t>υπελειφθησεν</t>
    </r>
    <r>
      <rPr>
        <sz val="11"/>
        <color theme="1"/>
        <rFont val="Calibri"/>
        <family val="2"/>
        <scheme val="minor"/>
      </rPr>
      <t xml:space="preserve"> αυτω</t>
    </r>
  </si>
  <si>
    <t>υιον σοι και</t>
  </si>
  <si>
    <t>υιον σου και</t>
  </si>
  <si>
    <t>φωνη ηλια</t>
  </si>
  <si>
    <t>ηλια -&gt; ηλιου</t>
  </si>
  <si>
    <t>επεστραφη</t>
  </si>
  <si>
    <t>προς εγκατον αυτος</t>
  </si>
  <si>
    <t>αυτος -&gt; αυτου</t>
  </si>
  <si>
    <t>κατηγαγεν αυτον απο</t>
  </si>
  <si>
    <t>ηλιου βλεπε</t>
  </si>
  <si>
    <t>ηλιου ββ βλεπε</t>
  </si>
  <si>
    <t>ιδου τουτο εγνωκα</t>
  </si>
  <si>
    <t>ιδου ταυτο εγνωκα</t>
  </si>
  <si>
    <r>
      <rPr>
        <b/>
        <sz val="11"/>
        <color theme="1"/>
        <rFont val="Calibri"/>
        <family val="2"/>
        <scheme val="minor"/>
      </rPr>
      <t>προευθητι</t>
    </r>
    <r>
      <rPr>
        <sz val="11"/>
        <color theme="1"/>
        <rFont val="Calibri"/>
        <family val="2"/>
        <scheme val="minor"/>
      </rPr>
      <t xml:space="preserve"> και οφθητι</t>
    </r>
  </si>
  <si>
    <r>
      <rPr>
        <b/>
        <sz val="11"/>
        <color theme="1"/>
        <rFont val="Calibri"/>
        <family val="2"/>
        <scheme val="minor"/>
      </rPr>
      <t>πορευθητι</t>
    </r>
    <r>
      <rPr>
        <sz val="11"/>
        <color theme="1"/>
        <rFont val="Calibri"/>
        <family val="2"/>
        <scheme val="minor"/>
      </rPr>
      <t xml:space="preserve"> και οφητι</t>
    </r>
  </si>
  <si>
    <r>
      <t xml:space="preserve">προευθητι και </t>
    </r>
    <r>
      <rPr>
        <b/>
        <sz val="11"/>
        <color theme="1"/>
        <rFont val="Calibri"/>
        <family val="2"/>
        <scheme val="minor"/>
      </rPr>
      <t>οφθητι</t>
    </r>
  </si>
  <si>
    <r>
      <t xml:space="preserve">πορευθητι και </t>
    </r>
    <r>
      <rPr>
        <b/>
        <sz val="11"/>
        <color theme="1"/>
        <rFont val="Calibri"/>
        <family val="2"/>
        <scheme val="minor"/>
      </rPr>
      <t>οφητι</t>
    </r>
  </si>
  <si>
    <t>ηλιου τω οφθηναι</t>
  </si>
  <si>
    <t>ηλιου του οφθηναι</t>
  </si>
  <si>
    <t>αχααβ αδβιου</t>
  </si>
  <si>
    <r>
      <t xml:space="preserve">αχααβ </t>
    </r>
    <r>
      <rPr>
        <b/>
        <sz val="11"/>
        <color theme="1"/>
        <rFont val="Calibri"/>
        <family val="2"/>
        <scheme val="minor"/>
      </rPr>
      <t>τον</t>
    </r>
    <r>
      <rPr>
        <sz val="11"/>
        <color theme="1"/>
        <rFont val="Calibri"/>
        <family val="2"/>
        <scheme val="minor"/>
      </rPr>
      <t xml:space="preserve"> αβιου</t>
    </r>
  </si>
  <si>
    <r>
      <t xml:space="preserve">αχααβ </t>
    </r>
    <r>
      <rPr>
        <b/>
        <sz val="11"/>
        <color theme="1"/>
        <rFont val="Calibri"/>
        <family val="2"/>
        <scheme val="minor"/>
      </rPr>
      <t>αδβιου</t>
    </r>
  </si>
  <si>
    <r>
      <t xml:space="preserve">αχααβ τον </t>
    </r>
    <r>
      <rPr>
        <b/>
        <sz val="11"/>
        <color theme="1"/>
        <rFont val="Calibri"/>
        <family val="2"/>
        <scheme val="minor"/>
      </rPr>
      <t>αβιου</t>
    </r>
  </si>
  <si>
    <t>αβδιου</t>
  </si>
  <si>
    <t>αδβιου ην</t>
  </si>
  <si>
    <t>αβιου ην</t>
  </si>
  <si>
    <t>τυπτειν ιεζαβελ</t>
  </si>
  <si>
    <t>τυπτειν την ιεζαβελ</t>
  </si>
  <si>
    <t>αβδιου ην</t>
  </si>
  <si>
    <t>ανδρας προφητας</t>
  </si>
  <si>
    <t>ανδρας προφητες</t>
  </si>
  <si>
    <t>και διετρεφεν</t>
  </si>
  <si>
    <t>και ετρεφεν</t>
  </si>
  <si>
    <t>δευρο και διελθωμεν</t>
  </si>
  <si>
    <t>δευρο διελθωμεν</t>
  </si>
  <si>
    <t>εαν πως ευρομεν</t>
  </si>
  <si>
    <t>εαν πως ευρωμεν</t>
  </si>
  <si>
    <t>[]περιποιησωμεθα</t>
  </si>
  <si>
    <t>εμερισαν</t>
  </si>
  <si>
    <r>
      <rPr>
        <b/>
        <sz val="11"/>
        <color theme="1"/>
        <rFont val="Calibri"/>
        <family val="2"/>
        <scheme val="minor"/>
      </rPr>
      <t>εμερισεν</t>
    </r>
    <r>
      <rPr>
        <sz val="11"/>
        <color theme="1"/>
        <rFont val="Calibri"/>
        <family val="2"/>
        <scheme val="minor"/>
      </rPr>
      <t xml:space="preserve"> αυτοις</t>
    </r>
  </si>
  <si>
    <r>
      <rPr>
        <b/>
        <sz val="11"/>
        <color theme="1"/>
        <rFont val="Calibri"/>
        <family val="2"/>
        <scheme val="minor"/>
      </rPr>
      <t>εμερισεν</t>
    </r>
    <r>
      <rPr>
        <sz val="11"/>
        <color theme="1"/>
        <rFont val="Calibri"/>
        <family val="2"/>
        <scheme val="minor"/>
      </rPr>
      <t xml:space="preserve"> εαυτοις</t>
    </r>
  </si>
  <si>
    <r>
      <t xml:space="preserve">εμερισεν </t>
    </r>
    <r>
      <rPr>
        <b/>
        <sz val="11"/>
        <color theme="1"/>
        <rFont val="Calibri"/>
        <family val="2"/>
        <scheme val="minor"/>
      </rPr>
      <t>αυτοις</t>
    </r>
  </si>
  <si>
    <r>
      <t xml:space="preserve">εμερισεν </t>
    </r>
    <r>
      <rPr>
        <b/>
        <sz val="11"/>
        <color theme="1"/>
        <rFont val="Calibri"/>
        <family val="2"/>
        <scheme val="minor"/>
      </rPr>
      <t>εαυτοις</t>
    </r>
  </si>
  <si>
    <t>αχααβ επορευθη εν οδω αλλη</t>
  </si>
  <si>
    <t>αλλη -&gt; μια</t>
  </si>
  <si>
    <t>(6) μονος (7) και ην αδβιου</t>
  </si>
  <si>
    <r>
      <t xml:space="preserve">(6) μονος (7) και ην </t>
    </r>
    <r>
      <rPr>
        <b/>
        <sz val="11"/>
        <color theme="1"/>
        <rFont val="Calibri"/>
        <family val="2"/>
        <scheme val="minor"/>
      </rPr>
      <t>αδβιου</t>
    </r>
  </si>
  <si>
    <r>
      <t xml:space="preserve">(6) μονος (7) ην και ην </t>
    </r>
    <r>
      <rPr>
        <b/>
        <sz val="11"/>
        <color theme="1"/>
        <rFont val="Calibri"/>
        <family val="2"/>
        <scheme val="minor"/>
      </rPr>
      <t>αββιου</t>
    </r>
  </si>
  <si>
    <r>
      <t xml:space="preserve">συναντησιν αυτου </t>
    </r>
    <r>
      <rPr>
        <b/>
        <sz val="11"/>
        <color theme="1"/>
        <rFont val="Calibri"/>
        <family val="2"/>
        <scheme val="minor"/>
      </rPr>
      <t>μονος</t>
    </r>
    <r>
      <rPr>
        <sz val="11"/>
        <color theme="1"/>
        <rFont val="Calibri"/>
        <family val="2"/>
        <scheme val="minor"/>
      </rPr>
      <t xml:space="preserve"> και αδβιου</t>
    </r>
  </si>
  <si>
    <r>
      <t xml:space="preserve">συναντησιν αυτου μονος και </t>
    </r>
    <r>
      <rPr>
        <b/>
        <sz val="11"/>
        <color theme="1"/>
        <rFont val="Calibri"/>
        <family val="2"/>
        <scheme val="minor"/>
      </rPr>
      <t>αδβιου</t>
    </r>
  </si>
  <si>
    <t>omit μονος</t>
  </si>
  <si>
    <t>εστιν εθνη η βασιλεια</t>
  </si>
  <si>
    <t>εθνη -&gt; εθνος</t>
  </si>
  <si>
    <t>ενεπρησεν τας χωρας αυτης και την βασιλειαν</t>
  </si>
  <si>
    <t>ενεπρησεν την βασιλειαν και τας χωρας αυτης</t>
  </si>
  <si>
    <t>νυν πορευου συ λεγεις πορευου</t>
  </si>
  <si>
    <t>νυν πορευου συ λεγεις</t>
  </si>
  <si>
    <t>αρει σαι εις την</t>
  </si>
  <si>
    <t>ευρησει σε αποκτενει</t>
  </si>
  <si>
    <t>αρει σε εις την</t>
  </si>
  <si>
    <r>
      <t xml:space="preserve">ευρησει </t>
    </r>
    <r>
      <rPr>
        <b/>
        <sz val="11"/>
        <color theme="1"/>
        <rFont val="Calibri"/>
        <family val="2"/>
        <scheme val="minor"/>
      </rPr>
      <t>σαι</t>
    </r>
    <r>
      <rPr>
        <sz val="11"/>
        <color theme="1"/>
        <rFont val="Calibri"/>
        <family val="2"/>
        <scheme val="minor"/>
      </rPr>
      <t xml:space="preserve"> και αποκτενει</t>
    </r>
  </si>
  <si>
    <r>
      <t xml:space="preserve">ευρησει </t>
    </r>
    <r>
      <rPr>
        <b/>
        <sz val="11"/>
        <color theme="1"/>
        <rFont val="Calibri"/>
        <family val="2"/>
        <scheme val="minor"/>
      </rPr>
      <t>σε</t>
    </r>
    <r>
      <rPr>
        <sz val="11"/>
        <color theme="1"/>
        <rFont val="Calibri"/>
        <family val="2"/>
        <scheme val="minor"/>
      </rPr>
      <t xml:space="preserve"> αποκτενει</t>
    </r>
  </si>
  <si>
    <r>
      <t xml:space="preserve">ευρησει σαι </t>
    </r>
    <r>
      <rPr>
        <b/>
        <sz val="11"/>
        <color theme="1"/>
        <rFont val="Calibri"/>
        <family val="2"/>
        <scheme val="minor"/>
      </rPr>
      <t>και</t>
    </r>
    <r>
      <rPr>
        <sz val="11"/>
        <color theme="1"/>
        <rFont val="Calibri"/>
        <family val="2"/>
        <scheme val="minor"/>
      </rPr>
      <t xml:space="preserve"> αποκτενει</t>
    </r>
  </si>
  <si>
    <t>και ουκ ανηγγελη</t>
  </si>
  <si>
    <t>και -&gt; η</t>
  </si>
  <si>
    <t>πεντηκοντα ανδρας εν σπηλαιω</t>
  </si>
  <si>
    <t>πεντηκοντα ανδρα εν σπηλαιω</t>
  </si>
  <si>
    <r>
      <t xml:space="preserve">και </t>
    </r>
    <r>
      <rPr>
        <b/>
        <sz val="11"/>
        <color theme="1"/>
        <rFont val="Calibri"/>
        <family val="2"/>
        <scheme val="minor"/>
      </rPr>
      <t>επορευθη</t>
    </r>
    <r>
      <rPr>
        <sz val="11"/>
        <color theme="1"/>
        <rFont val="Calibri"/>
        <family val="2"/>
        <scheme val="minor"/>
      </rPr>
      <t xml:space="preserve"> οπισω ταις βααλειμ</t>
    </r>
  </si>
  <si>
    <r>
      <t xml:space="preserve">και </t>
    </r>
    <r>
      <rPr>
        <b/>
        <sz val="11"/>
        <color theme="1"/>
        <rFont val="Calibri"/>
        <family val="2"/>
        <scheme val="minor"/>
      </rPr>
      <t>επορευθη</t>
    </r>
    <r>
      <rPr>
        <sz val="11"/>
        <color theme="1"/>
        <rFont val="Calibri"/>
        <family val="2"/>
        <scheme val="minor"/>
      </rPr>
      <t xml:space="preserve"> οπισω του βααλειμ</t>
    </r>
  </si>
  <si>
    <t>πορευθηναι</t>
  </si>
  <si>
    <r>
      <t xml:space="preserve">και επορευθη οπισω </t>
    </r>
    <r>
      <rPr>
        <b/>
        <sz val="11"/>
        <color theme="1"/>
        <rFont val="Calibri"/>
        <family val="2"/>
        <scheme val="minor"/>
      </rPr>
      <t>του</t>
    </r>
    <r>
      <rPr>
        <sz val="11"/>
        <color theme="1"/>
        <rFont val="Calibri"/>
        <family val="2"/>
        <scheme val="minor"/>
      </rPr>
      <t xml:space="preserve"> βααλειμ</t>
    </r>
  </si>
  <si>
    <r>
      <t xml:space="preserve">και επορευθη οπισω </t>
    </r>
    <r>
      <rPr>
        <b/>
        <sz val="11"/>
        <color theme="1"/>
        <rFont val="Calibri"/>
        <family val="2"/>
        <scheme val="minor"/>
      </rPr>
      <t>ταις</t>
    </r>
    <r>
      <rPr>
        <sz val="11"/>
        <color theme="1"/>
        <rFont val="Calibri"/>
        <family val="2"/>
        <scheme val="minor"/>
      </rPr>
      <t xml:space="preserve"> βααλειμ</t>
    </r>
  </si>
  <si>
    <t>ταις -&gt; των</t>
  </si>
  <si>
    <t>παντα ισλ προς το ορος</t>
  </si>
  <si>
    <t>παντα ισραηλ προς το ορος</t>
  </si>
  <si>
    <t>προς -&gt; εις</t>
  </si>
  <si>
    <t>αισχυνης τετρακοσιους και πεντηκοντα</t>
  </si>
  <si>
    <t>αισχυνης πτετρακοσιους και πεντηκοντα</t>
  </si>
  <si>
    <t>ειπεν αυτοις</t>
  </si>
  <si>
    <t>ειπεν αυτους</t>
  </si>
  <si>
    <r>
      <t xml:space="preserve">ποτε υμεις </t>
    </r>
    <r>
      <rPr>
        <b/>
        <sz val="11"/>
        <color theme="1"/>
        <rFont val="Calibri"/>
        <family val="2"/>
        <scheme val="minor"/>
      </rPr>
      <t>χωλανιτε</t>
    </r>
    <r>
      <rPr>
        <sz val="11"/>
        <color theme="1"/>
        <rFont val="Calibri"/>
        <family val="2"/>
        <scheme val="minor"/>
      </rPr>
      <t xml:space="preserve"> υμεις επ αμφοτεραις</t>
    </r>
  </si>
  <si>
    <r>
      <t xml:space="preserve">ποτε υμεις </t>
    </r>
    <r>
      <rPr>
        <b/>
        <sz val="11"/>
        <color theme="1"/>
        <rFont val="Calibri"/>
        <family val="2"/>
        <scheme val="minor"/>
      </rPr>
      <t>χωλανειτε</t>
    </r>
    <r>
      <rPr>
        <sz val="11"/>
        <color theme="1"/>
        <rFont val="Calibri"/>
        <family val="2"/>
        <scheme val="minor"/>
      </rPr>
      <t xml:space="preserve"> υμεις επ αμφοτεραις</t>
    </r>
  </si>
  <si>
    <r>
      <t xml:space="preserve">ποτε υμεις χωλανιτε </t>
    </r>
    <r>
      <rPr>
        <b/>
        <sz val="11"/>
        <color theme="1"/>
        <rFont val="Calibri"/>
        <family val="2"/>
        <scheme val="minor"/>
      </rPr>
      <t>υμεις</t>
    </r>
    <r>
      <rPr>
        <sz val="11"/>
        <color theme="1"/>
        <rFont val="Calibri"/>
        <family val="2"/>
        <scheme val="minor"/>
      </rPr>
      <t xml:space="preserve"> επ αμφοτεραις</t>
    </r>
  </si>
  <si>
    <r>
      <t xml:space="preserve">ποτε υμεις χωλανειτε </t>
    </r>
    <r>
      <rPr>
        <b/>
        <sz val="11"/>
        <color theme="1"/>
        <rFont val="Calibri"/>
        <family val="2"/>
        <scheme val="minor"/>
      </rPr>
      <t>υμεις</t>
    </r>
    <r>
      <rPr>
        <sz val="11"/>
        <color theme="1"/>
        <rFont val="Calibri"/>
        <family val="2"/>
        <scheme val="minor"/>
      </rPr>
      <t xml:space="preserve"> επ αμφοτεραις</t>
    </r>
  </si>
  <si>
    <t>omits υμεις</t>
  </si>
  <si>
    <t>θς πορευεσθαι</t>
  </si>
  <si>
    <r>
      <t xml:space="preserve">ο βααλ </t>
    </r>
    <r>
      <rPr>
        <b/>
        <sz val="11"/>
        <color theme="1"/>
        <rFont val="Calibri"/>
        <family val="2"/>
        <scheme val="minor"/>
      </rPr>
      <t>αυτος</t>
    </r>
    <r>
      <rPr>
        <sz val="11"/>
        <color theme="1"/>
        <rFont val="Calibri"/>
        <family val="2"/>
        <scheme val="minor"/>
      </rPr>
      <t xml:space="preserve"> πορευεσθαι</t>
    </r>
  </si>
  <si>
    <r>
      <t xml:space="preserve">ο βααλ </t>
    </r>
    <r>
      <rPr>
        <b/>
        <sz val="11"/>
        <color theme="1"/>
        <rFont val="Calibri"/>
        <family val="2"/>
        <scheme val="minor"/>
      </rPr>
      <t>αυτος</t>
    </r>
    <r>
      <rPr>
        <sz val="11"/>
        <color theme="1"/>
        <rFont val="Calibri"/>
        <family val="2"/>
        <scheme val="minor"/>
      </rPr>
      <t xml:space="preserve"> πορευεσθε</t>
    </r>
  </si>
  <si>
    <r>
      <t xml:space="preserve">ο βααλ αυτος </t>
    </r>
    <r>
      <rPr>
        <b/>
        <sz val="11"/>
        <color theme="1"/>
        <rFont val="Calibri"/>
        <family val="2"/>
        <scheme val="minor"/>
      </rPr>
      <t>πορευεσθαι</t>
    </r>
  </si>
  <si>
    <r>
      <t xml:space="preserve">ο βααλ αυτος </t>
    </r>
    <r>
      <rPr>
        <b/>
        <sz val="11"/>
        <color theme="1"/>
        <rFont val="Calibri"/>
        <family val="2"/>
        <scheme val="minor"/>
      </rPr>
      <t>πορευεσθε</t>
    </r>
  </si>
  <si>
    <t>omits αυτος</t>
  </si>
  <si>
    <t>μελισατωσαν και πυρ</t>
  </si>
  <si>
    <t>μελισατωσαν κει επιθετωσαν επι των ξυλων</t>
  </si>
  <si>
    <r>
      <rPr>
        <b/>
        <sz val="11"/>
        <color theme="1"/>
        <rFont val="Calibri"/>
        <family val="2"/>
        <scheme val="minor"/>
      </rPr>
      <t>βοατε εν</t>
    </r>
    <r>
      <rPr>
        <sz val="11"/>
        <color theme="1"/>
        <rFont val="Calibri"/>
        <family val="2"/>
        <scheme val="minor"/>
      </rPr>
      <t xml:space="preserve"> ονοματι θυ υμων</t>
    </r>
  </si>
  <si>
    <r>
      <rPr>
        <b/>
        <sz val="11"/>
        <color theme="1"/>
        <rFont val="Calibri"/>
        <family val="2"/>
        <scheme val="minor"/>
      </rPr>
      <t>βοατεν εν</t>
    </r>
    <r>
      <rPr>
        <sz val="11"/>
        <color theme="1"/>
        <rFont val="Calibri"/>
        <family val="2"/>
        <scheme val="minor"/>
      </rPr>
      <t xml:space="preserve"> ονοματι θεου υμων</t>
    </r>
  </si>
  <si>
    <r>
      <t xml:space="preserve">βοατε εν ονοματι </t>
    </r>
    <r>
      <rPr>
        <b/>
        <sz val="11"/>
        <color theme="1"/>
        <rFont val="Calibri"/>
        <family val="2"/>
        <scheme val="minor"/>
      </rPr>
      <t>θυ</t>
    </r>
    <r>
      <rPr>
        <sz val="11"/>
        <color theme="1"/>
        <rFont val="Calibri"/>
        <family val="2"/>
        <scheme val="minor"/>
      </rPr>
      <t xml:space="preserve"> υμων</t>
    </r>
  </si>
  <si>
    <r>
      <t xml:space="preserve">βοατεν εν ονοματι </t>
    </r>
    <r>
      <rPr>
        <b/>
        <sz val="11"/>
        <color theme="1"/>
        <rFont val="Calibri"/>
        <family val="2"/>
        <scheme val="minor"/>
      </rPr>
      <t>θεου</t>
    </r>
    <r>
      <rPr>
        <sz val="11"/>
        <color theme="1"/>
        <rFont val="Calibri"/>
        <family val="2"/>
        <scheme val="minor"/>
      </rPr>
      <t xml:space="preserve"> υμων</t>
    </r>
  </si>
  <si>
    <t>θεων</t>
  </si>
  <si>
    <t>επακουση εν πυρι</t>
  </si>
  <si>
    <t>επακουσηται εν πυρι</t>
  </si>
  <si>
    <t>ειπαν καλον</t>
  </si>
  <si>
    <t>ειπον καλον</t>
  </si>
  <si>
    <t>επικαλεσεσθε</t>
  </si>
  <si>
    <t>ονοματι θυ υμων</t>
  </si>
  <si>
    <t>ονοματι θεου υμων</t>
  </si>
  <si>
    <t>θεου -&gt; θεων</t>
  </si>
  <si>
    <t>ελαβεν τον μοσχον</t>
  </si>
  <si>
    <t>ελαβεν -&gt; ελαβον</t>
  </si>
  <si>
    <t>ειπον εκασον ημων</t>
  </si>
  <si>
    <t>ειπον εκαστον ημων</t>
  </si>
  <si>
    <t>εκαστον -&gt; επακουσον</t>
  </si>
  <si>
    <t>εγενετο μεσημβρια</t>
  </si>
  <si>
    <t>εγενετο μ μεσημβρια</t>
  </si>
  <si>
    <t>κατετεμνοντο</t>
  </si>
  <si>
    <t>δειλινον</t>
  </si>
  <si>
    <t>εστοιβασεν τας σχιδακας</t>
  </si>
  <si>
    <t>εστοισχαιβασεν τας σχιδακας</t>
  </si>
  <si>
    <t>και λιεπορευετο</t>
  </si>
  <si>
    <t>και διεπορευετο</t>
  </si>
  <si>
    <r>
      <t xml:space="preserve">ειπεν </t>
    </r>
    <r>
      <rPr>
        <b/>
        <sz val="11"/>
        <color theme="1"/>
        <rFont val="Calibri"/>
        <family val="2"/>
        <scheme val="minor"/>
      </rPr>
      <t>κε</t>
    </r>
    <r>
      <rPr>
        <sz val="11"/>
        <color theme="1"/>
        <rFont val="Calibri"/>
        <family val="2"/>
        <scheme val="minor"/>
      </rPr>
      <t xml:space="preserve"> ο θς αβρααμ και ισαακ και ιακωβ</t>
    </r>
  </si>
  <si>
    <r>
      <t xml:space="preserve">ειπεν </t>
    </r>
    <r>
      <rPr>
        <b/>
        <sz val="11"/>
        <color theme="1"/>
        <rFont val="Calibri"/>
        <family val="2"/>
        <scheme val="minor"/>
      </rPr>
      <t>κυριος</t>
    </r>
    <r>
      <rPr>
        <sz val="11"/>
        <color theme="1"/>
        <rFont val="Calibri"/>
        <family val="2"/>
        <scheme val="minor"/>
      </rPr>
      <t xml:space="preserve"> ο θεος αβρααμ και ισαακ και ιακωβ</t>
    </r>
  </si>
  <si>
    <r>
      <t xml:space="preserve">ειπεν κε ο θς αβρααμ και ισαακ και </t>
    </r>
    <r>
      <rPr>
        <b/>
        <sz val="11"/>
        <color theme="1"/>
        <rFont val="Calibri"/>
        <family val="2"/>
        <scheme val="minor"/>
      </rPr>
      <t>ιακωβ</t>
    </r>
  </si>
  <si>
    <r>
      <t xml:space="preserve">ειπεν κυριος ο θεος αβρααμ και ισαακ και </t>
    </r>
    <r>
      <rPr>
        <b/>
        <sz val="11"/>
        <color theme="1"/>
        <rFont val="Calibri"/>
        <family val="2"/>
        <scheme val="minor"/>
      </rPr>
      <t>ιακωβ</t>
    </r>
  </si>
  <si>
    <t>το ολοκαυτωματα</t>
  </si>
  <si>
    <t>τα ολοκαυτωματα</t>
  </si>
  <si>
    <t>φωνη πολλων του υετου</t>
  </si>
  <si>
    <t>εθηκεν το προσωπον αυτου</t>
  </si>
  <si>
    <t>εθηκεν προσωπον αυτου</t>
  </si>
  <si>
    <t>γονατων εαυτου</t>
  </si>
  <si>
    <t>εαυτου -&gt; αυτου</t>
  </si>
  <si>
    <t>παιδαριω εαυτου</t>
  </si>
  <si>
    <t>επεστρεψεν το παιδαριον επτακις</t>
  </si>
  <si>
    <t>επεστρεψεν επτακις</t>
  </si>
  <si>
    <t>συνεσκοτασεν νεφελαις</t>
  </si>
  <si>
    <t>συνεσκοτεσεν νεφελαις</t>
  </si>
  <si>
    <t>εγενετο ο υετος</t>
  </si>
  <si>
    <t>ελθειν εως ιεζαβελ</t>
  </si>
  <si>
    <r>
      <t xml:space="preserve">ελθειν </t>
    </r>
    <r>
      <rPr>
        <b/>
        <sz val="11"/>
        <color theme="1"/>
        <rFont val="Calibri"/>
        <family val="2"/>
        <scheme val="minor"/>
      </rPr>
      <t>εως</t>
    </r>
    <r>
      <rPr>
        <sz val="11"/>
        <color theme="1"/>
        <rFont val="Calibri"/>
        <family val="2"/>
        <scheme val="minor"/>
      </rPr>
      <t xml:space="preserve"> ιεζαβελ</t>
    </r>
  </si>
  <si>
    <r>
      <t xml:space="preserve">ελθειν </t>
    </r>
    <r>
      <rPr>
        <b/>
        <sz val="11"/>
        <color theme="1"/>
        <rFont val="Calibri"/>
        <family val="2"/>
        <scheme val="minor"/>
      </rPr>
      <t>εις</t>
    </r>
    <r>
      <rPr>
        <sz val="11"/>
        <color theme="1"/>
        <rFont val="Calibri"/>
        <family val="2"/>
        <scheme val="minor"/>
      </rPr>
      <t xml:space="preserve"> εις ιεζαβελ</t>
    </r>
  </si>
  <si>
    <r>
      <t xml:space="preserve">ελθειν εις </t>
    </r>
    <r>
      <rPr>
        <b/>
        <sz val="11"/>
        <color theme="1"/>
        <rFont val="Calibri"/>
        <family val="2"/>
        <scheme val="minor"/>
      </rPr>
      <t>εις</t>
    </r>
    <r>
      <rPr>
        <sz val="11"/>
        <color theme="1"/>
        <rFont val="Calibri"/>
        <family val="2"/>
        <scheme val="minor"/>
      </rPr>
      <t xml:space="preserve"> ιεζαβελ</t>
    </r>
  </si>
  <si>
    <r>
      <t xml:space="preserve">ελθειν εως </t>
    </r>
    <r>
      <rPr>
        <b/>
        <sz val="11"/>
        <color theme="1"/>
        <rFont val="Calibri"/>
        <family val="2"/>
        <scheme val="minor"/>
      </rPr>
      <t>ιεζαβελ</t>
    </r>
  </si>
  <si>
    <r>
      <t xml:space="preserve">ελθειν εις εις </t>
    </r>
    <r>
      <rPr>
        <b/>
        <sz val="11"/>
        <color theme="1"/>
        <rFont val="Calibri"/>
        <family val="2"/>
        <scheme val="minor"/>
      </rPr>
      <t>ιεζαβελ</t>
    </r>
  </si>
  <si>
    <t>καγω ιεζαβελ</t>
  </si>
  <si>
    <t>και εγω ιεζαβελ</t>
  </si>
  <si>
    <t>οτι την ωραν ταυτην</t>
  </si>
  <si>
    <t>οτι ταυτην την ωραν ταυτην</t>
  </si>
  <si>
    <t>υποκατω ραμαθ</t>
  </si>
  <si>
    <t>ραμαθ -&gt; ραθαμ</t>
  </si>
  <si>
    <t>εγκρυφιας ολυριτης</t>
  </si>
  <si>
    <t>εγκρυφιας σολυριτης</t>
  </si>
  <si>
    <t>καψακης</t>
  </si>
  <si>
    <t>εφαγεν και επιεν</t>
  </si>
  <si>
    <t>εφαγεν και ειπεν</t>
  </si>
  <si>
    <t>απο σου οδος</t>
  </si>
  <si>
    <t>απο σου η οδος</t>
  </si>
  <si>
    <t>(7) οδος (8) και ανεστη</t>
  </si>
  <si>
    <t>(7) οδος (8) ανεστη</t>
  </si>
  <si>
    <t>τεσσερακοντα ημερας</t>
  </si>
  <si>
    <t>τεσσερακοντα νυκτας</t>
  </si>
  <si>
    <t>τεσσερακοντα -&gt; τεσσαρακοντα</t>
  </si>
  <si>
    <t>υπολελιμμε εγω</t>
  </si>
  <si>
    <t>υπολελειμμαι εγω</t>
  </si>
  <si>
    <t>την ψυχην μου</t>
  </si>
  <si>
    <t>την ψυχην εμην μου</t>
  </si>
  <si>
    <t>κραταιον διαλυον</t>
  </si>
  <si>
    <t>κραταιον διαυλον</t>
  </si>
  <si>
    <t>τη μηλωτη</t>
  </si>
  <si>
    <t>τη μελωτη</t>
  </si>
  <si>
    <t>εν ρομφαιαις και</t>
  </si>
  <si>
    <t>εν ρομφαια και</t>
  </si>
  <si>
    <t>ηιου βασιλεα</t>
  </si>
  <si>
    <t>ιηου υιον ναμεσσε βασιλεα</t>
  </si>
  <si>
    <t>χρησεις προφητην</t>
  </si>
  <si>
    <r>
      <rPr>
        <b/>
        <sz val="11"/>
        <color theme="1"/>
        <rFont val="Calibri"/>
        <family val="2"/>
        <scheme val="minor"/>
      </rPr>
      <t>χρησεις</t>
    </r>
    <r>
      <rPr>
        <sz val="11"/>
        <color theme="1"/>
        <rFont val="Calibri"/>
        <family val="2"/>
        <scheme val="minor"/>
      </rPr>
      <t xml:space="preserve"> προφητην</t>
    </r>
  </si>
  <si>
    <r>
      <t xml:space="preserve">θανατωσει </t>
    </r>
    <r>
      <rPr>
        <b/>
        <sz val="11"/>
        <color theme="1"/>
        <rFont val="Calibri"/>
        <family val="2"/>
        <scheme val="minor"/>
      </rPr>
      <t>ιηου</t>
    </r>
    <r>
      <rPr>
        <sz val="11"/>
        <color theme="1"/>
        <rFont val="Calibri"/>
        <family val="2"/>
        <scheme val="minor"/>
      </rPr>
      <t xml:space="preserve"> θανατωσει</t>
    </r>
  </si>
  <si>
    <r>
      <t xml:space="preserve">θανατωσει </t>
    </r>
    <r>
      <rPr>
        <b/>
        <sz val="11"/>
        <color theme="1"/>
        <rFont val="Calibri"/>
        <family val="2"/>
        <scheme val="minor"/>
      </rPr>
      <t>ιηοδ</t>
    </r>
    <r>
      <rPr>
        <sz val="11"/>
        <color theme="1"/>
        <rFont val="Calibri"/>
        <family val="2"/>
        <scheme val="minor"/>
      </rPr>
      <t xml:space="preserve"> θανατωσει</t>
    </r>
  </si>
  <si>
    <r>
      <t xml:space="preserve">θανατωσει </t>
    </r>
    <r>
      <rPr>
        <b/>
        <sz val="11"/>
        <color theme="1"/>
        <rFont val="Calibri"/>
        <family val="2"/>
        <scheme val="minor"/>
      </rPr>
      <t>ιηου θανατωσει</t>
    </r>
  </si>
  <si>
    <r>
      <t xml:space="preserve">θανατωσει </t>
    </r>
    <r>
      <rPr>
        <b/>
        <sz val="11"/>
        <color theme="1"/>
        <rFont val="Calibri"/>
        <family val="2"/>
        <scheme val="minor"/>
      </rPr>
      <t>ιηοδ θανατωσει</t>
    </r>
  </si>
  <si>
    <t>θανατωσει ιηου και τον συνζομενον εκ ρομφαιας ιηου θανατωσει</t>
  </si>
  <si>
    <t>εν βουσιν δωδεκα βοων</t>
  </si>
  <si>
    <t>εν βουσιν δωδεκα ζευγη βοων</t>
  </si>
  <si>
    <t>απηλθεν ελισσαιε επ αυτον και</t>
  </si>
  <si>
    <t>αυτου επ αυτον</t>
  </si>
  <si>
    <t>αυτου επ αυτου</t>
  </si>
  <si>
    <t>και επεδραμεν</t>
  </si>
  <si>
    <t>και κατεδραμεν</t>
  </si>
  <si>
    <t>οτι -&gt; οτι τι</t>
  </si>
  <si>
    <t>ηψησεν αυτα</t>
  </si>
  <si>
    <t>αυτα -&gt; αυτο</t>
  </si>
  <si>
    <t>υιος αδαβ συριας</t>
  </si>
  <si>
    <r>
      <t xml:space="preserve">υιος </t>
    </r>
    <r>
      <rPr>
        <b/>
        <sz val="11"/>
        <color theme="1"/>
        <rFont val="Calibri"/>
        <family val="2"/>
        <scheme val="minor"/>
      </rPr>
      <t>αδερ</t>
    </r>
    <r>
      <rPr>
        <sz val="11"/>
        <color theme="1"/>
        <rFont val="Calibri"/>
        <family val="2"/>
        <scheme val="minor"/>
      </rPr>
      <t xml:space="preserve"> βασιλευς συριας</t>
    </r>
  </si>
  <si>
    <r>
      <t xml:space="preserve">υιος </t>
    </r>
    <r>
      <rPr>
        <b/>
        <sz val="11"/>
        <color theme="1"/>
        <rFont val="Calibri"/>
        <family val="2"/>
        <scheme val="minor"/>
      </rPr>
      <t>αδαβ</t>
    </r>
    <r>
      <rPr>
        <sz val="11"/>
        <color theme="1"/>
        <rFont val="Calibri"/>
        <family val="2"/>
        <scheme val="minor"/>
      </rPr>
      <t xml:space="preserve"> συριας</t>
    </r>
  </si>
  <si>
    <r>
      <t xml:space="preserve">υιος αδερ </t>
    </r>
    <r>
      <rPr>
        <b/>
        <sz val="11"/>
        <color theme="1"/>
        <rFont val="Calibri"/>
        <family val="2"/>
        <scheme val="minor"/>
      </rPr>
      <t>βασιλευς</t>
    </r>
    <r>
      <rPr>
        <sz val="11"/>
        <color theme="1"/>
        <rFont val="Calibri"/>
        <family val="2"/>
        <scheme val="minor"/>
      </rPr>
      <t xml:space="preserve"> συριας</t>
    </r>
  </si>
  <si>
    <t>τριακοντα δυο βασιλεις</t>
  </si>
  <si>
    <t>τριακοντα τρια βασιλεις</t>
  </si>
  <si>
    <t>τριακοντα και δυο βασιλεις</t>
  </si>
  <si>
    <t>το χρυσιον σου εμον εστιν και</t>
  </si>
  <si>
    <r>
      <t xml:space="preserve">το </t>
    </r>
    <r>
      <rPr>
        <b/>
        <sz val="11"/>
        <color theme="1"/>
        <rFont val="Calibri"/>
        <family val="2"/>
        <scheme val="minor"/>
      </rPr>
      <t>ε</t>
    </r>
    <r>
      <rPr>
        <sz val="11"/>
        <color theme="1"/>
        <rFont val="Calibri"/>
        <family val="2"/>
        <scheme val="minor"/>
      </rPr>
      <t xml:space="preserve"> χρυσιον σου εμον εστι και</t>
    </r>
  </si>
  <si>
    <r>
      <t xml:space="preserve">το ε χρυσιον σου εμον </t>
    </r>
    <r>
      <rPr>
        <b/>
        <sz val="11"/>
        <color theme="1"/>
        <rFont val="Calibri"/>
        <family val="2"/>
        <scheme val="minor"/>
      </rPr>
      <t>εστι</t>
    </r>
    <r>
      <rPr>
        <sz val="11"/>
        <color theme="1"/>
        <rFont val="Calibri"/>
        <family val="2"/>
        <scheme val="minor"/>
      </rPr>
      <t xml:space="preserve"> και</t>
    </r>
  </si>
  <si>
    <r>
      <t xml:space="preserve">το χρυσιον σου εμον </t>
    </r>
    <r>
      <rPr>
        <b/>
        <sz val="11"/>
        <color theme="1"/>
        <rFont val="Calibri"/>
        <family val="2"/>
        <scheme val="minor"/>
      </rPr>
      <t>εστιν</t>
    </r>
    <r>
      <rPr>
        <sz val="11"/>
        <color theme="1"/>
        <rFont val="Calibri"/>
        <family val="2"/>
        <scheme val="minor"/>
      </rPr>
      <t xml:space="preserve"> και</t>
    </r>
  </si>
  <si>
    <t>απεστρεψατο αργυριον</t>
  </si>
  <si>
    <t>απεστρεψα το αργυριον</t>
  </si>
  <si>
    <t>απεστειλα προς σε λεγων το αργυριον</t>
  </si>
  <si>
    <t>τους παιδας μου προς</t>
  </si>
  <si>
    <t>τους παιδας σου μου προς</t>
  </si>
  <si>
    <t>και εσται τα επιθυμητα οφθαλμων αυτων</t>
  </si>
  <si>
    <r>
      <t xml:space="preserve">και </t>
    </r>
    <r>
      <rPr>
        <b/>
        <sz val="11"/>
        <color theme="1"/>
        <rFont val="Calibri"/>
        <family val="2"/>
        <scheme val="minor"/>
      </rPr>
      <t>εσται τα</t>
    </r>
    <r>
      <rPr>
        <sz val="11"/>
        <color theme="1"/>
        <rFont val="Calibri"/>
        <family val="2"/>
        <scheme val="minor"/>
      </rPr>
      <t xml:space="preserve"> επιθυμητα οφθαλμων αυτων</t>
    </r>
  </si>
  <si>
    <r>
      <t xml:space="preserve">και </t>
    </r>
    <r>
      <rPr>
        <b/>
        <sz val="11"/>
        <color theme="1"/>
        <rFont val="Calibri"/>
        <family val="2"/>
        <scheme val="minor"/>
      </rPr>
      <t>εσται τα</t>
    </r>
    <r>
      <rPr>
        <sz val="11"/>
        <color theme="1"/>
        <rFont val="Calibri"/>
        <family val="2"/>
        <scheme val="minor"/>
      </rPr>
      <t xml:space="preserve"> επιθυμητα των οφθαλμων σου αυτων</t>
    </r>
  </si>
  <si>
    <r>
      <t xml:space="preserve">και εσται τα επιθυμητα </t>
    </r>
    <r>
      <rPr>
        <b/>
        <sz val="11"/>
        <color theme="1"/>
        <rFont val="Calibri"/>
        <family val="2"/>
        <scheme val="minor"/>
      </rPr>
      <t>των</t>
    </r>
    <r>
      <rPr>
        <sz val="11"/>
        <color theme="1"/>
        <rFont val="Calibri"/>
        <family val="2"/>
        <scheme val="minor"/>
      </rPr>
      <t xml:space="preserve"> οφθαλμων σου αυτων</t>
    </r>
  </si>
  <si>
    <r>
      <t xml:space="preserve">και εσται τα επιθυμητα των οφθαλμων </t>
    </r>
    <r>
      <rPr>
        <b/>
        <sz val="11"/>
        <color theme="1"/>
        <rFont val="Calibri"/>
        <family val="2"/>
        <scheme val="minor"/>
      </rPr>
      <t>σου</t>
    </r>
    <r>
      <rPr>
        <sz val="11"/>
        <color theme="1"/>
        <rFont val="Calibri"/>
        <family val="2"/>
        <scheme val="minor"/>
      </rPr>
      <t xml:space="preserve"> αυτων</t>
    </r>
  </si>
  <si>
    <t>εσται παντα τα</t>
  </si>
  <si>
    <t>χειρας αυτων ληψονται</t>
  </si>
  <si>
    <r>
      <t xml:space="preserve">χειρας αυτων </t>
    </r>
    <r>
      <rPr>
        <b/>
        <sz val="11"/>
        <color theme="1"/>
        <rFont val="Calibri"/>
        <family val="2"/>
        <scheme val="minor"/>
      </rPr>
      <t>και</t>
    </r>
    <r>
      <rPr>
        <sz val="11"/>
        <color theme="1"/>
        <rFont val="Calibri"/>
        <family val="2"/>
        <scheme val="minor"/>
      </rPr>
      <t xml:space="preserve"> λημψονται</t>
    </r>
  </si>
  <si>
    <r>
      <t xml:space="preserve">χειρας αυτων και </t>
    </r>
    <r>
      <rPr>
        <b/>
        <sz val="11"/>
        <color theme="1"/>
        <rFont val="Calibri"/>
        <family val="2"/>
        <scheme val="minor"/>
      </rPr>
      <t>λημψονται</t>
    </r>
  </si>
  <si>
    <r>
      <t xml:space="preserve">χειρας αυτων </t>
    </r>
    <r>
      <rPr>
        <b/>
        <sz val="11"/>
        <color theme="1"/>
        <rFont val="Calibri"/>
        <family val="2"/>
        <scheme val="minor"/>
      </rPr>
      <t>ληψονται</t>
    </r>
  </si>
  <si>
    <t>γνωται δη</t>
  </si>
  <si>
    <t>γνωτε δη</t>
  </si>
  <si>
    <t>ιδεται οτι</t>
  </si>
  <si>
    <t>ιδετε οτι</t>
  </si>
  <si>
    <t>των υιων μου</t>
  </si>
  <si>
    <t>των παιδων μου</t>
  </si>
  <si>
    <t>λεγεται τω κυριω</t>
  </si>
  <si>
    <t>λεγετε τω κυριω</t>
  </si>
  <si>
    <t>ταις αλωπεξιν</t>
  </si>
  <si>
    <t>ταις αλ αλωπεξιν</t>
  </si>
  <si>
    <t>τοις παιζοις μου</t>
  </si>
  <si>
    <t>τοις πεζοις μου</t>
  </si>
  <si>
    <t>απεκριθη βασιλευς</t>
  </si>
  <si>
    <t>απεκριθη ο βασιλευς</t>
  </si>
  <si>
    <t>(12) πολιν (13) και ιδου</t>
  </si>
  <si>
    <t>(12) πολιν (13) ιδου</t>
  </si>
  <si>
    <t>αρχοντων των πολεων</t>
  </si>
  <si>
    <t>πολεων -&gt; χωρων</t>
  </si>
  <si>
    <t>σοκχω αυτος</t>
  </si>
  <si>
    <t>σοκχωθ αυτος</t>
  </si>
  <si>
    <t>συνβοηθον μετ</t>
  </si>
  <si>
    <t>συμβοηθοι μετ</t>
  </si>
  <si>
    <t>παιδαρια αρχοντων</t>
  </si>
  <si>
    <t>παιδαρια των αρχοντων</t>
  </si>
  <si>
    <t>και η εις πολεμον</t>
  </si>
  <si>
    <t>και και εις πολεμον</t>
  </si>
  <si>
    <t>και και μη εξαλθατωσαν</t>
  </si>
  <si>
    <t>και μη εξαλθατωσαν</t>
  </si>
  <si>
    <t>(19) αυτων (20) επαταξεν</t>
  </si>
  <si>
    <t>(19) αυτων (20) και επαταξεν</t>
  </si>
  <si>
    <t>τον παρ αυτου</t>
  </si>
  <si>
    <t>τον ανδρα αυτου</t>
  </si>
  <si>
    <t>σωζεται υιος αδερ βασιλευς συριας</t>
  </si>
  <si>
    <t>σωζεται βασιλευς συριας υιος αδερ</t>
  </si>
  <si>
    <r>
      <t xml:space="preserve">εφ </t>
    </r>
    <r>
      <rPr>
        <b/>
        <sz val="11"/>
        <color theme="1"/>
        <rFont val="Calibri"/>
        <family val="2"/>
        <scheme val="minor"/>
      </rPr>
      <t>ιππου</t>
    </r>
    <r>
      <rPr>
        <sz val="11"/>
        <color theme="1"/>
        <rFont val="Calibri"/>
        <family val="2"/>
        <scheme val="minor"/>
      </rPr>
      <t xml:space="preserve"> συν ιππευσιν</t>
    </r>
  </si>
  <si>
    <r>
      <t xml:space="preserve">εφ </t>
    </r>
    <r>
      <rPr>
        <b/>
        <sz val="11"/>
        <color theme="1"/>
        <rFont val="Calibri"/>
        <family val="2"/>
        <scheme val="minor"/>
      </rPr>
      <t>ιππων</t>
    </r>
    <r>
      <rPr>
        <sz val="11"/>
        <color theme="1"/>
        <rFont val="Calibri"/>
        <family val="2"/>
        <scheme val="minor"/>
      </rPr>
      <t xml:space="preserve"> συνιπ ιππευσιν</t>
    </r>
  </si>
  <si>
    <t>ιππω</t>
  </si>
  <si>
    <r>
      <t xml:space="preserve">εφ ιππου </t>
    </r>
    <r>
      <rPr>
        <b/>
        <sz val="11"/>
        <color theme="1"/>
        <rFont val="Calibri"/>
        <family val="2"/>
        <scheme val="minor"/>
      </rPr>
      <t>συν</t>
    </r>
    <r>
      <rPr>
        <sz val="11"/>
        <color theme="1"/>
        <rFont val="Calibri"/>
        <family val="2"/>
        <scheme val="minor"/>
      </rPr>
      <t xml:space="preserve"> ιππευσιν</t>
    </r>
  </si>
  <si>
    <r>
      <t xml:space="preserve">εφ ιππων </t>
    </r>
    <r>
      <rPr>
        <b/>
        <sz val="11"/>
        <color theme="1"/>
        <rFont val="Calibri"/>
        <family val="2"/>
        <scheme val="minor"/>
      </rPr>
      <t>συνιπ</t>
    </r>
    <r>
      <rPr>
        <sz val="11"/>
        <color theme="1"/>
        <rFont val="Calibri"/>
        <family val="2"/>
        <scheme val="minor"/>
      </rPr>
      <t xml:space="preserve"> ιππευσιν</t>
    </r>
  </si>
  <si>
    <t>εξηλθεν βασιλευς συριας</t>
  </si>
  <si>
    <t>συριας -&gt; ισραηλ</t>
  </si>
  <si>
    <t>εκραταιωσαν</t>
  </si>
  <si>
    <t>ει μη κραταιωσομεν</t>
  </si>
  <si>
    <t>ει μην κραταιωσομεν</t>
  </si>
  <si>
    <t>δυναμειν κατα την δυναμιν</t>
  </si>
  <si>
    <t>δυναμιν κατα την δυναμιν</t>
  </si>
  <si>
    <t>και ακουσεν</t>
  </si>
  <si>
    <t>του θυ προς βασιλεα</t>
  </si>
  <si>
    <t>του θεου προς βασιλεα</t>
  </si>
  <si>
    <t>του θεου και ειπεν προς βασιλεα</t>
  </si>
  <si>
    <t>ανθ ων συρια θεος</t>
  </si>
  <si>
    <r>
      <t xml:space="preserve">ανθ ων συρια </t>
    </r>
    <r>
      <rPr>
        <b/>
        <sz val="11"/>
        <color theme="1"/>
        <rFont val="Calibri"/>
        <family val="2"/>
        <scheme val="minor"/>
      </rPr>
      <t>ο</t>
    </r>
    <r>
      <rPr>
        <sz val="11"/>
        <color theme="1"/>
        <rFont val="Calibri"/>
        <family val="2"/>
        <scheme val="minor"/>
      </rPr>
      <t xml:space="preserve"> θς</t>
    </r>
  </si>
  <si>
    <r>
      <t xml:space="preserve">ανθ </t>
    </r>
    <r>
      <rPr>
        <b/>
        <sz val="11"/>
        <color theme="1"/>
        <rFont val="Calibri"/>
        <family val="2"/>
        <scheme val="minor"/>
      </rPr>
      <t>ων συρια</t>
    </r>
    <r>
      <rPr>
        <sz val="11"/>
        <color theme="1"/>
        <rFont val="Calibri"/>
        <family val="2"/>
        <scheme val="minor"/>
      </rPr>
      <t xml:space="preserve"> ο θς</t>
    </r>
  </si>
  <si>
    <r>
      <t xml:space="preserve">ανθ </t>
    </r>
    <r>
      <rPr>
        <b/>
        <sz val="11"/>
        <color theme="1"/>
        <rFont val="Calibri"/>
        <family val="2"/>
        <scheme val="minor"/>
      </rPr>
      <t>ων συρια</t>
    </r>
    <r>
      <rPr>
        <sz val="11"/>
        <color theme="1"/>
        <rFont val="Calibri"/>
        <family val="2"/>
        <scheme val="minor"/>
      </rPr>
      <t xml:space="preserve"> θεος</t>
    </r>
  </si>
  <si>
    <t>ων ειπεν συρια</t>
  </si>
  <si>
    <r>
      <rPr>
        <b/>
        <sz val="11"/>
        <color theme="1"/>
        <rFont val="Calibri"/>
        <family val="2"/>
        <scheme val="minor"/>
      </rPr>
      <t>αυτος δωσει</t>
    </r>
    <r>
      <rPr>
        <sz val="11"/>
        <color theme="1"/>
        <rFont val="Calibri"/>
        <family val="2"/>
        <scheme val="minor"/>
      </rPr>
      <t xml:space="preserve"> την δυναμιν</t>
    </r>
  </si>
  <si>
    <t>add και between αυτος and δωσει</t>
  </si>
  <si>
    <r>
      <t xml:space="preserve">αυτος </t>
    </r>
    <r>
      <rPr>
        <b/>
        <sz val="11"/>
        <color theme="1"/>
        <rFont val="Calibri"/>
        <family val="2"/>
        <scheme val="minor"/>
      </rPr>
      <t>δωσει</t>
    </r>
    <r>
      <rPr>
        <sz val="11"/>
        <color theme="1"/>
        <rFont val="Calibri"/>
        <family val="2"/>
        <scheme val="minor"/>
      </rPr>
      <t xml:space="preserve"> την δυναμιν</t>
    </r>
  </si>
  <si>
    <t>δωσει -&gt; δωσω</t>
  </si>
  <si>
    <t>το τειχος επι</t>
  </si>
  <si>
    <t>το χειχος επι</t>
  </si>
  <si>
    <t>ανδρων των καταλοιπων</t>
  </si>
  <si>
    <t>ανδρων και των καταλοιπων</t>
  </si>
  <si>
    <t>κοιτωνος εις το</t>
  </si>
  <si>
    <t>κοιτωνος και εις το</t>
  </si>
  <si>
    <t>ιδου δη</t>
  </si>
  <si>
    <t>ιδε δη</t>
  </si>
  <si>
    <t>βασιλεις οικου ισλ</t>
  </si>
  <si>
    <t>βασιλεις ισραηλ</t>
  </si>
  <si>
    <t>σχονια</t>
  </si>
  <si>
    <t>ειπον τω βασιλει</t>
  </si>
  <si>
    <t>ειπαν τω βασιλει</t>
  </si>
  <si>
    <t>ειπεν ει ετι ζη</t>
  </si>
  <si>
    <t>ειπεν ετι ζη</t>
  </si>
  <si>
    <t>ειπεν αδελφος</t>
  </si>
  <si>
    <t>ειπεν -&gt; ειπαν</t>
  </si>
  <si>
    <t>υιος αδερ λεγει λεγει και ειπεν</t>
  </si>
  <si>
    <t>υιος αδερ λεγει και ειπεν</t>
  </si>
  <si>
    <t>αναβιβαζουσιν αυτον προς αυτον επι</t>
  </si>
  <si>
    <t>omit προς αυτον</t>
  </si>
  <si>
    <t>εν δαμασκω εξαποστελω</t>
  </si>
  <si>
    <t>δαμασκω -&gt; διαθηκη</t>
  </si>
  <si>
    <t>παταξον με δη και ουκ ηθελησεν</t>
  </si>
  <si>
    <t>παταξον δη με και ουκ ηθελησεν</t>
  </si>
  <si>
    <t>ευρισκει αυτον λεων</t>
  </si>
  <si>
    <t>ευρισκειν αυτον λεων</t>
  </si>
  <si>
    <t>και εστη τω βασιλει</t>
  </si>
  <si>
    <t>και εστω εστη τω βασιλει</t>
  </si>
  <si>
    <t>τελαμωνι</t>
  </si>
  <si>
    <t>ισλ ιδου και</t>
  </si>
  <si>
    <t>ισραηλ δου και</t>
  </si>
  <si>
    <t>και αφειλεν</t>
  </si>
  <si>
    <t>και αφ αφειλεν</t>
  </si>
  <si>
    <t>τελαμωνα</t>
  </si>
  <si>
    <t>εκ των προφητων ουτος</t>
  </si>
  <si>
    <r>
      <t xml:space="preserve">εκ </t>
    </r>
    <r>
      <rPr>
        <b/>
        <sz val="11"/>
        <color theme="1"/>
        <rFont val="Calibri"/>
        <family val="2"/>
        <scheme val="minor"/>
      </rPr>
      <t>ο</t>
    </r>
    <r>
      <rPr>
        <sz val="11"/>
        <color theme="1"/>
        <rFont val="Calibri"/>
        <family val="2"/>
        <scheme val="minor"/>
      </rPr>
      <t xml:space="preserve"> των προφητων ο υιος</t>
    </r>
  </si>
  <si>
    <r>
      <t xml:space="preserve">εκ των προφητων </t>
    </r>
    <r>
      <rPr>
        <b/>
        <sz val="11"/>
        <color theme="1"/>
        <rFont val="Calibri"/>
        <family val="2"/>
        <scheme val="minor"/>
      </rPr>
      <t>ουτος</t>
    </r>
  </si>
  <si>
    <r>
      <t xml:space="preserve">εκ ο των προφητων </t>
    </r>
    <r>
      <rPr>
        <b/>
        <sz val="11"/>
        <color theme="1"/>
        <rFont val="Calibri"/>
        <family val="2"/>
        <scheme val="minor"/>
      </rPr>
      <t>ο υιος</t>
    </r>
  </si>
  <si>
    <t>χειρος μου και</t>
  </si>
  <si>
    <t>μου -&gt; σου</t>
  </si>
  <si>
    <t>αμπελων ην εις τω ναβουθαι</t>
  </si>
  <si>
    <t>αμπελων εις ην τω ναβουθαι</t>
  </si>
  <si>
    <t>ναβουθαι τω ισραηλιτη</t>
  </si>
  <si>
    <t>ισραηλιταη -&gt; ιεζραηλιτη</t>
  </si>
  <si>
    <t>παρα τω αλω</t>
  </si>
  <si>
    <t>παρα τη αλω</t>
  </si>
  <si>
    <t>βασιλεως σαμαρειας</t>
  </si>
  <si>
    <t>βασιλεως σαριας σαμαρειας</t>
  </si>
  <si>
    <t>οτι εγγιων ουτος</t>
  </si>
  <si>
    <t>εγγιων -&gt;εγγιζων</t>
  </si>
  <si>
    <t>ειπεν ναβουθα προς</t>
  </si>
  <si>
    <t>ειπεν ναβουθαι προς</t>
  </si>
  <si>
    <t>οικον αυτου συγκεχυμενος</t>
  </si>
  <si>
    <t>οικον αυτου εκχεχυμενος</t>
  </si>
  <si>
    <t>ναβουθαι ο ισραηλιτης</t>
  </si>
  <si>
    <t>ναβουθαι ο ιεζραηλιτης</t>
  </si>
  <si>
    <t>η γυνη αυτου και εισηλθεν προς αυτον και ελαλησεν προς αυτον</t>
  </si>
  <si>
    <t>η γυνη αυτου και ελαλησεν προς αυτον</t>
  </si>
  <si>
    <t>ιεζραηλιτην</t>
  </si>
  <si>
    <t>αμπελωνα αλλον αντι τουτου και ειπεν</t>
  </si>
  <si>
    <t>αντι τουτου -&gt; αντ αυτου</t>
  </si>
  <si>
    <t>πατερων μου σοι (7) και</t>
  </si>
  <si>
    <t>omit σοι</t>
  </si>
  <si>
    <t>γυνη αυτου νυν ουτως ποιεις</t>
  </si>
  <si>
    <t>γυνη αυτου συ νυν ουτως ποιεις</t>
  </si>
  <si>
    <t>προς τους πρεσβυτερους και τους ελευθερους</t>
  </si>
  <si>
    <r>
      <t xml:space="preserve">προς τους πρεσβυτερους και </t>
    </r>
    <r>
      <rPr>
        <b/>
        <sz val="11"/>
        <color theme="1"/>
        <rFont val="Calibri"/>
        <family val="2"/>
        <scheme val="minor"/>
      </rPr>
      <t>προς</t>
    </r>
    <r>
      <rPr>
        <sz val="11"/>
        <color theme="1"/>
        <rFont val="Calibri"/>
        <family val="2"/>
        <scheme val="minor"/>
      </rPr>
      <t xml:space="preserve"> τους ελευθερους</t>
    </r>
  </si>
  <si>
    <t>οι ανδρες πολεως</t>
  </si>
  <si>
    <t>οι ανδρες της πολεως</t>
  </si>
  <si>
    <t>οι ελευθεροι οι καθημενοι</t>
  </si>
  <si>
    <t>οι ελευθεροι καθημενοι</t>
  </si>
  <si>
    <t>εκαλεσεν νηστιαν και εκαθισαν ναβουθαι</t>
  </si>
  <si>
    <r>
      <rPr>
        <b/>
        <sz val="11"/>
        <color theme="1"/>
        <rFont val="Calibri"/>
        <family val="2"/>
        <scheme val="minor"/>
      </rPr>
      <t>εκαλεσεν</t>
    </r>
    <r>
      <rPr>
        <sz val="11"/>
        <color theme="1"/>
        <rFont val="Calibri"/>
        <family val="2"/>
        <scheme val="minor"/>
      </rPr>
      <t xml:space="preserve"> νηστιαν και εκαθισαν τον ναβουθαι</t>
    </r>
  </si>
  <si>
    <r>
      <rPr>
        <b/>
        <sz val="11"/>
        <color theme="1"/>
        <rFont val="Calibri"/>
        <family val="2"/>
        <scheme val="minor"/>
      </rPr>
      <t>εκαλεσεν</t>
    </r>
    <r>
      <rPr>
        <sz val="11"/>
        <color theme="1"/>
        <rFont val="Calibri"/>
        <family val="2"/>
        <scheme val="minor"/>
      </rPr>
      <t xml:space="preserve"> νηστιαν και εκαθισαν ναβουθαι</t>
    </r>
  </si>
  <si>
    <r>
      <t xml:space="preserve">εκαλεσεν </t>
    </r>
    <r>
      <rPr>
        <b/>
        <sz val="11"/>
        <color theme="1"/>
        <rFont val="Calibri"/>
        <family val="2"/>
        <scheme val="minor"/>
      </rPr>
      <t>νηστιαν</t>
    </r>
    <r>
      <rPr>
        <sz val="11"/>
        <color theme="1"/>
        <rFont val="Calibri"/>
        <family val="2"/>
        <scheme val="minor"/>
      </rPr>
      <t xml:space="preserve"> και εκαθισαν τον ναβουθαι</t>
    </r>
  </si>
  <si>
    <r>
      <t xml:space="preserve">εκαλεσεν </t>
    </r>
    <r>
      <rPr>
        <b/>
        <sz val="11"/>
        <color theme="1"/>
        <rFont val="Calibri"/>
        <family val="2"/>
        <scheme val="minor"/>
      </rPr>
      <t>νηστιαν</t>
    </r>
    <r>
      <rPr>
        <sz val="11"/>
        <color theme="1"/>
        <rFont val="Calibri"/>
        <family val="2"/>
        <scheme val="minor"/>
      </rPr>
      <t xml:space="preserve"> και εκαθισαν ναβουθαι</t>
    </r>
  </si>
  <si>
    <r>
      <t xml:space="preserve">εκαλεσεν νηστιαν και εκαθισαν </t>
    </r>
    <r>
      <rPr>
        <b/>
        <sz val="11"/>
        <color theme="1"/>
        <rFont val="Calibri"/>
        <family val="2"/>
        <scheme val="minor"/>
      </rPr>
      <t>τον</t>
    </r>
    <r>
      <rPr>
        <sz val="11"/>
        <color theme="1"/>
        <rFont val="Calibri"/>
        <family val="2"/>
        <scheme val="minor"/>
      </rPr>
      <t xml:space="preserve"> ναβουθαι</t>
    </r>
  </si>
  <si>
    <t>εκαλεσαν</t>
  </si>
  <si>
    <t>ανδρες οι υιοι</t>
  </si>
  <si>
    <t>ανδρες υιοι</t>
  </si>
  <si>
    <t>της αποστασια του ναβουθαι</t>
  </si>
  <si>
    <t>της αποστασιας του ναβουθαι</t>
  </si>
  <si>
    <t>ηυλογησεν ναβουθαι</t>
  </si>
  <si>
    <t>ηυλογησαν ναβουθαι</t>
  </si>
  <si>
    <t>εδωκεν σοι αργυριου</t>
  </si>
  <si>
    <t>εδωκεν σου αργυριου</t>
  </si>
  <si>
    <t>ιεζραηλιτης</t>
  </si>
  <si>
    <t>περιεβαλετο σακκον</t>
  </si>
  <si>
    <t>περιεβαλεν το σακκον</t>
  </si>
  <si>
    <t>ανεστη αχααβ και κατεβη εις τον αμπελωνα</t>
  </si>
  <si>
    <r>
      <t xml:space="preserve">ανεστη αχααβ και κατεβη </t>
    </r>
    <r>
      <rPr>
        <b/>
        <sz val="11"/>
        <color theme="1"/>
        <rFont val="Calibri"/>
        <family val="2"/>
        <scheme val="minor"/>
      </rPr>
      <t>αχααβ</t>
    </r>
    <r>
      <rPr>
        <sz val="11"/>
        <color theme="1"/>
        <rFont val="Calibri"/>
        <family val="2"/>
        <scheme val="minor"/>
      </rPr>
      <t xml:space="preserve"> εις τον αμπελωνα</t>
    </r>
  </si>
  <si>
    <t>καταβεβηκεν</t>
  </si>
  <si>
    <t>λεγει κς ως συ</t>
  </si>
  <si>
    <t>λεγει κυριος συ</t>
  </si>
  <si>
    <t>εκληρονομησα δια τουτο</t>
  </si>
  <si>
    <t>εκληρονομησας δια τουτο</t>
  </si>
  <si>
    <t>ελειξαν</t>
  </si>
  <si>
    <t>κακα και</t>
  </si>
  <si>
    <t>κακαξ και</t>
  </si>
  <si>
    <t>εξολοθευσω</t>
  </si>
  <si>
    <t>εν τω παιδιω</t>
  </si>
  <si>
    <t>εν τω πεδιω</t>
  </si>
  <si>
    <t>αχααβ ως επραθη</t>
  </si>
  <si>
    <t>αμορραιος ων εξωλεθρευσεν</t>
  </si>
  <si>
    <t>ων -&gt; ον</t>
  </si>
  <si>
    <t>απο προσωπου κυ</t>
  </si>
  <si>
    <t>απο προσωπου α κυριου</t>
  </si>
  <si>
    <r>
      <rPr>
        <b/>
        <sz val="11"/>
        <color theme="1"/>
        <rFont val="Calibri"/>
        <family val="2"/>
        <scheme val="minor"/>
      </rPr>
      <t>εορακας</t>
    </r>
    <r>
      <rPr>
        <sz val="11"/>
        <color theme="1"/>
        <rFont val="Calibri"/>
        <family val="2"/>
        <scheme val="minor"/>
      </rPr>
      <t xml:space="preserve"> ως κατενυγη</t>
    </r>
  </si>
  <si>
    <r>
      <t xml:space="preserve">εορακας </t>
    </r>
    <r>
      <rPr>
        <b/>
        <sz val="11"/>
        <color theme="1"/>
        <rFont val="Calibri"/>
        <family val="2"/>
        <scheme val="minor"/>
      </rPr>
      <t>ως</t>
    </r>
    <r>
      <rPr>
        <sz val="11"/>
        <color theme="1"/>
        <rFont val="Calibri"/>
        <family val="2"/>
        <scheme val="minor"/>
      </rPr>
      <t xml:space="preserve"> κατενυγη</t>
    </r>
  </si>
  <si>
    <t>ημεραις του υιου</t>
  </si>
  <si>
    <t>ημεραις υιου</t>
  </si>
  <si>
    <t>οτι ημιν ρεμμαθ γαλααδ</t>
  </si>
  <si>
    <t>ρεμμαθ -&gt; ραμαθ</t>
  </si>
  <si>
    <t>ημις σιωπωμεν</t>
  </si>
  <si>
    <t>ημεις σιωπωμεν</t>
  </si>
  <si>
    <t>προφητας ωστε τριακοσιους</t>
  </si>
  <si>
    <t>προφητας τετρακοσιους</t>
  </si>
  <si>
    <t>προφητας ως τετρακοσιους</t>
  </si>
  <si>
    <t>οτι διδως δωσει</t>
  </si>
  <si>
    <t>διδως -&gt; διδους</t>
  </si>
  <si>
    <t>προς τον βασιλεα</t>
  </si>
  <si>
    <t>προς τον [] βασιλεα</t>
  </si>
  <si>
    <t>ουκετι και επερωτησομεν</t>
  </si>
  <si>
    <t>ουκ εστιν και επερωτησομεν</t>
  </si>
  <si>
    <t>εις το επερωτησαι</t>
  </si>
  <si>
    <t>εις του επερωτησαι</t>
  </si>
  <si>
    <r>
      <t xml:space="preserve">ιωσαφατ βασιλευς </t>
    </r>
    <r>
      <rPr>
        <b/>
        <sz val="11"/>
        <color theme="1"/>
        <rFont val="Calibri"/>
        <family val="2"/>
        <scheme val="minor"/>
      </rPr>
      <t>ιεδα</t>
    </r>
    <r>
      <rPr>
        <sz val="11"/>
        <color theme="1"/>
        <rFont val="Calibri"/>
        <family val="2"/>
        <scheme val="minor"/>
      </rPr>
      <t xml:space="preserve"> εκαθητο ανηρ</t>
    </r>
  </si>
  <si>
    <r>
      <t xml:space="preserve">ιωσαφατ βασιλευς </t>
    </r>
    <r>
      <rPr>
        <b/>
        <sz val="11"/>
        <color theme="1"/>
        <rFont val="Calibri"/>
        <family val="2"/>
        <scheme val="minor"/>
      </rPr>
      <t>ιουδα</t>
    </r>
    <r>
      <rPr>
        <sz val="11"/>
        <color theme="1"/>
        <rFont val="Calibri"/>
        <family val="2"/>
        <scheme val="minor"/>
      </rPr>
      <t xml:space="preserve"> εκαθητο ανηρ</t>
    </r>
  </si>
  <si>
    <r>
      <t xml:space="preserve">ιωσαφατ βασιλευς ιουδα </t>
    </r>
    <r>
      <rPr>
        <b/>
        <sz val="11"/>
        <color theme="1"/>
        <rFont val="Calibri"/>
        <family val="2"/>
        <scheme val="minor"/>
      </rPr>
      <t>εκαθητο</t>
    </r>
    <r>
      <rPr>
        <sz val="11"/>
        <color theme="1"/>
        <rFont val="Calibri"/>
        <family val="2"/>
        <scheme val="minor"/>
      </rPr>
      <t xml:space="preserve"> ανηρ</t>
    </r>
  </si>
  <si>
    <r>
      <t xml:space="preserve">ιωσαφατ βασιλευς ιεδα </t>
    </r>
    <r>
      <rPr>
        <b/>
        <sz val="11"/>
        <color theme="1"/>
        <rFont val="Calibri"/>
        <family val="2"/>
        <scheme val="minor"/>
      </rPr>
      <t>εκαθητο</t>
    </r>
    <r>
      <rPr>
        <sz val="11"/>
        <color theme="1"/>
        <rFont val="Calibri"/>
        <family val="2"/>
        <scheme val="minor"/>
      </rPr>
      <t xml:space="preserve"> ανηρ</t>
    </r>
  </si>
  <si>
    <r>
      <t xml:space="preserve">εν ταις </t>
    </r>
    <r>
      <rPr>
        <b/>
        <sz val="11"/>
        <color theme="1"/>
        <rFont val="Calibri"/>
        <family val="2"/>
        <scheme val="minor"/>
      </rPr>
      <t>πυλεσιν</t>
    </r>
    <r>
      <rPr>
        <sz val="11"/>
        <color theme="1"/>
        <rFont val="Calibri"/>
        <family val="2"/>
        <scheme val="minor"/>
      </rPr>
      <t xml:space="preserve"> σαμαρειας και παντες</t>
    </r>
  </si>
  <si>
    <r>
      <t xml:space="preserve">εν ταις </t>
    </r>
    <r>
      <rPr>
        <b/>
        <sz val="11"/>
        <color theme="1"/>
        <rFont val="Calibri"/>
        <family val="2"/>
        <scheme val="minor"/>
      </rPr>
      <t>πυλαις</t>
    </r>
    <r>
      <rPr>
        <sz val="11"/>
        <color theme="1"/>
        <rFont val="Calibri"/>
        <family val="2"/>
        <scheme val="minor"/>
      </rPr>
      <t xml:space="preserve"> σαμαριας και παντες</t>
    </r>
  </si>
  <si>
    <r>
      <t xml:space="preserve">εν ταις πυλεσιν </t>
    </r>
    <r>
      <rPr>
        <b/>
        <sz val="11"/>
        <color theme="1"/>
        <rFont val="Calibri"/>
        <family val="2"/>
        <scheme val="minor"/>
      </rPr>
      <t>σαμαρειας</t>
    </r>
    <r>
      <rPr>
        <sz val="11"/>
        <color theme="1"/>
        <rFont val="Calibri"/>
        <family val="2"/>
        <scheme val="minor"/>
      </rPr>
      <t xml:space="preserve"> και παντες</t>
    </r>
  </si>
  <si>
    <r>
      <t xml:space="preserve">εν ταις πυλαις </t>
    </r>
    <r>
      <rPr>
        <b/>
        <sz val="11"/>
        <color theme="1"/>
        <rFont val="Calibri"/>
        <family val="2"/>
        <scheme val="minor"/>
      </rPr>
      <t>σαμαριας</t>
    </r>
    <r>
      <rPr>
        <sz val="11"/>
        <color theme="1"/>
        <rFont val="Calibri"/>
        <family val="2"/>
        <scheme val="minor"/>
      </rPr>
      <t xml:space="preserve"> και παντες</t>
    </r>
  </si>
  <si>
    <t>εποιησεν αυτω</t>
  </si>
  <si>
    <t>εποιησεν εαυτω</t>
  </si>
  <si>
    <t>προφηται προεφητευον</t>
  </si>
  <si>
    <t>προφηται επροφητευον</t>
  </si>
  <si>
    <t>βασιλεως καινου δη</t>
  </si>
  <si>
    <t>καινου -&gt; γινου</t>
  </si>
  <si>
    <t>συ εις λογους σου</t>
  </si>
  <si>
    <t>συ τους λογους σου</t>
  </si>
  <si>
    <t>συ εν τοις λογοις σου</t>
  </si>
  <si>
    <t>μιχαια ει αναβω</t>
  </si>
  <si>
    <t>μιχαια ει ει αναβω</t>
  </si>
  <si>
    <t>λαλησης προς με</t>
  </si>
  <si>
    <t>λαλησει προς με</t>
  </si>
  <si>
    <t>εν ειρηνην</t>
  </si>
  <si>
    <t>εν ειρηνη</t>
  </si>
  <si>
    <t>πασα η στρα του ουρανου</t>
  </si>
  <si>
    <t>πασα η στρατου ουρανου</t>
  </si>
  <si>
    <t>πασα η στρατια του ουρανου</t>
  </si>
  <si>
    <t>ουρανου ιστηκει</t>
  </si>
  <si>
    <t>ουρανου ειστηκει</t>
  </si>
  <si>
    <t>εξ δεξιων αυτου και εξ ευωνυμων αυτου</t>
  </si>
  <si>
    <t>εξ δεξιων και εξ ευωνυμων αυτου</t>
  </si>
  <si>
    <t>γαλααδ και ειπεν ουτος ουτως (21) και εξηλθεν</t>
  </si>
  <si>
    <t>γαλααδ και ειπεν ουτος ουτως και ουτος ουτως (21) και εξηλθεν</t>
  </si>
  <si>
    <t>εν στοματι παντων</t>
  </si>
  <si>
    <t>εν στομααι παντων</t>
  </si>
  <si>
    <t>δυνηση εξελθε</t>
  </si>
  <si>
    <t>δυνησει εξελθε</t>
  </si>
  <si>
    <t>των προφητων</t>
  </si>
  <si>
    <t>των φ προφητων</t>
  </si>
  <si>
    <t>επι την σιαγονα</t>
  </si>
  <si>
    <t>επι τω σιαγονα</t>
  </si>
  <si>
    <t>εμου το λαλησαν</t>
  </si>
  <si>
    <t>εμου του λαλησαι</t>
  </si>
  <si>
    <t>και ειπεν μιχαιας ιδου</t>
  </si>
  <si>
    <t>και ειπεν μιχαιας μιχαιας ιδου</t>
  </si>
  <si>
    <t>οψηση τη ημερα</t>
  </si>
  <si>
    <r>
      <rPr>
        <b/>
        <sz val="11"/>
        <color theme="1"/>
        <rFont val="Calibri"/>
        <family val="2"/>
        <scheme val="minor"/>
      </rPr>
      <t>οψη</t>
    </r>
    <r>
      <rPr>
        <sz val="11"/>
        <color theme="1"/>
        <rFont val="Calibri"/>
        <family val="2"/>
        <scheme val="minor"/>
      </rPr>
      <t xml:space="preserve"> εν τη ημερα</t>
    </r>
  </si>
  <si>
    <r>
      <rPr>
        <b/>
        <sz val="11"/>
        <color theme="1"/>
        <rFont val="Calibri"/>
        <family val="2"/>
        <scheme val="minor"/>
      </rPr>
      <t>οψηση</t>
    </r>
    <r>
      <rPr>
        <sz val="11"/>
        <color theme="1"/>
        <rFont val="Calibri"/>
        <family val="2"/>
        <scheme val="minor"/>
      </rPr>
      <t xml:space="preserve"> τη ημερα</t>
    </r>
  </si>
  <si>
    <r>
      <t xml:space="preserve">οψη </t>
    </r>
    <r>
      <rPr>
        <b/>
        <sz val="11"/>
        <color theme="1"/>
        <rFont val="Calibri"/>
        <family val="2"/>
        <scheme val="minor"/>
      </rPr>
      <t>εν</t>
    </r>
    <r>
      <rPr>
        <sz val="11"/>
        <color theme="1"/>
        <rFont val="Calibri"/>
        <family val="2"/>
        <scheme val="minor"/>
      </rPr>
      <t xml:space="preserve"> τη ημερα</t>
    </r>
  </si>
  <si>
    <t>ταμιειον του ταμιειου</t>
  </si>
  <si>
    <t>ταμιειον εκ του ταμιειου</t>
  </si>
  <si>
    <r>
      <rPr>
        <b/>
        <sz val="11"/>
        <color theme="1"/>
        <rFont val="Calibri"/>
        <family val="2"/>
        <scheme val="minor"/>
      </rPr>
      <t>βασιλευς</t>
    </r>
    <r>
      <rPr>
        <sz val="11"/>
        <color theme="1"/>
        <rFont val="Calibri"/>
        <family val="2"/>
        <scheme val="minor"/>
      </rPr>
      <t xml:space="preserve"> λαβεται τον μιχαιαν</t>
    </r>
  </si>
  <si>
    <r>
      <rPr>
        <b/>
        <sz val="11"/>
        <color theme="1"/>
        <rFont val="Calibri"/>
        <family val="2"/>
        <scheme val="minor"/>
      </rPr>
      <t>βασιλευς</t>
    </r>
    <r>
      <rPr>
        <sz val="11"/>
        <color theme="1"/>
        <rFont val="Calibri"/>
        <family val="2"/>
        <scheme val="minor"/>
      </rPr>
      <t xml:space="preserve"> συλλαβετε τον μιχαιαν</t>
    </r>
  </si>
  <si>
    <r>
      <t xml:space="preserve">βασιλευς </t>
    </r>
    <r>
      <rPr>
        <b/>
        <sz val="11"/>
        <color theme="1"/>
        <rFont val="Calibri"/>
        <family val="2"/>
        <scheme val="minor"/>
      </rPr>
      <t>λαβεται</t>
    </r>
    <r>
      <rPr>
        <sz val="11"/>
        <color theme="1"/>
        <rFont val="Calibri"/>
        <family val="2"/>
        <scheme val="minor"/>
      </rPr>
      <t xml:space="preserve"> τον μιχαιαν</t>
    </r>
  </si>
  <si>
    <r>
      <t xml:space="preserve">βασιλευς </t>
    </r>
    <r>
      <rPr>
        <b/>
        <sz val="11"/>
        <color theme="1"/>
        <rFont val="Calibri"/>
        <family val="2"/>
        <scheme val="minor"/>
      </rPr>
      <t>συλλαβετε</t>
    </r>
    <r>
      <rPr>
        <sz val="11"/>
        <color theme="1"/>
        <rFont val="Calibri"/>
        <family val="2"/>
        <scheme val="minor"/>
      </rPr>
      <t xml:space="preserve"> τον μιχαιαν</t>
    </r>
  </si>
  <si>
    <t>βασιλευς ισραηλ</t>
  </si>
  <si>
    <t>επιστρεψωμεν εν ειρηνη</t>
  </si>
  <si>
    <t>επιστρεψαι με εν ειρηνη</t>
  </si>
  <si>
    <t>εαν επιστρεφων</t>
  </si>
  <si>
    <t>αρματων των ιωσαφατ</t>
  </si>
  <si>
    <t>αρματων τον ιωσαφατ</t>
  </si>
  <si>
    <t>και ενετεινεν</t>
  </si>
  <si>
    <t>και απετεινεν</t>
  </si>
  <si>
    <t>εις τοξον</t>
  </si>
  <si>
    <t>εις το τοξον</t>
  </si>
  <si>
    <t>επαταξεν τον βασιλεα</t>
  </si>
  <si>
    <t>επαταξεν βασιλεα</t>
  </si>
  <si>
    <t>απεχυνε</t>
  </si>
  <si>
    <t>και απενιψαν το αρμα</t>
  </si>
  <si>
    <t>και ενιψαντο αρμα</t>
  </si>
  <si>
    <t>εξελειξαν</t>
  </si>
  <si>
    <t>και οι κυνες</t>
  </si>
  <si>
    <t>και αι οι κυνες</t>
  </si>
  <si>
    <t>εποιησεν και ιδου</t>
  </si>
  <si>
    <t>και -&gt; ουκ</t>
  </si>
  <si>
    <t>εν βιβλιου λογων</t>
  </si>
  <si>
    <t>βιβλιου -&gt; βιβλιω</t>
  </si>
  <si>
    <t>ημερων των βασιλεων</t>
  </si>
  <si>
    <t>ημερων βασιλεων</t>
  </si>
  <si>
    <t>ετει τεταρτω τω αχααβ  εβασιλευσεν</t>
  </si>
  <si>
    <r>
      <rPr>
        <b/>
        <sz val="11"/>
        <color theme="1"/>
        <rFont val="Calibri"/>
        <family val="2"/>
        <scheme val="minor"/>
      </rPr>
      <t>ετι</t>
    </r>
    <r>
      <rPr>
        <sz val="11"/>
        <color theme="1"/>
        <rFont val="Calibri"/>
        <family val="2"/>
        <scheme val="minor"/>
      </rPr>
      <t xml:space="preserve"> τεταρτω τω αχααβ βασιλεως ισλ εβασιλευσεν</t>
    </r>
  </si>
  <si>
    <r>
      <rPr>
        <b/>
        <sz val="11"/>
        <color theme="1"/>
        <rFont val="Calibri"/>
        <family val="2"/>
        <scheme val="minor"/>
      </rPr>
      <t>ετει</t>
    </r>
    <r>
      <rPr>
        <sz val="11"/>
        <color theme="1"/>
        <rFont val="Calibri"/>
        <family val="2"/>
        <scheme val="minor"/>
      </rPr>
      <t xml:space="preserve"> τεταρτω τω αχααβ  εβασιλευσεν</t>
    </r>
  </si>
  <si>
    <r>
      <t xml:space="preserve">ετι τεταρτω </t>
    </r>
    <r>
      <rPr>
        <b/>
        <sz val="11"/>
        <color theme="1"/>
        <rFont val="Calibri"/>
        <family val="2"/>
        <scheme val="minor"/>
      </rPr>
      <t>τω</t>
    </r>
    <r>
      <rPr>
        <sz val="11"/>
        <color theme="1"/>
        <rFont val="Calibri"/>
        <family val="2"/>
        <scheme val="minor"/>
      </rPr>
      <t xml:space="preserve"> αχααβ βασιλεως ισλ εβασιλευσεν</t>
    </r>
  </si>
  <si>
    <r>
      <t xml:space="preserve">ετει τεταρτω </t>
    </r>
    <r>
      <rPr>
        <b/>
        <sz val="11"/>
        <color theme="1"/>
        <rFont val="Calibri"/>
        <family val="2"/>
        <scheme val="minor"/>
      </rPr>
      <t>τω</t>
    </r>
    <r>
      <rPr>
        <sz val="11"/>
        <color theme="1"/>
        <rFont val="Calibri"/>
        <family val="2"/>
        <scheme val="minor"/>
      </rPr>
      <t xml:space="preserve"> αχααβ  εβασιλευσεν</t>
    </r>
  </si>
  <si>
    <r>
      <t xml:space="preserve">ετι τεταρτω τω αχααβ </t>
    </r>
    <r>
      <rPr>
        <b/>
        <sz val="11"/>
        <color theme="1"/>
        <rFont val="Calibri"/>
        <family val="2"/>
        <scheme val="minor"/>
      </rPr>
      <t>βασιλεως ισλ</t>
    </r>
    <r>
      <rPr>
        <sz val="11"/>
        <color theme="1"/>
        <rFont val="Calibri"/>
        <family val="2"/>
        <scheme val="minor"/>
      </rPr>
      <t xml:space="preserve"> εβασιλευσεν</t>
    </r>
  </si>
  <si>
    <t>ιωσαφ υιος</t>
  </si>
  <si>
    <t>ιωσαφατ υιος</t>
  </si>
  <si>
    <t>μετα βασιλεων ισλ</t>
  </si>
  <si>
    <t>μετα βασιλεων ισραηλ</t>
  </si>
  <si>
    <t>βασιλεων -&gt; βασιλεως</t>
  </si>
  <si>
    <t>ιωσαφατ και αι δυναστιαι αυτου οσα εποιησεν</t>
  </si>
  <si>
    <t>ιωσαφατ και αι δυναστειαι αυτου οσα εποιησεν</t>
  </si>
  <si>
    <t>ουχ υπελειφθη</t>
  </si>
  <si>
    <t>ουχ -&gt; ου</t>
  </si>
  <si>
    <t>ασεων γαβερ</t>
  </si>
  <si>
    <t>ασιων γαβερ</t>
  </si>
  <si>
    <t>δουλων μου και ταις ναυσιν</t>
  </si>
  <si>
    <t>δουλων μου εν ταις ναυσιν</t>
  </si>
  <si>
    <t>επτακαιδεκα του ιωσαφατ</t>
  </si>
  <si>
    <t>επτακαιδεκατω ιωσαφατ</t>
  </si>
  <si>
    <t>ηθετησεν μωαβ εν ιηλ</t>
  </si>
  <si>
    <t>ηθετησεν ισραηλ εν μωαβ εν ισραηλ</t>
  </si>
  <si>
    <t>δια του δικτυωτου τουτου εν τω υπερωω</t>
  </si>
  <si>
    <t>δια του δικτυου τουτου εν τω υπερωω</t>
  </si>
  <si>
    <t>εν τη βααλ μυιαν</t>
  </si>
  <si>
    <t>τη -&gt; τω</t>
  </si>
  <si>
    <t>επερωτησαι δι αυτων</t>
  </si>
  <si>
    <t>επερωτησαι δια αυτων</t>
  </si>
  <si>
    <t>επερωτησαι δι αυτου</t>
  </si>
  <si>
    <t>υμεις πορευεσθαι</t>
  </si>
  <si>
    <t>επορευεσθε</t>
  </si>
  <si>
    <t>βααλ μυιαν</t>
  </si>
  <si>
    <t>βααλ μυι μυιαν</t>
  </si>
  <si>
    <t>κς ει παρα</t>
  </si>
  <si>
    <t>κυριος ει μ παρα</t>
  </si>
  <si>
    <t>ειναι θν εν ιλημ συ πορευη</t>
  </si>
  <si>
    <r>
      <t xml:space="preserve">ειναι </t>
    </r>
    <r>
      <rPr>
        <b/>
        <sz val="11"/>
        <color theme="1"/>
        <rFont val="Calibri"/>
        <family val="2"/>
        <scheme val="minor"/>
      </rPr>
      <t>τον</t>
    </r>
    <r>
      <rPr>
        <sz val="11"/>
        <color theme="1"/>
        <rFont val="Calibri"/>
        <family val="2"/>
        <scheme val="minor"/>
      </rPr>
      <t xml:space="preserve"> θεον εν ιερουσαλημ συ β πορευη</t>
    </r>
  </si>
  <si>
    <r>
      <t xml:space="preserve">ειναι θν εν </t>
    </r>
    <r>
      <rPr>
        <b/>
        <sz val="11"/>
        <color theme="1"/>
        <rFont val="Calibri"/>
        <family val="2"/>
        <scheme val="minor"/>
      </rPr>
      <t>ιλημ</t>
    </r>
    <r>
      <rPr>
        <sz val="11"/>
        <color theme="1"/>
        <rFont val="Calibri"/>
        <family val="2"/>
        <scheme val="minor"/>
      </rPr>
      <t xml:space="preserve"> συ πορευη</t>
    </r>
  </si>
  <si>
    <r>
      <t xml:space="preserve">ειναι τον θεον εν </t>
    </r>
    <r>
      <rPr>
        <b/>
        <sz val="11"/>
        <color theme="1"/>
        <rFont val="Calibri"/>
        <family val="2"/>
        <scheme val="minor"/>
      </rPr>
      <t>ιερουσαλημ</t>
    </r>
    <r>
      <rPr>
        <sz val="11"/>
        <color theme="1"/>
        <rFont val="Calibri"/>
        <family val="2"/>
        <scheme val="minor"/>
      </rPr>
      <t xml:space="preserve"> συ β πορευη</t>
    </r>
  </si>
  <si>
    <r>
      <t xml:space="preserve">ειναι τον θεον εν ιερουσαλημ συ </t>
    </r>
    <r>
      <rPr>
        <b/>
        <sz val="11"/>
        <color theme="1"/>
        <rFont val="Calibri"/>
        <family val="2"/>
        <scheme val="minor"/>
      </rPr>
      <t>β</t>
    </r>
    <r>
      <rPr>
        <sz val="11"/>
        <color theme="1"/>
        <rFont val="Calibri"/>
        <family val="2"/>
        <scheme val="minor"/>
      </rPr>
      <t xml:space="preserve"> πορευη</t>
    </r>
  </si>
  <si>
    <r>
      <t xml:space="preserve">ουχ </t>
    </r>
    <r>
      <rPr>
        <b/>
        <sz val="11"/>
        <color theme="1"/>
        <rFont val="Calibri"/>
        <family val="2"/>
        <scheme val="minor"/>
      </rPr>
      <t>ουτως εφ ης</t>
    </r>
    <r>
      <rPr>
        <sz val="11"/>
        <color theme="1"/>
        <rFont val="Calibri"/>
        <family val="2"/>
        <scheme val="minor"/>
      </rPr>
      <t xml:space="preserve"> ανεβης οτι ου καταβηση</t>
    </r>
  </si>
  <si>
    <r>
      <t xml:space="preserve">ουχ </t>
    </r>
    <r>
      <rPr>
        <b/>
        <sz val="11"/>
        <color theme="1"/>
        <rFont val="Calibri"/>
        <family val="2"/>
        <scheme val="minor"/>
      </rPr>
      <t>ουτως εφης</t>
    </r>
    <r>
      <rPr>
        <sz val="11"/>
        <color theme="1"/>
        <rFont val="Calibri"/>
        <family val="2"/>
        <scheme val="minor"/>
      </rPr>
      <t xml:space="preserve"> ανεβης οτι ου καταβηση</t>
    </r>
  </si>
  <si>
    <t>ουτως η κλινη εφ ης</t>
  </si>
  <si>
    <r>
      <t xml:space="preserve">ουχ ουτως εφ ης ανεβης </t>
    </r>
    <r>
      <rPr>
        <b/>
        <sz val="11"/>
        <color theme="1"/>
        <rFont val="Calibri"/>
        <family val="2"/>
        <scheme val="minor"/>
      </rPr>
      <t>οτι</t>
    </r>
    <r>
      <rPr>
        <sz val="11"/>
        <color theme="1"/>
        <rFont val="Calibri"/>
        <family val="2"/>
        <scheme val="minor"/>
      </rPr>
      <t xml:space="preserve"> ου καταβηση</t>
    </r>
  </si>
  <si>
    <r>
      <t xml:space="preserve">ουχ ουτως εφης ανεβης </t>
    </r>
    <r>
      <rPr>
        <b/>
        <sz val="11"/>
        <color theme="1"/>
        <rFont val="Calibri"/>
        <family val="2"/>
        <scheme val="minor"/>
      </rPr>
      <t>οτι</t>
    </r>
    <r>
      <rPr>
        <sz val="11"/>
        <color theme="1"/>
        <rFont val="Calibri"/>
        <family val="2"/>
        <scheme val="minor"/>
      </rPr>
      <t xml:space="preserve"> ου καταβηση</t>
    </r>
  </si>
  <si>
    <t>omit οτι</t>
  </si>
  <si>
    <r>
      <t xml:space="preserve">(6) </t>
    </r>
    <r>
      <rPr>
        <b/>
        <sz val="11"/>
        <color theme="1"/>
        <rFont val="Calibri"/>
        <family val="2"/>
        <scheme val="minor"/>
      </rPr>
      <t>αποθανη (7) και</t>
    </r>
    <r>
      <rPr>
        <sz val="11"/>
        <color theme="1"/>
        <rFont val="Calibri"/>
        <family val="2"/>
        <scheme val="minor"/>
      </rPr>
      <t xml:space="preserve"> ελαλησεν προς αυτους</t>
    </r>
  </si>
  <si>
    <r>
      <t xml:space="preserve">(6) αποθανη (7) και </t>
    </r>
    <r>
      <rPr>
        <b/>
        <sz val="11"/>
        <color theme="1"/>
        <rFont val="Calibri"/>
        <family val="2"/>
        <scheme val="minor"/>
      </rPr>
      <t>ελαλησεν</t>
    </r>
    <r>
      <rPr>
        <sz val="11"/>
        <color theme="1"/>
        <rFont val="Calibri"/>
        <family val="2"/>
        <scheme val="minor"/>
      </rPr>
      <t xml:space="preserve"> προς αυτους</t>
    </r>
  </si>
  <si>
    <r>
      <t xml:space="preserve">(6) αποθανη (7) ει και </t>
    </r>
    <r>
      <rPr>
        <b/>
        <sz val="11"/>
        <color theme="1"/>
        <rFont val="Calibri"/>
        <family val="2"/>
        <scheme val="minor"/>
      </rPr>
      <t>ειπεν</t>
    </r>
    <r>
      <rPr>
        <sz val="11"/>
        <color theme="1"/>
        <rFont val="Calibri"/>
        <family val="2"/>
        <scheme val="minor"/>
      </rPr>
      <t xml:space="preserve"> προς αυτους</t>
    </r>
  </si>
  <si>
    <t>και καταφαγεται</t>
  </si>
  <si>
    <t>και τ καταφαγεται</t>
  </si>
  <si>
    <t>γονατα εαυτου</t>
  </si>
  <si>
    <t>γονατα αυτου</t>
  </si>
  <si>
    <t>ψυχη μου και η ψυχη των δουλων σου</t>
  </si>
  <si>
    <t>ψυχη σου και η ψυχη των δουλων σου</t>
  </si>
  <si>
    <t>προς ηλιου</t>
  </si>
  <si>
    <t>προς αυτον ηλιου</t>
  </si>
  <si>
    <t>ων εξαπεστειλας</t>
  </si>
  <si>
    <t>ων [] εξαπεστειλας</t>
  </si>
  <si>
    <t>σαμαρια ετη δυο εν ετει οκτωκαιδεκατω</t>
  </si>
  <si>
    <r>
      <rPr>
        <b/>
        <sz val="11"/>
        <color theme="1"/>
        <rFont val="Calibri"/>
        <family val="2"/>
        <scheme val="minor"/>
      </rPr>
      <t>σαμαρια</t>
    </r>
    <r>
      <rPr>
        <sz val="11"/>
        <color theme="1"/>
        <rFont val="Calibri"/>
        <family val="2"/>
        <scheme val="minor"/>
      </rPr>
      <t xml:space="preserve"> ετη δυο εν ετει οκτωκαιδεκατω</t>
    </r>
  </si>
  <si>
    <r>
      <rPr>
        <b/>
        <sz val="11"/>
        <color theme="1"/>
        <rFont val="Calibri"/>
        <family val="2"/>
        <scheme val="minor"/>
      </rPr>
      <t>σαμαρεια</t>
    </r>
    <r>
      <rPr>
        <sz val="11"/>
        <color theme="1"/>
        <rFont val="Calibri"/>
        <family val="2"/>
        <scheme val="minor"/>
      </rPr>
      <t xml:space="preserve"> ετη δεκα δυο εν ετει οκτωκαιδεκτω</t>
    </r>
  </si>
  <si>
    <r>
      <t xml:space="preserve">σαμαρεια ετη </t>
    </r>
    <r>
      <rPr>
        <b/>
        <sz val="11"/>
        <color theme="1"/>
        <rFont val="Calibri"/>
        <family val="2"/>
        <scheme val="minor"/>
      </rPr>
      <t>δεκα</t>
    </r>
    <r>
      <rPr>
        <sz val="11"/>
        <color theme="1"/>
        <rFont val="Calibri"/>
        <family val="2"/>
        <scheme val="minor"/>
      </rPr>
      <t xml:space="preserve"> δυο εν ετει οκτωκαιδεκτω</t>
    </r>
  </si>
  <si>
    <r>
      <t xml:space="preserve">σαμαρια ετη δυο εν ετει </t>
    </r>
    <r>
      <rPr>
        <b/>
        <sz val="11"/>
        <color theme="1"/>
        <rFont val="Calibri"/>
        <family val="2"/>
        <scheme val="minor"/>
      </rPr>
      <t>οκτωκαιδεκατω</t>
    </r>
  </si>
  <si>
    <r>
      <t xml:space="preserve">σαμαρεια ετη δεκα δυο εν ετει </t>
    </r>
    <r>
      <rPr>
        <b/>
        <sz val="11"/>
        <color theme="1"/>
        <rFont val="Calibri"/>
        <family val="2"/>
        <scheme val="minor"/>
      </rPr>
      <t>οκτωκαιδεκτω</t>
    </r>
  </si>
  <si>
    <t>ουδ ως η μηρ</t>
  </si>
  <si>
    <t>ουδε ως η μητηρ</t>
  </si>
  <si>
    <t>απεστησεν τας στηλας</t>
  </si>
  <si>
    <t>απεστειλεν τας στηλας</t>
  </si>
  <si>
    <r>
      <t xml:space="preserve">ιωραμ </t>
    </r>
    <r>
      <rPr>
        <b/>
        <sz val="11"/>
        <color theme="1"/>
        <rFont val="Calibri"/>
        <family val="2"/>
        <scheme val="minor"/>
      </rPr>
      <t>υιω</t>
    </r>
    <r>
      <rPr>
        <sz val="11"/>
        <color theme="1"/>
        <rFont val="Calibri"/>
        <family val="2"/>
        <scheme val="minor"/>
      </rPr>
      <t xml:space="preserve"> ιωσαφατ βασ[ι]λει ιουδα</t>
    </r>
  </si>
  <si>
    <r>
      <t xml:space="preserve">ιωραμ υιω ιωσαφατ </t>
    </r>
    <r>
      <rPr>
        <b/>
        <sz val="11"/>
        <color theme="1"/>
        <rFont val="Calibri"/>
        <family val="2"/>
        <scheme val="minor"/>
      </rPr>
      <t>βασ[ι]λει</t>
    </r>
    <r>
      <rPr>
        <sz val="11"/>
        <color theme="1"/>
        <rFont val="Calibri"/>
        <family val="2"/>
        <scheme val="minor"/>
      </rPr>
      <t xml:space="preserve"> ιουδα</t>
    </r>
  </si>
  <si>
    <r>
      <t xml:space="preserve">ιωραμ </t>
    </r>
    <r>
      <rPr>
        <b/>
        <sz val="11"/>
        <color theme="1"/>
        <rFont val="Calibri"/>
        <family val="2"/>
        <scheme val="minor"/>
      </rPr>
      <t>υιω</t>
    </r>
    <r>
      <rPr>
        <sz val="11"/>
        <color theme="1"/>
        <rFont val="Calibri"/>
        <family val="2"/>
        <scheme val="minor"/>
      </rPr>
      <t xml:space="preserve"> ιωσαφατ βασιλει ιουδα</t>
    </r>
  </si>
  <si>
    <r>
      <t xml:space="preserve">ιωραμ υιω ιωσαφατ </t>
    </r>
    <r>
      <rPr>
        <b/>
        <sz val="11"/>
        <color theme="1"/>
        <rFont val="Calibri"/>
        <family val="2"/>
        <scheme val="minor"/>
      </rPr>
      <t>βασιλει</t>
    </r>
    <r>
      <rPr>
        <sz val="11"/>
        <color theme="1"/>
        <rFont val="Calibri"/>
        <family val="2"/>
        <scheme val="minor"/>
      </rPr>
      <t xml:space="preserve"> ιουδα</t>
    </r>
  </si>
  <si>
    <t>λογων οχοζιου οσα</t>
  </si>
  <si>
    <t>λογων οχοζια οσα</t>
  </si>
  <si>
    <t>ημερων τοις βασιλευσιν ιηλ</t>
  </si>
  <si>
    <t>προς ελισαιε</t>
  </si>
  <si>
    <t>προς ηλ ελισαιε</t>
  </si>
  <si>
    <t>οι εις βαιθηλ</t>
  </si>
  <si>
    <t>εις -&gt; εν</t>
  </si>
  <si>
    <t>εγνωκα σιωπατε</t>
  </si>
  <si>
    <t>εγνω και σιωπατε</t>
  </si>
  <si>
    <t>απεσταλκεν με εις ιερειχω</t>
  </si>
  <si>
    <t>απεσταλκεν μει εις ιεριχω</t>
  </si>
  <si>
    <t>ει εγκαταλειψω</t>
  </si>
  <si>
    <t>ει καταλειψω</t>
  </si>
  <si>
    <t>και γε εγω εγνωκα σιωπατε</t>
  </si>
  <si>
    <t>ειπεν αυτω ηλιου</t>
  </si>
  <si>
    <t>ειπεν ηλιου</t>
  </si>
  <si>
    <t>διηρεθη</t>
  </si>
  <si>
    <t>επορευοντο και</t>
  </si>
  <si>
    <t>επορευοντον και</t>
  </si>
  <si>
    <r>
      <rPr>
        <b/>
        <sz val="11"/>
        <color theme="1"/>
        <rFont val="Calibri"/>
        <family val="2"/>
        <scheme val="minor"/>
      </rPr>
      <t>ουχ</t>
    </r>
    <r>
      <rPr>
        <sz val="11"/>
        <color theme="1"/>
        <rFont val="Calibri"/>
        <family val="2"/>
        <scheme val="minor"/>
      </rPr>
      <t xml:space="preserve"> ιδεν</t>
    </r>
  </si>
  <si>
    <r>
      <rPr>
        <b/>
        <sz val="11"/>
        <color theme="1"/>
        <rFont val="Calibri"/>
        <family val="2"/>
        <scheme val="minor"/>
      </rPr>
      <t>ουχ</t>
    </r>
    <r>
      <rPr>
        <sz val="11"/>
        <color theme="1"/>
        <rFont val="Calibri"/>
        <family val="2"/>
        <scheme val="minor"/>
      </rPr>
      <t xml:space="preserve"> ειδεν</t>
    </r>
  </si>
  <si>
    <r>
      <t xml:space="preserve">ουχ </t>
    </r>
    <r>
      <rPr>
        <b/>
        <sz val="11"/>
        <color theme="1"/>
        <rFont val="Calibri"/>
        <family val="2"/>
        <scheme val="minor"/>
      </rPr>
      <t>ιδεν</t>
    </r>
  </si>
  <si>
    <r>
      <t xml:space="preserve">ουχ </t>
    </r>
    <r>
      <rPr>
        <b/>
        <sz val="11"/>
        <color theme="1"/>
        <rFont val="Calibri"/>
        <family val="2"/>
        <scheme val="minor"/>
      </rPr>
      <t>ειδεν</t>
    </r>
  </si>
  <si>
    <t>επελαβετο των ιματιων</t>
  </si>
  <si>
    <t>διο ρηγματα</t>
  </si>
  <si>
    <t>διορηγματα</t>
  </si>
  <si>
    <t>δυο ρηγματα</t>
  </si>
  <si>
    <t>και ιδαν</t>
  </si>
  <si>
    <t>και ειδαν</t>
  </si>
  <si>
    <t>παιδων σου οι υιοι</t>
  </si>
  <si>
    <t>παιδων σου υιοι</t>
  </si>
  <si>
    <t>ζητησατωσαν τον κν</t>
  </si>
  <si>
    <t>ζητησατωσαν κυριον</t>
  </si>
  <si>
    <r>
      <t xml:space="preserve">πνα κυ </t>
    </r>
    <r>
      <rPr>
        <b/>
        <sz val="11"/>
        <color theme="1"/>
        <rFont val="Calibri"/>
        <family val="2"/>
        <scheme val="minor"/>
      </rPr>
      <t>αι ερριψεν</t>
    </r>
    <r>
      <rPr>
        <sz val="11"/>
        <color theme="1"/>
        <rFont val="Calibri"/>
        <family val="2"/>
        <scheme val="minor"/>
      </rPr>
      <t xml:space="preserve"> αυτον εν τω ιορδανη εφ εν</t>
    </r>
  </si>
  <si>
    <r>
      <t xml:space="preserve">πνευμα κυριου </t>
    </r>
    <r>
      <rPr>
        <b/>
        <sz val="11"/>
        <color theme="1"/>
        <rFont val="Calibri"/>
        <family val="2"/>
        <scheme val="minor"/>
      </rPr>
      <t>διερριψεν</t>
    </r>
    <r>
      <rPr>
        <sz val="11"/>
        <color theme="1"/>
        <rFont val="Calibri"/>
        <family val="2"/>
        <scheme val="minor"/>
      </rPr>
      <t xml:space="preserve"> αυτον εαν τω ιορδανη εφ εν</t>
    </r>
  </si>
  <si>
    <r>
      <t xml:space="preserve">πνα κυ αι ερριψεν αυτον </t>
    </r>
    <r>
      <rPr>
        <b/>
        <sz val="11"/>
        <color theme="1"/>
        <rFont val="Calibri"/>
        <family val="2"/>
        <scheme val="minor"/>
      </rPr>
      <t>εν</t>
    </r>
    <r>
      <rPr>
        <sz val="11"/>
        <color theme="1"/>
        <rFont val="Calibri"/>
        <family val="2"/>
        <scheme val="minor"/>
      </rPr>
      <t xml:space="preserve"> τω ιορδανη εφ εν</t>
    </r>
  </si>
  <si>
    <r>
      <t xml:space="preserve">πνευμα κυριου διερριψεν αυτον </t>
    </r>
    <r>
      <rPr>
        <b/>
        <sz val="11"/>
        <color theme="1"/>
        <rFont val="Calibri"/>
        <family val="2"/>
        <scheme val="minor"/>
      </rPr>
      <t>εαν</t>
    </r>
    <r>
      <rPr>
        <sz val="11"/>
        <color theme="1"/>
        <rFont val="Calibri"/>
        <family val="2"/>
        <scheme val="minor"/>
      </rPr>
      <t xml:space="preserve"> τω ιορδανη εφ εν</t>
    </r>
  </si>
  <si>
    <t>και ερριψεν</t>
  </si>
  <si>
    <t>των ορεων και ειπεν</t>
  </si>
  <si>
    <t>των ορεων η εφ ενα των βουνων και ειπεν</t>
  </si>
  <si>
    <t>και εζητησαν</t>
  </si>
  <si>
    <t>και εξ εζητησαν</t>
  </si>
  <si>
    <t>αυτους ειπον</t>
  </si>
  <si>
    <t>αυτους η ειπον</t>
  </si>
  <si>
    <t>αυτους ουκ ειπον</t>
  </si>
  <si>
    <r>
      <t xml:space="preserve">οπισω </t>
    </r>
    <r>
      <rPr>
        <b/>
        <sz val="11"/>
        <color theme="1"/>
        <rFont val="Calibri"/>
        <family val="2"/>
        <scheme val="minor"/>
      </rPr>
      <t>αυτων</t>
    </r>
    <r>
      <rPr>
        <sz val="11"/>
        <color theme="1"/>
        <rFont val="Calibri"/>
        <family val="2"/>
        <scheme val="minor"/>
      </rPr>
      <t xml:space="preserve"> και ιδεν αυτα</t>
    </r>
  </si>
  <si>
    <r>
      <t xml:space="preserve">οπισω </t>
    </r>
    <r>
      <rPr>
        <b/>
        <sz val="11"/>
        <color theme="1"/>
        <rFont val="Calibri"/>
        <family val="2"/>
        <scheme val="minor"/>
      </rPr>
      <t>αυτων</t>
    </r>
    <r>
      <rPr>
        <sz val="11"/>
        <color theme="1"/>
        <rFont val="Calibri"/>
        <family val="2"/>
        <scheme val="minor"/>
      </rPr>
      <t xml:space="preserve"> και ειπεν αυτα</t>
    </r>
  </si>
  <si>
    <r>
      <t xml:space="preserve">οπισω αυτων και </t>
    </r>
    <r>
      <rPr>
        <b/>
        <sz val="11"/>
        <color theme="1"/>
        <rFont val="Calibri"/>
        <family val="2"/>
        <scheme val="minor"/>
      </rPr>
      <t>ιδεν</t>
    </r>
    <r>
      <rPr>
        <sz val="11"/>
        <color theme="1"/>
        <rFont val="Calibri"/>
        <family val="2"/>
        <scheme val="minor"/>
      </rPr>
      <t xml:space="preserve"> αυτα</t>
    </r>
  </si>
  <si>
    <r>
      <t xml:space="preserve">οπισω αυτων και </t>
    </r>
    <r>
      <rPr>
        <b/>
        <sz val="11"/>
        <color theme="1"/>
        <rFont val="Calibri"/>
        <family val="2"/>
        <scheme val="minor"/>
      </rPr>
      <t>ειπεν</t>
    </r>
    <r>
      <rPr>
        <sz val="11"/>
        <color theme="1"/>
        <rFont val="Calibri"/>
        <family val="2"/>
        <scheme val="minor"/>
      </rPr>
      <t xml:space="preserve"> αυτα</t>
    </r>
  </si>
  <si>
    <t>αχααβ εβασιλευσεν δωδεκα</t>
  </si>
  <si>
    <t>αχααβ εβασιλευσεν εβασιλευσεν δωδεκα</t>
  </si>
  <si>
    <t>ο πηρ (3) πλην</t>
  </si>
  <si>
    <t>ο πατηρ αυτου (3) πλην</t>
  </si>
  <si>
    <t>μωσα βασιλεως μωαβ</t>
  </si>
  <si>
    <t>βασιλεως -&gt; βασιλευς</t>
  </si>
  <si>
    <t>χιλιαδας κριων</t>
  </si>
  <si>
    <t>χιλιαδας αρνων και εκατον χιλιαδας κριων</t>
  </si>
  <si>
    <t>βασιλεα ιουδα</t>
  </si>
  <si>
    <t>βασιλεα ισραηλ</t>
  </si>
  <si>
    <t>οι ιπποι μου</t>
  </si>
  <si>
    <t>οι ιπποι με</t>
  </si>
  <si>
    <t>ειπεν ο βασιλευς</t>
  </si>
  <si>
    <t>ειπεν βασιλευς</t>
  </si>
  <si>
    <t>κεκληκεν κς τους τρεις</t>
  </si>
  <si>
    <t>κεκληκεν τους τρεις</t>
  </si>
  <si>
    <t>παρερχομενους</t>
  </si>
  <si>
    <t>χιρας ηλιου</t>
  </si>
  <si>
    <t>χειρας ηλιου</t>
  </si>
  <si>
    <t>και β ειπεν</t>
  </si>
  <si>
    <t>ιωσαφατ βασιλεως ιουδα εγω λαμβανω</t>
  </si>
  <si>
    <t>ιωσαφατ εγω λαμβα βασιλεως ιουδα εγω λαμβανω</t>
  </si>
  <si>
    <t>νυνι δε μοι ψαλλοντα</t>
  </si>
  <si>
    <t>νυν ιδε μοι ψαλλοντα</t>
  </si>
  <si>
    <t>νυν λαβετε μοι ψαλλοντα</t>
  </si>
  <si>
    <t>εγενετο επ αυτον χειρ</t>
  </si>
  <si>
    <t>εγενετο χειρ</t>
  </si>
  <si>
    <t>οψεσθαι υετον</t>
  </si>
  <si>
    <t>οψεσθε υετον</t>
  </si>
  <si>
    <r>
      <rPr>
        <b/>
        <sz val="11"/>
        <color theme="1"/>
        <rFont val="Calibri"/>
        <family val="2"/>
        <scheme val="minor"/>
      </rPr>
      <t>οψεσθαι</t>
    </r>
    <r>
      <rPr>
        <sz val="11"/>
        <color theme="1"/>
        <rFont val="Calibri"/>
        <family val="2"/>
        <scheme val="minor"/>
      </rPr>
      <t xml:space="preserve"> υετον</t>
    </r>
  </si>
  <si>
    <r>
      <rPr>
        <b/>
        <sz val="11"/>
        <color theme="1"/>
        <rFont val="Calibri"/>
        <family val="2"/>
        <scheme val="minor"/>
      </rPr>
      <t>οψεσθε</t>
    </r>
    <r>
      <rPr>
        <sz val="11"/>
        <color theme="1"/>
        <rFont val="Calibri"/>
        <family val="2"/>
        <scheme val="minor"/>
      </rPr>
      <t xml:space="preserve"> υετον</t>
    </r>
  </si>
  <si>
    <t>οψεσθε πνευμα και ουκ οψεσθε υετον</t>
  </si>
  <si>
    <t>και πιεται υμεις</t>
  </si>
  <si>
    <t>και πιετε υμεις</t>
  </si>
  <si>
    <t>πιετε -&gt; πιεσθε</t>
  </si>
  <si>
    <t>εμφραξεσθε</t>
  </si>
  <si>
    <t>αχρειωσετε</t>
  </si>
  <si>
    <t>της θυσιας</t>
  </si>
  <si>
    <t>της θησιας</t>
  </si>
  <si>
    <t>και ιδεν</t>
  </si>
  <si>
    <t>και ειδεν</t>
  </si>
  <si>
    <t>τας σκυλα</t>
  </si>
  <si>
    <t>τα σκυλα</t>
  </si>
  <si>
    <t>ανηρ τον λιθον</t>
  </si>
  <si>
    <t>ανηρ την λιθον</t>
  </si>
  <si>
    <t>καταλιπειν</t>
  </si>
  <si>
    <r>
      <rPr>
        <b/>
        <sz val="11"/>
        <color theme="1"/>
        <rFont val="Calibri"/>
        <family val="2"/>
        <scheme val="minor"/>
      </rPr>
      <t>καταλειπειν</t>
    </r>
    <r>
      <rPr>
        <sz val="11"/>
        <color theme="1"/>
        <rFont val="Calibri"/>
        <family val="2"/>
        <scheme val="minor"/>
      </rPr>
      <t xml:space="preserve"> τους λιθους</t>
    </r>
  </si>
  <si>
    <r>
      <rPr>
        <b/>
        <sz val="11"/>
        <color theme="1"/>
        <rFont val="Calibri"/>
        <family val="2"/>
        <scheme val="minor"/>
      </rPr>
      <t>καταλειπειν</t>
    </r>
    <r>
      <rPr>
        <sz val="11"/>
        <color theme="1"/>
        <rFont val="Calibri"/>
        <family val="2"/>
        <scheme val="minor"/>
      </rPr>
      <t xml:space="preserve"> τους το λιθους</t>
    </r>
  </si>
  <si>
    <r>
      <t xml:space="preserve">καταλειπειν τους </t>
    </r>
    <r>
      <rPr>
        <b/>
        <sz val="11"/>
        <color theme="1"/>
        <rFont val="Calibri"/>
        <family val="2"/>
        <scheme val="minor"/>
      </rPr>
      <t>το</t>
    </r>
    <r>
      <rPr>
        <sz val="11"/>
        <color theme="1"/>
        <rFont val="Calibri"/>
        <family val="2"/>
        <scheme val="minor"/>
      </rPr>
      <t xml:space="preserve"> λιθους</t>
    </r>
  </si>
  <si>
    <t>καθηρημενους</t>
  </si>
  <si>
    <t>δανειστης</t>
  </si>
  <si>
    <t>ειπεν αυτην ελισσαιε</t>
  </si>
  <si>
    <t>αυτην -&gt; προς αυτην</t>
  </si>
  <si>
    <t>7522A = αποκλεισης</t>
  </si>
  <si>
    <r>
      <t xml:space="preserve">και </t>
    </r>
    <r>
      <rPr>
        <b/>
        <sz val="11"/>
        <color theme="1"/>
        <rFont val="Calibri"/>
        <family val="2"/>
        <scheme val="minor"/>
      </rPr>
      <t>αποχεεις</t>
    </r>
    <r>
      <rPr>
        <sz val="11"/>
        <color theme="1"/>
        <rFont val="Calibri"/>
        <family val="2"/>
        <scheme val="minor"/>
      </rPr>
      <t xml:space="preserve"> εις τα σκευη</t>
    </r>
  </si>
  <si>
    <r>
      <t xml:space="preserve">και </t>
    </r>
    <r>
      <rPr>
        <b/>
        <sz val="11"/>
        <color theme="1"/>
        <rFont val="Calibri"/>
        <family val="2"/>
        <scheme val="minor"/>
      </rPr>
      <t>αποχεεις</t>
    </r>
    <r>
      <rPr>
        <sz val="11"/>
        <color theme="1"/>
        <rFont val="Calibri"/>
        <family val="2"/>
        <scheme val="minor"/>
      </rPr>
      <t xml:space="preserve"> παντα τα σκευη</t>
    </r>
  </si>
  <si>
    <t>επιχεεις</t>
  </si>
  <si>
    <r>
      <t xml:space="preserve">και αποχεεις </t>
    </r>
    <r>
      <rPr>
        <b/>
        <sz val="11"/>
        <color theme="1"/>
        <rFont val="Calibri"/>
        <family val="2"/>
        <scheme val="minor"/>
      </rPr>
      <t>εις</t>
    </r>
    <r>
      <rPr>
        <sz val="11"/>
        <color theme="1"/>
        <rFont val="Calibri"/>
        <family val="2"/>
        <scheme val="minor"/>
      </rPr>
      <t xml:space="preserve"> τα σκευη</t>
    </r>
  </si>
  <si>
    <r>
      <t xml:space="preserve">και αποχεεις </t>
    </r>
    <r>
      <rPr>
        <b/>
        <sz val="11"/>
        <color theme="1"/>
        <rFont val="Calibri"/>
        <family val="2"/>
        <scheme val="minor"/>
      </rPr>
      <t>παντα</t>
    </r>
    <r>
      <rPr>
        <sz val="11"/>
        <color theme="1"/>
        <rFont val="Calibri"/>
        <family val="2"/>
        <scheme val="minor"/>
      </rPr>
      <t xml:space="preserve"> τα σκευη</t>
    </r>
  </si>
  <si>
    <t>απηγγειλεν κω του θυ</t>
  </si>
  <si>
    <t>κυριω -&gt; ανθρωπω</t>
  </si>
  <si>
    <t>σουμαμ</t>
  </si>
  <si>
    <t>του εισπορευεσθαι</t>
  </si>
  <si>
    <t>εφ ημας (10) ποιησωμεν</t>
  </si>
  <si>
    <t>εφ ημας δια παντος (10) ποιησωμεν</t>
  </si>
  <si>
    <t>Alex. = εκκλεινι</t>
  </si>
  <si>
    <t>7522Α corrects to σουμανιτιν</t>
  </si>
  <si>
    <t>εξεστησας ημας</t>
  </si>
  <si>
    <t>εξεστησας προς ημας</t>
  </si>
  <si>
    <t>ανηρ αυτης ουκ εστιν πρεσβυτης</t>
  </si>
  <si>
    <t>omit ουκ εστιν</t>
  </si>
  <si>
    <t>καλεσον αυτην και εκαλεσεν</t>
  </si>
  <si>
    <t>καλεσον και εκαλεσεν</t>
  </si>
  <si>
    <t>προς αυτην</t>
  </si>
  <si>
    <r>
      <t xml:space="preserve">τουτον </t>
    </r>
    <r>
      <rPr>
        <b/>
        <sz val="11"/>
        <color theme="1"/>
        <rFont val="Calibri"/>
        <family val="2"/>
        <scheme val="minor"/>
      </rPr>
      <t>ως</t>
    </r>
    <r>
      <rPr>
        <sz val="11"/>
        <color theme="1"/>
        <rFont val="Calibri"/>
        <family val="2"/>
        <scheme val="minor"/>
      </rPr>
      <t xml:space="preserve"> η ωρα ζωσα</t>
    </r>
  </si>
  <si>
    <r>
      <t xml:space="preserve">τουτον </t>
    </r>
    <r>
      <rPr>
        <b/>
        <sz val="11"/>
        <color theme="1"/>
        <rFont val="Calibri"/>
        <family val="2"/>
        <scheme val="minor"/>
      </rPr>
      <t>ωσ ως</t>
    </r>
    <r>
      <rPr>
        <sz val="11"/>
        <color theme="1"/>
        <rFont val="Calibri"/>
        <family val="2"/>
        <scheme val="minor"/>
      </rPr>
      <t xml:space="preserve"> ημερα ζωσα</t>
    </r>
  </si>
  <si>
    <r>
      <t xml:space="preserve">τουτον ως </t>
    </r>
    <r>
      <rPr>
        <b/>
        <sz val="11"/>
        <color theme="1"/>
        <rFont val="Calibri"/>
        <family val="2"/>
        <scheme val="minor"/>
      </rPr>
      <t>η ωρα</t>
    </r>
    <r>
      <rPr>
        <sz val="11"/>
        <color theme="1"/>
        <rFont val="Calibri"/>
        <family val="2"/>
        <scheme val="minor"/>
      </rPr>
      <t xml:space="preserve"> ζωσα</t>
    </r>
  </si>
  <si>
    <r>
      <t xml:space="preserve">τουτον ωσ ως </t>
    </r>
    <r>
      <rPr>
        <b/>
        <sz val="11"/>
        <color theme="1"/>
        <rFont val="Calibri"/>
        <family val="2"/>
        <scheme val="minor"/>
      </rPr>
      <t>ημερα</t>
    </r>
    <r>
      <rPr>
        <sz val="11"/>
        <color theme="1"/>
        <rFont val="Calibri"/>
        <family val="2"/>
        <scheme val="minor"/>
      </rPr>
      <t xml:space="preserve"> ζωσα</t>
    </r>
  </si>
  <si>
    <t>δραμουμε εως</t>
  </si>
  <si>
    <t>δραμουμαι εως</t>
  </si>
  <si>
    <t>παιδαριον εαυτης</t>
  </si>
  <si>
    <t>εαυτης -&gt; αυτης</t>
  </si>
  <si>
    <t>επισχης</t>
  </si>
  <si>
    <r>
      <t xml:space="preserve">ιδου </t>
    </r>
    <r>
      <rPr>
        <b/>
        <sz val="11"/>
        <color theme="1"/>
        <rFont val="Calibri"/>
        <family val="2"/>
        <scheme val="minor"/>
      </rPr>
      <t>η</t>
    </r>
    <r>
      <rPr>
        <sz val="11"/>
        <color theme="1"/>
        <rFont val="Calibri"/>
        <family val="2"/>
        <scheme val="minor"/>
      </rPr>
      <t xml:space="preserve"> σωμανιτις</t>
    </r>
  </si>
  <si>
    <r>
      <t xml:space="preserve">ιδου η </t>
    </r>
    <r>
      <rPr>
        <b/>
        <sz val="11"/>
        <color theme="1"/>
        <rFont val="Calibri"/>
        <family val="2"/>
        <scheme val="minor"/>
      </rPr>
      <t>σωμανιτις</t>
    </r>
  </si>
  <si>
    <t>σουμανιτις</t>
  </si>
  <si>
    <t>(25) εκεινη (26) νυν δραμε</t>
  </si>
  <si>
    <t>(25) εκεινη (26) δραμε</t>
  </si>
  <si>
    <t>ειρηνη σοι ειρηνω τω ανδρι</t>
  </si>
  <si>
    <r>
      <t xml:space="preserve">ειρηνη σοι </t>
    </r>
    <r>
      <rPr>
        <b/>
        <sz val="11"/>
        <color theme="1"/>
        <rFont val="Calibri"/>
        <family val="2"/>
        <scheme val="minor"/>
      </rPr>
      <t>και</t>
    </r>
    <r>
      <rPr>
        <sz val="11"/>
        <color theme="1"/>
        <rFont val="Calibri"/>
        <family val="2"/>
        <scheme val="minor"/>
      </rPr>
      <t xml:space="preserve"> ειρηνη τω ανδρι</t>
    </r>
  </si>
  <si>
    <r>
      <t xml:space="preserve">ειρηνη σοι </t>
    </r>
    <r>
      <rPr>
        <b/>
        <sz val="11"/>
        <color theme="1"/>
        <rFont val="Calibri"/>
        <family val="2"/>
        <scheme val="minor"/>
      </rPr>
      <t>ειρηνω</t>
    </r>
    <r>
      <rPr>
        <sz val="11"/>
        <color theme="1"/>
        <rFont val="Calibri"/>
        <family val="2"/>
        <scheme val="minor"/>
      </rPr>
      <t xml:space="preserve"> τω ανδρι</t>
    </r>
  </si>
  <si>
    <r>
      <t xml:space="preserve">ειρηνη σοι και </t>
    </r>
    <r>
      <rPr>
        <b/>
        <sz val="11"/>
        <color theme="1"/>
        <rFont val="Calibri"/>
        <family val="2"/>
        <scheme val="minor"/>
      </rPr>
      <t>ειρηνη</t>
    </r>
    <r>
      <rPr>
        <sz val="11"/>
        <color theme="1"/>
        <rFont val="Calibri"/>
        <family val="2"/>
        <scheme val="minor"/>
      </rPr>
      <t xml:space="preserve"> τω ανδρι</t>
    </r>
  </si>
  <si>
    <t>ανδρι σου ειρηνη</t>
  </si>
  <si>
    <t>ανδρι σου και ειρηνη</t>
  </si>
  <si>
    <t>γιεζει τπωσασθαι</t>
  </si>
  <si>
    <r>
      <t xml:space="preserve">γιεζει </t>
    </r>
    <r>
      <rPr>
        <b/>
        <sz val="11"/>
        <color theme="1"/>
        <rFont val="Calibri"/>
        <family val="2"/>
        <scheme val="minor"/>
      </rPr>
      <t>ου</t>
    </r>
    <r>
      <rPr>
        <sz val="11"/>
        <color theme="1"/>
        <rFont val="Calibri"/>
        <family val="2"/>
        <scheme val="minor"/>
      </rPr>
      <t xml:space="preserve"> απωσασθαι</t>
    </r>
  </si>
  <si>
    <r>
      <t xml:space="preserve">γιεζει </t>
    </r>
    <r>
      <rPr>
        <b/>
        <sz val="11"/>
        <color theme="1"/>
        <rFont val="Calibri"/>
        <family val="2"/>
        <scheme val="minor"/>
      </rPr>
      <t>τπωσασθαι</t>
    </r>
  </si>
  <si>
    <r>
      <t xml:space="preserve">γιεζει ου </t>
    </r>
    <r>
      <rPr>
        <b/>
        <sz val="11"/>
        <color theme="1"/>
        <rFont val="Calibri"/>
        <family val="2"/>
        <scheme val="minor"/>
      </rPr>
      <t>απωσασθαι</t>
    </r>
  </si>
  <si>
    <t>οτι ειπον</t>
  </si>
  <si>
    <t>ουκ ειπον</t>
  </si>
  <si>
    <t>μετ εμου (29) και ειπεν ελισσαιε</t>
  </si>
  <si>
    <t>διηλθεν εμπροσθεν αυτης</t>
  </si>
  <si>
    <r>
      <t xml:space="preserve">διηλθεν </t>
    </r>
    <r>
      <rPr>
        <b/>
        <sz val="11"/>
        <color theme="1"/>
        <rFont val="Calibri"/>
        <family val="2"/>
        <scheme val="minor"/>
      </rPr>
      <t>α</t>
    </r>
    <r>
      <rPr>
        <sz val="11"/>
        <color theme="1"/>
        <rFont val="Calibri"/>
        <family val="2"/>
        <scheme val="minor"/>
      </rPr>
      <t xml:space="preserve"> εμπροσθεν αυτης</t>
    </r>
  </si>
  <si>
    <r>
      <t xml:space="preserve">διηλθεν εμπροσθεν </t>
    </r>
    <r>
      <rPr>
        <b/>
        <sz val="11"/>
        <color theme="1"/>
        <rFont val="Calibri"/>
        <family val="2"/>
        <scheme val="minor"/>
      </rPr>
      <t>αυτης</t>
    </r>
  </si>
  <si>
    <r>
      <t xml:space="preserve">διηλθεν α εμπροσθεν </t>
    </r>
    <r>
      <rPr>
        <b/>
        <sz val="11"/>
        <color theme="1"/>
        <rFont val="Calibri"/>
        <family val="2"/>
        <scheme val="minor"/>
      </rPr>
      <t>αυτης</t>
    </r>
  </si>
  <si>
    <t>τεθνηκος και κοιμημενον επι</t>
  </si>
  <si>
    <t>και κοιμημενον -&gt; κεκοιμισμενον</t>
  </si>
  <si>
    <r>
      <t xml:space="preserve">εθηκεν το στομα εαυτου επι </t>
    </r>
    <r>
      <rPr>
        <b/>
        <sz val="11"/>
        <color theme="1"/>
        <rFont val="Calibri"/>
        <family val="2"/>
        <scheme val="minor"/>
      </rPr>
      <t>το στομα</t>
    </r>
    <r>
      <rPr>
        <sz val="11"/>
        <color theme="1"/>
        <rFont val="Calibri"/>
        <family val="2"/>
        <scheme val="minor"/>
      </rPr>
      <t xml:space="preserve"> αυτου και τους οφθαλμους αυτου επι τους οφθαλμους αυτου</t>
    </r>
  </si>
  <si>
    <r>
      <t xml:space="preserve">εθηκεν το στομα εαυτου επι </t>
    </r>
    <r>
      <rPr>
        <b/>
        <sz val="11"/>
        <color theme="1"/>
        <rFont val="Calibri"/>
        <family val="2"/>
        <scheme val="minor"/>
      </rPr>
      <t>τους οφθαλμους</t>
    </r>
    <r>
      <rPr>
        <sz val="11"/>
        <color theme="1"/>
        <rFont val="Calibri"/>
        <family val="2"/>
        <scheme val="minor"/>
      </rPr>
      <t xml:space="preserve"> αυτου και τους οφθαλμους αυτου επι τους οφθαλμους αυτου</t>
    </r>
  </si>
  <si>
    <r>
      <t xml:space="preserve">εθηκεν το στομα </t>
    </r>
    <r>
      <rPr>
        <b/>
        <sz val="11"/>
        <color theme="1"/>
        <rFont val="Calibri"/>
        <family val="2"/>
        <scheme val="minor"/>
      </rPr>
      <t>εαυτου</t>
    </r>
    <r>
      <rPr>
        <sz val="11"/>
        <color theme="1"/>
        <rFont val="Calibri"/>
        <family val="2"/>
        <scheme val="minor"/>
      </rPr>
      <t xml:space="preserve"> επι το στομα αυτου και τους οφθαλμους αυτου επι τους οφθαλμους αυτου</t>
    </r>
  </si>
  <si>
    <r>
      <t xml:space="preserve">εθηκεν το στομα </t>
    </r>
    <r>
      <rPr>
        <b/>
        <sz val="11"/>
        <color theme="1"/>
        <rFont val="Calibri"/>
        <family val="2"/>
        <scheme val="minor"/>
      </rPr>
      <t>εαυτου</t>
    </r>
    <r>
      <rPr>
        <sz val="11"/>
        <color theme="1"/>
        <rFont val="Calibri"/>
        <family val="2"/>
        <scheme val="minor"/>
      </rPr>
      <t xml:space="preserve"> επι τους οφθαλμους αυτου και τους οφθαλμους αυτου επι τους οφθαλμους αυτου</t>
    </r>
  </si>
  <si>
    <t>χειρας εαυτου</t>
  </si>
  <si>
    <t>οφθαλμους εαυτου</t>
  </si>
  <si>
    <t>και ο λιμος</t>
  </si>
  <si>
    <t>και λιμος</t>
  </si>
  <si>
    <t>εξηλθεν εις τον αγρον</t>
  </si>
  <si>
    <t>εξηλθεν εις εις τον αγρον</t>
  </si>
  <si>
    <t>αμπελον</t>
  </si>
  <si>
    <t>συνελεξεν απ αυτης</t>
  </si>
  <si>
    <t>συνελεξεν εξ αυτης</t>
  </si>
  <si>
    <t>7522A unclear due to correction; corrected form = πληρες</t>
  </si>
  <si>
    <t>ιδου ανεβοησαν</t>
  </si>
  <si>
    <t>ιδου εβοησαν</t>
  </si>
  <si>
    <t>λαβε αλευρον</t>
  </si>
  <si>
    <t>λαβετε αλευρον</t>
  </si>
  <si>
    <t>εκχεε</t>
  </si>
  <si>
    <t>ανηρ διηλθεν</t>
  </si>
  <si>
    <t>ανηρ απηλθεν</t>
  </si>
  <si>
    <t>πρωτογεννηματων</t>
  </si>
  <si>
    <t>δοτε</t>
  </si>
  <si>
    <t>τινι δω ταυτα</t>
  </si>
  <si>
    <t>τινι -&gt; τι</t>
  </si>
  <si>
    <t>και εφαγον και εδωκεν</t>
  </si>
  <si>
    <t>omit και εφαγον</t>
  </si>
  <si>
    <t>κυριω εαυτης</t>
  </si>
  <si>
    <t>εν γης</t>
  </si>
  <si>
    <t>εκ γης</t>
  </si>
  <si>
    <t>συριας πορευου προς ναιμαν</t>
  </si>
  <si>
    <t>συριας ουτως πορευου προς ναιμαν</t>
  </si>
  <si>
    <t>omit ουτως πορευου</t>
  </si>
  <si>
    <t>εξακισχιλιους</t>
  </si>
  <si>
    <t>βιβλιον του προς σε</t>
  </si>
  <si>
    <t>βιβλιον τουτο προς σε</t>
  </si>
  <si>
    <t>αυτον εκ της λεπρας</t>
  </si>
  <si>
    <t>αυτον απο της λεπρας</t>
  </si>
  <si>
    <t>ιματια εαυτου</t>
  </si>
  <si>
    <t>ιματια αυτου</t>
  </si>
  <si>
    <t>βασιλεα ισλ λεγων</t>
  </si>
  <si>
    <t>βασιλεα λεγων</t>
  </si>
  <si>
    <t>σου ελθετω δη</t>
  </si>
  <si>
    <t>σου διελθετω δη</t>
  </si>
  <si>
    <t>προς με ναιμαν και</t>
  </si>
  <si>
    <t>προς με και</t>
  </si>
  <si>
    <t>οτι εστιν προφητης εν ισλ</t>
  </si>
  <si>
    <t>οτι προφητης εστιν εν ισραηλ</t>
  </si>
  <si>
    <t>καθαρισθηση</t>
  </si>
  <si>
    <t>κυ αυτου</t>
  </si>
  <si>
    <r>
      <t xml:space="preserve">κυριου </t>
    </r>
    <r>
      <rPr>
        <b/>
        <sz val="11"/>
        <color theme="1"/>
        <rFont val="Calibri"/>
        <family val="2"/>
        <scheme val="minor"/>
      </rPr>
      <t>θεου</t>
    </r>
    <r>
      <rPr>
        <sz val="11"/>
        <color theme="1"/>
        <rFont val="Calibri"/>
        <family val="2"/>
        <scheme val="minor"/>
      </rPr>
      <t xml:space="preserve"> εαυτου</t>
    </r>
  </si>
  <si>
    <r>
      <t xml:space="preserve">κυ </t>
    </r>
    <r>
      <rPr>
        <b/>
        <sz val="11"/>
        <color theme="1"/>
        <rFont val="Calibri"/>
        <family val="2"/>
        <scheme val="minor"/>
      </rPr>
      <t>αυτου</t>
    </r>
  </si>
  <si>
    <r>
      <t xml:space="preserve">κυριου θεου </t>
    </r>
    <r>
      <rPr>
        <b/>
        <sz val="11"/>
        <color theme="1"/>
        <rFont val="Calibri"/>
        <family val="2"/>
        <scheme val="minor"/>
      </rPr>
      <t>εαυτου</t>
    </r>
  </si>
  <si>
    <t>και αποσυναξει</t>
  </si>
  <si>
    <t>και συναξει</t>
  </si>
  <si>
    <t>7522A corrects to και αποσυναξει</t>
  </si>
  <si>
    <t>λουσομαι</t>
  </si>
  <si>
    <t>ελαλησεν ο προφητης</t>
  </si>
  <si>
    <t>ελαλησεν προφητης</t>
  </si>
  <si>
    <t>ποιησεις οτι ειπεν</t>
  </si>
  <si>
    <t>ποιησεις και οτι ειπεν</t>
  </si>
  <si>
    <t>κατε ναιμαν</t>
  </si>
  <si>
    <t>κατεβη ναιμαν</t>
  </si>
  <si>
    <t>ρημα ελισσαιε</t>
  </si>
  <si>
    <t>ρημα του ανθρωπου του θεου</t>
  </si>
  <si>
    <t>προς ελισσαιε</t>
  </si>
  <si>
    <t>προς τον ανθρωπον του θεου</t>
  </si>
  <si>
    <t>προσωπ[ον] αυτου ιδου</t>
  </si>
  <si>
    <t>προσωπον αυτου ιδου</t>
  </si>
  <si>
    <t>προσωπον αυτου και ειπεν ιδου</t>
  </si>
  <si>
    <t>παρεστην ενωπιον</t>
  </si>
  <si>
    <t>παρεστην εγω ενωπιον</t>
  </si>
  <si>
    <t>ρεμμαν</t>
  </si>
  <si>
    <t>ελισσαιε ιδου</t>
  </si>
  <si>
    <t>ελισσαιε του ανθρωπου του θεου ιδου</t>
  </si>
  <si>
    <t>εκ χειρος</t>
  </si>
  <si>
    <t>εκ του χειρος</t>
  </si>
  <si>
    <t>εκ της χειρος</t>
  </si>
  <si>
    <t>ων ενηνοχεν</t>
  </si>
  <si>
    <t>ων ην ενηνοχεν</t>
  </si>
  <si>
    <t>ταλαντο αργυριου</t>
  </si>
  <si>
    <r>
      <rPr>
        <b/>
        <sz val="11"/>
        <color theme="1"/>
        <rFont val="Calibri"/>
        <family val="2"/>
        <scheme val="minor"/>
      </rPr>
      <t>ταλαντο</t>
    </r>
    <r>
      <rPr>
        <sz val="11"/>
        <color theme="1"/>
        <rFont val="Calibri"/>
        <family val="2"/>
        <scheme val="minor"/>
      </rPr>
      <t xml:space="preserve"> αργυριου</t>
    </r>
  </si>
  <si>
    <r>
      <rPr>
        <b/>
        <sz val="11"/>
        <color theme="1"/>
        <rFont val="Calibri"/>
        <family val="2"/>
        <scheme val="minor"/>
      </rPr>
      <t>ταλαντον</t>
    </r>
    <r>
      <rPr>
        <sz val="11"/>
        <color theme="1"/>
        <rFont val="Calibri"/>
        <family val="2"/>
        <scheme val="minor"/>
      </rPr>
      <t xml:space="preserve"> χρ αργυριου</t>
    </r>
  </si>
  <si>
    <r>
      <t xml:space="preserve">ταλαντον </t>
    </r>
    <r>
      <rPr>
        <b/>
        <sz val="11"/>
        <color theme="1"/>
        <rFont val="Calibri"/>
        <family val="2"/>
        <scheme val="minor"/>
      </rPr>
      <t>χρ</t>
    </r>
    <r>
      <rPr>
        <sz val="11"/>
        <color theme="1"/>
        <rFont val="Calibri"/>
        <family val="2"/>
        <scheme val="minor"/>
      </rPr>
      <t xml:space="preserve"> αργυριου</t>
    </r>
  </si>
  <si>
    <t>δυ αλλασσομενας</t>
  </si>
  <si>
    <r>
      <t xml:space="preserve">και ειπεν ναιμαν </t>
    </r>
    <r>
      <rPr>
        <b/>
        <sz val="11"/>
        <color theme="1"/>
        <rFont val="Calibri"/>
        <family val="2"/>
        <scheme val="minor"/>
      </rPr>
      <t>ουχ ουν</t>
    </r>
    <r>
      <rPr>
        <sz val="11"/>
        <color theme="1"/>
        <rFont val="Calibri"/>
        <family val="2"/>
        <scheme val="minor"/>
      </rPr>
      <t xml:space="preserve"> λαβε διταλαντον αργυριου και δυο αλλασσομενας στολας και ειπεν ναιμαν ουκουν λαβε διταλαντον αργυριου και βιασαντο αυτον και εδησεν διταλαντον αργυριου εν δυσιν θυλακοις και δυο αλλασσομενας στολας και εδωκεν</t>
    </r>
  </si>
  <si>
    <r>
      <t xml:space="preserve">και ειπεν ναιμαν </t>
    </r>
    <r>
      <rPr>
        <b/>
        <sz val="11"/>
        <color theme="1"/>
        <rFont val="Calibri"/>
        <family val="2"/>
        <scheme val="minor"/>
      </rPr>
      <t>οικουν</t>
    </r>
    <r>
      <rPr>
        <sz val="11"/>
        <color theme="1"/>
        <rFont val="Calibri"/>
        <family val="2"/>
        <scheme val="minor"/>
      </rPr>
      <t xml:space="preserve"> λαβε διταλαντον αργυριου και δυο αλλασσομενας στολας και ειπεν ναιμαν ουκουν λαβε διταλαντον αργυριου και βιασαντο αυτον και εδησεν διταλαντον αργυριου εν δυσιν θυλακοις και δυο αλλασσομενας στολας και εδωκεν</t>
    </r>
  </si>
  <si>
    <r>
      <rPr>
        <b/>
        <sz val="11"/>
        <color theme="1"/>
        <rFont val="Calibri"/>
        <family val="2"/>
        <scheme val="minor"/>
      </rPr>
      <t>και ειπεν ναιμαν οικουν λαβε διταλαντον αργυριου και δυο αλλασσομενας στολας</t>
    </r>
    <r>
      <rPr>
        <sz val="11"/>
        <color theme="1"/>
        <rFont val="Calibri"/>
        <family val="2"/>
        <scheme val="minor"/>
      </rPr>
      <t xml:space="preserve"> και ειπεν ναιμαν ουκουν λαβε διταλαντον αργυριου και βιασαντο αυτον και εδησεν διταλαντον αργυριου εν δυσιν θυλακοις και δυο αλλασσομενας στολας και εδωκεν</t>
    </r>
  </si>
  <si>
    <r>
      <rPr>
        <b/>
        <sz val="11"/>
        <color theme="1"/>
        <rFont val="Calibri"/>
        <family val="2"/>
        <scheme val="minor"/>
      </rPr>
      <t>και ειπεν ναιμαν ουχ ουν λαβε διταλαντον αργυριου και δυο αλλασσομενας στολας</t>
    </r>
    <r>
      <rPr>
        <sz val="11"/>
        <color theme="1"/>
        <rFont val="Calibri"/>
        <family val="2"/>
        <scheme val="minor"/>
      </rPr>
      <t xml:space="preserve"> και ειπεν ναιμαν ουκουν λαβε διταλαντον αργυριου και βιασαντο αυτον και εδησεν διταλαντον αργυριου εν δυσιν θυλακοις και δυο αλλασσομενας στολας και εδωκεν</t>
    </r>
  </si>
  <si>
    <t>και βιασαντο</t>
  </si>
  <si>
    <t>και εβιασαντο</t>
  </si>
  <si>
    <t>εξαπεστειλεν τους ανδρας</t>
  </si>
  <si>
    <t>εξαπεστειλεν ανδρας</t>
  </si>
  <si>
    <t>πεπορευται ο δουλος</t>
  </si>
  <si>
    <t>πεπορευται δουλος</t>
  </si>
  <si>
    <t>ουχι η καρδια</t>
  </si>
  <si>
    <t>ουχι ινα η καρδια</t>
  </si>
  <si>
    <t>οτε επεστρεψεν</t>
  </si>
  <si>
    <t>οτε απεστρεψεν</t>
  </si>
  <si>
    <t>αρματος οις συναντησιν</t>
  </si>
  <si>
    <t>αρματος εις συναντησιν</t>
  </si>
  <si>
    <t>ελαβες και τα ιματια</t>
  </si>
  <si>
    <t>ελαβες τα ιματια</t>
  </si>
  <si>
    <t>εις δορευ επιεικως δευρο</t>
  </si>
  <si>
    <t>εις δορευειη εικως δευρο</t>
  </si>
  <si>
    <t>σιδηριον εξεπεσεν</t>
  </si>
  <si>
    <t>σιδηριον επεσεν</t>
  </si>
  <si>
    <t>Alex. = κεκρυμμενον</t>
  </si>
  <si>
    <t>και βασιλευς</t>
  </si>
  <si>
    <t>και ελαβεν βασιλευς</t>
  </si>
  <si>
    <t>εν ιλημ</t>
  </si>
  <si>
    <t>εν ιερουσαλημ</t>
  </si>
  <si>
    <t>ανθρωπος του θεου</t>
  </si>
  <si>
    <t>ο ανθρωπ[ος] του θεου</t>
  </si>
  <si>
    <t>διεστειλατο και</t>
  </si>
  <si>
    <t>διεστειλα το αυτω και</t>
  </si>
  <si>
    <r>
      <rPr>
        <b/>
        <sz val="11"/>
        <color theme="1"/>
        <rFont val="Calibri"/>
        <family val="2"/>
        <scheme val="minor"/>
      </rPr>
      <t>λειτουργειν</t>
    </r>
    <r>
      <rPr>
        <sz val="11"/>
        <color theme="1"/>
        <rFont val="Calibri"/>
        <family val="2"/>
        <scheme val="minor"/>
      </rPr>
      <t xml:space="preserve"> ελισσαιε</t>
    </r>
  </si>
  <si>
    <r>
      <t xml:space="preserve">λειτουργειν </t>
    </r>
    <r>
      <rPr>
        <b/>
        <sz val="11"/>
        <color theme="1"/>
        <rFont val="Calibri"/>
        <family val="2"/>
        <scheme val="minor"/>
      </rPr>
      <t>ελισσαιε</t>
    </r>
  </si>
  <si>
    <t>λειτουργος</t>
  </si>
  <si>
    <t>του ανθρωπου του θεου</t>
  </si>
  <si>
    <t>ιπποι και αρμα</t>
  </si>
  <si>
    <t>ιππον και αρμα</t>
  </si>
  <si>
    <t>μεθ ημων</t>
  </si>
  <si>
    <t>ειπεν κε διανοιξον τους</t>
  </si>
  <si>
    <r>
      <t xml:space="preserve">ειπεν </t>
    </r>
    <r>
      <rPr>
        <b/>
        <sz val="11"/>
        <color theme="1"/>
        <rFont val="Calibri"/>
        <family val="2"/>
        <scheme val="minor"/>
      </rPr>
      <t>κυ</t>
    </r>
    <r>
      <rPr>
        <sz val="11"/>
        <color theme="1"/>
        <rFont val="Calibri"/>
        <family val="2"/>
        <scheme val="minor"/>
      </rPr>
      <t xml:space="preserve"> κυριε διανοιξαν τους</t>
    </r>
  </si>
  <si>
    <r>
      <t xml:space="preserve">ειπεν κε </t>
    </r>
    <r>
      <rPr>
        <b/>
        <sz val="11"/>
        <color theme="1"/>
        <rFont val="Calibri"/>
        <family val="2"/>
        <scheme val="minor"/>
      </rPr>
      <t>διανοιξον</t>
    </r>
    <r>
      <rPr>
        <sz val="11"/>
        <color theme="1"/>
        <rFont val="Calibri"/>
        <family val="2"/>
        <scheme val="minor"/>
      </rPr>
      <t xml:space="preserve"> τους</t>
    </r>
  </si>
  <si>
    <r>
      <t xml:space="preserve">ειπεν κυ κυριε </t>
    </r>
    <r>
      <rPr>
        <b/>
        <sz val="11"/>
        <color theme="1"/>
        <rFont val="Calibri"/>
        <family val="2"/>
        <scheme val="minor"/>
      </rPr>
      <t>διανοιξαν</t>
    </r>
    <r>
      <rPr>
        <sz val="11"/>
        <color theme="1"/>
        <rFont val="Calibri"/>
        <family val="2"/>
        <scheme val="minor"/>
      </rPr>
      <t xml:space="preserve"> τους</t>
    </r>
  </si>
  <si>
    <t>ουκ αυτη η οδος</t>
  </si>
  <si>
    <t>ουκ αυτη η πολις</t>
  </si>
  <si>
    <t>ουκ -&gt; ουχι</t>
  </si>
  <si>
    <r>
      <t xml:space="preserve">ως </t>
    </r>
    <r>
      <rPr>
        <b/>
        <sz val="11"/>
        <color theme="1"/>
        <rFont val="Calibri"/>
        <family val="2"/>
        <scheme val="minor"/>
      </rPr>
      <t>εισηλθεν</t>
    </r>
    <r>
      <rPr>
        <sz val="11"/>
        <color theme="1"/>
        <rFont val="Calibri"/>
        <family val="2"/>
        <scheme val="minor"/>
      </rPr>
      <t xml:space="preserve"> εις σαμαρειαν</t>
    </r>
  </si>
  <si>
    <r>
      <t xml:space="preserve">ως </t>
    </r>
    <r>
      <rPr>
        <b/>
        <sz val="11"/>
        <color theme="1"/>
        <rFont val="Calibri"/>
        <family val="2"/>
        <scheme val="minor"/>
      </rPr>
      <t>εισηλθεν</t>
    </r>
    <r>
      <rPr>
        <sz val="11"/>
        <color theme="1"/>
        <rFont val="Calibri"/>
        <family val="2"/>
        <scheme val="minor"/>
      </rPr>
      <t xml:space="preserve"> εις σαμαριαν</t>
    </r>
  </si>
  <si>
    <r>
      <t xml:space="preserve">ως εισηλθεν εις </t>
    </r>
    <r>
      <rPr>
        <b/>
        <sz val="11"/>
        <color theme="1"/>
        <rFont val="Calibri"/>
        <family val="2"/>
        <scheme val="minor"/>
      </rPr>
      <t>σαμαρειαν</t>
    </r>
  </si>
  <si>
    <r>
      <t xml:space="preserve">ως εισηλθεν εις </t>
    </r>
    <r>
      <rPr>
        <b/>
        <sz val="11"/>
        <color theme="1"/>
        <rFont val="Calibri"/>
        <family val="2"/>
        <scheme val="minor"/>
      </rPr>
      <t>σαμαριαν</t>
    </r>
  </si>
  <si>
    <r>
      <t xml:space="preserve">ειπεν </t>
    </r>
    <r>
      <rPr>
        <b/>
        <sz val="11"/>
        <color theme="1"/>
        <rFont val="Calibri"/>
        <family val="2"/>
        <scheme val="minor"/>
      </rPr>
      <t>ελισσαι</t>
    </r>
    <r>
      <rPr>
        <sz val="11"/>
        <color theme="1"/>
        <rFont val="Calibri"/>
        <family val="2"/>
        <scheme val="minor"/>
      </rPr>
      <t xml:space="preserve"> ανοιξον δη</t>
    </r>
  </si>
  <si>
    <r>
      <t xml:space="preserve">ειπεν </t>
    </r>
    <r>
      <rPr>
        <b/>
        <sz val="11"/>
        <color theme="1"/>
        <rFont val="Calibri"/>
        <family val="2"/>
        <scheme val="minor"/>
      </rPr>
      <t>ελισσαιε</t>
    </r>
    <r>
      <rPr>
        <sz val="11"/>
        <color theme="1"/>
        <rFont val="Calibri"/>
        <family val="2"/>
        <scheme val="minor"/>
      </rPr>
      <t xml:space="preserve"> ανοιξεν δη</t>
    </r>
  </si>
  <si>
    <r>
      <t xml:space="preserve">ειπεν ελισσαι </t>
    </r>
    <r>
      <rPr>
        <b/>
        <sz val="11"/>
        <color theme="1"/>
        <rFont val="Calibri"/>
        <family val="2"/>
        <scheme val="minor"/>
      </rPr>
      <t>ανοιξον</t>
    </r>
    <r>
      <rPr>
        <sz val="11"/>
        <color theme="1"/>
        <rFont val="Calibri"/>
        <family val="2"/>
        <scheme val="minor"/>
      </rPr>
      <t xml:space="preserve"> δη</t>
    </r>
  </si>
  <si>
    <r>
      <t xml:space="preserve">ειπεν ελισσαιε </t>
    </r>
    <r>
      <rPr>
        <b/>
        <sz val="11"/>
        <color theme="1"/>
        <rFont val="Calibri"/>
        <family val="2"/>
        <scheme val="minor"/>
      </rPr>
      <t>ανοιξεν</t>
    </r>
    <r>
      <rPr>
        <sz val="11"/>
        <color theme="1"/>
        <rFont val="Calibri"/>
        <family val="2"/>
        <scheme val="minor"/>
      </rPr>
      <t xml:space="preserve"> δη</t>
    </r>
  </si>
  <si>
    <t>και ειδετωσαν</t>
  </si>
  <si>
    <t>και ιδετωσαν</t>
  </si>
  <si>
    <t>διηνοιξεν κε τους</t>
  </si>
  <si>
    <t>διηνοιξεν κυριος τους</t>
  </si>
  <si>
    <t>τοξω σου τυπτεις</t>
  </si>
  <si>
    <t>τοξω σου συ τυπτεις</t>
  </si>
  <si>
    <r>
      <t xml:space="preserve">(23) μονοζωνοι συριας του ελθειν εις γην ισλ (24) </t>
    </r>
    <r>
      <rPr>
        <b/>
        <sz val="11"/>
        <color theme="1"/>
        <rFont val="Calibri"/>
        <family val="2"/>
        <scheme val="minor"/>
      </rPr>
      <t>και εγενετο μετα ταυτα και ηθροισεν υιος αδερ βασιλευς συριας  του ελθειν εις γην ιηλ</t>
    </r>
    <r>
      <rPr>
        <sz val="11"/>
        <color theme="1"/>
        <rFont val="Calibri"/>
        <family val="2"/>
        <scheme val="minor"/>
      </rPr>
      <t xml:space="preserve"> και εγενετο μετα ταυτα και ηθροισεν υιος αδερ βασιλευς συριας πασαν την παρεμβολην</t>
    </r>
  </si>
  <si>
    <r>
      <t xml:space="preserve">(23) μονοζωνοι συριας του ελθειν εις γην ισραηλ (24) </t>
    </r>
    <r>
      <rPr>
        <b/>
        <sz val="11"/>
        <color theme="1"/>
        <rFont val="Calibri"/>
        <family val="2"/>
        <scheme val="minor"/>
      </rPr>
      <t>και εγενετο μετα ταυτα και ηθροισεν υιος αδερ βασιλευς συριας  του ελθειν εις γην ισραηλ</t>
    </r>
    <r>
      <rPr>
        <sz val="11"/>
        <color theme="1"/>
        <rFont val="Calibri"/>
        <family val="2"/>
        <scheme val="minor"/>
      </rPr>
      <t xml:space="preserve"> και εγενετο μετα ταυτα και ηθροισεν υιος αδερ βασιλευς συριας πασαν την παρεμβολην</t>
    </r>
  </si>
  <si>
    <t>once identified as a duplication, this material was omitted by strikethrough</t>
  </si>
  <si>
    <r>
      <t xml:space="preserve">(23) μονοζωνοι συριας του ελθειν εις γην ισλ (24) και εγενετο μετα ταυτα και ηθροισεν υιος αδερ βασιλευς συριας  του ελθειν εις γην ιηλ και εγενετο μετα ταυτα και ηθροισεν υιος </t>
    </r>
    <r>
      <rPr>
        <b/>
        <sz val="11"/>
        <color theme="1"/>
        <rFont val="Calibri"/>
        <family val="2"/>
        <scheme val="minor"/>
      </rPr>
      <t>αδερ</t>
    </r>
    <r>
      <rPr>
        <sz val="11"/>
        <color theme="1"/>
        <rFont val="Calibri"/>
        <family val="2"/>
        <scheme val="minor"/>
      </rPr>
      <t xml:space="preserve"> βασιλευς συριας πασαν την παρεμβολην</t>
    </r>
  </si>
  <si>
    <r>
      <t xml:space="preserve">(23) μονοζωνοι συριας του ελθειν εις γην ισραηλ (24) και εγενετο μετα ταυτα και ηθροισεν υιος αδερ βασιλευς συριας  του ελθειν εις γην ιηλ και εγενετο μετα ταυτα και ηθροισεν υιος </t>
    </r>
    <r>
      <rPr>
        <b/>
        <sz val="11"/>
        <color theme="1"/>
        <rFont val="Calibri"/>
        <family val="2"/>
        <scheme val="minor"/>
      </rPr>
      <t>αδερ</t>
    </r>
    <r>
      <rPr>
        <sz val="11"/>
        <color theme="1"/>
        <rFont val="Calibri"/>
        <family val="2"/>
        <scheme val="minor"/>
      </rPr>
      <t xml:space="preserve"> βασιλευς συριας πασαν την παρεμβολην</t>
    </r>
  </si>
  <si>
    <t>επι σαμαριαν</t>
  </si>
  <si>
    <t>επι σαμαρειαν</t>
  </si>
  <si>
    <t>εν σαμαρια</t>
  </si>
  <si>
    <t>εν σαμαριας</t>
  </si>
  <si>
    <t>περιεκαθηντο</t>
  </si>
  <si>
    <t>περιστερων πεντηκοντα πεντε αργυριου</t>
  </si>
  <si>
    <t>omit πεντηκοντα</t>
  </si>
  <si>
    <t>ην ο βασιλευς</t>
  </si>
  <si>
    <t>ην βασιλευς</t>
  </si>
  <si>
    <t>επι του χεις</t>
  </si>
  <si>
    <t>επι τειχους</t>
  </si>
  <si>
    <t>κυριε βασιλευς (27) και</t>
  </si>
  <si>
    <t>κυριε βασιλευ (27) και</t>
  </si>
  <si>
    <t>σωσαι κς</t>
  </si>
  <si>
    <t>σωσει κυριος</t>
  </si>
  <si>
    <t>ηψησαμεν</t>
  </si>
  <si>
    <t>και εφαγομεν</t>
  </si>
  <si>
    <t>και κφαγομεν</t>
  </si>
  <si>
    <t>φαγομεν αυτον</t>
  </si>
  <si>
    <t>φαγωμεν αυτον</t>
  </si>
  <si>
    <t>και αυτος διεπορευετο</t>
  </si>
  <si>
    <t>και δ αυτος διεπορευετο</t>
  </si>
  <si>
    <t>σαφατι επ</t>
  </si>
  <si>
    <t>σαφατ επ</t>
  </si>
  <si>
    <t>μου ειδετε</t>
  </si>
  <si>
    <t>μου ιδετε</t>
  </si>
  <si>
    <t>χειρα αυτου προς τον ελισσαιε</t>
  </si>
  <si>
    <t>χειρα αυτου τω ανθρωπω του θεου</t>
  </si>
  <si>
    <t>ιδου οψη</t>
  </si>
  <si>
    <t>ιδου συ οψη</t>
  </si>
  <si>
    <t>ωδε και αποθανουμεθα</t>
  </si>
  <si>
    <t>ωδε κατ αποθανουμεθα</t>
  </si>
  <si>
    <t>μεσον παρεμβολης</t>
  </si>
  <si>
    <t>μερος παρεμβολης</t>
  </si>
  <si>
    <t>μεσος παρεμβολης</t>
  </si>
  <si>
    <t>ακουστην παρεμβολης συριας</t>
  </si>
  <si>
    <r>
      <t xml:space="preserve">ακουστην </t>
    </r>
    <r>
      <rPr>
        <b/>
        <sz val="11"/>
        <color theme="1"/>
        <rFont val="Calibri"/>
        <family val="2"/>
        <scheme val="minor"/>
      </rPr>
      <t>την</t>
    </r>
    <r>
      <rPr>
        <sz val="11"/>
        <color theme="1"/>
        <rFont val="Calibri"/>
        <family val="2"/>
        <scheme val="minor"/>
      </rPr>
      <t xml:space="preserve"> παρεμβολη συριας</t>
    </r>
  </si>
  <si>
    <r>
      <t xml:space="preserve">ακουστην την </t>
    </r>
    <r>
      <rPr>
        <b/>
        <sz val="11"/>
        <color theme="1"/>
        <rFont val="Calibri"/>
        <family val="2"/>
        <scheme val="minor"/>
      </rPr>
      <t>παρεμβολη</t>
    </r>
    <r>
      <rPr>
        <sz val="11"/>
        <color theme="1"/>
        <rFont val="Calibri"/>
        <family val="2"/>
        <scheme val="minor"/>
      </rPr>
      <t xml:space="preserve"> συριας</t>
    </r>
  </si>
  <si>
    <r>
      <t xml:space="preserve">ακουστην </t>
    </r>
    <r>
      <rPr>
        <b/>
        <sz val="11"/>
        <color theme="1"/>
        <rFont val="Calibri"/>
        <family val="2"/>
        <scheme val="minor"/>
      </rPr>
      <t>παρεμβολης</t>
    </r>
    <r>
      <rPr>
        <sz val="11"/>
        <color theme="1"/>
        <rFont val="Calibri"/>
        <family val="2"/>
        <scheme val="minor"/>
      </rPr>
      <t xml:space="preserve"> συριας</t>
    </r>
  </si>
  <si>
    <t>φωνην αρματος</t>
  </si>
  <si>
    <t>φωνην αμματος</t>
  </si>
  <si>
    <t>φωνην δυναμεως</t>
  </si>
  <si>
    <t>φωνην ιππου φωνην δυναμεως</t>
  </si>
  <si>
    <t>βασιλεας των χετταιων</t>
  </si>
  <si>
    <t>βασιλεας αιγυπτου</t>
  </si>
  <si>
    <t>βασιλεις αιγυπτου</t>
  </si>
  <si>
    <r>
      <t xml:space="preserve">βασιλεις </t>
    </r>
    <r>
      <rPr>
        <b/>
        <sz val="11"/>
        <color theme="1"/>
        <rFont val="Calibri"/>
        <family val="2"/>
        <scheme val="minor"/>
      </rPr>
      <t>η</t>
    </r>
    <r>
      <rPr>
        <sz val="11"/>
        <color theme="1"/>
        <rFont val="Calibri"/>
        <family val="2"/>
        <scheme val="minor"/>
      </rPr>
      <t xml:space="preserve"> των χετταιων</t>
    </r>
  </si>
  <si>
    <r>
      <rPr>
        <b/>
        <sz val="11"/>
        <color theme="1"/>
        <rFont val="Calibri"/>
        <family val="2"/>
        <scheme val="minor"/>
      </rPr>
      <t>εγκατελειπον</t>
    </r>
    <r>
      <rPr>
        <sz val="11"/>
        <color theme="1"/>
        <rFont val="Calibri"/>
        <family val="2"/>
        <scheme val="minor"/>
      </rPr>
      <t xml:space="preserve"> τας σκηνας εαυτων και</t>
    </r>
  </si>
  <si>
    <r>
      <rPr>
        <b/>
        <sz val="11"/>
        <color theme="1"/>
        <rFont val="Calibri"/>
        <family val="2"/>
        <scheme val="minor"/>
      </rPr>
      <t>εγκατελιπαν</t>
    </r>
    <r>
      <rPr>
        <sz val="11"/>
        <color theme="1"/>
        <rFont val="Calibri"/>
        <family val="2"/>
        <scheme val="minor"/>
      </rPr>
      <t xml:space="preserve"> ταςς τας σκηνας εαυτων και</t>
    </r>
  </si>
  <si>
    <r>
      <t xml:space="preserve">εγκατελειπον </t>
    </r>
    <r>
      <rPr>
        <b/>
        <sz val="11"/>
        <color theme="1"/>
        <rFont val="Calibri"/>
        <family val="2"/>
        <scheme val="minor"/>
      </rPr>
      <t>τας</t>
    </r>
    <r>
      <rPr>
        <sz val="11"/>
        <color theme="1"/>
        <rFont val="Calibri"/>
        <family val="2"/>
        <scheme val="minor"/>
      </rPr>
      <t xml:space="preserve"> σκηνας εαυτων και</t>
    </r>
  </si>
  <si>
    <r>
      <t xml:space="preserve">εγκατελιπαν </t>
    </r>
    <r>
      <rPr>
        <b/>
        <sz val="11"/>
        <color theme="1"/>
        <rFont val="Calibri"/>
        <family val="2"/>
        <scheme val="minor"/>
      </rPr>
      <t>ταςς τας</t>
    </r>
    <r>
      <rPr>
        <sz val="11"/>
        <color theme="1"/>
        <rFont val="Calibri"/>
        <family val="2"/>
        <scheme val="minor"/>
      </rPr>
      <t xml:space="preserve"> σκηνας εαυτων και</t>
    </r>
  </si>
  <si>
    <r>
      <t xml:space="preserve">εγκατελειπον τας σκηνας </t>
    </r>
    <r>
      <rPr>
        <b/>
        <sz val="11"/>
        <color theme="1"/>
        <rFont val="Calibri"/>
        <family val="2"/>
        <scheme val="minor"/>
      </rPr>
      <t>εαυτων</t>
    </r>
    <r>
      <rPr>
        <sz val="11"/>
        <color theme="1"/>
        <rFont val="Calibri"/>
        <family val="2"/>
        <scheme val="minor"/>
      </rPr>
      <t xml:space="preserve"> και</t>
    </r>
  </si>
  <si>
    <r>
      <t xml:space="preserve">εγκατελιπαν ταςς τας σκηνας </t>
    </r>
    <r>
      <rPr>
        <b/>
        <sz val="11"/>
        <color theme="1"/>
        <rFont val="Calibri"/>
        <family val="2"/>
        <scheme val="minor"/>
      </rPr>
      <t>εαυτων</t>
    </r>
    <r>
      <rPr>
        <sz val="11"/>
        <color theme="1"/>
        <rFont val="Calibri"/>
        <family val="2"/>
        <scheme val="minor"/>
      </rPr>
      <t xml:space="preserve"> και</t>
    </r>
  </si>
  <si>
    <t>ονους εαυτων</t>
  </si>
  <si>
    <t>ψυχην εαυτων</t>
  </si>
  <si>
    <t>εαυτων -&gt; αυτων</t>
  </si>
  <si>
    <t>και επορευθησαν και εκρυψαν και επεστρεψαν και εισηλθον</t>
  </si>
  <si>
    <r>
      <t xml:space="preserve">και επορευθησαν και </t>
    </r>
    <r>
      <rPr>
        <b/>
        <sz val="11"/>
        <color theme="1"/>
        <rFont val="Calibri"/>
        <family val="2"/>
        <scheme val="minor"/>
      </rPr>
      <t>εκρυψαν</t>
    </r>
    <r>
      <rPr>
        <sz val="11"/>
        <color theme="1"/>
        <rFont val="Calibri"/>
        <family val="2"/>
        <scheme val="minor"/>
      </rPr>
      <t xml:space="preserve"> και επεστρεψαν και εισηλθον</t>
    </r>
  </si>
  <si>
    <r>
      <t xml:space="preserve">και επορευθησαν και </t>
    </r>
    <r>
      <rPr>
        <b/>
        <sz val="11"/>
        <color theme="1"/>
        <rFont val="Calibri"/>
        <family val="2"/>
        <scheme val="minor"/>
      </rPr>
      <t>επεστρεψαν</t>
    </r>
    <r>
      <rPr>
        <sz val="11"/>
        <color theme="1"/>
        <rFont val="Calibri"/>
        <family val="2"/>
        <scheme val="minor"/>
      </rPr>
      <t xml:space="preserve"> και εισηλ επεστρεψαν και εισηλθον</t>
    </r>
  </si>
  <si>
    <r>
      <t xml:space="preserve">και επορευθησαν και επεστρεψαν και </t>
    </r>
    <r>
      <rPr>
        <b/>
        <sz val="11"/>
        <color theme="1"/>
        <rFont val="Calibri"/>
        <family val="2"/>
        <scheme val="minor"/>
      </rPr>
      <t>εισηλ</t>
    </r>
    <r>
      <rPr>
        <sz val="11"/>
        <color theme="1"/>
        <rFont val="Calibri"/>
        <family val="2"/>
        <scheme val="minor"/>
      </rPr>
      <t xml:space="preserve"> επεστρεψαν και εισηλθον</t>
    </r>
  </si>
  <si>
    <t>ποιουμεν η ημερα</t>
  </si>
  <si>
    <t>ποιουμεν ημερα</t>
  </si>
  <si>
    <t>και ιδου ουκ εστιν εκει</t>
  </si>
  <si>
    <t>και εκει ουκ εστιν εκει</t>
  </si>
  <si>
    <t>οτι ει μη ει μη ιππος</t>
  </si>
  <si>
    <t>οτι ει μη ιππος</t>
  </si>
  <si>
    <t>εκ της γης</t>
  </si>
  <si>
    <t>εκ της πολεως</t>
  </si>
  <si>
    <t>δη παντες απο</t>
  </si>
  <si>
    <t>παντες -&gt; πεντε</t>
  </si>
  <si>
    <t>και επεστρεψαν</t>
  </si>
  <si>
    <t>και απεστρεψαν</t>
  </si>
  <si>
    <t>κατα το ρημα</t>
  </si>
  <si>
    <t>κατα ρημα</t>
  </si>
  <si>
    <r>
      <t xml:space="preserve">εφ ον </t>
    </r>
    <r>
      <rPr>
        <b/>
        <sz val="11"/>
        <color theme="1"/>
        <rFont val="Calibri"/>
        <family val="2"/>
        <scheme val="minor"/>
      </rPr>
      <t>ο βασιλευς</t>
    </r>
    <r>
      <rPr>
        <sz val="11"/>
        <color theme="1"/>
        <rFont val="Calibri"/>
        <family val="2"/>
        <scheme val="minor"/>
      </rPr>
      <t xml:space="preserve"> επανεπαυετο επι</t>
    </r>
  </si>
  <si>
    <r>
      <t xml:space="preserve">εφ ον </t>
    </r>
    <r>
      <rPr>
        <b/>
        <sz val="11"/>
        <color theme="1"/>
        <rFont val="Calibri"/>
        <family val="2"/>
        <scheme val="minor"/>
      </rPr>
      <t>ο βασιλευς</t>
    </r>
    <r>
      <rPr>
        <sz val="11"/>
        <color theme="1"/>
        <rFont val="Calibri"/>
        <family val="2"/>
        <scheme val="minor"/>
      </rPr>
      <t xml:space="preserve"> επαναπαυεται επι</t>
    </r>
  </si>
  <si>
    <t>omit ο βασιλευς</t>
  </si>
  <si>
    <r>
      <t xml:space="preserve">εφ ον ο βασιλευς </t>
    </r>
    <r>
      <rPr>
        <b/>
        <sz val="11"/>
        <color theme="1"/>
        <rFont val="Calibri"/>
        <family val="2"/>
        <scheme val="minor"/>
      </rPr>
      <t>επανεπαυετο</t>
    </r>
    <r>
      <rPr>
        <sz val="11"/>
        <color theme="1"/>
        <rFont val="Calibri"/>
        <family val="2"/>
        <scheme val="minor"/>
      </rPr>
      <t xml:space="preserve"> επι</t>
    </r>
  </si>
  <si>
    <r>
      <t xml:space="preserve">εφ ον ο βασιλευς </t>
    </r>
    <r>
      <rPr>
        <b/>
        <sz val="11"/>
        <color theme="1"/>
        <rFont val="Calibri"/>
        <family val="2"/>
        <scheme val="minor"/>
      </rPr>
      <t>επαναπαυεται</t>
    </r>
    <r>
      <rPr>
        <sz val="11"/>
        <color theme="1"/>
        <rFont val="Calibri"/>
        <family val="2"/>
        <scheme val="minor"/>
      </rPr>
      <t xml:space="preserve"> επι</t>
    </r>
  </si>
  <si>
    <t>επαναπαυετο</t>
  </si>
  <si>
    <t>η ημερα αυτη</t>
  </si>
  <si>
    <t>η ωρα αυτη</t>
  </si>
  <si>
    <r>
      <t xml:space="preserve">τη </t>
    </r>
    <r>
      <rPr>
        <b/>
        <sz val="11"/>
        <color theme="1"/>
        <rFont val="Calibri"/>
        <family val="2"/>
        <scheme val="minor"/>
      </rPr>
      <t>πυλει</t>
    </r>
    <r>
      <rPr>
        <sz val="11"/>
        <color theme="1"/>
        <rFont val="Calibri"/>
        <family val="2"/>
        <scheme val="minor"/>
      </rPr>
      <t xml:space="preserve"> σαμαριας</t>
    </r>
  </si>
  <si>
    <r>
      <t xml:space="preserve">τη </t>
    </r>
    <r>
      <rPr>
        <b/>
        <sz val="11"/>
        <color theme="1"/>
        <rFont val="Calibri"/>
        <family val="2"/>
        <scheme val="minor"/>
      </rPr>
      <t>πυλη</t>
    </r>
    <r>
      <rPr>
        <sz val="11"/>
        <color theme="1"/>
        <rFont val="Calibri"/>
        <family val="2"/>
        <scheme val="minor"/>
      </rPr>
      <t xml:space="preserve"> σαμαριας</t>
    </r>
  </si>
  <si>
    <r>
      <t xml:space="preserve">τη πυλει </t>
    </r>
    <r>
      <rPr>
        <b/>
        <sz val="11"/>
        <color theme="1"/>
        <rFont val="Calibri"/>
        <family val="2"/>
        <scheme val="minor"/>
      </rPr>
      <t>σαμαριας</t>
    </r>
  </si>
  <si>
    <r>
      <t xml:space="preserve">τη πυλη </t>
    </r>
    <r>
      <rPr>
        <b/>
        <sz val="11"/>
        <color theme="1"/>
        <rFont val="Calibri"/>
        <family val="2"/>
        <scheme val="minor"/>
      </rPr>
      <t>σαμαριας</t>
    </r>
  </si>
  <si>
    <r>
      <rPr>
        <b/>
        <sz val="11"/>
        <color theme="1"/>
        <rFont val="Calibri"/>
        <family val="2"/>
        <scheme val="minor"/>
      </rPr>
      <t>απεκριθης</t>
    </r>
    <r>
      <rPr>
        <sz val="11"/>
        <color theme="1"/>
        <rFont val="Calibri"/>
        <family val="2"/>
        <scheme val="minor"/>
      </rPr>
      <t xml:space="preserve"> στριστατης</t>
    </r>
  </si>
  <si>
    <r>
      <rPr>
        <b/>
        <sz val="11"/>
        <color theme="1"/>
        <rFont val="Calibri"/>
        <family val="2"/>
        <scheme val="minor"/>
      </rPr>
      <t>απεκριθη</t>
    </r>
    <r>
      <rPr>
        <sz val="11"/>
        <color theme="1"/>
        <rFont val="Calibri"/>
        <family val="2"/>
        <scheme val="minor"/>
      </rPr>
      <t xml:space="preserve"> ο τριστατης</t>
    </r>
  </si>
  <si>
    <r>
      <t xml:space="preserve">απεκριθης </t>
    </r>
    <r>
      <rPr>
        <b/>
        <sz val="11"/>
        <color theme="1"/>
        <rFont val="Calibri"/>
        <family val="2"/>
        <scheme val="minor"/>
      </rPr>
      <t>στριστατης</t>
    </r>
  </si>
  <si>
    <r>
      <t xml:space="preserve">απεκριθη ο </t>
    </r>
    <r>
      <rPr>
        <b/>
        <sz val="11"/>
        <color theme="1"/>
        <rFont val="Calibri"/>
        <family val="2"/>
        <scheme val="minor"/>
      </rPr>
      <t>τριστατης</t>
    </r>
  </si>
  <si>
    <t>τω ανθρωπω του θεου</t>
  </si>
  <si>
    <t>φαγηα (20) και</t>
  </si>
  <si>
    <t>φαγη (20) και</t>
  </si>
  <si>
    <t>παροικησης</t>
  </si>
  <si>
    <t>γην και γε</t>
  </si>
  <si>
    <t>γην και καιγε</t>
  </si>
  <si>
    <t>το τελος των επτα</t>
  </si>
  <si>
    <t>το τελος επτα</t>
  </si>
  <si>
    <t>η γυνη εκ των αλλοφυλων</t>
  </si>
  <si>
    <r>
      <t xml:space="preserve">η γυνη </t>
    </r>
    <r>
      <rPr>
        <b/>
        <sz val="11"/>
        <color theme="1"/>
        <rFont val="Calibri"/>
        <family val="2"/>
        <scheme val="minor"/>
      </rPr>
      <t>προς τον βασιλεα</t>
    </r>
    <r>
      <rPr>
        <sz val="11"/>
        <color theme="1"/>
        <rFont val="Calibri"/>
        <family val="2"/>
        <scheme val="minor"/>
      </rPr>
      <t xml:space="preserve"> εκ των αλλοφυλων</t>
    </r>
  </si>
  <si>
    <r>
      <t xml:space="preserve">η γυνη προς τον βασιλεα εκ </t>
    </r>
    <r>
      <rPr>
        <b/>
        <sz val="11"/>
        <color theme="1"/>
        <rFont val="Calibri"/>
        <family val="2"/>
        <scheme val="minor"/>
      </rPr>
      <t>των</t>
    </r>
    <r>
      <rPr>
        <sz val="11"/>
        <color theme="1"/>
        <rFont val="Calibri"/>
        <family val="2"/>
        <scheme val="minor"/>
      </rPr>
      <t xml:space="preserve"> αλλοφυλων</t>
    </r>
  </si>
  <si>
    <r>
      <t xml:space="preserve">η γυνη εκ </t>
    </r>
    <r>
      <rPr>
        <b/>
        <sz val="11"/>
        <color theme="1"/>
        <rFont val="Calibri"/>
        <family val="2"/>
        <scheme val="minor"/>
      </rPr>
      <t>των</t>
    </r>
    <r>
      <rPr>
        <sz val="11"/>
        <color theme="1"/>
        <rFont val="Calibri"/>
        <family val="2"/>
        <scheme val="minor"/>
      </rPr>
      <t xml:space="preserve"> αλλοφυλων</t>
    </r>
  </si>
  <si>
    <t>των -&gt; γης</t>
  </si>
  <si>
    <t>και ηλθεν</t>
  </si>
  <si>
    <t>και εξηλθεν</t>
  </si>
  <si>
    <t>αγρων εαυτης</t>
  </si>
  <si>
    <t>μεγαλα εποιησεν</t>
  </si>
  <si>
    <t>μεγαλα α εποιησεν</t>
  </si>
  <si>
    <t>οικου εαυτης</t>
  </si>
  <si>
    <r>
      <rPr>
        <b/>
        <sz val="11"/>
        <color theme="1"/>
        <rFont val="Calibri"/>
        <family val="2"/>
        <scheme val="minor"/>
      </rPr>
      <t>παντα αυτης τα γενηματα</t>
    </r>
    <r>
      <rPr>
        <sz val="11"/>
        <color theme="1"/>
        <rFont val="Calibri"/>
        <family val="2"/>
        <scheme val="minor"/>
      </rPr>
      <t xml:space="preserve"> και παντα τα γενηματα του αγρου</t>
    </r>
  </si>
  <si>
    <t>παντα τα αυτης</t>
  </si>
  <si>
    <r>
      <t xml:space="preserve">παντα αυτης τα γενηματα και παντα τα </t>
    </r>
    <r>
      <rPr>
        <b/>
        <sz val="11"/>
        <color theme="1"/>
        <rFont val="Calibri"/>
        <family val="2"/>
        <scheme val="minor"/>
      </rPr>
      <t>γενηματα</t>
    </r>
    <r>
      <rPr>
        <sz val="11"/>
        <color theme="1"/>
        <rFont val="Calibri"/>
        <family val="2"/>
        <scheme val="minor"/>
      </rPr>
      <t xml:space="preserve"> του αγρου</t>
    </r>
  </si>
  <si>
    <t>γεννηματα</t>
  </si>
  <si>
    <t>ης εγκατελειπεν</t>
  </si>
  <si>
    <t>ης κατελιπεν</t>
  </si>
  <si>
    <t>υιος αδερ ηρρωστει</t>
  </si>
  <si>
    <r>
      <t xml:space="preserve">υιος </t>
    </r>
    <r>
      <rPr>
        <b/>
        <sz val="11"/>
        <color theme="1"/>
        <rFont val="Calibri"/>
        <family val="2"/>
        <scheme val="minor"/>
      </rPr>
      <t>αδερ</t>
    </r>
    <r>
      <rPr>
        <sz val="11"/>
        <color theme="1"/>
        <rFont val="Calibri"/>
        <family val="2"/>
        <scheme val="minor"/>
      </rPr>
      <t xml:space="preserve"> βασιλευς συριας ηρρωστει</t>
    </r>
  </si>
  <si>
    <r>
      <t xml:space="preserve">υιος </t>
    </r>
    <r>
      <rPr>
        <b/>
        <sz val="11"/>
        <color theme="1"/>
        <rFont val="Calibri"/>
        <family val="2"/>
        <scheme val="minor"/>
      </rPr>
      <t>αδερ</t>
    </r>
    <r>
      <rPr>
        <sz val="11"/>
        <color theme="1"/>
        <rFont val="Calibri"/>
        <family val="2"/>
        <scheme val="minor"/>
      </rPr>
      <t xml:space="preserve"> ηρρωστει</t>
    </r>
  </si>
  <si>
    <r>
      <t xml:space="preserve">υιος αδερ </t>
    </r>
    <r>
      <rPr>
        <b/>
        <sz val="11"/>
        <color theme="1"/>
        <rFont val="Calibri"/>
        <family val="2"/>
        <scheme val="minor"/>
      </rPr>
      <t>βασιλευς συριας</t>
    </r>
    <r>
      <rPr>
        <sz val="11"/>
        <color theme="1"/>
        <rFont val="Calibri"/>
        <family val="2"/>
        <scheme val="minor"/>
      </rPr>
      <t xml:space="preserve"> ηρρωστει</t>
    </r>
  </si>
  <si>
    <t>λεγοντες ηκει</t>
  </si>
  <si>
    <t>λεγοντες εικει</t>
  </si>
  <si>
    <t>ενωπιον αυτων</t>
  </si>
  <si>
    <t>υιος σου υιος αδερ</t>
  </si>
  <si>
    <r>
      <t xml:space="preserve">υιος σου </t>
    </r>
    <r>
      <rPr>
        <b/>
        <sz val="11"/>
        <color theme="1"/>
        <rFont val="Calibri"/>
        <family val="2"/>
        <scheme val="minor"/>
      </rPr>
      <t>ο</t>
    </r>
    <r>
      <rPr>
        <sz val="11"/>
        <color theme="1"/>
        <rFont val="Calibri"/>
        <family val="2"/>
        <scheme val="minor"/>
      </rPr>
      <t xml:space="preserve"> υιος αδερ</t>
    </r>
  </si>
  <si>
    <r>
      <t xml:space="preserve">υιος σου υιος </t>
    </r>
    <r>
      <rPr>
        <b/>
        <sz val="11"/>
        <color theme="1"/>
        <rFont val="Calibri"/>
        <family val="2"/>
        <scheme val="minor"/>
      </rPr>
      <t>αδερ</t>
    </r>
  </si>
  <si>
    <r>
      <t xml:space="preserve">υιος σου ο υιος </t>
    </r>
    <r>
      <rPr>
        <b/>
        <sz val="11"/>
        <color theme="1"/>
        <rFont val="Calibri"/>
        <family val="2"/>
        <scheme val="minor"/>
      </rPr>
      <t>αδερ</t>
    </r>
  </si>
  <si>
    <t>ειπεν αζαηλ οτι</t>
  </si>
  <si>
    <t>ειπεν αζαηλ τι οτι</t>
  </si>
  <si>
    <t>ιηλ και τα οχυρωματα</t>
  </si>
  <si>
    <t>ισραηλ και τα οχυρωματα</t>
  </si>
  <si>
    <t>και -&gt; κακα</t>
  </si>
  <si>
    <t>ενσεισεις</t>
  </si>
  <si>
    <t>εστιν δουλος</t>
  </si>
  <si>
    <t>εστιν το δουλος</t>
  </si>
  <si>
    <t>δουλος σου ω κε οτι</t>
  </si>
  <si>
    <t>δουλος σου ω κυριε οτι</t>
  </si>
  <si>
    <t>ω κυριε -&gt; ο κυων ο τεθνηκως</t>
  </si>
  <si>
    <t>επι ισλ</t>
  </si>
  <si>
    <t>επι ισραηλ</t>
  </si>
  <si>
    <t>επι συριαν</t>
  </si>
  <si>
    <t>αυτω οτι ειπεν</t>
  </si>
  <si>
    <t>αυτω τι ειπεν</t>
  </si>
  <si>
    <t>ζωη ζηση</t>
  </si>
  <si>
    <t>ζων ζηση</t>
  </si>
  <si>
    <t>τον αβρα</t>
  </si>
  <si>
    <t>το μαχβαρ</t>
  </si>
  <si>
    <t>βασιλει ισλ</t>
  </si>
  <si>
    <t>βασιλεως ισραηλ</t>
  </si>
  <si>
    <t>first corrected to τεσσαρακοντα, then again to οκτω</t>
  </si>
  <si>
    <r>
      <t xml:space="preserve">επορευθη </t>
    </r>
    <r>
      <rPr>
        <b/>
        <sz val="11"/>
        <color theme="1"/>
        <rFont val="Calibri"/>
        <family val="2"/>
        <scheme val="minor"/>
      </rPr>
      <t>ον</t>
    </r>
    <r>
      <rPr>
        <sz val="11"/>
        <color theme="1"/>
        <rFont val="Calibri"/>
        <family val="2"/>
        <scheme val="minor"/>
      </rPr>
      <t xml:space="preserve"> οδω βασιλεως</t>
    </r>
  </si>
  <si>
    <r>
      <t xml:space="preserve">επορευθη </t>
    </r>
    <r>
      <rPr>
        <b/>
        <sz val="11"/>
        <color theme="1"/>
        <rFont val="Calibri"/>
        <family val="2"/>
        <scheme val="minor"/>
      </rPr>
      <t>εν</t>
    </r>
    <r>
      <rPr>
        <sz val="11"/>
        <color theme="1"/>
        <rFont val="Calibri"/>
        <family val="2"/>
        <scheme val="minor"/>
      </rPr>
      <t xml:space="preserve"> οδω βασιλεων</t>
    </r>
  </si>
  <si>
    <r>
      <t xml:space="preserve">επορευθη ον οδω </t>
    </r>
    <r>
      <rPr>
        <b/>
        <sz val="11"/>
        <color theme="1"/>
        <rFont val="Calibri"/>
        <family val="2"/>
        <scheme val="minor"/>
      </rPr>
      <t>βασιλεως</t>
    </r>
  </si>
  <si>
    <r>
      <t xml:space="preserve">επορευθη εν οδω </t>
    </r>
    <r>
      <rPr>
        <b/>
        <sz val="11"/>
        <color theme="1"/>
        <rFont val="Calibri"/>
        <family val="2"/>
        <scheme val="minor"/>
      </rPr>
      <t>βασιλεων</t>
    </r>
  </si>
  <si>
    <t>δουναι λυχνον</t>
  </si>
  <si>
    <t>δουναι αυτω λυχνον</t>
  </si>
  <si>
    <t>υποκατωθεν ιουδα</t>
  </si>
  <si>
    <r>
      <t xml:space="preserve">υποκατωθεν </t>
    </r>
    <r>
      <rPr>
        <b/>
        <sz val="11"/>
        <color theme="1"/>
        <rFont val="Calibri"/>
        <family val="2"/>
        <scheme val="minor"/>
      </rPr>
      <t>της  χειρος</t>
    </r>
    <r>
      <rPr>
        <sz val="11"/>
        <color theme="1"/>
        <rFont val="Calibri"/>
        <family val="2"/>
        <scheme val="minor"/>
      </rPr>
      <t xml:space="preserve"> ιουλα</t>
    </r>
  </si>
  <si>
    <r>
      <t xml:space="preserve">υποκατωθεν της  χειρος </t>
    </r>
    <r>
      <rPr>
        <b/>
        <sz val="11"/>
        <color theme="1"/>
        <rFont val="Calibri"/>
        <family val="2"/>
        <scheme val="minor"/>
      </rPr>
      <t>ιουλα</t>
    </r>
  </si>
  <si>
    <r>
      <t xml:space="preserve">υποκατωθεν </t>
    </r>
    <r>
      <rPr>
        <b/>
        <sz val="11"/>
        <color theme="1"/>
        <rFont val="Calibri"/>
        <family val="2"/>
        <scheme val="minor"/>
      </rPr>
      <t>ιουδα</t>
    </r>
  </si>
  <si>
    <t>εαυτου βασιλεα</t>
  </si>
  <si>
    <t>εαυτους βασιλεα</t>
  </si>
  <si>
    <t>ιωραμ και παντα</t>
  </si>
  <si>
    <t>ιωραμ εις σιωρ και παντα</t>
  </si>
  <si>
    <t>και εγενετο αυτου</t>
  </si>
  <si>
    <t>και ιδου αυτου</t>
  </si>
  <si>
    <t>υποκατωθεν χειρος ιουδα</t>
  </si>
  <si>
    <t>ουχ -&gt; ουκ</t>
  </si>
  <si>
    <t>βιβλιω λογων</t>
  </si>
  <si>
    <t>βιβλιω λογοων</t>
  </si>
  <si>
    <t>τοις βασιλευσιν ιουδα</t>
  </si>
  <si>
    <r>
      <rPr>
        <b/>
        <sz val="11"/>
        <color theme="1"/>
        <rFont val="Calibri"/>
        <family val="2"/>
        <scheme val="minor"/>
      </rPr>
      <t>τοις βασιλευσιν</t>
    </r>
    <r>
      <rPr>
        <sz val="11"/>
        <color theme="1"/>
        <rFont val="Calibri"/>
        <family val="2"/>
        <scheme val="minor"/>
      </rPr>
      <t xml:space="preserve"> ισραηλ ιουδα</t>
    </r>
  </si>
  <si>
    <r>
      <t xml:space="preserve">τοις βασιλευσιν </t>
    </r>
    <r>
      <rPr>
        <b/>
        <sz val="11"/>
        <color theme="1"/>
        <rFont val="Calibri"/>
        <family val="2"/>
        <scheme val="minor"/>
      </rPr>
      <t>ισραηλ</t>
    </r>
    <r>
      <rPr>
        <sz val="11"/>
        <color theme="1"/>
        <rFont val="Calibri"/>
        <family val="2"/>
        <scheme val="minor"/>
      </rPr>
      <t xml:space="preserve"> ιουδα</t>
    </r>
  </si>
  <si>
    <t>πατρος αυτου και εβασιλευσεν οχοζιας υιος αυτου αντ αυτου (25) εν ετει</t>
  </si>
  <si>
    <t>πατρος αυτου (25) εν ετει</t>
  </si>
  <si>
    <t>εν ετει</t>
  </si>
  <si>
    <t>του ιωραμ υιω αχααβ βασιλει ισλ</t>
  </si>
  <si>
    <t>του ιωραμ υιου αχααβ βασιλεως ισραηλ</t>
  </si>
  <si>
    <t>του ιωραμ υιω αχααβ βασιλει ισραηλ</t>
  </si>
  <si>
    <t>ενα εβασιλευσεν</t>
  </si>
  <si>
    <t>εν ιηλ</t>
  </si>
  <si>
    <t>ο οικος οικος αχααβ</t>
  </si>
  <si>
    <t>ο οικος αχααβ</t>
  </si>
  <si>
    <t>μετα αζαηλ</t>
  </si>
  <si>
    <t>μετα ισραηλ αζαηλ</t>
  </si>
  <si>
    <t>ιωραμ προ του ιατρευθηναι</t>
  </si>
  <si>
    <t>omit προ</t>
  </si>
  <si>
    <t>μετα αζαηλ βασιλεως συριας</t>
  </si>
  <si>
    <t>μετα βασιλεως συριας</t>
  </si>
  <si>
    <t>οχοζιας υιος ιωραμ βασιλευς</t>
  </si>
  <si>
    <t>οχοζιας βασιλευς</t>
  </si>
  <si>
    <t>αχααβ εν ιεζραελ</t>
  </si>
  <si>
    <t>αχααβ εις ιεζραελ</t>
  </si>
  <si>
    <t>οσφυν</t>
  </si>
  <si>
    <t>ραμωθ</t>
  </si>
  <si>
    <t>ιηου υιον</t>
  </si>
  <si>
    <t>ιηους υιον</t>
  </si>
  <si>
    <r>
      <t xml:space="preserve">ιωσαφατ </t>
    </r>
    <r>
      <rPr>
        <b/>
        <sz val="11"/>
        <color theme="1"/>
        <rFont val="Calibri"/>
        <family val="2"/>
        <scheme val="minor"/>
      </rPr>
      <t>υιον</t>
    </r>
    <r>
      <rPr>
        <sz val="11"/>
        <color theme="1"/>
        <rFont val="Calibri"/>
        <family val="2"/>
        <scheme val="minor"/>
      </rPr>
      <t xml:space="preserve"> αμεσει</t>
    </r>
  </si>
  <si>
    <r>
      <t xml:space="preserve">ιωσαφατ υιον </t>
    </r>
    <r>
      <rPr>
        <b/>
        <sz val="11"/>
        <color theme="1"/>
        <rFont val="Calibri"/>
        <family val="2"/>
        <scheme val="minor"/>
      </rPr>
      <t>αμεσει</t>
    </r>
  </si>
  <si>
    <t>εισαξεις αυτο εις</t>
  </si>
  <si>
    <t>εισαξεις αυτον εις</t>
  </si>
  <si>
    <t>σε βασιλεα</t>
  </si>
  <si>
    <t>σε εις βασιλεα</t>
  </si>
  <si>
    <t>Alex. = ρεμαθ; 7522A "corrects" to ραμωθ</t>
  </si>
  <si>
    <t>προσωπου σου και</t>
  </si>
  <si>
    <r>
      <t xml:space="preserve">και </t>
    </r>
    <r>
      <rPr>
        <b/>
        <sz val="11"/>
        <color theme="1"/>
        <rFont val="Calibri"/>
        <family val="2"/>
        <scheme val="minor"/>
      </rPr>
      <t>επιδουναι</t>
    </r>
    <r>
      <rPr>
        <sz val="11"/>
        <color theme="1"/>
        <rFont val="Calibri"/>
        <family val="2"/>
        <scheme val="minor"/>
      </rPr>
      <t xml:space="preserve"> τον οικον του αχααβ</t>
    </r>
  </si>
  <si>
    <r>
      <t xml:space="preserve">και επιδουναι τον οικον </t>
    </r>
    <r>
      <rPr>
        <b/>
        <sz val="11"/>
        <color theme="1"/>
        <rFont val="Calibri"/>
        <family val="2"/>
        <scheme val="minor"/>
      </rPr>
      <t>του</t>
    </r>
    <r>
      <rPr>
        <sz val="11"/>
        <color theme="1"/>
        <rFont val="Calibri"/>
        <family val="2"/>
        <scheme val="minor"/>
      </rPr>
      <t xml:space="preserve"> αχααβ</t>
    </r>
  </si>
  <si>
    <t>omit του</t>
  </si>
  <si>
    <t>οικον ιροβοαμ</t>
  </si>
  <si>
    <t>οικον του ιεροβοαμ</t>
  </si>
  <si>
    <t>μεριδι ιεζραελ και</t>
  </si>
  <si>
    <t>αυτω ειρηνη</t>
  </si>
  <si>
    <t>αυτω ει ειρηνη</t>
  </si>
  <si>
    <t>και ελαβον εκαστος</t>
  </si>
  <si>
    <t>και λαβοντες εκαστος</t>
  </si>
  <si>
    <t>αυτου και εθηκαν</t>
  </si>
  <si>
    <r>
      <t xml:space="preserve">αυτου </t>
    </r>
    <r>
      <rPr>
        <b/>
        <sz val="11"/>
        <color theme="1"/>
        <rFont val="Calibri"/>
        <family val="2"/>
        <scheme val="minor"/>
      </rPr>
      <t>επι</t>
    </r>
    <r>
      <rPr>
        <sz val="11"/>
        <color theme="1"/>
        <rFont val="Calibri"/>
        <family val="2"/>
        <scheme val="minor"/>
      </rPr>
      <t xml:space="preserve"> γαρ ενα των αναβαθμων</t>
    </r>
  </si>
  <si>
    <r>
      <t xml:space="preserve">αυτου </t>
    </r>
    <r>
      <rPr>
        <b/>
        <sz val="11"/>
        <color theme="1"/>
        <rFont val="Calibri"/>
        <family val="2"/>
        <scheme val="minor"/>
      </rPr>
      <t>επα</t>
    </r>
    <r>
      <rPr>
        <sz val="11"/>
        <color theme="1"/>
        <rFont val="Calibri"/>
        <family val="2"/>
        <scheme val="minor"/>
      </rPr>
      <t xml:space="preserve"> γαρ ενν των αναβαθμων</t>
    </r>
  </si>
  <si>
    <r>
      <t xml:space="preserve">αυτου επι γαρ </t>
    </r>
    <r>
      <rPr>
        <b/>
        <sz val="11"/>
        <color theme="1"/>
        <rFont val="Calibri"/>
        <family val="2"/>
        <scheme val="minor"/>
      </rPr>
      <t>ενα</t>
    </r>
    <r>
      <rPr>
        <sz val="11"/>
        <color theme="1"/>
        <rFont val="Calibri"/>
        <family val="2"/>
        <scheme val="minor"/>
      </rPr>
      <t xml:space="preserve"> των αναβαθμων</t>
    </r>
  </si>
  <si>
    <r>
      <t xml:space="preserve">αυτου επα γαρ </t>
    </r>
    <r>
      <rPr>
        <b/>
        <sz val="11"/>
        <color theme="1"/>
        <rFont val="Calibri"/>
        <family val="2"/>
        <scheme val="minor"/>
      </rPr>
      <t>ενν</t>
    </r>
    <r>
      <rPr>
        <sz val="11"/>
        <color theme="1"/>
        <rFont val="Calibri"/>
        <family val="2"/>
        <scheme val="minor"/>
      </rPr>
      <t xml:space="preserve"> των αναβαθμων</t>
    </r>
  </si>
  <si>
    <t>και αυτος ιωραμ</t>
  </si>
  <si>
    <t>omit αυτος</t>
  </si>
  <si>
    <r>
      <rPr>
        <b/>
        <sz val="11"/>
        <color theme="1"/>
        <rFont val="Calibri"/>
        <family val="2"/>
        <scheme val="minor"/>
      </rPr>
      <t>απεστρεψεν</t>
    </r>
    <r>
      <rPr>
        <sz val="11"/>
        <color theme="1"/>
        <rFont val="Calibri"/>
        <family val="2"/>
        <scheme val="minor"/>
      </rPr>
      <t xml:space="preserve"> ιωραμ ο βασιλευς ιωραμ ιατρευθηναι</t>
    </r>
  </si>
  <si>
    <r>
      <t xml:space="preserve">απεστρεψεν </t>
    </r>
    <r>
      <rPr>
        <b/>
        <sz val="11"/>
        <color theme="1"/>
        <rFont val="Calibri"/>
        <family val="2"/>
        <scheme val="minor"/>
      </rPr>
      <t>ιωραμ</t>
    </r>
    <r>
      <rPr>
        <sz val="11"/>
        <color theme="1"/>
        <rFont val="Calibri"/>
        <family val="2"/>
        <scheme val="minor"/>
      </rPr>
      <t xml:space="preserve"> ο βασιλευς ιωραμ ιατρευθηναι</t>
    </r>
  </si>
  <si>
    <t>πολεμειν αυτους μετα</t>
  </si>
  <si>
    <t>αυτους -&gt; αυτον</t>
  </si>
  <si>
    <t>οι ραμμαει</t>
  </si>
  <si>
    <r>
      <t xml:space="preserve">οι </t>
    </r>
    <r>
      <rPr>
        <b/>
        <sz val="11"/>
        <color theme="1"/>
        <rFont val="Calibri"/>
        <family val="2"/>
        <scheme val="minor"/>
      </rPr>
      <t>α</t>
    </r>
    <r>
      <rPr>
        <sz val="11"/>
        <color theme="1"/>
        <rFont val="Calibri"/>
        <family val="2"/>
        <scheme val="minor"/>
      </rPr>
      <t xml:space="preserve"> ραμμαει</t>
    </r>
  </si>
  <si>
    <r>
      <t xml:space="preserve">οι </t>
    </r>
    <r>
      <rPr>
        <b/>
        <sz val="11"/>
        <color theme="1"/>
        <rFont val="Calibri"/>
        <family val="2"/>
        <scheme val="minor"/>
      </rPr>
      <t>ραμμαει</t>
    </r>
  </si>
  <si>
    <r>
      <t xml:space="preserve">οι α </t>
    </r>
    <r>
      <rPr>
        <b/>
        <sz val="11"/>
        <color theme="1"/>
        <rFont val="Calibri"/>
        <family val="2"/>
        <scheme val="minor"/>
      </rPr>
      <t>ραμμαει</t>
    </r>
  </si>
  <si>
    <t>αραμιν</t>
  </si>
  <si>
    <t>οτι αυτος δυνατος</t>
  </si>
  <si>
    <t>οτι αυσος δυνατος</t>
  </si>
  <si>
    <t>οχοζιας ο βασιλευς</t>
  </si>
  <si>
    <t>κατεβη ιδειν</t>
  </si>
  <si>
    <t>κατεβη ειδειν</t>
  </si>
  <si>
    <t>ειπατω ει ειρηνη</t>
  </si>
  <si>
    <t>ειπατω ειρηνη</t>
  </si>
  <si>
    <t>απαντησιν αυτω και</t>
  </si>
  <si>
    <t>απαντησιν αυτων και</t>
  </si>
  <si>
    <t>βασιλευς ειρηνη</t>
  </si>
  <si>
    <t>βασιλευς ει ειρηνη</t>
  </si>
  <si>
    <t>προς το οπισω</t>
  </si>
  <si>
    <t>προς τα οπισω</t>
  </si>
  <si>
    <t>ηλθεν μετ αυτον και ειπεν</t>
  </si>
  <si>
    <t>μετ αυτον -&gt; προς αυτους</t>
  </si>
  <si>
    <r>
      <t xml:space="preserve">ιηου </t>
    </r>
    <r>
      <rPr>
        <b/>
        <sz val="11"/>
        <color theme="1"/>
        <rFont val="Calibri"/>
        <family val="2"/>
        <scheme val="minor"/>
      </rPr>
      <t>υιου</t>
    </r>
    <r>
      <rPr>
        <sz val="11"/>
        <color theme="1"/>
        <rFont val="Calibri"/>
        <family val="2"/>
        <scheme val="minor"/>
      </rPr>
      <t xml:space="preserve"> ναμεσιου οτι</t>
    </r>
  </si>
  <si>
    <r>
      <t xml:space="preserve">ιηου υιου </t>
    </r>
    <r>
      <rPr>
        <b/>
        <sz val="11"/>
        <color theme="1"/>
        <rFont val="Calibri"/>
        <family val="2"/>
        <scheme val="minor"/>
      </rPr>
      <t>ναμεσιου</t>
    </r>
    <r>
      <rPr>
        <sz val="11"/>
        <color theme="1"/>
        <rFont val="Calibri"/>
        <family val="2"/>
        <scheme val="minor"/>
      </rPr>
      <t xml:space="preserve"> οτι</t>
    </r>
  </si>
  <si>
    <t>εζευξεν</t>
  </si>
  <si>
    <t>ως ιδεν</t>
  </si>
  <si>
    <t>ως ειδεν</t>
  </si>
  <si>
    <t>ειπεν ειρηνη</t>
  </si>
  <si>
    <t>ειπεν ει ειρηνη</t>
  </si>
  <si>
    <t>πορνειαι</t>
  </si>
  <si>
    <t>μητρος σου και</t>
  </si>
  <si>
    <t>μητρος αυτου και</t>
  </si>
  <si>
    <t>αυτου του εφυγεν</t>
  </si>
  <si>
    <t>αυτου και εφυγεν</t>
  </si>
  <si>
    <r>
      <t xml:space="preserve">προς οχοζει </t>
    </r>
    <r>
      <rPr>
        <b/>
        <sz val="11"/>
        <color theme="1"/>
        <rFont val="Calibri"/>
        <family val="2"/>
        <scheme val="minor"/>
      </rPr>
      <t>δολος</t>
    </r>
    <r>
      <rPr>
        <sz val="11"/>
        <color theme="1"/>
        <rFont val="Calibri"/>
        <family val="2"/>
        <scheme val="minor"/>
      </rPr>
      <t xml:space="preserve"> οχοζει</t>
    </r>
  </si>
  <si>
    <r>
      <t xml:space="preserve">προς οχοζεαν </t>
    </r>
    <r>
      <rPr>
        <b/>
        <sz val="11"/>
        <color theme="1"/>
        <rFont val="Calibri"/>
        <family val="2"/>
        <scheme val="minor"/>
      </rPr>
      <t>δουλος</t>
    </r>
    <r>
      <rPr>
        <sz val="11"/>
        <color theme="1"/>
        <rFont val="Calibri"/>
        <family val="2"/>
        <scheme val="minor"/>
      </rPr>
      <t xml:space="preserve"> οχοζεα</t>
    </r>
  </si>
  <si>
    <t>επλησεν ιηου την χειρα</t>
  </si>
  <si>
    <t>επλησεν ιωραμ την χειρα</t>
  </si>
  <si>
    <t>εν το τοξω</t>
  </si>
  <si>
    <t>εν τω τοξω</t>
  </si>
  <si>
    <t>και εκαμψεν</t>
  </si>
  <si>
    <t>και επεσεν εκαμψεν</t>
  </si>
  <si>
    <t>εν τη μεριδι ταυτη</t>
  </si>
  <si>
    <t>εν τη μεριδου ταυτη</t>
  </si>
  <si>
    <t>εδιωξεν οπισω αυτου ιηου και ειπεν</t>
  </si>
  <si>
    <t>εδιωξεν οπισω αυτου και ειπεν</t>
  </si>
  <si>
    <r>
      <t xml:space="preserve">αυτον </t>
    </r>
    <r>
      <rPr>
        <b/>
        <sz val="11"/>
        <color theme="1"/>
        <rFont val="Calibri"/>
        <family val="2"/>
        <scheme val="minor"/>
      </rPr>
      <t>εν</t>
    </r>
    <r>
      <rPr>
        <sz val="11"/>
        <color theme="1"/>
        <rFont val="Calibri"/>
        <family val="2"/>
        <scheme val="minor"/>
      </rPr>
      <t xml:space="preserve"> τω αρματι προς τω αναβαινειν</t>
    </r>
  </si>
  <si>
    <r>
      <t xml:space="preserve">αυτον </t>
    </r>
    <r>
      <rPr>
        <b/>
        <sz val="11"/>
        <color theme="1"/>
        <rFont val="Calibri"/>
        <family val="2"/>
        <scheme val="minor"/>
      </rPr>
      <t>εν</t>
    </r>
    <r>
      <rPr>
        <sz val="11"/>
        <color theme="1"/>
        <rFont val="Calibri"/>
        <family val="2"/>
        <scheme val="minor"/>
      </rPr>
      <t xml:space="preserve"> τω αρματι προς το αναβαινειν</t>
    </r>
  </si>
  <si>
    <r>
      <t xml:space="preserve">αυτον εν τω αρματι </t>
    </r>
    <r>
      <rPr>
        <b/>
        <sz val="11"/>
        <color theme="1"/>
        <rFont val="Calibri"/>
        <family val="2"/>
        <scheme val="minor"/>
      </rPr>
      <t>προς τω</t>
    </r>
    <r>
      <rPr>
        <sz val="11"/>
        <color theme="1"/>
        <rFont val="Calibri"/>
        <family val="2"/>
        <scheme val="minor"/>
      </rPr>
      <t xml:space="preserve"> αναβαινειν</t>
    </r>
  </si>
  <si>
    <r>
      <t xml:space="preserve">αυτον εν τω αρματι </t>
    </r>
    <r>
      <rPr>
        <b/>
        <sz val="11"/>
        <color theme="1"/>
        <rFont val="Calibri"/>
        <family val="2"/>
        <scheme val="minor"/>
      </rPr>
      <t>προς το</t>
    </r>
    <r>
      <rPr>
        <sz val="11"/>
        <color theme="1"/>
        <rFont val="Calibri"/>
        <family val="2"/>
        <scheme val="minor"/>
      </rPr>
      <t xml:space="preserve"> αναβαινειν</t>
    </r>
  </si>
  <si>
    <t>εν τω</t>
  </si>
  <si>
    <r>
      <t xml:space="preserve">και </t>
    </r>
    <r>
      <rPr>
        <b/>
        <sz val="11"/>
        <color theme="1"/>
        <rFont val="Calibri"/>
        <family val="2"/>
        <scheme val="minor"/>
      </rPr>
      <t>εφυγεν</t>
    </r>
    <r>
      <rPr>
        <sz val="11"/>
        <color theme="1"/>
        <rFont val="Calibri"/>
        <family val="2"/>
        <scheme val="minor"/>
      </rPr>
      <t xml:space="preserve"> εις μακεδδω</t>
    </r>
  </si>
  <si>
    <r>
      <t xml:space="preserve">και </t>
    </r>
    <r>
      <rPr>
        <b/>
        <sz val="11"/>
        <color theme="1"/>
        <rFont val="Calibri"/>
        <family val="2"/>
        <scheme val="minor"/>
      </rPr>
      <t>εφαγεν</t>
    </r>
    <r>
      <rPr>
        <sz val="11"/>
        <color theme="1"/>
        <rFont val="Calibri"/>
        <family val="2"/>
        <scheme val="minor"/>
      </rPr>
      <t xml:space="preserve"> εις μακεδδω</t>
    </r>
  </si>
  <si>
    <r>
      <t xml:space="preserve">και εφυγεν εις </t>
    </r>
    <r>
      <rPr>
        <b/>
        <sz val="11"/>
        <color theme="1"/>
        <rFont val="Calibri"/>
        <family val="2"/>
        <scheme val="minor"/>
      </rPr>
      <t>μακεδδω</t>
    </r>
  </si>
  <si>
    <r>
      <t xml:space="preserve">και εφαγεν εις </t>
    </r>
    <r>
      <rPr>
        <b/>
        <sz val="11"/>
        <color theme="1"/>
        <rFont val="Calibri"/>
        <family val="2"/>
        <scheme val="minor"/>
      </rPr>
      <t>μακεδδω</t>
    </r>
  </si>
  <si>
    <t>μαγεδδω</t>
  </si>
  <si>
    <t>και ενεβιβασαν</t>
  </si>
  <si>
    <t>και ανεβιβασαν</t>
  </si>
  <si>
    <r>
      <t xml:space="preserve">ετει </t>
    </r>
    <r>
      <rPr>
        <b/>
        <sz val="11"/>
        <color theme="1"/>
        <rFont val="Calibri"/>
        <family val="2"/>
        <scheme val="minor"/>
      </rPr>
      <t>ενδεκατω</t>
    </r>
    <r>
      <rPr>
        <sz val="11"/>
        <color theme="1"/>
        <rFont val="Calibri"/>
        <family val="2"/>
        <scheme val="minor"/>
      </rPr>
      <t xml:space="preserve"> υιου ιωραμ βασιλεως</t>
    </r>
  </si>
  <si>
    <r>
      <t xml:space="preserve">ετει </t>
    </r>
    <r>
      <rPr>
        <b/>
        <sz val="11"/>
        <color theme="1"/>
        <rFont val="Calibri"/>
        <family val="2"/>
        <scheme val="minor"/>
      </rPr>
      <t>ενδεκατο</t>
    </r>
    <r>
      <rPr>
        <sz val="11"/>
        <color theme="1"/>
        <rFont val="Calibri"/>
        <family val="2"/>
        <scheme val="minor"/>
      </rPr>
      <t xml:space="preserve"> υιου ιωραμ βασιλεως</t>
    </r>
  </si>
  <si>
    <r>
      <t xml:space="preserve">ετει ενδεκατω </t>
    </r>
    <r>
      <rPr>
        <b/>
        <sz val="11"/>
        <color theme="1"/>
        <rFont val="Calibri"/>
        <family val="2"/>
        <scheme val="minor"/>
      </rPr>
      <t>υιου</t>
    </r>
    <r>
      <rPr>
        <sz val="11"/>
        <color theme="1"/>
        <rFont val="Calibri"/>
        <family val="2"/>
        <scheme val="minor"/>
      </rPr>
      <t xml:space="preserve"> ιωραμ βασιλεως</t>
    </r>
  </si>
  <si>
    <r>
      <t xml:space="preserve">ετει ενδεκατο </t>
    </r>
    <r>
      <rPr>
        <b/>
        <sz val="11"/>
        <color theme="1"/>
        <rFont val="Calibri"/>
        <family val="2"/>
        <scheme val="minor"/>
      </rPr>
      <t>υιου</t>
    </r>
    <r>
      <rPr>
        <sz val="11"/>
        <color theme="1"/>
        <rFont val="Calibri"/>
        <family val="2"/>
        <scheme val="minor"/>
      </rPr>
      <t xml:space="preserve"> ιωραμ βασιλεως</t>
    </r>
  </si>
  <si>
    <r>
      <t xml:space="preserve">ετει ενδεκατω υιου </t>
    </r>
    <r>
      <rPr>
        <b/>
        <sz val="11"/>
        <color theme="1"/>
        <rFont val="Calibri"/>
        <family val="2"/>
        <scheme val="minor"/>
      </rPr>
      <t>ιωραμ βασιλεως</t>
    </r>
  </si>
  <si>
    <r>
      <t xml:space="preserve">ετει ενδεκατο υιου </t>
    </r>
    <r>
      <rPr>
        <b/>
        <sz val="11"/>
        <color theme="1"/>
        <rFont val="Calibri"/>
        <family val="2"/>
        <scheme val="minor"/>
      </rPr>
      <t>ιωραμ βασιλεως</t>
    </r>
  </si>
  <si>
    <t>omit υιου</t>
  </si>
  <si>
    <t>ιωραμ υιου αχααβ βασιλεως</t>
  </si>
  <si>
    <t>ηλθεν ιηου εις ιεζραελ</t>
  </si>
  <si>
    <t>ηλθεν ιεζαβελ εις ιεζραελ</t>
  </si>
  <si>
    <t>εστιμμισατο</t>
  </si>
  <si>
    <t>ηγαθυνεν</t>
  </si>
  <si>
    <r>
      <t xml:space="preserve">εν τη πολει </t>
    </r>
    <r>
      <rPr>
        <b/>
        <sz val="11"/>
        <color theme="1"/>
        <rFont val="Calibri"/>
        <family val="2"/>
        <scheme val="minor"/>
      </rPr>
      <t>και ειπεν</t>
    </r>
    <r>
      <rPr>
        <sz val="11"/>
        <color theme="1"/>
        <rFont val="Calibri"/>
        <family val="2"/>
        <scheme val="minor"/>
      </rPr>
      <t xml:space="preserve"> η ειρηνη</t>
    </r>
  </si>
  <si>
    <r>
      <t xml:space="preserve">εν τη πολει και ειπεν </t>
    </r>
    <r>
      <rPr>
        <b/>
        <sz val="11"/>
        <color theme="1"/>
        <rFont val="Calibri"/>
        <family val="2"/>
        <scheme val="minor"/>
      </rPr>
      <t>η</t>
    </r>
    <r>
      <rPr>
        <sz val="11"/>
        <color theme="1"/>
        <rFont val="Calibri"/>
        <family val="2"/>
        <scheme val="minor"/>
      </rPr>
      <t xml:space="preserve"> ειρηνη</t>
    </r>
  </si>
  <si>
    <t>εν τη πολει η ειρηνη</t>
  </si>
  <si>
    <r>
      <t xml:space="preserve">εν τη πολει </t>
    </r>
    <r>
      <rPr>
        <b/>
        <sz val="11"/>
        <color theme="1"/>
        <rFont val="Calibri"/>
        <family val="2"/>
        <scheme val="minor"/>
      </rPr>
      <t>η</t>
    </r>
    <r>
      <rPr>
        <sz val="11"/>
        <color theme="1"/>
        <rFont val="Calibri"/>
        <family val="2"/>
        <scheme val="minor"/>
      </rPr>
      <t xml:space="preserve"> ειρηνη</t>
    </r>
  </si>
  <si>
    <t>κατεκυψαν</t>
  </si>
  <si>
    <r>
      <rPr>
        <b/>
        <sz val="11"/>
        <color theme="1"/>
        <rFont val="Calibri"/>
        <family val="2"/>
        <scheme val="minor"/>
      </rPr>
      <t>αυτην και</t>
    </r>
    <r>
      <rPr>
        <sz val="11"/>
        <color theme="1"/>
        <rFont val="Calibri"/>
        <family val="2"/>
        <scheme val="minor"/>
      </rPr>
      <t xml:space="preserve"> ηραντισθη</t>
    </r>
  </si>
  <si>
    <r>
      <t xml:space="preserve">αυτην και </t>
    </r>
    <r>
      <rPr>
        <b/>
        <sz val="11"/>
        <color theme="1"/>
        <rFont val="Calibri"/>
        <family val="2"/>
        <scheme val="minor"/>
      </rPr>
      <t>ηραντισθη</t>
    </r>
  </si>
  <si>
    <t>αυτην και εκυλισαν αυτην και</t>
  </si>
  <si>
    <t>ερραντισθη</t>
  </si>
  <si>
    <t>κεκατηραμενην</t>
  </si>
  <si>
    <t>θαψατε αυτην</t>
  </si>
  <si>
    <t>θαψασθε αυτην</t>
  </si>
  <si>
    <r>
      <rPr>
        <b/>
        <sz val="11"/>
        <color theme="1"/>
        <rFont val="Calibri"/>
        <family val="2"/>
        <scheme val="minor"/>
      </rPr>
      <t>ουκ</t>
    </r>
    <r>
      <rPr>
        <sz val="11"/>
        <color theme="1"/>
        <rFont val="Calibri"/>
        <family val="2"/>
        <scheme val="minor"/>
      </rPr>
      <t xml:space="preserve"> ευρον</t>
    </r>
  </si>
  <si>
    <r>
      <rPr>
        <b/>
        <sz val="11"/>
        <color theme="1"/>
        <rFont val="Calibri"/>
        <family val="2"/>
        <scheme val="minor"/>
      </rPr>
      <t>ουχ</t>
    </r>
    <r>
      <rPr>
        <sz val="11"/>
        <color theme="1"/>
        <rFont val="Calibri"/>
        <family val="2"/>
        <scheme val="minor"/>
      </rPr>
      <t xml:space="preserve"> ευρεν</t>
    </r>
  </si>
  <si>
    <r>
      <t xml:space="preserve">ουκ </t>
    </r>
    <r>
      <rPr>
        <b/>
        <sz val="11"/>
        <color theme="1"/>
        <rFont val="Calibri"/>
        <family val="2"/>
        <scheme val="minor"/>
      </rPr>
      <t>ευρον</t>
    </r>
  </si>
  <si>
    <r>
      <t xml:space="preserve">ουχ </t>
    </r>
    <r>
      <rPr>
        <b/>
        <sz val="11"/>
        <color theme="1"/>
        <rFont val="Calibri"/>
        <family val="2"/>
        <scheme val="minor"/>
      </rPr>
      <t>ευρεν</t>
    </r>
  </si>
  <si>
    <t>οι ποδες</t>
  </si>
  <si>
    <t>τους ποδας</t>
  </si>
  <si>
    <t>reading in question could be a correction</t>
  </si>
  <si>
    <t>εν χειρι ηλιου</t>
  </si>
  <si>
    <t>εν χειρι του δουλου αυτου ηλιου</t>
  </si>
  <si>
    <t>τη μεριδι ιεζαβελ</t>
  </si>
  <si>
    <t>ιεζαβελ -&gt; ιεζραελ</t>
  </si>
  <si>
    <r>
      <t xml:space="preserve">τη </t>
    </r>
    <r>
      <rPr>
        <b/>
        <sz val="11"/>
        <color theme="1"/>
        <rFont val="Calibri"/>
        <family val="2"/>
        <scheme val="minor"/>
      </rPr>
      <t>μεριδι ωστι</t>
    </r>
    <r>
      <rPr>
        <sz val="11"/>
        <color theme="1"/>
        <rFont val="Calibri"/>
        <family val="2"/>
        <scheme val="minor"/>
      </rPr>
      <t xml:space="preserve"> μη</t>
    </r>
  </si>
  <si>
    <r>
      <t xml:space="preserve">τη </t>
    </r>
    <r>
      <rPr>
        <b/>
        <sz val="11"/>
        <color theme="1"/>
        <rFont val="Calibri"/>
        <family val="2"/>
        <scheme val="minor"/>
      </rPr>
      <t>μεριδι ωστε</t>
    </r>
    <r>
      <rPr>
        <sz val="11"/>
        <color theme="1"/>
        <rFont val="Calibri"/>
        <family val="2"/>
        <scheme val="minor"/>
      </rPr>
      <t xml:space="preserve"> μη</t>
    </r>
  </si>
  <si>
    <r>
      <t xml:space="preserve">τη μεριδι </t>
    </r>
    <r>
      <rPr>
        <b/>
        <sz val="11"/>
        <color theme="1"/>
        <rFont val="Calibri"/>
        <family val="2"/>
        <scheme val="minor"/>
      </rPr>
      <t>ωστι</t>
    </r>
    <r>
      <rPr>
        <sz val="11"/>
        <color theme="1"/>
        <rFont val="Calibri"/>
        <family val="2"/>
        <scheme val="minor"/>
      </rPr>
      <t xml:space="preserve"> μη</t>
    </r>
  </si>
  <si>
    <r>
      <t xml:space="preserve">τη μεριδι </t>
    </r>
    <r>
      <rPr>
        <b/>
        <sz val="11"/>
        <color theme="1"/>
        <rFont val="Calibri"/>
        <family val="2"/>
        <scheme val="minor"/>
      </rPr>
      <t>ωστε</t>
    </r>
    <r>
      <rPr>
        <sz val="11"/>
        <color theme="1"/>
        <rFont val="Calibri"/>
        <family val="2"/>
        <scheme val="minor"/>
      </rPr>
      <t xml:space="preserve"> μη</t>
    </r>
  </si>
  <si>
    <t>insert ιεζραελ after μεριδι</t>
  </si>
  <si>
    <t>υιοι εν σαμαρεια</t>
  </si>
  <si>
    <t>υιοι εν σαμαρια</t>
  </si>
  <si>
    <r>
      <t xml:space="preserve">απεστειλεν εν </t>
    </r>
    <r>
      <rPr>
        <b/>
        <sz val="11"/>
        <color theme="1"/>
        <rFont val="Calibri"/>
        <family val="2"/>
        <scheme val="minor"/>
      </rPr>
      <t>σαμαρεια</t>
    </r>
  </si>
  <si>
    <r>
      <t xml:space="preserve">απεστειλεν </t>
    </r>
    <r>
      <rPr>
        <b/>
        <sz val="11"/>
        <color theme="1"/>
        <rFont val="Calibri"/>
        <family val="2"/>
        <scheme val="minor"/>
      </rPr>
      <t>σαμαρια</t>
    </r>
  </si>
  <si>
    <t>προς τους πρεσβυτερους τους τιθηνους λεγων</t>
  </si>
  <si>
    <r>
      <t xml:space="preserve">προς τους πρεσβυτερους </t>
    </r>
    <r>
      <rPr>
        <b/>
        <sz val="11"/>
        <color theme="1"/>
        <rFont val="Calibri"/>
        <family val="2"/>
        <scheme val="minor"/>
      </rPr>
      <t>και</t>
    </r>
    <r>
      <rPr>
        <sz val="11"/>
        <color theme="1"/>
        <rFont val="Calibri"/>
        <family val="2"/>
        <scheme val="minor"/>
      </rPr>
      <t xml:space="preserve"> τους τιθηνους αχααβ λεγων</t>
    </r>
  </si>
  <si>
    <r>
      <t xml:space="preserve">προς τους πρεσβυτερους και τους τιθηνους </t>
    </r>
    <r>
      <rPr>
        <b/>
        <sz val="11"/>
        <color theme="1"/>
        <rFont val="Calibri"/>
        <family val="2"/>
        <scheme val="minor"/>
      </rPr>
      <t>αχααβ</t>
    </r>
    <r>
      <rPr>
        <sz val="11"/>
        <color theme="1"/>
        <rFont val="Calibri"/>
        <family val="2"/>
        <scheme val="minor"/>
      </rPr>
      <t xml:space="preserve"> λεγων</t>
    </r>
  </si>
  <si>
    <t>υμας μεθ υμων</t>
  </si>
  <si>
    <t>υμας και μεθ υμων</t>
  </si>
  <si>
    <t>και αι πολεις</t>
  </si>
  <si>
    <t>και αι αι πολεις</t>
  </si>
  <si>
    <t>ευθη</t>
  </si>
  <si>
    <t>υμων καταστησατε</t>
  </si>
  <si>
    <t>υμων και καταστησατε</t>
  </si>
  <si>
    <t>οι απο του οικου</t>
  </si>
  <si>
    <t>απο -&gt; επι</t>
  </si>
  <si>
    <t>και οι απο της πολεως</t>
  </si>
  <si>
    <r>
      <t xml:space="preserve">και </t>
    </r>
    <r>
      <rPr>
        <b/>
        <sz val="11"/>
        <color theme="1"/>
        <rFont val="Calibri"/>
        <family val="2"/>
        <scheme val="minor"/>
      </rPr>
      <t>αι</t>
    </r>
    <r>
      <rPr>
        <sz val="11"/>
        <color theme="1"/>
        <rFont val="Calibri"/>
        <family val="2"/>
        <scheme val="minor"/>
      </rPr>
      <t xml:space="preserve"> οι απο της πολεως</t>
    </r>
  </si>
  <si>
    <r>
      <t xml:space="preserve">και οι </t>
    </r>
    <r>
      <rPr>
        <b/>
        <sz val="11"/>
        <color theme="1"/>
        <rFont val="Calibri"/>
        <family val="2"/>
        <scheme val="minor"/>
      </rPr>
      <t>απο</t>
    </r>
    <r>
      <rPr>
        <sz val="11"/>
        <color theme="1"/>
        <rFont val="Calibri"/>
        <family val="2"/>
        <scheme val="minor"/>
      </rPr>
      <t xml:space="preserve"> της πολεως</t>
    </r>
  </si>
  <si>
    <r>
      <t xml:space="preserve">και αι οι </t>
    </r>
    <r>
      <rPr>
        <b/>
        <sz val="11"/>
        <color theme="1"/>
        <rFont val="Calibri"/>
        <family val="2"/>
        <scheme val="minor"/>
      </rPr>
      <t>απο</t>
    </r>
    <r>
      <rPr>
        <sz val="11"/>
        <color theme="1"/>
        <rFont val="Calibri"/>
        <family val="2"/>
        <scheme val="minor"/>
      </rPr>
      <t xml:space="preserve"> της πολεως</t>
    </r>
  </si>
  <si>
    <t>Alex. = και απο, 7522A = και αι οι απο; 7522A corrected by omitting αι but not οι</t>
  </si>
  <si>
    <t>τιθηνοι προς ιηου λεγοντες</t>
  </si>
  <si>
    <t>τιθηνοι λεγοντες</t>
  </si>
  <si>
    <t>ειπης προς ημας ποιησομεν</t>
  </si>
  <si>
    <t>ειπης ποιησομεν</t>
  </si>
  <si>
    <t>εισακουετε</t>
  </si>
  <si>
    <t>ανδρων του κυριου</t>
  </si>
  <si>
    <t>αυριον εις ιεζραελ και οι υιοι</t>
  </si>
  <si>
    <t>αυριον και οι υιοι</t>
  </si>
  <si>
    <t>βασιλεως και εσφαξαν εβδομηκοντα</t>
  </si>
  <si>
    <t>βασιλεως εβδομηκοντα</t>
  </si>
  <si>
    <t>καρταλλοις</t>
  </si>
  <si>
    <t>εμ ιεζραελ</t>
  </si>
  <si>
    <t>εν ιεζραελ</t>
  </si>
  <si>
    <t>και ηλθεν ο αγγελος</t>
  </si>
  <si>
    <t>και και εγραψεν προς αυτους βιβλιον δευτερον λεγων ει ηλθεν ο αγγελος</t>
  </si>
  <si>
    <t>δυο παρα την θυραν</t>
  </si>
  <si>
    <t>δυο κατα την θυραν</t>
  </si>
  <si>
    <t>δικαιοι υμιν</t>
  </si>
  <si>
    <t>υμιν -&gt; υμεις</t>
  </si>
  <si>
    <t>την γην οτι ελαλησεν</t>
  </si>
  <si>
    <t>οτι -&gt; ου</t>
  </si>
  <si>
    <t>εν τω οικω</t>
  </si>
  <si>
    <t>εν οικω</t>
  </si>
  <si>
    <t>καταλειφθεντας εν τω ιεζραελ</t>
  </si>
  <si>
    <t>καταλειφθεντας τω ιεζραελ</t>
  </si>
  <si>
    <t>βαιθακαδ</t>
  </si>
  <si>
    <t>συλλαβετε αυτους ζωντας και συνελαβοντο αυτους ζωντας και εσφαξαν</t>
  </si>
  <si>
    <t>συλλαβετε αυτους ζωντας και εσφαξαν</t>
  </si>
  <si>
    <t>ει εστιν μετα σου καρδια σου ευθεια</t>
  </si>
  <si>
    <t>ει εστιν καρδια σου μετα καρδιας μου ευθεια</t>
  </si>
  <si>
    <t>ανεβιβασεν προς</t>
  </si>
  <si>
    <t>ανεβιβασεν προς αυτον</t>
  </si>
  <si>
    <t>ανεβιβασεν αυτον προς αυτον</t>
  </si>
  <si>
    <t>νυν παντες οι προφηται του βααλ</t>
  </si>
  <si>
    <t>νυν παντας τους προφηται του βααλ</t>
  </si>
  <si>
    <t>unclear due to correction; final form = παντας τους προφητας</t>
  </si>
  <si>
    <t>αυτου καλεσατε προς</t>
  </si>
  <si>
    <t>αυτου καλεσατε καλεσατε προς</t>
  </si>
  <si>
    <t>ου κατελειφθη</t>
  </si>
  <si>
    <t>ουκ απελειφθη</t>
  </si>
  <si>
    <t>οικον του βααλ και επλησθη</t>
  </si>
  <si>
    <t>οικον τ[ου] και επλησθη</t>
  </si>
  <si>
    <t>στομα εις τομα</t>
  </si>
  <si>
    <t>στομα εις στομα</t>
  </si>
  <si>
    <t>ιηου τοις επι</t>
  </si>
  <si>
    <t>ιηου τω επι</t>
  </si>
  <si>
    <t>ενδυμα απασιν</t>
  </si>
  <si>
    <t>ενδυμα τοις απασιν</t>
  </si>
  <si>
    <t>εαυτω  οκτω ανδρας</t>
  </si>
  <si>
    <r>
      <t xml:space="preserve">εαυτω </t>
    </r>
    <r>
      <rPr>
        <b/>
        <sz val="11"/>
        <color theme="1"/>
        <rFont val="Calibri"/>
        <family val="2"/>
        <scheme val="minor"/>
      </rPr>
      <t>εξω</t>
    </r>
    <r>
      <rPr>
        <sz val="11"/>
        <color theme="1"/>
        <rFont val="Calibri"/>
        <family val="2"/>
        <scheme val="minor"/>
      </rPr>
      <t xml:space="preserve"> οκτω ανδρας</t>
    </r>
  </si>
  <si>
    <r>
      <t xml:space="preserve">εαυτω εξω </t>
    </r>
    <r>
      <rPr>
        <b/>
        <sz val="11"/>
        <color theme="1"/>
        <rFont val="Calibri"/>
        <family val="2"/>
        <scheme val="minor"/>
      </rPr>
      <t>οκτω</t>
    </r>
    <r>
      <rPr>
        <sz val="11"/>
        <color theme="1"/>
        <rFont val="Calibri"/>
        <family val="2"/>
        <scheme val="minor"/>
      </rPr>
      <t xml:space="preserve"> ανδρας</t>
    </r>
  </si>
  <si>
    <r>
      <t xml:space="preserve">εαυτω  </t>
    </r>
    <r>
      <rPr>
        <b/>
        <sz val="11"/>
        <color theme="1"/>
        <rFont val="Calibri"/>
        <family val="2"/>
        <scheme val="minor"/>
      </rPr>
      <t>οκτω</t>
    </r>
    <r>
      <rPr>
        <sz val="11"/>
        <color theme="1"/>
        <rFont val="Calibri"/>
        <family val="2"/>
        <scheme val="minor"/>
      </rPr>
      <t xml:space="preserve"> ανδρας</t>
    </r>
  </si>
  <si>
    <t>πολεως οικου του βασιλεως</t>
  </si>
  <si>
    <r>
      <t xml:space="preserve">πολεως </t>
    </r>
    <r>
      <rPr>
        <b/>
        <sz val="11"/>
        <color theme="1"/>
        <rFont val="Calibri"/>
        <family val="2"/>
        <scheme val="minor"/>
      </rPr>
      <t>του</t>
    </r>
    <r>
      <rPr>
        <sz val="11"/>
        <color theme="1"/>
        <rFont val="Calibri"/>
        <family val="2"/>
        <scheme val="minor"/>
      </rPr>
      <t xml:space="preserve"> οικου του βασιλεως</t>
    </r>
  </si>
  <si>
    <r>
      <t xml:space="preserve">πολεως οικου του </t>
    </r>
    <r>
      <rPr>
        <b/>
        <sz val="11"/>
        <color theme="1"/>
        <rFont val="Calibri"/>
        <family val="2"/>
        <scheme val="minor"/>
      </rPr>
      <t>βασιλεως</t>
    </r>
  </si>
  <si>
    <r>
      <t xml:space="preserve">πολεως του οικου του </t>
    </r>
    <r>
      <rPr>
        <b/>
        <sz val="11"/>
        <color theme="1"/>
        <rFont val="Calibri"/>
        <family val="2"/>
        <scheme val="minor"/>
      </rPr>
      <t>βασιλεως</t>
    </r>
  </si>
  <si>
    <t>την στολην οικου</t>
  </si>
  <si>
    <r>
      <t xml:space="preserve">την </t>
    </r>
    <r>
      <rPr>
        <b/>
        <sz val="11"/>
        <color theme="1"/>
        <rFont val="Calibri"/>
        <family val="2"/>
        <scheme val="minor"/>
      </rPr>
      <t>στολην</t>
    </r>
    <r>
      <rPr>
        <sz val="11"/>
        <color theme="1"/>
        <rFont val="Calibri"/>
        <family val="2"/>
        <scheme val="minor"/>
      </rPr>
      <t xml:space="preserve"> οικου</t>
    </r>
  </si>
  <si>
    <r>
      <t xml:space="preserve">την </t>
    </r>
    <r>
      <rPr>
        <b/>
        <sz val="11"/>
        <color theme="1"/>
        <rFont val="Calibri"/>
        <family val="2"/>
        <scheme val="minor"/>
      </rPr>
      <t>στολην</t>
    </r>
    <r>
      <rPr>
        <sz val="11"/>
        <color theme="1"/>
        <rFont val="Calibri"/>
        <family val="2"/>
        <scheme val="minor"/>
      </rPr>
      <t xml:space="preserve"> του οικου</t>
    </r>
  </si>
  <si>
    <r>
      <t xml:space="preserve">την στολην </t>
    </r>
    <r>
      <rPr>
        <b/>
        <sz val="11"/>
        <color theme="1"/>
        <rFont val="Calibri"/>
        <family val="2"/>
        <scheme val="minor"/>
      </rPr>
      <t>του</t>
    </r>
    <r>
      <rPr>
        <sz val="11"/>
        <color theme="1"/>
        <rFont val="Calibri"/>
        <family val="2"/>
        <scheme val="minor"/>
      </rPr>
      <t xml:space="preserve"> οικου</t>
    </r>
  </si>
  <si>
    <t>στηλην</t>
  </si>
  <si>
    <t>καθειλον τον οικον</t>
  </si>
  <si>
    <t>καθειλον οικον</t>
  </si>
  <si>
    <t>λυτρωνα</t>
  </si>
  <si>
    <t>αμαρτιων ιεροβοαμ</t>
  </si>
  <si>
    <t>αμαρτιων η ιεροβοαμ</t>
  </si>
  <si>
    <t>ιου οπισθεν</t>
  </si>
  <si>
    <t>ιηου οπισθεν</t>
  </si>
  <si>
    <r>
      <rPr>
        <b/>
        <sz val="11"/>
        <color theme="1"/>
        <rFont val="Calibri"/>
        <family val="2"/>
        <scheme val="minor"/>
      </rPr>
      <t>ιου</t>
    </r>
    <r>
      <rPr>
        <sz val="11"/>
        <color theme="1"/>
        <rFont val="Calibri"/>
        <family val="2"/>
        <scheme val="minor"/>
      </rPr>
      <t xml:space="preserve"> οπισθεν</t>
    </r>
  </si>
  <si>
    <r>
      <rPr>
        <b/>
        <sz val="11"/>
        <color theme="1"/>
        <rFont val="Calibri"/>
        <family val="2"/>
        <scheme val="minor"/>
      </rPr>
      <t>ιηου</t>
    </r>
    <r>
      <rPr>
        <sz val="11"/>
        <color theme="1"/>
        <rFont val="Calibri"/>
        <family val="2"/>
        <scheme val="minor"/>
      </rPr>
      <t xml:space="preserve"> οπισθεν</t>
    </r>
  </si>
  <si>
    <t>add απο before οπισθεν</t>
  </si>
  <si>
    <t>εν παντι οριω ισλ</t>
  </si>
  <si>
    <t>εν παντι οριω ισραηλ</t>
  </si>
  <si>
    <t>εν τω ισραηλ</t>
  </si>
  <si>
    <r>
      <t xml:space="preserve">επαταξεν </t>
    </r>
    <r>
      <rPr>
        <b/>
        <sz val="11"/>
        <color theme="1"/>
        <rFont val="Calibri"/>
        <family val="2"/>
        <scheme val="minor"/>
      </rPr>
      <t>αυτους</t>
    </r>
    <r>
      <rPr>
        <sz val="11"/>
        <color theme="1"/>
        <rFont val="Calibri"/>
        <family val="2"/>
        <scheme val="minor"/>
      </rPr>
      <t xml:space="preserve"> αζαηλ</t>
    </r>
  </si>
  <si>
    <r>
      <t xml:space="preserve">επαταξεν </t>
    </r>
    <r>
      <rPr>
        <b/>
        <sz val="11"/>
        <color theme="1"/>
        <rFont val="Calibri"/>
        <family val="2"/>
        <scheme val="minor"/>
      </rPr>
      <t>τους</t>
    </r>
    <r>
      <rPr>
        <sz val="11"/>
        <color theme="1"/>
        <rFont val="Calibri"/>
        <family val="2"/>
        <scheme val="minor"/>
      </rPr>
      <t xml:space="preserve"> ασαηλ</t>
    </r>
  </si>
  <si>
    <r>
      <t xml:space="preserve">επαταξεν αυτους </t>
    </r>
    <r>
      <rPr>
        <b/>
        <sz val="11"/>
        <color theme="1"/>
        <rFont val="Calibri"/>
        <family val="2"/>
        <scheme val="minor"/>
      </rPr>
      <t>αζαηλ</t>
    </r>
  </si>
  <si>
    <r>
      <t xml:space="preserve">επαταξεν τους </t>
    </r>
    <r>
      <rPr>
        <b/>
        <sz val="11"/>
        <color theme="1"/>
        <rFont val="Calibri"/>
        <family val="2"/>
        <scheme val="minor"/>
      </rPr>
      <t>ασαηλ</t>
    </r>
  </si>
  <si>
    <t>εστιν απο του χειλους  χειμαρρου</t>
  </si>
  <si>
    <r>
      <t xml:space="preserve">εστιν </t>
    </r>
    <r>
      <rPr>
        <b/>
        <sz val="11"/>
        <color theme="1"/>
        <rFont val="Calibri"/>
        <family val="2"/>
        <scheme val="minor"/>
      </rPr>
      <t>επι</t>
    </r>
    <r>
      <rPr>
        <sz val="11"/>
        <color theme="1"/>
        <rFont val="Calibri"/>
        <family val="2"/>
        <scheme val="minor"/>
      </rPr>
      <t xml:space="preserve"> του χειλους του χειμαρρου</t>
    </r>
  </si>
  <si>
    <r>
      <t xml:space="preserve">εστιν </t>
    </r>
    <r>
      <rPr>
        <b/>
        <sz val="11"/>
        <color theme="1"/>
        <rFont val="Calibri"/>
        <family val="2"/>
        <scheme val="minor"/>
      </rPr>
      <t>απο</t>
    </r>
    <r>
      <rPr>
        <sz val="11"/>
        <color theme="1"/>
        <rFont val="Calibri"/>
        <family val="2"/>
        <scheme val="minor"/>
      </rPr>
      <t xml:space="preserve"> του χειλους  χειμαρρου</t>
    </r>
  </si>
  <si>
    <r>
      <t xml:space="preserve">εστιν επι του χειλους </t>
    </r>
    <r>
      <rPr>
        <b/>
        <sz val="11"/>
        <color theme="1"/>
        <rFont val="Calibri"/>
        <family val="2"/>
        <scheme val="minor"/>
      </rPr>
      <t>του</t>
    </r>
    <r>
      <rPr>
        <sz val="11"/>
        <color theme="1"/>
        <rFont val="Calibri"/>
        <family val="2"/>
        <scheme val="minor"/>
      </rPr>
      <t xml:space="preserve"> χειμαρρου</t>
    </r>
  </si>
  <si>
    <t>τας -&gt; αι</t>
  </si>
  <si>
    <t>συνηψεν ουχ ιδου</t>
  </si>
  <si>
    <t>επι βιβλιου λογων</t>
  </si>
  <si>
    <t>τοις βασιλευσιν -&gt; των βασιλλεων</t>
  </si>
  <si>
    <r>
      <rPr>
        <b/>
        <sz val="11"/>
        <color theme="1"/>
        <rFont val="Calibri"/>
        <family val="2"/>
        <scheme val="minor"/>
      </rPr>
      <t>απεθανον</t>
    </r>
    <r>
      <rPr>
        <sz val="11"/>
        <color theme="1"/>
        <rFont val="Calibri"/>
        <family val="2"/>
        <scheme val="minor"/>
      </rPr>
      <t xml:space="preserve"> οι υιοι αυτης</t>
    </r>
  </si>
  <si>
    <r>
      <rPr>
        <b/>
        <sz val="11"/>
        <color theme="1"/>
        <rFont val="Calibri"/>
        <family val="2"/>
        <scheme val="minor"/>
      </rPr>
      <t>απεθαναν</t>
    </r>
    <r>
      <rPr>
        <sz val="11"/>
        <color theme="1"/>
        <rFont val="Calibri"/>
        <family val="2"/>
        <scheme val="minor"/>
      </rPr>
      <t xml:space="preserve"> οι υιοι αυτης</t>
    </r>
  </si>
  <si>
    <r>
      <t xml:space="preserve">απεθανον </t>
    </r>
    <r>
      <rPr>
        <b/>
        <sz val="11"/>
        <color theme="1"/>
        <rFont val="Calibri"/>
        <family val="2"/>
        <scheme val="minor"/>
      </rPr>
      <t>οι υιοι</t>
    </r>
    <r>
      <rPr>
        <sz val="11"/>
        <color theme="1"/>
        <rFont val="Calibri"/>
        <family val="2"/>
        <scheme val="minor"/>
      </rPr>
      <t xml:space="preserve"> αυτης</t>
    </r>
  </si>
  <si>
    <r>
      <t xml:space="preserve">απεθαναν </t>
    </r>
    <r>
      <rPr>
        <b/>
        <sz val="11"/>
        <color theme="1"/>
        <rFont val="Calibri"/>
        <family val="2"/>
        <scheme val="minor"/>
      </rPr>
      <t>οι υιοι</t>
    </r>
    <r>
      <rPr>
        <sz val="11"/>
        <color theme="1"/>
        <rFont val="Calibri"/>
        <family val="2"/>
        <scheme val="minor"/>
      </rPr>
      <t xml:space="preserve"> αυτης</t>
    </r>
  </si>
  <si>
    <t>ο υιος</t>
  </si>
  <si>
    <t>αυτης και απωλεσεν</t>
  </si>
  <si>
    <t>αυτης και αν[]απωλεσεν</t>
  </si>
  <si>
    <r>
      <t xml:space="preserve">αυτης και </t>
    </r>
    <r>
      <rPr>
        <b/>
        <sz val="11"/>
        <color theme="1"/>
        <rFont val="Calibri"/>
        <family val="2"/>
        <scheme val="minor"/>
      </rPr>
      <t>απωλεσεν</t>
    </r>
  </si>
  <si>
    <r>
      <t xml:space="preserve">αυτης και </t>
    </r>
    <r>
      <rPr>
        <b/>
        <sz val="11"/>
        <color theme="1"/>
        <rFont val="Calibri"/>
        <family val="2"/>
        <scheme val="minor"/>
      </rPr>
      <t>αν[]απωλεσεν</t>
    </r>
  </si>
  <si>
    <t>αυτης και ανεστη και απωλεσεν</t>
  </si>
  <si>
    <t>βασιλε[]ως</t>
  </si>
  <si>
    <t>υιον οχοζιου</t>
  </si>
  <si>
    <t>υιον -&gt; αδελφη</t>
  </si>
  <si>
    <t>υιον αζια</t>
  </si>
  <si>
    <t>αζια -&gt; οχοζιου</t>
  </si>
  <si>
    <t>των υιων</t>
  </si>
  <si>
    <t>των [] υιων</t>
  </si>
  <si>
    <t>βασιλεως του θανατουμενων</t>
  </si>
  <si>
    <t>του -&gt; των</t>
  </si>
  <si>
    <t>την τροφον</t>
  </si>
  <si>
    <t>την τροφην</t>
  </si>
  <si>
    <t>εν τω ταμιειω</t>
  </si>
  <si>
    <t>εν τη ταμιειω</t>
  </si>
  <si>
    <t>εκρυψεν αυτον</t>
  </si>
  <si>
    <t>εκρυψεν -&gt; εκρυψον</t>
  </si>
  <si>
    <r>
      <t xml:space="preserve">χορρει και </t>
    </r>
    <r>
      <rPr>
        <b/>
        <sz val="11"/>
        <color theme="1"/>
        <rFont val="Calibri"/>
        <family val="2"/>
        <scheme val="minor"/>
      </rPr>
      <t>τον</t>
    </r>
    <r>
      <rPr>
        <sz val="11"/>
        <color theme="1"/>
        <rFont val="Calibri"/>
        <family val="2"/>
        <scheme val="minor"/>
      </rPr>
      <t xml:space="preserve"> ρασειμ</t>
    </r>
  </si>
  <si>
    <r>
      <t xml:space="preserve">χορρει και </t>
    </r>
    <r>
      <rPr>
        <b/>
        <sz val="11"/>
        <color theme="1"/>
        <rFont val="Calibri"/>
        <family val="2"/>
        <scheme val="minor"/>
      </rPr>
      <t>το</t>
    </r>
    <r>
      <rPr>
        <sz val="11"/>
        <color theme="1"/>
        <rFont val="Calibri"/>
        <family val="2"/>
        <scheme val="minor"/>
      </rPr>
      <t xml:space="preserve"> ρασειμ</t>
    </r>
  </si>
  <si>
    <t>τη διαθη κυ</t>
  </si>
  <si>
    <t>τη θιαθη κυριου</t>
  </si>
  <si>
    <t>(5) πυλωνι (6) και το τριτον εν πυλη των οδων και το τριτον της πυλης οπισω</t>
  </si>
  <si>
    <t>(5) πυλωνι (6) και το τριτον της πυλης οπισω</t>
  </si>
  <si>
    <t>παρατρεχοντων φυλαξατε</t>
  </si>
  <si>
    <t>παρατρεχοντων και φυλαξατε</t>
  </si>
  <si>
    <t>εις τας σαδηρωθ</t>
  </si>
  <si>
    <t>εις σαδηρωθ</t>
  </si>
  <si>
    <t>αυτον και εν τω</t>
  </si>
  <si>
    <t>αυτον εν τω</t>
  </si>
  <si>
    <t>εκατονταρχοι παντα</t>
  </si>
  <si>
    <t>εκατονταρχοι παυ παντα</t>
  </si>
  <si>
    <t>αυτου και τους εισπορευομενους</t>
  </si>
  <si>
    <t>αυτου τη τους εισπορευομενους</t>
  </si>
  <si>
    <t>και ανεστησαν</t>
  </si>
  <si>
    <t>και οτι εστησαν</t>
  </si>
  <si>
    <t>και εστησαν</t>
  </si>
  <si>
    <t>οικου της ευωνυμου</t>
  </si>
  <si>
    <t>οικου του ευωνυμου</t>
  </si>
  <si>
    <t>οικου της δεξιας εως της ωμιας του οικου της ευωνυμου</t>
  </si>
  <si>
    <t>εδωκεν επ αυτον</t>
  </si>
  <si>
    <t>εδωκεν αυτον</t>
  </si>
  <si>
    <t>το εζερ</t>
  </si>
  <si>
    <t>το νεζερ</t>
  </si>
  <si>
    <t>εκροτησαν</t>
  </si>
  <si>
    <t>βασιλευς ιστηκει</t>
  </si>
  <si>
    <t>βασιλευς ειστηκει</t>
  </si>
  <si>
    <t>ιματια εαυτης</t>
  </si>
  <si>
    <t>ειπεν προς αυτους</t>
  </si>
  <si>
    <r>
      <t xml:space="preserve">αυτην </t>
    </r>
    <r>
      <rPr>
        <b/>
        <sz val="11"/>
        <color theme="1"/>
        <rFont val="Calibri"/>
        <family val="2"/>
        <scheme val="minor"/>
      </rPr>
      <t>εσωθεν</t>
    </r>
    <r>
      <rPr>
        <sz val="11"/>
        <color theme="1"/>
        <rFont val="Calibri"/>
        <family val="2"/>
        <scheme val="minor"/>
      </rPr>
      <t xml:space="preserve"> την σαδηρωθ</t>
    </r>
  </si>
  <si>
    <r>
      <t xml:space="preserve">αυτην εσωθεν </t>
    </r>
    <r>
      <rPr>
        <b/>
        <sz val="11"/>
        <color theme="1"/>
        <rFont val="Calibri"/>
        <family val="2"/>
        <scheme val="minor"/>
      </rPr>
      <t>την</t>
    </r>
    <r>
      <rPr>
        <sz val="11"/>
        <color theme="1"/>
        <rFont val="Calibri"/>
        <family val="2"/>
        <scheme val="minor"/>
      </rPr>
      <t xml:space="preserve"> σαδηρωθ</t>
    </r>
  </si>
  <si>
    <t>εξωθεν</t>
  </si>
  <si>
    <t>ιωαδαε διαθηκην ανα μεσον</t>
  </si>
  <si>
    <t>ιωαδαε ανα μεσον</t>
  </si>
  <si>
    <t>οικον του βλαλ</t>
  </si>
  <si>
    <t>οικον του βααλ</t>
  </si>
  <si>
    <t>μαθαν</t>
  </si>
  <si>
    <t>ρασιμ</t>
  </si>
  <si>
    <t>εκαθισαν αυτον</t>
  </si>
  <si>
    <t>εκαθισεν αυτον</t>
  </si>
  <si>
    <t>εν ρομφαια</t>
  </si>
  <si>
    <t>εν το ρομφαια</t>
  </si>
  <si>
    <t>εν ετει ετει εβδομω</t>
  </si>
  <si>
    <t>(1) βασιλευειν (2) εν ετει εβδομω</t>
  </si>
  <si>
    <t>(1) βασιλευειν αυτον (2) εν ετει εβδομω</t>
  </si>
  <si>
    <t>εβδομω τω ιηου</t>
  </si>
  <si>
    <t>εβδομω του ιηου</t>
  </si>
  <si>
    <t>αυτου αβια</t>
  </si>
  <si>
    <t>αυτου σαβια</t>
  </si>
  <si>
    <t>πλην των υψηλων ου</t>
  </si>
  <si>
    <t>πλην τα υψηλα ου</t>
  </si>
  <si>
    <t>εθυσιαζον</t>
  </si>
  <si>
    <t>αργυριον παρεχομενον ανηρ</t>
  </si>
  <si>
    <t>αργυριον παρατρεχομενον ανηρ</t>
  </si>
  <si>
    <t>ιερεις ανηρ</t>
  </si>
  <si>
    <t>ιερεις αν ανηρ</t>
  </si>
  <si>
    <t>απο της πραξεως αυτων</t>
  </si>
  <si>
    <t>απο της τρεξε πραξεως αυτων</t>
  </si>
  <si>
    <t>απο της πρασεως αυτων</t>
  </si>
  <si>
    <t>αυτοι κρατησωσιν του βεδεκ του οικου</t>
  </si>
  <si>
    <t>αυτοι κρατησωσιν του βεδεκτου οικου</t>
  </si>
  <si>
    <t>αυτοι κραταιωσουσιν το βεδεκ του οικου</t>
  </si>
  <si>
    <t>ιωας ουκ εκρατειωσαν οι ιερεις</t>
  </si>
  <si>
    <r>
      <t xml:space="preserve">ιωας </t>
    </r>
    <r>
      <rPr>
        <b/>
        <sz val="11"/>
        <color theme="1"/>
        <rFont val="Calibri"/>
        <family val="2"/>
        <scheme val="minor"/>
      </rPr>
      <t>ου</t>
    </r>
    <r>
      <rPr>
        <sz val="11"/>
        <color theme="1"/>
        <rFont val="Calibri"/>
        <family val="2"/>
        <scheme val="minor"/>
      </rPr>
      <t xml:space="preserve"> ουκ εκρατεωσαν οι ιερεις</t>
    </r>
  </si>
  <si>
    <r>
      <t xml:space="preserve">ιωας ου ουκ </t>
    </r>
    <r>
      <rPr>
        <b/>
        <sz val="11"/>
        <color theme="1"/>
        <rFont val="Calibri"/>
        <family val="2"/>
        <scheme val="minor"/>
      </rPr>
      <t>εκρατεωσαν</t>
    </r>
    <r>
      <rPr>
        <sz val="11"/>
        <color theme="1"/>
        <rFont val="Calibri"/>
        <family val="2"/>
        <scheme val="minor"/>
      </rPr>
      <t xml:space="preserve"> οι ιερεις</t>
    </r>
  </si>
  <si>
    <r>
      <t xml:space="preserve">ιωας ουκ </t>
    </r>
    <r>
      <rPr>
        <b/>
        <sz val="11"/>
        <color theme="1"/>
        <rFont val="Calibri"/>
        <family val="2"/>
        <scheme val="minor"/>
      </rPr>
      <t>εκρατεωσαν</t>
    </r>
    <r>
      <rPr>
        <sz val="11"/>
        <color theme="1"/>
        <rFont val="Calibri"/>
        <family val="2"/>
        <scheme val="minor"/>
      </rPr>
      <t xml:space="preserve"> οι ιερεις</t>
    </r>
  </si>
  <si>
    <t>ο ιερευς</t>
  </si>
  <si>
    <t>οι ιερευς</t>
  </si>
  <si>
    <t>τρωγλην εν τη τρωγλη</t>
  </si>
  <si>
    <t>τρωγην επι τη τρωγλη</t>
  </si>
  <si>
    <t>εδωκεν αυτην</t>
  </si>
  <si>
    <t>εθηκεν αυτην</t>
  </si>
  <si>
    <t>ευρεθεν εν οικω κυ κω</t>
  </si>
  <si>
    <r>
      <t xml:space="preserve">ευρεθεν </t>
    </r>
    <r>
      <rPr>
        <b/>
        <sz val="11"/>
        <color theme="1"/>
        <rFont val="Calibri"/>
        <family val="2"/>
        <scheme val="minor"/>
      </rPr>
      <t>εν</t>
    </r>
    <r>
      <rPr>
        <sz val="11"/>
        <color theme="1"/>
        <rFont val="Calibri"/>
        <family val="2"/>
        <scheme val="minor"/>
      </rPr>
      <t xml:space="preserve"> εν οικω κυ[]ω κυριου</t>
    </r>
  </si>
  <si>
    <r>
      <t xml:space="preserve">ευρεθεν εν οικω </t>
    </r>
    <r>
      <rPr>
        <b/>
        <sz val="11"/>
        <color theme="1"/>
        <rFont val="Calibri"/>
        <family val="2"/>
        <scheme val="minor"/>
      </rPr>
      <t>κυ κω</t>
    </r>
  </si>
  <si>
    <r>
      <t xml:space="preserve">ευρεθεν εν εν οικω </t>
    </r>
    <r>
      <rPr>
        <b/>
        <sz val="11"/>
        <color theme="1"/>
        <rFont val="Calibri"/>
        <family val="2"/>
        <scheme val="minor"/>
      </rPr>
      <t>κυ[]ω κυριου</t>
    </r>
  </si>
  <si>
    <t>εγενετο ως ιδεν αυτον οτι</t>
  </si>
  <si>
    <r>
      <t xml:space="preserve">εγενετο </t>
    </r>
    <r>
      <rPr>
        <b/>
        <sz val="11"/>
        <color theme="1"/>
        <rFont val="Calibri"/>
        <family val="2"/>
        <scheme val="minor"/>
      </rPr>
      <t>οτι</t>
    </r>
    <r>
      <rPr>
        <sz val="11"/>
        <color theme="1"/>
        <rFont val="Calibri"/>
        <family val="2"/>
        <scheme val="minor"/>
      </rPr>
      <t xml:space="preserve"> ως ειδεν αυτον οτι</t>
    </r>
  </si>
  <si>
    <r>
      <t xml:space="preserve">εγενετο ως </t>
    </r>
    <r>
      <rPr>
        <b/>
        <sz val="11"/>
        <color theme="1"/>
        <rFont val="Calibri"/>
        <family val="2"/>
        <scheme val="minor"/>
      </rPr>
      <t>ιδεν</t>
    </r>
    <r>
      <rPr>
        <sz val="11"/>
        <color theme="1"/>
        <rFont val="Calibri"/>
        <family val="2"/>
        <scheme val="minor"/>
      </rPr>
      <t xml:space="preserve"> αυτον οτι</t>
    </r>
  </si>
  <si>
    <r>
      <t xml:space="preserve">εγενετο οτι ως </t>
    </r>
    <r>
      <rPr>
        <b/>
        <sz val="11"/>
        <color theme="1"/>
        <rFont val="Calibri"/>
        <family val="2"/>
        <scheme val="minor"/>
      </rPr>
      <t>ειδεν</t>
    </r>
    <r>
      <rPr>
        <sz val="11"/>
        <color theme="1"/>
        <rFont val="Calibri"/>
        <family val="2"/>
        <scheme val="minor"/>
      </rPr>
      <t xml:space="preserve"> αυτον οτι</t>
    </r>
  </si>
  <si>
    <r>
      <t xml:space="preserve">εγενετο ως ιδεν </t>
    </r>
    <r>
      <rPr>
        <b/>
        <sz val="11"/>
        <color theme="1"/>
        <rFont val="Calibri"/>
        <family val="2"/>
        <scheme val="minor"/>
      </rPr>
      <t>αυτον</t>
    </r>
    <r>
      <rPr>
        <sz val="11"/>
        <color theme="1"/>
        <rFont val="Calibri"/>
        <family val="2"/>
        <scheme val="minor"/>
      </rPr>
      <t xml:space="preserve"> οτι</t>
    </r>
  </si>
  <si>
    <r>
      <t xml:space="preserve">εγενετο οτι ως ειδεν </t>
    </r>
    <r>
      <rPr>
        <b/>
        <sz val="11"/>
        <color theme="1"/>
        <rFont val="Calibri"/>
        <family val="2"/>
        <scheme val="minor"/>
      </rPr>
      <t>αυτον</t>
    </r>
    <r>
      <rPr>
        <sz val="11"/>
        <color theme="1"/>
        <rFont val="Calibri"/>
        <family val="2"/>
        <scheme val="minor"/>
      </rPr>
      <t xml:space="preserve"> οτι</t>
    </r>
  </si>
  <si>
    <t>omit αυτον</t>
  </si>
  <si>
    <t>ετοιμασθε[ν]</t>
  </si>
  <si>
    <t>χειρας των ποιουντων</t>
  </si>
  <si>
    <t>χειρας ποιουντων</t>
  </si>
  <si>
    <t>επι σκευων</t>
  </si>
  <si>
    <t>επισκοπων</t>
  </si>
  <si>
    <t>εξωδιασαν</t>
  </si>
  <si>
    <t>ποιουσιν εν οικω</t>
  </si>
  <si>
    <t>ποιουσιν εργον εν οικω</t>
  </si>
  <si>
    <t>7522A = τεχισταις</t>
  </si>
  <si>
    <t>κτησασθαι ξυλα και λιθους</t>
  </si>
  <si>
    <t>κτησασθαι λι ξυλα και λιθους</t>
  </si>
  <si>
    <t>κατασχειν το βεδεκ οικου κυ</t>
  </si>
  <si>
    <r>
      <t xml:space="preserve">κατασχειν </t>
    </r>
    <r>
      <rPr>
        <b/>
        <sz val="11"/>
        <color theme="1"/>
        <rFont val="Calibri"/>
        <family val="2"/>
        <scheme val="minor"/>
      </rPr>
      <t>το</t>
    </r>
    <r>
      <rPr>
        <sz val="11"/>
        <color theme="1"/>
        <rFont val="Calibri"/>
        <family val="2"/>
        <scheme val="minor"/>
      </rPr>
      <t xml:space="preserve"> βεδεκ οικου κυ</t>
    </r>
  </si>
  <si>
    <r>
      <t xml:space="preserve">κατασχειν </t>
    </r>
    <r>
      <rPr>
        <b/>
        <sz val="11"/>
        <color theme="1"/>
        <rFont val="Calibri"/>
        <family val="2"/>
        <scheme val="minor"/>
      </rPr>
      <t>τον</t>
    </r>
    <r>
      <rPr>
        <sz val="11"/>
        <color theme="1"/>
        <rFont val="Calibri"/>
        <family val="2"/>
        <scheme val="minor"/>
      </rPr>
      <t xml:space="preserve"> βεδεκ εν οικου κυριου</t>
    </r>
  </si>
  <si>
    <r>
      <t xml:space="preserve">κατασχειν τον βεδεκ </t>
    </r>
    <r>
      <rPr>
        <b/>
        <sz val="11"/>
        <color theme="1"/>
        <rFont val="Calibri"/>
        <family val="2"/>
        <scheme val="minor"/>
      </rPr>
      <t>εν</t>
    </r>
    <r>
      <rPr>
        <sz val="11"/>
        <color theme="1"/>
        <rFont val="Calibri"/>
        <family val="2"/>
        <scheme val="minor"/>
      </rPr>
      <t xml:space="preserve"> οικου κυριου</t>
    </r>
  </si>
  <si>
    <r>
      <t xml:space="preserve">εξωδιασθη </t>
    </r>
    <r>
      <rPr>
        <b/>
        <sz val="11"/>
        <color theme="1"/>
        <rFont val="Calibri"/>
        <family val="2"/>
        <scheme val="minor"/>
      </rPr>
      <t>επι τον</t>
    </r>
    <r>
      <rPr>
        <sz val="11"/>
        <color theme="1"/>
        <rFont val="Calibri"/>
        <family val="2"/>
        <scheme val="minor"/>
      </rPr>
      <t xml:space="preserve"> οικον του κραταιωσαι</t>
    </r>
  </si>
  <si>
    <r>
      <t xml:space="preserve">εξωδιασθη </t>
    </r>
    <r>
      <rPr>
        <b/>
        <sz val="11"/>
        <color theme="1"/>
        <rFont val="Calibri"/>
        <family val="2"/>
        <scheme val="minor"/>
      </rPr>
      <t>επι τον επι τον</t>
    </r>
    <r>
      <rPr>
        <sz val="11"/>
        <color theme="1"/>
        <rFont val="Calibri"/>
        <family val="2"/>
        <scheme val="minor"/>
      </rPr>
      <t xml:space="preserve"> οικον (14) πλην</t>
    </r>
  </si>
  <si>
    <t>εξωδιασθη επι τον επι τον οικον (14) πλην</t>
  </si>
  <si>
    <r>
      <t xml:space="preserve">εξωδιασθη επι τον οικον </t>
    </r>
    <r>
      <rPr>
        <b/>
        <sz val="11"/>
        <color theme="1"/>
        <rFont val="Calibri"/>
        <family val="2"/>
        <scheme val="minor"/>
      </rPr>
      <t>του κραταιωσαι</t>
    </r>
    <r>
      <rPr>
        <sz val="11"/>
        <color theme="1"/>
        <rFont val="Calibri"/>
        <family val="2"/>
        <scheme val="minor"/>
      </rPr>
      <t xml:space="preserve"> (14) πλην</t>
    </r>
  </si>
  <si>
    <t>ποιηθησεται οικου κυ</t>
  </si>
  <si>
    <t>ποιηθησεται οικου κυριου</t>
  </si>
  <si>
    <t>οικου -&gt; οικω</t>
  </si>
  <si>
    <t>εκραταιωσαν αυτω</t>
  </si>
  <si>
    <t>εκραταιωσαν εν αυτω</t>
  </si>
  <si>
    <t>εδιδου αργυριον</t>
  </si>
  <si>
    <t>εδιδουν αργυριον</t>
  </si>
  <si>
    <t>πιστει αυτων ποιουσιν</t>
  </si>
  <si>
    <t>πιστει αυτοι εποιουν</t>
  </si>
  <si>
    <t>ανεβη αζαηλ</t>
  </si>
  <si>
    <t>ανεβη ασαηλ</t>
  </si>
  <si>
    <t>αυτου πορευθηναι</t>
  </si>
  <si>
    <t>αυτου του πορευθηναι</t>
  </si>
  <si>
    <r>
      <t xml:space="preserve">πατερες αυτου </t>
    </r>
    <r>
      <rPr>
        <b/>
        <sz val="11"/>
        <color theme="1"/>
        <rFont val="Calibri"/>
        <family val="2"/>
        <scheme val="minor"/>
      </rPr>
      <t>και</t>
    </r>
    <r>
      <rPr>
        <sz val="11"/>
        <color theme="1"/>
        <rFont val="Calibri"/>
        <family val="2"/>
        <scheme val="minor"/>
      </rPr>
      <t xml:space="preserve"> βασιλεις ιουδα</t>
    </r>
  </si>
  <si>
    <r>
      <t xml:space="preserve">πατερες αυτου </t>
    </r>
    <r>
      <rPr>
        <b/>
        <sz val="11"/>
        <color theme="1"/>
        <rFont val="Calibri"/>
        <family val="2"/>
        <scheme val="minor"/>
      </rPr>
      <t>και</t>
    </r>
    <r>
      <rPr>
        <sz val="11"/>
        <color theme="1"/>
        <rFont val="Calibri"/>
        <family val="2"/>
        <scheme val="minor"/>
      </rPr>
      <t xml:space="preserve"> βασιλευς ιουδα</t>
    </r>
  </si>
  <si>
    <r>
      <t xml:space="preserve">πατερες αυτου και </t>
    </r>
    <r>
      <rPr>
        <b/>
        <sz val="11"/>
        <color theme="1"/>
        <rFont val="Calibri"/>
        <family val="2"/>
        <scheme val="minor"/>
      </rPr>
      <t>βασιλεις</t>
    </r>
    <r>
      <rPr>
        <sz val="11"/>
        <color theme="1"/>
        <rFont val="Calibri"/>
        <family val="2"/>
        <scheme val="minor"/>
      </rPr>
      <t xml:space="preserve"> ιουδα</t>
    </r>
  </si>
  <si>
    <r>
      <t xml:space="preserve">πατερες αυτου και </t>
    </r>
    <r>
      <rPr>
        <b/>
        <sz val="11"/>
        <color theme="1"/>
        <rFont val="Calibri"/>
        <family val="2"/>
        <scheme val="minor"/>
      </rPr>
      <t>βασιλευς</t>
    </r>
    <r>
      <rPr>
        <sz val="11"/>
        <color theme="1"/>
        <rFont val="Calibri"/>
        <family val="2"/>
        <scheme val="minor"/>
      </rPr>
      <t xml:space="preserve"> ιουδα</t>
    </r>
  </si>
  <si>
    <t>βασιλευ συριας</t>
  </si>
  <si>
    <t>εδησαν παντα συνδεσμον</t>
  </si>
  <si>
    <t>omit παντα</t>
  </si>
  <si>
    <r>
      <t xml:space="preserve">εν οικω </t>
    </r>
    <r>
      <rPr>
        <b/>
        <sz val="11"/>
        <color theme="1"/>
        <rFont val="Calibri"/>
        <family val="2"/>
        <scheme val="minor"/>
      </rPr>
      <t>μααλω</t>
    </r>
    <r>
      <rPr>
        <sz val="11"/>
        <color theme="1"/>
        <rFont val="Calibri"/>
        <family val="2"/>
        <scheme val="minor"/>
      </rPr>
      <t xml:space="preserve"> τον καταμενοντα γαλααδ</t>
    </r>
  </si>
  <si>
    <r>
      <t xml:space="preserve">εν οικω </t>
    </r>
    <r>
      <rPr>
        <b/>
        <sz val="11"/>
        <color theme="1"/>
        <rFont val="Calibri"/>
        <family val="2"/>
        <scheme val="minor"/>
      </rPr>
      <t>μααλ</t>
    </r>
    <r>
      <rPr>
        <sz val="11"/>
        <color theme="1"/>
        <rFont val="Calibri"/>
        <family val="2"/>
        <scheme val="minor"/>
      </rPr>
      <t xml:space="preserve"> τον καταμενοντα γαλααδ</t>
    </r>
  </si>
  <si>
    <r>
      <t xml:space="preserve">εν οικω μααλω τον </t>
    </r>
    <r>
      <rPr>
        <b/>
        <sz val="11"/>
        <color theme="1"/>
        <rFont val="Calibri"/>
        <family val="2"/>
        <scheme val="minor"/>
      </rPr>
      <t>καταμενοντα</t>
    </r>
    <r>
      <rPr>
        <sz val="11"/>
        <color theme="1"/>
        <rFont val="Calibri"/>
        <family val="2"/>
        <scheme val="minor"/>
      </rPr>
      <t xml:space="preserve"> γαλααδ</t>
    </r>
  </si>
  <si>
    <r>
      <t xml:space="preserve">εν οικω μααλ τον </t>
    </r>
    <r>
      <rPr>
        <b/>
        <sz val="11"/>
        <color theme="1"/>
        <rFont val="Calibri"/>
        <family val="2"/>
        <scheme val="minor"/>
      </rPr>
      <t>καταμενον τα</t>
    </r>
    <r>
      <rPr>
        <sz val="11"/>
        <color theme="1"/>
        <rFont val="Calibri"/>
        <family val="2"/>
        <scheme val="minor"/>
      </rPr>
      <t xml:space="preserve"> γαλααδ</t>
    </r>
  </si>
  <si>
    <t>καταβαινοντα</t>
  </si>
  <si>
    <t>υιος αυτου ως σωμηρ οι δουλοι</t>
  </si>
  <si>
    <t>υιος αυτου εκ σωμηρ οι δουλοι</t>
  </si>
  <si>
    <t>υιος σωμηρ οι δουλοι</t>
  </si>
  <si>
    <t>χειρι αζαηλ βασιλεως</t>
  </si>
  <si>
    <t>χειρι ισραηλ βασιλεως</t>
  </si>
  <si>
    <t>απο αμαρτιας οικου</t>
  </si>
  <si>
    <t>απο αμαρτιων οικου</t>
  </si>
  <si>
    <t>αλσος ενσταθη</t>
  </si>
  <si>
    <r>
      <t xml:space="preserve">αλσος </t>
    </r>
    <r>
      <rPr>
        <b/>
        <sz val="11"/>
        <color theme="1"/>
        <rFont val="Calibri"/>
        <family val="2"/>
        <scheme val="minor"/>
      </rPr>
      <t>ο</t>
    </r>
    <r>
      <rPr>
        <sz val="11"/>
        <color theme="1"/>
        <rFont val="Calibri"/>
        <family val="2"/>
        <scheme val="minor"/>
      </rPr>
      <t xml:space="preserve"> ενσταθη</t>
    </r>
  </si>
  <si>
    <r>
      <t xml:space="preserve">αλσος </t>
    </r>
    <r>
      <rPr>
        <b/>
        <sz val="11"/>
        <color theme="1"/>
        <rFont val="Calibri"/>
        <family val="2"/>
        <scheme val="minor"/>
      </rPr>
      <t>ενσταθη</t>
    </r>
  </si>
  <si>
    <r>
      <t xml:space="preserve">αλσος ο </t>
    </r>
    <r>
      <rPr>
        <b/>
        <sz val="11"/>
        <color theme="1"/>
        <rFont val="Calibri"/>
        <family val="2"/>
        <scheme val="minor"/>
      </rPr>
      <t>ενσταθη</t>
    </r>
  </si>
  <si>
    <t>εσταθη</t>
  </si>
  <si>
    <t>ημερων τοις βασιλευσι ιηλ</t>
  </si>
  <si>
    <t>αυτον μετα των πατερων αυτου εν σαμαρεια</t>
  </si>
  <si>
    <t>omit μετα των πατερων αυτου</t>
  </si>
  <si>
    <t>εβδομω τω ιωας βασιλει ιουδα</t>
  </si>
  <si>
    <r>
      <t xml:space="preserve">εβδομω </t>
    </r>
    <r>
      <rPr>
        <b/>
        <sz val="11"/>
        <color theme="1"/>
        <rFont val="Calibri"/>
        <family val="2"/>
        <scheme val="minor"/>
      </rPr>
      <t>ετει</t>
    </r>
    <r>
      <rPr>
        <sz val="11"/>
        <color theme="1"/>
        <rFont val="Calibri"/>
        <family val="2"/>
        <scheme val="minor"/>
      </rPr>
      <t xml:space="preserve"> τω ιωας βασιλει ιουδα</t>
    </r>
  </si>
  <si>
    <r>
      <t xml:space="preserve">εβδομω </t>
    </r>
    <r>
      <rPr>
        <b/>
        <sz val="11"/>
        <color theme="1"/>
        <rFont val="Calibri"/>
        <family val="2"/>
        <scheme val="minor"/>
      </rPr>
      <t>τω ιωας βασιλει</t>
    </r>
    <r>
      <rPr>
        <sz val="11"/>
        <color theme="1"/>
        <rFont val="Calibri"/>
        <family val="2"/>
        <scheme val="minor"/>
      </rPr>
      <t xml:space="preserve"> ιουδα</t>
    </r>
  </si>
  <si>
    <r>
      <t xml:space="preserve">εβδομω ετει </t>
    </r>
    <r>
      <rPr>
        <b/>
        <sz val="11"/>
        <color theme="1"/>
        <rFont val="Calibri"/>
        <family val="2"/>
        <scheme val="minor"/>
      </rPr>
      <t>τω ιωας βασιλει</t>
    </r>
    <r>
      <rPr>
        <sz val="11"/>
        <color theme="1"/>
        <rFont val="Calibri"/>
        <family val="2"/>
        <scheme val="minor"/>
      </rPr>
      <t xml:space="preserve"> ιουδα</t>
    </r>
  </si>
  <si>
    <t>του ιωας βασιλεως</t>
  </si>
  <si>
    <r>
      <t xml:space="preserve">ιωαχαζ εν </t>
    </r>
    <r>
      <rPr>
        <b/>
        <sz val="11"/>
        <color theme="1"/>
        <rFont val="Calibri"/>
        <family val="2"/>
        <scheme val="minor"/>
      </rPr>
      <t>σαμαρια</t>
    </r>
  </si>
  <si>
    <r>
      <t xml:space="preserve">ιωαχαζ εν </t>
    </r>
    <r>
      <rPr>
        <b/>
        <sz val="11"/>
        <color theme="1"/>
        <rFont val="Calibri"/>
        <family val="2"/>
        <scheme val="minor"/>
      </rPr>
      <t>σαμαρεια</t>
    </r>
  </si>
  <si>
    <r>
      <rPr>
        <b/>
        <sz val="11"/>
        <color theme="1"/>
        <rFont val="Calibri"/>
        <family val="2"/>
        <scheme val="minor"/>
      </rPr>
      <t>ιωαχαζ εν</t>
    </r>
    <r>
      <rPr>
        <sz val="11"/>
        <color theme="1"/>
        <rFont val="Calibri"/>
        <family val="2"/>
        <scheme val="minor"/>
      </rPr>
      <t xml:space="preserve"> σαμαρια</t>
    </r>
  </si>
  <si>
    <r>
      <rPr>
        <b/>
        <sz val="11"/>
        <color theme="1"/>
        <rFont val="Calibri"/>
        <family val="2"/>
        <scheme val="minor"/>
      </rPr>
      <t>ιωαχαζ εν</t>
    </r>
    <r>
      <rPr>
        <sz val="11"/>
        <color theme="1"/>
        <rFont val="Calibri"/>
        <family val="2"/>
        <scheme val="minor"/>
      </rPr>
      <t xml:space="preserve"> σαμαρεια</t>
    </r>
  </si>
  <si>
    <t>ιωαχαζ επι ισραηλ εν</t>
  </si>
  <si>
    <t>απο πασης αμαρτιας ιεροβοαμ υιου ναβατ</t>
  </si>
  <si>
    <r>
      <t xml:space="preserve">απο </t>
    </r>
    <r>
      <rPr>
        <b/>
        <sz val="11"/>
        <color theme="1"/>
        <rFont val="Calibri"/>
        <family val="2"/>
        <scheme val="minor"/>
      </rPr>
      <t>πασης αμαρτιας</t>
    </r>
    <r>
      <rPr>
        <sz val="11"/>
        <color theme="1"/>
        <rFont val="Calibri"/>
        <family val="2"/>
        <scheme val="minor"/>
      </rPr>
      <t xml:space="preserve"> ιεροβοαμ υιου ναβατ</t>
    </r>
  </si>
  <si>
    <r>
      <t xml:space="preserve">απο </t>
    </r>
    <r>
      <rPr>
        <b/>
        <sz val="11"/>
        <color theme="1"/>
        <rFont val="Calibri"/>
        <family val="2"/>
        <scheme val="minor"/>
      </rPr>
      <t>πασης αμαρτιας</t>
    </r>
    <r>
      <rPr>
        <sz val="11"/>
        <color theme="1"/>
        <rFont val="Calibri"/>
        <family val="2"/>
        <scheme val="minor"/>
      </rPr>
      <t xml:space="preserve"> υιου ιεροβοαμ υιου ναβατ</t>
    </r>
  </si>
  <si>
    <t>πασων αμαρτιων</t>
  </si>
  <si>
    <r>
      <t xml:space="preserve">απο πασης αμαρτιας </t>
    </r>
    <r>
      <rPr>
        <b/>
        <sz val="11"/>
        <color theme="1"/>
        <rFont val="Calibri"/>
        <family val="2"/>
        <scheme val="minor"/>
      </rPr>
      <t>υιου</t>
    </r>
    <r>
      <rPr>
        <sz val="11"/>
        <color theme="1"/>
        <rFont val="Calibri"/>
        <family val="2"/>
        <scheme val="minor"/>
      </rPr>
      <t xml:space="preserve"> ιεροβοαμ υιου ναβατ</t>
    </r>
  </si>
  <si>
    <t>δυναστειαι αυτους ας</t>
  </si>
  <si>
    <t>δυναστειαι αυτου ας</t>
  </si>
  <si>
    <t>ημερων τοις βασιλευσιν ισλ</t>
  </si>
  <si>
    <t>τοις βασιλευσιν -&gt; των βασιλεων</t>
  </si>
  <si>
    <t>την χειρι σου</t>
  </si>
  <si>
    <t>την χειρα σου</t>
  </si>
  <si>
    <r>
      <t xml:space="preserve">ελισσαιε </t>
    </r>
    <r>
      <rPr>
        <b/>
        <sz val="11"/>
        <color theme="1"/>
        <rFont val="Calibri"/>
        <family val="2"/>
        <scheme val="minor"/>
      </rPr>
      <t>την</t>
    </r>
    <r>
      <rPr>
        <sz val="11"/>
        <color theme="1"/>
        <rFont val="Calibri"/>
        <family val="2"/>
        <scheme val="minor"/>
      </rPr>
      <t xml:space="preserve"> χειρας αυτου</t>
    </r>
  </si>
  <si>
    <r>
      <t xml:space="preserve">ελισσαιε </t>
    </r>
    <r>
      <rPr>
        <b/>
        <sz val="11"/>
        <color theme="1"/>
        <rFont val="Calibri"/>
        <family val="2"/>
        <scheme val="minor"/>
      </rPr>
      <t>την</t>
    </r>
    <r>
      <rPr>
        <sz val="11"/>
        <color theme="1"/>
        <rFont val="Calibri"/>
        <family val="2"/>
        <scheme val="minor"/>
      </rPr>
      <t xml:space="preserve"> χειρα αυτου</t>
    </r>
  </si>
  <si>
    <r>
      <t xml:space="preserve">ελισσαιε την </t>
    </r>
    <r>
      <rPr>
        <b/>
        <sz val="11"/>
        <color theme="1"/>
        <rFont val="Calibri"/>
        <family val="2"/>
        <scheme val="minor"/>
      </rPr>
      <t>χειρα</t>
    </r>
    <r>
      <rPr>
        <sz val="11"/>
        <color theme="1"/>
        <rFont val="Calibri"/>
        <family val="2"/>
        <scheme val="minor"/>
      </rPr>
      <t xml:space="preserve"> αυτου</t>
    </r>
  </si>
  <si>
    <r>
      <t xml:space="preserve">ελισσαιε την </t>
    </r>
    <r>
      <rPr>
        <b/>
        <sz val="11"/>
        <color theme="1"/>
        <rFont val="Calibri"/>
        <family val="2"/>
        <scheme val="minor"/>
      </rPr>
      <t>χειρας</t>
    </r>
    <r>
      <rPr>
        <sz val="11"/>
        <color theme="1"/>
        <rFont val="Calibri"/>
        <family val="2"/>
        <scheme val="minor"/>
      </rPr>
      <t xml:space="preserve"> αυτου</t>
    </r>
  </si>
  <si>
    <t>βασιλευς τρις</t>
  </si>
  <si>
    <t>βασιλευς τρεις</t>
  </si>
  <si>
    <r>
      <t xml:space="preserve">ελυπηθη </t>
    </r>
    <r>
      <rPr>
        <b/>
        <sz val="11"/>
        <color theme="1"/>
        <rFont val="Calibri"/>
        <family val="2"/>
        <scheme val="minor"/>
      </rPr>
      <t>επ αυτω ο ανος του θυ</t>
    </r>
  </si>
  <si>
    <r>
      <t xml:space="preserve">ελυπηθη επ αυτω ο ανος </t>
    </r>
    <r>
      <rPr>
        <b/>
        <sz val="11"/>
        <color theme="1"/>
        <rFont val="Calibri"/>
        <family val="2"/>
        <scheme val="minor"/>
      </rPr>
      <t>του</t>
    </r>
    <r>
      <rPr>
        <sz val="11"/>
        <color theme="1"/>
        <rFont val="Calibri"/>
        <family val="2"/>
        <scheme val="minor"/>
      </rPr>
      <t xml:space="preserve"> θυ</t>
    </r>
  </si>
  <si>
    <t>και ιδου ειδον</t>
  </si>
  <si>
    <t>ωκτειρησεν</t>
  </si>
  <si>
    <t>προσωπου αυτου (24) και απεθανεν</t>
  </si>
  <si>
    <t>προσωπου αυτου εως του νυν (24) και απεθανεν</t>
  </si>
  <si>
    <r>
      <t xml:space="preserve">και </t>
    </r>
    <r>
      <rPr>
        <b/>
        <sz val="11"/>
        <color theme="1"/>
        <rFont val="Calibri"/>
        <family val="2"/>
        <scheme val="minor"/>
      </rPr>
      <t>απεστρεψεν</t>
    </r>
    <r>
      <rPr>
        <sz val="11"/>
        <color theme="1"/>
        <rFont val="Calibri"/>
        <family val="2"/>
        <scheme val="minor"/>
      </rPr>
      <t xml:space="preserve"> ιωας υιος ιωαζαχ και ελαβεν</t>
    </r>
  </si>
  <si>
    <r>
      <t xml:space="preserve">και </t>
    </r>
    <r>
      <rPr>
        <b/>
        <sz val="11"/>
        <color theme="1"/>
        <rFont val="Calibri"/>
        <family val="2"/>
        <scheme val="minor"/>
      </rPr>
      <t>απεστρεψεν</t>
    </r>
    <r>
      <rPr>
        <sz val="11"/>
        <color theme="1"/>
        <rFont val="Calibri"/>
        <family val="2"/>
        <scheme val="minor"/>
      </rPr>
      <t xml:space="preserve"> ιωασταχ υιος ιωαχζαχ και ελαβεν</t>
    </r>
  </si>
  <si>
    <t>υπεστρεψεν</t>
  </si>
  <si>
    <r>
      <t xml:space="preserve">και απεστρεψεν </t>
    </r>
    <r>
      <rPr>
        <b/>
        <sz val="11"/>
        <color theme="1"/>
        <rFont val="Calibri"/>
        <family val="2"/>
        <scheme val="minor"/>
      </rPr>
      <t>ιωας</t>
    </r>
    <r>
      <rPr>
        <sz val="11"/>
        <color theme="1"/>
        <rFont val="Calibri"/>
        <family val="2"/>
        <scheme val="minor"/>
      </rPr>
      <t xml:space="preserve"> υιος ιωαζαχ και ελαβεν</t>
    </r>
  </si>
  <si>
    <r>
      <t xml:space="preserve">και απεστρεψεν </t>
    </r>
    <r>
      <rPr>
        <b/>
        <sz val="11"/>
        <color theme="1"/>
        <rFont val="Calibri"/>
        <family val="2"/>
        <scheme val="minor"/>
      </rPr>
      <t>ιωασταχ</t>
    </r>
    <r>
      <rPr>
        <sz val="11"/>
        <color theme="1"/>
        <rFont val="Calibri"/>
        <family val="2"/>
        <scheme val="minor"/>
      </rPr>
      <t xml:space="preserve"> υιος ιωαχζαχ και ελαβεν</t>
    </r>
  </si>
  <si>
    <r>
      <t xml:space="preserve">και απεστρεψεν ιωας υιος </t>
    </r>
    <r>
      <rPr>
        <b/>
        <sz val="11"/>
        <color theme="1"/>
        <rFont val="Calibri"/>
        <family val="2"/>
        <scheme val="minor"/>
      </rPr>
      <t>ιωαζαχ</t>
    </r>
    <r>
      <rPr>
        <sz val="11"/>
        <color theme="1"/>
        <rFont val="Calibri"/>
        <family val="2"/>
        <scheme val="minor"/>
      </rPr>
      <t xml:space="preserve"> και ελαβεν</t>
    </r>
  </si>
  <si>
    <r>
      <t xml:space="preserve">και απεστρεψεν ιωασταχ υιος </t>
    </r>
    <r>
      <rPr>
        <b/>
        <sz val="11"/>
        <color theme="1"/>
        <rFont val="Calibri"/>
        <family val="2"/>
        <scheme val="minor"/>
      </rPr>
      <t>ιωαχζαχ</t>
    </r>
    <r>
      <rPr>
        <sz val="11"/>
        <color theme="1"/>
        <rFont val="Calibri"/>
        <family val="2"/>
        <scheme val="minor"/>
      </rPr>
      <t xml:space="preserve"> και ελαβεν</t>
    </r>
  </si>
  <si>
    <t>ιωαχαζ του πατρος</t>
  </si>
  <si>
    <t>ιωαχας του πατρος</t>
  </si>
  <si>
    <t>υιω ιωαχαζ βασιλει</t>
  </si>
  <si>
    <t>υιω αχαζ βασιλει</t>
  </si>
  <si>
    <t>και παντε ετων</t>
  </si>
  <si>
    <t>και πεντε ετων</t>
  </si>
  <si>
    <t>εικοσι εννεα</t>
  </si>
  <si>
    <t>εικοσι και εννεα</t>
  </si>
  <si>
    <t>το ευθες εν οφθαλμοις</t>
  </si>
  <si>
    <t>το ευθεν εν οφθαλμοις</t>
  </si>
  <si>
    <t>ως δαδ αυτου</t>
  </si>
  <si>
    <t>ως δαβιδ αυτου</t>
  </si>
  <si>
    <t>ως δαβιδ ο πατηρ αυτου</t>
  </si>
  <si>
    <r>
      <t xml:space="preserve">εν </t>
    </r>
    <r>
      <rPr>
        <b/>
        <sz val="11"/>
        <color theme="1"/>
        <rFont val="Calibri"/>
        <family val="2"/>
        <scheme val="minor"/>
      </rPr>
      <t>βιβλω</t>
    </r>
    <r>
      <rPr>
        <sz val="11"/>
        <color theme="1"/>
        <rFont val="Calibri"/>
        <family val="2"/>
        <scheme val="minor"/>
      </rPr>
      <t xml:space="preserve"> νομω μωση</t>
    </r>
  </si>
  <si>
    <r>
      <t xml:space="preserve">εν </t>
    </r>
    <r>
      <rPr>
        <b/>
        <sz val="11"/>
        <color theme="1"/>
        <rFont val="Calibri"/>
        <family val="2"/>
        <scheme val="minor"/>
      </rPr>
      <t>βιβλιω</t>
    </r>
    <r>
      <rPr>
        <sz val="11"/>
        <color theme="1"/>
        <rFont val="Calibri"/>
        <family val="2"/>
        <scheme val="minor"/>
      </rPr>
      <t xml:space="preserve"> νομων μωση</t>
    </r>
  </si>
  <si>
    <r>
      <t xml:space="preserve">εν βιβλω </t>
    </r>
    <r>
      <rPr>
        <b/>
        <sz val="11"/>
        <color theme="1"/>
        <rFont val="Calibri"/>
        <family val="2"/>
        <scheme val="minor"/>
      </rPr>
      <t>νομω</t>
    </r>
    <r>
      <rPr>
        <sz val="11"/>
        <color theme="1"/>
        <rFont val="Calibri"/>
        <family val="2"/>
        <scheme val="minor"/>
      </rPr>
      <t xml:space="preserve"> μωση</t>
    </r>
  </si>
  <si>
    <r>
      <t xml:space="preserve">εν βιβλιω </t>
    </r>
    <r>
      <rPr>
        <b/>
        <sz val="11"/>
        <color theme="1"/>
        <rFont val="Calibri"/>
        <family val="2"/>
        <scheme val="minor"/>
      </rPr>
      <t>νομων</t>
    </r>
    <r>
      <rPr>
        <sz val="11"/>
        <color theme="1"/>
        <rFont val="Calibri"/>
        <family val="2"/>
        <scheme val="minor"/>
      </rPr>
      <t xml:space="preserve"> μωση</t>
    </r>
  </si>
  <si>
    <t>συνελαβεν την πετραν</t>
  </si>
  <si>
    <t>συνελαβεν την πατραν</t>
  </si>
  <si>
    <t>αυτης ιεκθοηλ</t>
  </si>
  <si>
    <t>αυτης εκθοηλ</t>
  </si>
  <si>
    <t>απεστειλεν αμασιας αγγελους</t>
  </si>
  <si>
    <t>απεστειλεν αγγελους αμασιας αγγελους</t>
  </si>
  <si>
    <t>προς ιας υιον</t>
  </si>
  <si>
    <t>προς ιαε υιον</t>
  </si>
  <si>
    <t>ιαε -&gt; ιωας</t>
  </si>
  <si>
    <t>ο ακανθος εν τω λιβανω</t>
  </si>
  <si>
    <t>αγρου τα εν τω</t>
  </si>
  <si>
    <t>αγρου εν τω</t>
  </si>
  <si>
    <r>
      <t xml:space="preserve">και </t>
    </r>
    <r>
      <rPr>
        <b/>
        <sz val="11"/>
        <color theme="1"/>
        <rFont val="Calibri"/>
        <family val="2"/>
        <scheme val="minor"/>
      </rPr>
      <t>συνεπατησαν</t>
    </r>
    <r>
      <rPr>
        <sz val="11"/>
        <color theme="1"/>
        <rFont val="Calibri"/>
        <family val="2"/>
        <scheme val="minor"/>
      </rPr>
      <t xml:space="preserve"> την ακαναν (10) τυπτων</t>
    </r>
  </si>
  <si>
    <r>
      <t xml:space="preserve">και συνεπατησαν </t>
    </r>
    <r>
      <rPr>
        <b/>
        <sz val="11"/>
        <color theme="1"/>
        <rFont val="Calibri"/>
        <family val="2"/>
        <scheme val="minor"/>
      </rPr>
      <t>την</t>
    </r>
    <r>
      <rPr>
        <sz val="11"/>
        <color theme="1"/>
        <rFont val="Calibri"/>
        <family val="2"/>
        <scheme val="minor"/>
      </rPr>
      <t xml:space="preserve"> ακαναν (10) τυπτων</t>
    </r>
  </si>
  <si>
    <r>
      <t xml:space="preserve">και </t>
    </r>
    <r>
      <rPr>
        <b/>
        <sz val="11"/>
        <color theme="1"/>
        <rFont val="Calibri"/>
        <family val="2"/>
        <scheme val="minor"/>
      </rPr>
      <t>επαταξαν</t>
    </r>
    <r>
      <rPr>
        <sz val="11"/>
        <color theme="1"/>
        <rFont val="Calibri"/>
        <family val="2"/>
        <scheme val="minor"/>
      </rPr>
      <t xml:space="preserve"> την ακανα (10) τυπτων</t>
    </r>
  </si>
  <si>
    <r>
      <t xml:space="preserve">και επαταξαν </t>
    </r>
    <r>
      <rPr>
        <b/>
        <sz val="11"/>
        <color theme="1"/>
        <rFont val="Calibri"/>
        <family val="2"/>
        <scheme val="minor"/>
      </rPr>
      <t>την</t>
    </r>
    <r>
      <rPr>
        <sz val="11"/>
        <color theme="1"/>
        <rFont val="Calibri"/>
        <family val="2"/>
        <scheme val="minor"/>
      </rPr>
      <t xml:space="preserve"> ακανα (10) τυπτων</t>
    </r>
  </si>
  <si>
    <r>
      <t xml:space="preserve">και συνεπατησαν την </t>
    </r>
    <r>
      <rPr>
        <b/>
        <sz val="11"/>
        <color theme="1"/>
        <rFont val="Calibri"/>
        <family val="2"/>
        <scheme val="minor"/>
      </rPr>
      <t>ακαναν</t>
    </r>
    <r>
      <rPr>
        <sz val="11"/>
        <color theme="1"/>
        <rFont val="Calibri"/>
        <family val="2"/>
        <scheme val="minor"/>
      </rPr>
      <t xml:space="preserve"> (10) τυπτων</t>
    </r>
  </si>
  <si>
    <r>
      <t xml:space="preserve">και επαταξαν την </t>
    </r>
    <r>
      <rPr>
        <b/>
        <sz val="11"/>
        <color theme="1"/>
        <rFont val="Calibri"/>
        <family val="2"/>
        <scheme val="minor"/>
      </rPr>
      <t>ακανα</t>
    </r>
    <r>
      <rPr>
        <sz val="11"/>
        <color theme="1"/>
        <rFont val="Calibri"/>
        <family val="2"/>
        <scheme val="minor"/>
      </rPr>
      <t xml:space="preserve"> (10) τυπτων</t>
    </r>
  </si>
  <si>
    <t>την -&gt; τον</t>
  </si>
  <si>
    <t>οικω σου ινα τι</t>
  </si>
  <si>
    <t>οικω σου και ινα τι</t>
  </si>
  <si>
    <r>
      <rPr>
        <b/>
        <sz val="11"/>
        <color theme="1"/>
        <rFont val="Calibri"/>
        <family val="2"/>
        <scheme val="minor"/>
      </rPr>
      <t>εριζει</t>
    </r>
    <r>
      <rPr>
        <sz val="11"/>
        <color theme="1"/>
        <rFont val="Calibri"/>
        <family val="2"/>
        <scheme val="minor"/>
      </rPr>
      <t xml:space="preserve"> σε η κακια</t>
    </r>
  </si>
  <si>
    <r>
      <rPr>
        <b/>
        <sz val="11"/>
        <color theme="1"/>
        <rFont val="Calibri"/>
        <family val="2"/>
        <scheme val="minor"/>
      </rPr>
      <t>εριζεις</t>
    </r>
    <r>
      <rPr>
        <sz val="11"/>
        <color theme="1"/>
        <rFont val="Calibri"/>
        <family val="2"/>
        <scheme val="minor"/>
      </rPr>
      <t xml:space="preserve"> σε η κακια</t>
    </r>
  </si>
  <si>
    <r>
      <t xml:space="preserve">εριζει </t>
    </r>
    <r>
      <rPr>
        <b/>
        <sz val="11"/>
        <color theme="1"/>
        <rFont val="Calibri"/>
        <family val="2"/>
        <scheme val="minor"/>
      </rPr>
      <t>σε η</t>
    </r>
    <r>
      <rPr>
        <sz val="11"/>
        <color theme="1"/>
        <rFont val="Calibri"/>
        <family val="2"/>
        <scheme val="minor"/>
      </rPr>
      <t xml:space="preserve"> κακια</t>
    </r>
  </si>
  <si>
    <r>
      <t xml:space="preserve">εριζεις </t>
    </r>
    <r>
      <rPr>
        <b/>
        <sz val="11"/>
        <color theme="1"/>
        <rFont val="Calibri"/>
        <family val="2"/>
        <scheme val="minor"/>
      </rPr>
      <t>σε η</t>
    </r>
    <r>
      <rPr>
        <sz val="11"/>
        <color theme="1"/>
        <rFont val="Calibri"/>
        <family val="2"/>
        <scheme val="minor"/>
      </rPr>
      <t xml:space="preserve"> κακια</t>
    </r>
  </si>
  <si>
    <t>αμασιας</t>
  </si>
  <si>
    <t>εν τω τειχει</t>
  </si>
  <si>
    <t>εν τειχει</t>
  </si>
  <si>
    <t>πυλης των γωνιων</t>
  </si>
  <si>
    <t>πυλης της γωνιας</t>
  </si>
  <si>
    <t>ιουδα ουχ ιδου</t>
  </si>
  <si>
    <t>μετα των αυτου</t>
  </si>
  <si>
    <t>μετα των πατερων αυτου</t>
  </si>
  <si>
    <t>βιβλιω -&gt; βιβλιου</t>
  </si>
  <si>
    <r>
      <t xml:space="preserve">ημερων </t>
    </r>
    <r>
      <rPr>
        <b/>
        <sz val="11"/>
        <color theme="1"/>
        <rFont val="Calibri"/>
        <family val="2"/>
        <scheme val="minor"/>
      </rPr>
      <t>τοις βασιλευσιν</t>
    </r>
    <r>
      <rPr>
        <sz val="11"/>
        <color theme="1"/>
        <rFont val="Calibri"/>
        <family val="2"/>
        <scheme val="minor"/>
      </rPr>
      <t xml:space="preserve"> ιουδα</t>
    </r>
  </si>
  <si>
    <r>
      <t xml:space="preserve">ημερων τοις βασιλευσιν </t>
    </r>
    <r>
      <rPr>
        <b/>
        <sz val="11"/>
        <color theme="1"/>
        <rFont val="Calibri"/>
        <family val="2"/>
        <scheme val="minor"/>
      </rPr>
      <t>ισραηλ</t>
    </r>
    <r>
      <rPr>
        <sz val="11"/>
        <color theme="1"/>
        <rFont val="Calibri"/>
        <family val="2"/>
        <scheme val="minor"/>
      </rPr>
      <t xml:space="preserve"> ιουδα</t>
    </r>
  </si>
  <si>
    <r>
      <t xml:space="preserve">ημερων </t>
    </r>
    <r>
      <rPr>
        <b/>
        <sz val="11"/>
        <color theme="1"/>
        <rFont val="Calibri"/>
        <family val="2"/>
        <scheme val="minor"/>
      </rPr>
      <t>τοις βασιλευσιν</t>
    </r>
    <r>
      <rPr>
        <sz val="11"/>
        <color theme="1"/>
        <rFont val="Calibri"/>
        <family val="2"/>
        <scheme val="minor"/>
      </rPr>
      <t xml:space="preserve"> ισραηλ ιουδα</t>
    </r>
  </si>
  <si>
    <t>συστρεμμα</t>
  </si>
  <si>
    <t>και ηραν αυτον</t>
  </si>
  <si>
    <t>και ηρα ηραν αυτον</t>
  </si>
  <si>
    <r>
      <t xml:space="preserve">και </t>
    </r>
    <r>
      <rPr>
        <b/>
        <sz val="11"/>
        <color theme="1"/>
        <rFont val="Calibri"/>
        <family val="2"/>
        <scheme val="minor"/>
      </rPr>
      <t>εβασιλευσαν</t>
    </r>
    <r>
      <rPr>
        <sz val="11"/>
        <color theme="1"/>
        <rFont val="Calibri"/>
        <family val="2"/>
        <scheme val="minor"/>
      </rPr>
      <t xml:space="preserve"> αυτος αντι</t>
    </r>
  </si>
  <si>
    <r>
      <t xml:space="preserve">και </t>
    </r>
    <r>
      <rPr>
        <b/>
        <sz val="11"/>
        <color theme="1"/>
        <rFont val="Calibri"/>
        <family val="2"/>
        <scheme val="minor"/>
      </rPr>
      <t>εβασιλευσεν</t>
    </r>
    <r>
      <rPr>
        <sz val="11"/>
        <color theme="1"/>
        <rFont val="Calibri"/>
        <family val="2"/>
        <scheme val="minor"/>
      </rPr>
      <t xml:space="preserve"> αυτος αντι</t>
    </r>
  </si>
  <si>
    <r>
      <t xml:space="preserve">και εβασιλευσαν </t>
    </r>
    <r>
      <rPr>
        <b/>
        <sz val="11"/>
        <color theme="1"/>
        <rFont val="Calibri"/>
        <family val="2"/>
        <scheme val="minor"/>
      </rPr>
      <t>αυτος</t>
    </r>
    <r>
      <rPr>
        <sz val="11"/>
        <color theme="1"/>
        <rFont val="Calibri"/>
        <family val="2"/>
        <scheme val="minor"/>
      </rPr>
      <t xml:space="preserve"> αντι</t>
    </r>
  </si>
  <si>
    <r>
      <t xml:space="preserve">και εβασιλευσεν </t>
    </r>
    <r>
      <rPr>
        <b/>
        <sz val="11"/>
        <color theme="1"/>
        <rFont val="Calibri"/>
        <family val="2"/>
        <scheme val="minor"/>
      </rPr>
      <t>αυτος</t>
    </r>
    <r>
      <rPr>
        <sz val="11"/>
        <color theme="1"/>
        <rFont val="Calibri"/>
        <family val="2"/>
        <scheme val="minor"/>
      </rPr>
      <t xml:space="preserve"> αντι</t>
    </r>
  </si>
  <si>
    <t>πεντεκαιδεκατω του αμεσσιου</t>
  </si>
  <si>
    <t>πεντεκαιδεκατω αμεσσιου</t>
  </si>
  <si>
    <t>ρημα ... ος ελαλησεν</t>
  </si>
  <si>
    <t>ρημα ... ον ελαλησεν</t>
  </si>
  <si>
    <t>ον -&gt; ο</t>
  </si>
  <si>
    <t>Alex. = γεθαχοβερ</t>
  </si>
  <si>
    <t>ουκ ην ο βοηθων</t>
  </si>
  <si>
    <t>ουκ ο βοηθων</t>
  </si>
  <si>
    <t>αυτους εκ χειρος ιεροβοαμ</t>
  </si>
  <si>
    <t>αυτους εν χειρι ιεροβοαμ</t>
  </si>
  <si>
    <r>
      <t xml:space="preserve">γεγραμμενα </t>
    </r>
    <r>
      <rPr>
        <b/>
        <sz val="11"/>
        <color theme="1"/>
        <rFont val="Calibri"/>
        <family val="2"/>
        <scheme val="minor"/>
      </rPr>
      <t>επι</t>
    </r>
    <r>
      <rPr>
        <sz val="11"/>
        <color theme="1"/>
        <rFont val="Calibri"/>
        <family val="2"/>
        <scheme val="minor"/>
      </rPr>
      <t xml:space="preserve"> βιβλιω</t>
    </r>
  </si>
  <si>
    <r>
      <t xml:space="preserve">γεγραμμενα </t>
    </r>
    <r>
      <rPr>
        <b/>
        <sz val="11"/>
        <color theme="1"/>
        <rFont val="Calibri"/>
        <family val="2"/>
        <scheme val="minor"/>
      </rPr>
      <t>εν</t>
    </r>
    <r>
      <rPr>
        <sz val="11"/>
        <color theme="1"/>
        <rFont val="Calibri"/>
        <family val="2"/>
        <scheme val="minor"/>
      </rPr>
      <t xml:space="preserve"> βιβλιω</t>
    </r>
  </si>
  <si>
    <r>
      <t xml:space="preserve">γεγραμμενα επι </t>
    </r>
    <r>
      <rPr>
        <b/>
        <sz val="11"/>
        <color theme="1"/>
        <rFont val="Calibri"/>
        <family val="2"/>
        <scheme val="minor"/>
      </rPr>
      <t>βιβλιω</t>
    </r>
  </si>
  <si>
    <r>
      <t xml:space="preserve">γεγραμμενα εν </t>
    </r>
    <r>
      <rPr>
        <b/>
        <sz val="11"/>
        <color theme="1"/>
        <rFont val="Calibri"/>
        <family val="2"/>
        <scheme val="minor"/>
      </rPr>
      <t>βιβλιω</t>
    </r>
  </si>
  <si>
    <t>ετει τω ιεροβοαμ</t>
  </si>
  <si>
    <t>ετει ιεροβοαμ</t>
  </si>
  <si>
    <t>ονομα μητρι</t>
  </si>
  <si>
    <t>ονομα τη μητρι</t>
  </si>
  <si>
    <t>ιεχολια</t>
  </si>
  <si>
    <t>των υψηλων</t>
  </si>
  <si>
    <t>τα υψηλα</t>
  </si>
  <si>
    <r>
      <t xml:space="preserve">λαος </t>
    </r>
    <r>
      <rPr>
        <b/>
        <sz val="11"/>
        <color theme="1"/>
        <rFont val="Calibri"/>
        <family val="2"/>
        <scheme val="minor"/>
      </rPr>
      <t>σου</t>
    </r>
    <r>
      <rPr>
        <sz val="11"/>
        <color theme="1"/>
        <rFont val="Calibri"/>
        <family val="2"/>
        <scheme val="minor"/>
      </rPr>
      <t xml:space="preserve"> εθυσιαζεν και</t>
    </r>
  </si>
  <si>
    <r>
      <t xml:space="preserve">λαος σου </t>
    </r>
    <r>
      <rPr>
        <b/>
        <sz val="11"/>
        <color theme="1"/>
        <rFont val="Calibri"/>
        <family val="2"/>
        <scheme val="minor"/>
      </rPr>
      <t>εθυσιαζεν</t>
    </r>
    <r>
      <rPr>
        <sz val="11"/>
        <color theme="1"/>
        <rFont val="Calibri"/>
        <family val="2"/>
        <scheme val="minor"/>
      </rPr>
      <t xml:space="preserve"> και</t>
    </r>
  </si>
  <si>
    <t>ην λελεπρωμενος</t>
  </si>
  <si>
    <t>ην λεπρωμενος</t>
  </si>
  <si>
    <t>εν οικω αφφουσωθ</t>
  </si>
  <si>
    <t>εν οικου αφφουσωθ</t>
  </si>
  <si>
    <t>κρινων</t>
  </si>
  <si>
    <t>τον λαον πιστης (6) και τα λοιπα</t>
  </si>
  <si>
    <r>
      <t xml:space="preserve">τον λαον πιστης </t>
    </r>
    <r>
      <rPr>
        <b/>
        <sz val="11"/>
        <color theme="1"/>
        <rFont val="Calibri"/>
        <family val="2"/>
        <scheme val="minor"/>
      </rPr>
      <t>και εκοιμηθη αζαριας μετα των πατερων αυτου εν πολει δαβιδ και εβασιλευσεν ιωαθαμ υιος αυτου αντ αυτου</t>
    </r>
    <r>
      <rPr>
        <sz val="11"/>
        <color theme="1"/>
        <rFont val="Calibri"/>
        <family val="2"/>
        <scheme val="minor"/>
      </rPr>
      <t xml:space="preserve"> (6) και τα λοιπα</t>
    </r>
  </si>
  <si>
    <t>Other</t>
  </si>
  <si>
    <t>Speech part add/omitted</t>
  </si>
  <si>
    <t>Visual Cues</t>
  </si>
  <si>
    <t>Duplicate Material</t>
  </si>
  <si>
    <t>Singularity</t>
  </si>
  <si>
    <t>Secondary</t>
  </si>
  <si>
    <t>Minutiae</t>
  </si>
  <si>
    <t>Nonsense</t>
  </si>
  <si>
    <t>Adjective</t>
  </si>
  <si>
    <t>Present</t>
  </si>
  <si>
    <t>Dittography</t>
  </si>
  <si>
    <t>Singular</t>
  </si>
  <si>
    <t>Itacism</t>
  </si>
  <si>
    <t>Generated - strict</t>
  </si>
  <si>
    <t>Article</t>
  </si>
  <si>
    <t>Absent</t>
  </si>
  <si>
    <t>Repetition</t>
  </si>
  <si>
    <t>Non-singular</t>
  </si>
  <si>
    <t>Movable ν</t>
  </si>
  <si>
    <t>Generated - contextual</t>
  </si>
  <si>
    <t>Adverb</t>
  </si>
  <si>
    <t>Iota Adscript</t>
  </si>
  <si>
    <t>Removed - strict</t>
  </si>
  <si>
    <t>Conjunction</t>
  </si>
  <si>
    <t>Iota Subscript</t>
  </si>
  <si>
    <t>Removed - contextual</t>
  </si>
  <si>
    <t>Compound word</t>
  </si>
  <si>
    <t>Abbreviation</t>
  </si>
  <si>
    <t>Noun</t>
  </si>
  <si>
    <t>Breathings</t>
  </si>
  <si>
    <t>Pronoun</t>
  </si>
  <si>
    <t>Accents</t>
  </si>
  <si>
    <t>Preposition</t>
  </si>
  <si>
    <t>Punctuation</t>
  </si>
  <si>
    <t>Participle</t>
  </si>
  <si>
    <t>Vocative</t>
  </si>
  <si>
    <t>Exclusion Grounds</t>
  </si>
  <si>
    <t>Corrector Followed</t>
  </si>
  <si>
    <t>Apograph Corrected</t>
  </si>
  <si>
    <t>Phrase Length</t>
  </si>
  <si>
    <t>Words Length</t>
  </si>
  <si>
    <t>Letters Length</t>
  </si>
  <si>
    <t>Speech Part Add/Omitted</t>
  </si>
  <si>
    <t>Cue Regions</t>
  </si>
  <si>
    <t>Cue Length</t>
  </si>
  <si>
    <t>AO Word Frequency</t>
  </si>
  <si>
    <t>SUB Frequency Difference</t>
  </si>
  <si>
    <t>Orthographic - General</t>
  </si>
  <si>
    <t>Harmonization - Context</t>
  </si>
  <si>
    <t>Parallel Present</t>
  </si>
  <si>
    <t>Harmonization - Parallel</t>
  </si>
  <si>
    <t>Mere Minutiae</t>
  </si>
  <si>
    <t>Review</t>
  </si>
  <si>
    <t>Disharmonizing</t>
  </si>
  <si>
    <t>Substitution - Word</t>
  </si>
  <si>
    <t>NA</t>
  </si>
  <si>
    <t>Substitution - Form</t>
  </si>
  <si>
    <t>Substitution - Both</t>
  </si>
  <si>
    <t>Below word level</t>
  </si>
  <si>
    <t>Particle</t>
  </si>
  <si>
    <t>Name Spelling</t>
  </si>
  <si>
    <t>Verb</t>
  </si>
  <si>
    <t>Unfiltered variants:</t>
  </si>
  <si>
    <t>Total variants:</t>
  </si>
  <si>
    <t>ΝΑ</t>
  </si>
  <si>
    <t>AC</t>
  </si>
  <si>
    <t>ι-ει</t>
  </si>
  <si>
    <t>ει-ι</t>
  </si>
  <si>
    <t>τα δια την μητραν</t>
  </si>
  <si>
    <t>τα περι την μητραν</t>
  </si>
  <si>
    <t>εως ημερα θανατου</t>
  </si>
  <si>
    <t>εως ημερας θανατου</t>
  </si>
  <si>
    <t>ε-αι</t>
  </si>
  <si>
    <t>παν αιτημα</t>
  </si>
  <si>
    <t>παντα αιτημα</t>
  </si>
  <si>
    <t xml:space="preserve">ου συνεπεσεν ετι (19) και ορθριζουσιν </t>
  </si>
  <si>
    <t xml:space="preserve">ου συνεπεσεν (19) και ορθριζουσιν </t>
  </si>
  <si>
    <t>(1:28) τω κω (v. 2:1) και προσηυξατο</t>
  </si>
  <si>
    <r>
      <t xml:space="preserve">(1:28) τω κυριω </t>
    </r>
    <r>
      <rPr>
        <b/>
        <sz val="11"/>
        <color theme="1"/>
        <rFont val="Calibri"/>
        <family val="2"/>
        <scheme val="minor"/>
      </rPr>
      <t>και τω</t>
    </r>
    <r>
      <rPr>
        <sz val="11"/>
        <color theme="1"/>
        <rFont val="Calibri"/>
        <family val="2"/>
        <scheme val="minor"/>
      </rPr>
      <t xml:space="preserve"> (v. 2:1) καιι προσηυξατο</t>
    </r>
  </si>
  <si>
    <r>
      <t xml:space="preserve">(1:28) τω κυριω και τω (v. 2:1) </t>
    </r>
    <r>
      <rPr>
        <b/>
        <sz val="11"/>
        <color theme="1"/>
        <rFont val="Calibri"/>
        <family val="2"/>
        <scheme val="minor"/>
      </rPr>
      <t>καιι</t>
    </r>
    <r>
      <rPr>
        <sz val="11"/>
        <color theme="1"/>
        <rFont val="Calibri"/>
        <family val="2"/>
        <scheme val="minor"/>
      </rPr>
      <t xml:space="preserve"> προσηυξατο</t>
    </r>
  </si>
  <si>
    <t>AB:AC:BD</t>
  </si>
  <si>
    <t>3:3:3</t>
  </si>
  <si>
    <t>αι-ε</t>
  </si>
  <si>
    <t>ει-ε</t>
  </si>
  <si>
    <t>περιεζωσαντο δυναμιν</t>
  </si>
  <si>
    <t>περιεζωσαντο την δυναμιν</t>
  </si>
  <si>
    <t>μη καυχασθω ο δυνατος</t>
  </si>
  <si>
    <t>μη καυχασθω δυνατος</t>
  </si>
  <si>
    <t>μη καυχασθω ο πλουσιος</t>
  </si>
  <si>
    <t>μη καυχασθω πλουσιος</t>
  </si>
  <si>
    <t>εις αρμαθαιμ</t>
  </si>
  <si>
    <t>εις τον αρμαθαιμ</t>
  </si>
  <si>
    <t>και οι υιοι</t>
  </si>
  <si>
    <t>και υιοι</t>
  </si>
  <si>
    <t>το κρεας</t>
  </si>
  <si>
    <t>το κρας κρεας</t>
  </si>
  <si>
    <t>BD:CD</t>
  </si>
  <si>
    <t>4:4</t>
  </si>
  <si>
    <t>εις τον λουτηρα</t>
  </si>
  <si>
    <t>εις την τον λουτηρα</t>
  </si>
  <si>
    <t>ηθετουν την θυσιαν</t>
  </si>
  <si>
    <t>ηθετουν θυσιαν</t>
  </si>
  <si>
    <t>AB:AC</t>
  </si>
  <si>
    <t>3:3</t>
  </si>
  <si>
    <t>εμοι ιεραψευειν αναβαινειν</t>
  </si>
  <si>
    <t>εμοι εις ιερεα ψευειν αναβαινειν</t>
  </si>
  <si>
    <t>οφθαλμους και καταρριν</t>
  </si>
  <si>
    <t>περισσευον οικου</t>
  </si>
  <si>
    <t>περισσευον του οικου</t>
  </si>
  <si>
    <t>κεκληκα σε υιε</t>
  </si>
  <si>
    <t>κεκληκα σε ο υιε</t>
  </si>
  <si>
    <t>σαμουηλ τεκνον και</t>
  </si>
  <si>
    <t>σαμουηλ τεκνον μου και</t>
  </si>
  <si>
    <r>
      <t xml:space="preserve">αυτοις ιηλ εις πολεμον και </t>
    </r>
    <r>
      <rPr>
        <b/>
        <sz val="11"/>
        <color theme="1"/>
        <rFont val="Calibri"/>
        <family val="2"/>
        <scheme val="minor"/>
      </rPr>
      <t>παρεμβαλουσιν</t>
    </r>
  </si>
  <si>
    <r>
      <t xml:space="preserve">αυτοις ισραηλ και </t>
    </r>
    <r>
      <rPr>
        <b/>
        <sz val="11"/>
        <color theme="1"/>
        <rFont val="Calibri"/>
        <family val="2"/>
        <scheme val="minor"/>
      </rPr>
      <t>παρεμβαλλουσιν</t>
    </r>
  </si>
  <si>
    <t xml:space="preserve">ηλθεν κειβωτος διαθηκης </t>
  </si>
  <si>
    <r>
      <t xml:space="preserve">ηλθεν </t>
    </r>
    <r>
      <rPr>
        <b/>
        <sz val="11"/>
        <color theme="1"/>
        <rFont val="Calibri"/>
        <family val="2"/>
        <scheme val="minor"/>
      </rPr>
      <t>κειβωτος</t>
    </r>
    <r>
      <rPr>
        <sz val="11"/>
        <color theme="1"/>
        <rFont val="Calibri"/>
        <family val="2"/>
        <scheme val="minor"/>
      </rPr>
      <t xml:space="preserve"> διαθηκης </t>
    </r>
  </si>
  <si>
    <r>
      <t xml:space="preserve">ηλθεν </t>
    </r>
    <r>
      <rPr>
        <b/>
        <sz val="11"/>
        <color theme="1"/>
        <rFont val="Calibri"/>
        <family val="2"/>
        <scheme val="minor"/>
      </rPr>
      <t>η</t>
    </r>
    <r>
      <rPr>
        <sz val="11"/>
        <color theme="1"/>
        <rFont val="Calibri"/>
        <family val="2"/>
        <scheme val="minor"/>
      </rPr>
      <t xml:space="preserve"> κιβωτος της διαθηκης</t>
    </r>
  </si>
  <si>
    <r>
      <t xml:space="preserve">ηλθεν η </t>
    </r>
    <r>
      <rPr>
        <b/>
        <sz val="11"/>
        <color theme="1"/>
        <rFont val="Calibri"/>
        <family val="2"/>
        <scheme val="minor"/>
      </rPr>
      <t>κιβωτος</t>
    </r>
    <r>
      <rPr>
        <sz val="11"/>
        <color theme="1"/>
        <rFont val="Calibri"/>
        <family val="2"/>
        <scheme val="minor"/>
      </rPr>
      <t xml:space="preserve"> της διαθηκης</t>
    </r>
  </si>
  <si>
    <r>
      <t xml:space="preserve">ηλθεν η κιβωτος </t>
    </r>
    <r>
      <rPr>
        <b/>
        <sz val="11"/>
        <color theme="1"/>
        <rFont val="Calibri"/>
        <family val="2"/>
        <scheme val="minor"/>
      </rPr>
      <t>της</t>
    </r>
    <r>
      <rPr>
        <sz val="11"/>
        <color theme="1"/>
        <rFont val="Calibri"/>
        <family val="2"/>
        <scheme val="minor"/>
      </rPr>
      <t xml:space="preserve"> διαθηκης</t>
    </r>
  </si>
  <si>
    <t>οτι κειβωτος</t>
  </si>
  <si>
    <r>
      <t xml:space="preserve">οτι </t>
    </r>
    <r>
      <rPr>
        <b/>
        <sz val="11"/>
        <color theme="1"/>
        <rFont val="Calibri"/>
        <family val="2"/>
        <scheme val="minor"/>
      </rPr>
      <t>η</t>
    </r>
    <r>
      <rPr>
        <sz val="11"/>
        <color theme="1"/>
        <rFont val="Calibri"/>
        <family val="2"/>
        <scheme val="minor"/>
      </rPr>
      <t xml:space="preserve"> κιβωτος</t>
    </r>
  </si>
  <si>
    <r>
      <t xml:space="preserve">οτι η </t>
    </r>
    <r>
      <rPr>
        <b/>
        <sz val="11"/>
        <color theme="1"/>
        <rFont val="Calibri"/>
        <family val="2"/>
        <scheme val="minor"/>
      </rPr>
      <t>κιβωτος</t>
    </r>
  </si>
  <si>
    <r>
      <t xml:space="preserve">οτι </t>
    </r>
    <r>
      <rPr>
        <b/>
        <sz val="11"/>
        <color theme="1"/>
        <rFont val="Calibri"/>
        <family val="2"/>
        <scheme val="minor"/>
      </rPr>
      <t>κειβωτος</t>
    </r>
  </si>
  <si>
    <t>στερεων τουτω</t>
  </si>
  <si>
    <t>στερεων τουτων</t>
  </si>
  <si>
    <t>τριακοντα χιλιαδες ταγματων</t>
  </si>
  <si>
    <t>τριακοντα χιλιαδες χ ταγματων</t>
  </si>
  <si>
    <t>freq = εξακοσιοι</t>
  </si>
  <si>
    <t>ε-η</t>
  </si>
  <si>
    <t>2.0.1 transposition</t>
  </si>
  <si>
    <t>οτι ελημφθη</t>
  </si>
  <si>
    <r>
      <t xml:space="preserve">οτι </t>
    </r>
    <r>
      <rPr>
        <b/>
        <sz val="11"/>
        <color theme="1"/>
        <rFont val="Calibri"/>
        <family val="2"/>
        <scheme val="minor"/>
      </rPr>
      <t>η</t>
    </r>
    <r>
      <rPr>
        <sz val="11"/>
        <color theme="1"/>
        <rFont val="Calibri"/>
        <family val="2"/>
        <scheme val="minor"/>
      </rPr>
      <t xml:space="preserve"> εληφθη</t>
    </r>
  </si>
  <si>
    <r>
      <t xml:space="preserve">οτι η </t>
    </r>
    <r>
      <rPr>
        <b/>
        <sz val="11"/>
        <color theme="1"/>
        <rFont val="Calibri"/>
        <family val="2"/>
        <scheme val="minor"/>
      </rPr>
      <t>εληφθη</t>
    </r>
  </si>
  <si>
    <r>
      <t xml:space="preserve">οτι </t>
    </r>
    <r>
      <rPr>
        <b/>
        <sz val="11"/>
        <color theme="1"/>
        <rFont val="Calibri"/>
        <family val="2"/>
        <scheme val="minor"/>
      </rPr>
      <t>ελημφθη</t>
    </r>
  </si>
  <si>
    <t>δια τουτο</t>
  </si>
  <si>
    <t>δια τουτου</t>
  </si>
  <si>
    <t>CD</t>
  </si>
  <si>
    <t>3</t>
  </si>
  <si>
    <t>freq = τετρακοσιοι</t>
  </si>
  <si>
    <t>μετηλθεν η κειτος</t>
  </si>
  <si>
    <t>μετηλθεν η κιβωτος</t>
  </si>
  <si>
    <t>εισηλθεν κειβωτος</t>
  </si>
  <si>
    <t>και ποιησεται ομοιωμα</t>
  </si>
  <si>
    <t>και ποιησετε ομοιωμα</t>
  </si>
  <si>
    <t>1.1.1 transposition</t>
  </si>
  <si>
    <r>
      <t xml:space="preserve">ουχι </t>
    </r>
    <r>
      <rPr>
        <b/>
        <sz val="11"/>
        <color theme="1"/>
        <rFont val="Calibri"/>
        <family val="2"/>
        <scheme val="minor"/>
      </rPr>
      <t>οτε</t>
    </r>
    <r>
      <rPr>
        <sz val="11"/>
        <color theme="1"/>
        <rFont val="Calibri"/>
        <family val="2"/>
        <scheme val="minor"/>
      </rPr>
      <t xml:space="preserve"> ενεπεξεν αυτοις εξαπεστειλεν αυτους </t>
    </r>
  </si>
  <si>
    <r>
      <t xml:space="preserve">ουχι </t>
    </r>
    <r>
      <rPr>
        <b/>
        <sz val="11"/>
        <color theme="1"/>
        <rFont val="Calibri"/>
        <family val="2"/>
        <scheme val="minor"/>
      </rPr>
      <t>οτι</t>
    </r>
    <r>
      <rPr>
        <sz val="11"/>
        <color theme="1"/>
        <rFont val="Calibri"/>
        <family val="2"/>
        <scheme val="minor"/>
      </rPr>
      <t xml:space="preserve"> ενεπαιξεν αυτο τοις εξαπεστειλεν αυτους </t>
    </r>
  </si>
  <si>
    <r>
      <t xml:space="preserve">ουχι οτε </t>
    </r>
    <r>
      <rPr>
        <b/>
        <sz val="11"/>
        <color theme="1"/>
        <rFont val="Calibri"/>
        <family val="2"/>
        <scheme val="minor"/>
      </rPr>
      <t>ενεπεξεν</t>
    </r>
    <r>
      <rPr>
        <sz val="11"/>
        <color theme="1"/>
        <rFont val="Calibri"/>
        <family val="2"/>
        <scheme val="minor"/>
      </rPr>
      <t xml:space="preserve"> αυτοις εξαπεστειλεν αυτους </t>
    </r>
  </si>
  <si>
    <r>
      <t xml:space="preserve">ουχι οτι </t>
    </r>
    <r>
      <rPr>
        <b/>
        <sz val="11"/>
        <color theme="1"/>
        <rFont val="Calibri"/>
        <family val="2"/>
        <scheme val="minor"/>
      </rPr>
      <t>ενεπαιξεν</t>
    </r>
    <r>
      <rPr>
        <sz val="11"/>
        <color theme="1"/>
        <rFont val="Calibri"/>
        <family val="2"/>
        <scheme val="minor"/>
      </rPr>
      <t xml:space="preserve"> αυτο τοις εξαπεστειλεν αυτους </t>
    </r>
  </si>
  <si>
    <r>
      <t xml:space="preserve">ουχι οτε ενεπεξεν </t>
    </r>
    <r>
      <rPr>
        <b/>
        <sz val="11"/>
        <color theme="1"/>
        <rFont val="Calibri"/>
        <family val="2"/>
        <scheme val="minor"/>
      </rPr>
      <t>αυτοις</t>
    </r>
    <r>
      <rPr>
        <sz val="11"/>
        <color theme="1"/>
        <rFont val="Calibri"/>
        <family val="2"/>
        <scheme val="minor"/>
      </rPr>
      <t xml:space="preserve"> εξαπεστειλεν αυτους </t>
    </r>
  </si>
  <si>
    <r>
      <t xml:space="preserve">ουχι οτι ενεπαιξεν </t>
    </r>
    <r>
      <rPr>
        <b/>
        <sz val="11"/>
        <color theme="1"/>
        <rFont val="Calibri"/>
        <family val="2"/>
        <scheme val="minor"/>
      </rPr>
      <t>αυτο τοις</t>
    </r>
    <r>
      <rPr>
        <sz val="11"/>
        <color theme="1"/>
        <rFont val="Calibri"/>
        <family val="2"/>
        <scheme val="minor"/>
      </rPr>
      <t xml:space="preserve"> εξαπεστειλεν αυτους </t>
    </r>
  </si>
  <si>
    <t>τεκνα απο οπισθεν</t>
  </si>
  <si>
    <t>τεκνα οπισθεν</t>
  </si>
  <si>
    <t>θησεται αυτην</t>
  </si>
  <si>
    <t xml:space="preserve">μυστους τους χρυσους </t>
  </si>
  <si>
    <t xml:space="preserve">μυστες τους χρυσους </t>
  </si>
  <si>
    <t>ο-ω</t>
  </si>
  <si>
    <t>η-ε</t>
  </si>
  <si>
    <t>πασας τας ημερα</t>
  </si>
  <si>
    <t>η-ε;ε-η;αι-ε</t>
  </si>
  <si>
    <t>τω σαουλ υπολειμμα</t>
  </si>
  <si>
    <t>τω σαουλ ιδου υπολειμμα</t>
  </si>
  <si>
    <t>8</t>
  </si>
  <si>
    <t>τω σαουλ επι τω δωματι (v. 26) και εκοιμηθη και εγενετο ως ανεβενεν ο ορθρος και εκαλεσεν σαμουηλ τον σαουλ επι τω δωματι λεγων αναστα</t>
  </si>
  <si>
    <t>τω σαουλ επι τω δωματι (v. 26) λεγων αναστα</t>
  </si>
  <si>
    <r>
      <t xml:space="preserve">και </t>
    </r>
    <r>
      <rPr>
        <b/>
        <sz val="11"/>
        <color theme="1"/>
        <rFont val="Calibri"/>
        <family val="2"/>
        <scheme val="minor"/>
      </rPr>
      <t>τουτο</t>
    </r>
    <r>
      <rPr>
        <sz val="11"/>
        <color theme="1"/>
        <rFont val="Calibri"/>
        <family val="2"/>
        <scheme val="minor"/>
      </rPr>
      <t xml:space="preserve"> σοι το σημειον</t>
    </r>
  </si>
  <si>
    <r>
      <t xml:space="preserve">και </t>
    </r>
    <r>
      <rPr>
        <b/>
        <sz val="11"/>
        <color theme="1"/>
        <rFont val="Calibri"/>
        <family val="2"/>
        <scheme val="minor"/>
      </rPr>
      <t>τοτε</t>
    </r>
    <r>
      <rPr>
        <sz val="11"/>
        <color theme="1"/>
        <rFont val="Calibri"/>
        <family val="2"/>
        <scheme val="minor"/>
      </rPr>
      <t xml:space="preserve"> το σημειον</t>
    </r>
  </si>
  <si>
    <r>
      <t xml:space="preserve">και τουτο </t>
    </r>
    <r>
      <rPr>
        <b/>
        <sz val="11"/>
        <color theme="1"/>
        <rFont val="Calibri"/>
        <family val="2"/>
        <scheme val="minor"/>
      </rPr>
      <t>σοι</t>
    </r>
    <r>
      <rPr>
        <sz val="11"/>
        <color theme="1"/>
        <rFont val="Calibri"/>
        <family val="2"/>
        <scheme val="minor"/>
      </rPr>
      <t xml:space="preserve"> το σημειον</t>
    </r>
  </si>
  <si>
    <t>freq = ισραηλ</t>
  </si>
  <si>
    <t>σου το ρημα των ονων</t>
  </si>
  <si>
    <t>σου περι των ονων</t>
  </si>
  <si>
    <t>BD</t>
  </si>
  <si>
    <t>υιοι λοιμοι ειπαν</t>
  </si>
  <si>
    <t>υιοι λοιμοι ειπεν</t>
  </si>
  <si>
    <t>ηνεγκαν αυτω δωρα (v. 11.1) και εγενηθη ως μετα</t>
  </si>
  <si>
    <t>ηνεγκαν αυτω δωρα και εγενηθη ως κωφευων (11:1) και εγενηθη ως μετα</t>
  </si>
  <si>
    <t>12</t>
  </si>
  <si>
    <t>εσται υμιν η σωτηρια</t>
  </si>
  <si>
    <t>εσται υμιν σωτηρια</t>
  </si>
  <si>
    <r>
      <t xml:space="preserve">οι </t>
    </r>
    <r>
      <rPr>
        <b/>
        <sz val="11"/>
        <color theme="1"/>
        <rFont val="Calibri"/>
        <family val="2"/>
        <scheme val="minor"/>
      </rPr>
      <t>οι</t>
    </r>
    <r>
      <rPr>
        <sz val="11"/>
        <color theme="1"/>
        <rFont val="Calibri"/>
        <family val="2"/>
        <scheme val="minor"/>
      </rPr>
      <t xml:space="preserve"> υπολελιμμενοι</t>
    </r>
  </si>
  <si>
    <r>
      <t xml:space="preserve">οι </t>
    </r>
    <r>
      <rPr>
        <b/>
        <sz val="11"/>
        <color theme="1"/>
        <rFont val="Calibri"/>
        <family val="2"/>
        <scheme val="minor"/>
      </rPr>
      <t>υιοι</t>
    </r>
    <r>
      <rPr>
        <sz val="11"/>
        <color theme="1"/>
        <rFont val="Calibri"/>
        <family val="2"/>
        <scheme val="minor"/>
      </rPr>
      <t xml:space="preserve"> υπολελειμμενοι </t>
    </r>
  </si>
  <si>
    <r>
      <t xml:space="preserve">οι υιοι </t>
    </r>
    <r>
      <rPr>
        <b/>
        <sz val="11"/>
        <color theme="1"/>
        <rFont val="Calibri"/>
        <family val="2"/>
        <scheme val="minor"/>
      </rPr>
      <t>υπολελειμμενοι</t>
    </r>
    <r>
      <rPr>
        <sz val="11"/>
        <color theme="1"/>
        <rFont val="Calibri"/>
        <family val="2"/>
        <scheme val="minor"/>
      </rPr>
      <t xml:space="preserve"> </t>
    </r>
  </si>
  <si>
    <r>
      <t xml:space="preserve">οι οι </t>
    </r>
    <r>
      <rPr>
        <b/>
        <sz val="11"/>
        <color theme="1"/>
        <rFont val="Calibri"/>
        <family val="2"/>
        <scheme val="minor"/>
      </rPr>
      <t>υπολελιμμενοι</t>
    </r>
  </si>
  <si>
    <t>κατεδυναστευσα η τινα εξεπιασα</t>
  </si>
  <si>
    <t>κατεδυναστευσα τινα εξεπιασα</t>
  </si>
  <si>
    <t>ω-ο</t>
  </si>
  <si>
    <r>
      <t xml:space="preserve">παρεδωκεν </t>
    </r>
    <r>
      <rPr>
        <b/>
        <sz val="11"/>
        <color theme="1"/>
        <rFont val="Calibri"/>
        <family val="2"/>
        <scheme val="minor"/>
      </rPr>
      <t>αυτους κς</t>
    </r>
  </si>
  <si>
    <r>
      <t xml:space="preserve">παρεδωκεν </t>
    </r>
    <r>
      <rPr>
        <b/>
        <sz val="11"/>
        <color theme="1"/>
        <rFont val="Calibri"/>
        <family val="2"/>
        <scheme val="minor"/>
      </rPr>
      <t>ο</t>
    </r>
    <r>
      <rPr>
        <sz val="11"/>
        <color theme="1"/>
        <rFont val="Calibri"/>
        <family val="2"/>
        <scheme val="minor"/>
      </rPr>
      <t xml:space="preserve"> κυριος αυτους</t>
    </r>
  </si>
  <si>
    <r>
      <t xml:space="preserve">παρεδωκεν ο </t>
    </r>
    <r>
      <rPr>
        <b/>
        <sz val="11"/>
        <color theme="1"/>
        <rFont val="Calibri"/>
        <family val="2"/>
        <scheme val="minor"/>
      </rPr>
      <t>κυριος αυτους</t>
    </r>
  </si>
  <si>
    <t>1.0.1 transposition</t>
  </si>
  <si>
    <t>εγενηθη εκστασεις</t>
  </si>
  <si>
    <t>εγενηθη εκστασις</t>
  </si>
  <si>
    <t>ιδου η παρεμβολη</t>
  </si>
  <si>
    <t>ιδου παρεμβολη</t>
  </si>
  <si>
    <t>πεφευγασιν αλλοφυλοι</t>
  </si>
  <si>
    <t>και ο σαουλ</t>
  </si>
  <si>
    <t>και σαουλ</t>
  </si>
  <si>
    <t>και ιαρ δρυμος ην</t>
  </si>
  <si>
    <t>και γαρ δρυμος ην</t>
  </si>
  <si>
    <t>ος φαγετε</t>
  </si>
  <si>
    <t>ος φαγεται</t>
  </si>
  <si>
    <t>εξελυθη ο λαος</t>
  </si>
  <si>
    <t>εξελυθη λαος</t>
  </si>
  <si>
    <t>του μελιτος τουτου (30) αλλ οτι</t>
  </si>
  <si>
    <t>του μελιτος (30) αλλ οτι</t>
  </si>
  <si>
    <t>κυλισατε μοι ενταυθα λιθον</t>
  </si>
  <si>
    <t>κυλισατε μοι λιθον</t>
  </si>
  <si>
    <t>αμαρτια αυτη σημερον</t>
  </si>
  <si>
    <t>αμαρτια αυτης σημερον</t>
  </si>
  <si>
    <t>ε-ει</t>
  </si>
  <si>
    <t>κατακληρωσητε κς</t>
  </si>
  <si>
    <t>κατακληρωσηται κυριος</t>
  </si>
  <si>
    <r>
      <rPr>
        <b/>
        <sz val="11"/>
        <color theme="1"/>
        <rFont val="Calibri"/>
        <family val="2"/>
        <scheme val="minor"/>
      </rPr>
      <t>χρισεσαι</t>
    </r>
    <r>
      <rPr>
        <sz val="11"/>
        <color theme="1"/>
        <rFont val="Calibri"/>
        <family val="2"/>
        <scheme val="minor"/>
      </rPr>
      <t xml:space="preserve"> εις βασιλεα </t>
    </r>
  </si>
  <si>
    <r>
      <rPr>
        <b/>
        <sz val="11"/>
        <color theme="1"/>
        <rFont val="Calibri"/>
        <family val="2"/>
        <scheme val="minor"/>
      </rPr>
      <t>χρισαι</t>
    </r>
    <r>
      <rPr>
        <sz val="11"/>
        <color theme="1"/>
        <rFont val="Calibri"/>
        <family val="2"/>
        <scheme val="minor"/>
      </rPr>
      <t xml:space="preserve"> σε εις βασιλεα </t>
    </r>
  </si>
  <si>
    <t>παταξεις τον αμαληκ</t>
  </si>
  <si>
    <t>παταξεις αμαληκ</t>
  </si>
  <si>
    <t>5</t>
  </si>
  <si>
    <r>
      <rPr>
        <b/>
        <sz val="11"/>
        <color theme="1"/>
        <rFont val="Calibri"/>
        <family val="2"/>
        <scheme val="minor"/>
      </rPr>
      <t>οδυνη</t>
    </r>
    <r>
      <rPr>
        <sz val="11"/>
        <color theme="1"/>
        <rFont val="Calibri"/>
        <family val="2"/>
        <scheme val="minor"/>
      </rPr>
      <t xml:space="preserve"> και πονος θεραφειν επαγουσιν</t>
    </r>
  </si>
  <si>
    <r>
      <rPr>
        <b/>
        <sz val="11"/>
        <color theme="1"/>
        <rFont val="Calibri"/>
        <family val="2"/>
        <scheme val="minor"/>
      </rPr>
      <t>οδυνην</t>
    </r>
    <r>
      <rPr>
        <sz val="11"/>
        <color theme="1"/>
        <rFont val="Calibri"/>
        <family val="2"/>
        <scheme val="minor"/>
      </rPr>
      <t xml:space="preserve"> και πονους θεραφιν επαγουσιν</t>
    </r>
  </si>
  <si>
    <r>
      <t xml:space="preserve">οδυνην και </t>
    </r>
    <r>
      <rPr>
        <b/>
        <sz val="11"/>
        <color theme="1"/>
        <rFont val="Calibri"/>
        <family val="2"/>
        <scheme val="minor"/>
      </rPr>
      <t>πονους</t>
    </r>
    <r>
      <rPr>
        <sz val="11"/>
        <color theme="1"/>
        <rFont val="Calibri"/>
        <family val="2"/>
        <scheme val="minor"/>
      </rPr>
      <t xml:space="preserve"> θεραφιν επαγουσιν</t>
    </r>
  </si>
  <si>
    <r>
      <t xml:space="preserve">οδυνη και </t>
    </r>
    <r>
      <rPr>
        <b/>
        <sz val="11"/>
        <color theme="1"/>
        <rFont val="Calibri"/>
        <family val="2"/>
        <scheme val="minor"/>
      </rPr>
      <t>πονος</t>
    </r>
    <r>
      <rPr>
        <sz val="11"/>
        <color theme="1"/>
        <rFont val="Calibri"/>
        <family val="2"/>
        <scheme val="minor"/>
      </rPr>
      <t xml:space="preserve"> θεραφειν επαγουσιν</t>
    </r>
  </si>
  <si>
    <r>
      <t xml:space="preserve">οδυνη και πονος </t>
    </r>
    <r>
      <rPr>
        <b/>
        <sz val="11"/>
        <color theme="1"/>
        <rFont val="Calibri"/>
        <family val="2"/>
        <scheme val="minor"/>
      </rPr>
      <t>θεραφειν</t>
    </r>
    <r>
      <rPr>
        <sz val="11"/>
        <color theme="1"/>
        <rFont val="Calibri"/>
        <family val="2"/>
        <scheme val="minor"/>
      </rPr>
      <t xml:space="preserve"> επαγουσιν</t>
    </r>
  </si>
  <si>
    <r>
      <t xml:space="preserve">οδυνην και πονους </t>
    </r>
    <r>
      <rPr>
        <b/>
        <sz val="11"/>
        <color theme="1"/>
        <rFont val="Calibri"/>
        <family val="2"/>
        <scheme val="minor"/>
      </rPr>
      <t>θεραφιν</t>
    </r>
    <r>
      <rPr>
        <sz val="11"/>
        <color theme="1"/>
        <rFont val="Calibri"/>
        <family val="2"/>
        <scheme val="minor"/>
      </rPr>
      <t xml:space="preserve"> επαγουσιν</t>
    </r>
  </si>
  <si>
    <t xml:space="preserve">ως ανος εστιν του μετανοησαι </t>
  </si>
  <si>
    <t>προσηλθεν προς αυτον</t>
  </si>
  <si>
    <t>προηλθεν προς αυτον</t>
  </si>
  <si>
    <t>εν γαλγαλ</t>
  </si>
  <si>
    <t>εν γαλγαλαις</t>
  </si>
  <si>
    <t>freq = γαλγαλος - (γαλγαλ + γαλγαλα)</t>
  </si>
  <si>
    <t>ενωπιον κυ χς</t>
  </si>
  <si>
    <t>ενωπιον χ κυριου χριστος</t>
  </si>
  <si>
    <t>την αιξιν μεγεθους</t>
  </si>
  <si>
    <t>την αιξιν εξιν μεγεθους</t>
  </si>
  <si>
    <t>freq = φυλαξ</t>
  </si>
  <si>
    <t>τον αλλοφυλον και</t>
  </si>
  <si>
    <t>τον αλλοφυλον εκεινον και</t>
  </si>
  <si>
    <t>αδελφος ο μειζων</t>
  </si>
  <si>
    <r>
      <t xml:space="preserve">αδελφος </t>
    </r>
    <r>
      <rPr>
        <b/>
        <sz val="11"/>
        <color theme="1"/>
        <rFont val="Calibri"/>
        <family val="2"/>
        <scheme val="minor"/>
      </rPr>
      <t>αυτου</t>
    </r>
    <r>
      <rPr>
        <sz val="11"/>
        <color theme="1"/>
        <rFont val="Calibri"/>
        <family val="2"/>
        <scheme val="minor"/>
      </rPr>
      <t xml:space="preserve"> ο μιζων</t>
    </r>
  </si>
  <si>
    <r>
      <t xml:space="preserve">αδελφος ο </t>
    </r>
    <r>
      <rPr>
        <b/>
        <sz val="11"/>
        <color theme="1"/>
        <rFont val="Calibri"/>
        <family val="2"/>
        <scheme val="minor"/>
      </rPr>
      <t>μειζων</t>
    </r>
  </si>
  <si>
    <r>
      <t xml:space="preserve">αδελφος αυτου ο </t>
    </r>
    <r>
      <rPr>
        <b/>
        <sz val="11"/>
        <color theme="1"/>
        <rFont val="Calibri"/>
        <family val="2"/>
        <scheme val="minor"/>
      </rPr>
      <t>μιζων</t>
    </r>
  </si>
  <si>
    <t>ουτος εξελειτε</t>
  </si>
  <si>
    <t>ουτος εξελειται</t>
  </si>
  <si>
    <t>περιπατησαι απαξ και δις</t>
  </si>
  <si>
    <t>περιπατησαι απας και δις</t>
  </si>
  <si>
    <r>
      <rPr>
        <b/>
        <sz val="11"/>
        <color theme="1"/>
        <rFont val="Calibri"/>
        <family val="2"/>
        <scheme val="minor"/>
      </rPr>
      <t>καταρασατο</t>
    </r>
    <r>
      <rPr>
        <sz val="11"/>
        <color theme="1"/>
        <rFont val="Calibri"/>
        <family val="2"/>
        <scheme val="minor"/>
      </rPr>
      <t xml:space="preserve"> αλλοφυλος</t>
    </r>
  </si>
  <si>
    <t>καταρασατο αλλοφυλος</t>
  </si>
  <si>
    <t>εν οφθαλμοις δαδ</t>
  </si>
  <si>
    <t>εν οφθαλμοι δαβιδ</t>
  </si>
  <si>
    <t>ι-η</t>
  </si>
  <si>
    <t>αποστελειν επι τον δαβιδ</t>
  </si>
  <si>
    <t>αγαγεται αυτον</t>
  </si>
  <si>
    <t>αγαγετε αυτον</t>
  </si>
  <si>
    <t>εαν μη οκριθη</t>
  </si>
  <si>
    <r>
      <t xml:space="preserve">εαν μη </t>
    </r>
    <r>
      <rPr>
        <b/>
        <sz val="11"/>
        <color theme="1"/>
        <rFont val="Calibri"/>
        <family val="2"/>
        <scheme val="minor"/>
      </rPr>
      <t>ο π</t>
    </r>
    <r>
      <rPr>
        <sz val="11"/>
        <color theme="1"/>
        <rFont val="Calibri"/>
        <family val="2"/>
        <scheme val="minor"/>
      </rPr>
      <t xml:space="preserve"> απορκιθη</t>
    </r>
  </si>
  <si>
    <r>
      <t xml:space="preserve">εαν μη ο π </t>
    </r>
    <r>
      <rPr>
        <b/>
        <sz val="11"/>
        <color theme="1"/>
        <rFont val="Calibri"/>
        <family val="2"/>
        <scheme val="minor"/>
      </rPr>
      <t>απορκιθη</t>
    </r>
  </si>
  <si>
    <r>
      <t xml:space="preserve">εαν μη </t>
    </r>
    <r>
      <rPr>
        <b/>
        <sz val="11"/>
        <color theme="1"/>
        <rFont val="Calibri"/>
        <family val="2"/>
        <scheme val="minor"/>
      </rPr>
      <t>οκριθη</t>
    </r>
  </si>
  <si>
    <t>εκ χειρος του δαβιδ</t>
  </si>
  <si>
    <t>παρητε δαδ</t>
  </si>
  <si>
    <r>
      <t>πασας τας ημερας</t>
    </r>
    <r>
      <rPr>
        <b/>
        <sz val="11"/>
        <color theme="1"/>
        <rFont val="Calibri"/>
        <family val="2"/>
        <scheme val="minor"/>
      </rPr>
      <t xml:space="preserve"> ας</t>
    </r>
    <r>
      <rPr>
        <sz val="11"/>
        <color theme="1"/>
        <rFont val="Calibri"/>
        <family val="2"/>
        <scheme val="minor"/>
      </rPr>
      <t xml:space="preserve"> ο υιος ιεσσαι ζη επι της γης</t>
    </r>
  </si>
  <si>
    <t>πασας τας ημερας ζη υιος ιεσσα[ι] επι της γης</t>
  </si>
  <si>
    <t>αρτον οτι εθραυσθη</t>
  </si>
  <si>
    <t>αρτον και οτι εθραυσθη</t>
  </si>
  <si>
    <t>ειπεν αυτω τι οτι</t>
  </si>
  <si>
    <t>ειπεν αυτω ο τι οτι</t>
  </si>
  <si>
    <t>και νυν ει εισιν</t>
  </si>
  <si>
    <t>5:5</t>
  </si>
  <si>
    <t>συνκεισθαι παντες υμεις</t>
  </si>
  <si>
    <t>συγκεισθε παντες υμεις</t>
  </si>
  <si>
    <t>AC:BD</t>
  </si>
  <si>
    <t>10:3</t>
  </si>
  <si>
    <t>19:3</t>
  </si>
  <si>
    <t>skipped 2 lines; visual cues present; freq = γολιαθ</t>
  </si>
  <si>
    <t>ιερεις κυριου</t>
  </si>
  <si>
    <t>freq = τε</t>
  </si>
  <si>
    <t>10:6</t>
  </si>
  <si>
    <t>skipped 5 lines (177r.2.34-39; visual cues present); freq = σπηλαιον</t>
  </si>
  <si>
    <t>του ιματιου σου και</t>
  </si>
  <si>
    <t>του ιματιου και</t>
  </si>
  <si>
    <t>σου βασιλεα</t>
  </si>
  <si>
    <t>σου η βασιλεα</t>
  </si>
  <si>
    <t>δουλη σου τω κυριω μου  (28) αρον δη</t>
  </si>
  <si>
    <t>δουλη σου τω κυριω μου λαβε και δωσεις τοις παιδαριοις τοις παρεστηκοσιν τω κω μου (28) αρον δη</t>
  </si>
  <si>
    <t>7</t>
  </si>
  <si>
    <t>freq = παριστημι</t>
  </si>
  <si>
    <r>
      <rPr>
        <b/>
        <sz val="11"/>
        <color theme="1"/>
        <rFont val="Calibri"/>
        <family val="2"/>
        <scheme val="minor"/>
      </rPr>
      <t>ενωπιτον</t>
    </r>
    <r>
      <rPr>
        <sz val="11"/>
        <color theme="1"/>
        <rFont val="Calibri"/>
        <family val="2"/>
        <scheme val="minor"/>
      </rPr>
      <t xml:space="preserve"> σου</t>
    </r>
  </si>
  <si>
    <r>
      <rPr>
        <b/>
        <sz val="11"/>
        <color theme="1"/>
        <rFont val="Calibri"/>
        <family val="2"/>
        <scheme val="minor"/>
      </rPr>
      <t>εν</t>
    </r>
    <r>
      <rPr>
        <sz val="11"/>
        <color theme="1"/>
        <rFont val="Calibri"/>
        <family val="2"/>
        <scheme val="minor"/>
      </rPr>
      <t xml:space="preserve"> σοι</t>
    </r>
  </si>
  <si>
    <r>
      <t xml:space="preserve">εν </t>
    </r>
    <r>
      <rPr>
        <b/>
        <sz val="11"/>
        <color theme="1"/>
        <rFont val="Calibri"/>
        <family val="2"/>
        <scheme val="minor"/>
      </rPr>
      <t>σοι</t>
    </r>
  </si>
  <si>
    <r>
      <t xml:space="preserve">ενωπιτον </t>
    </r>
    <r>
      <rPr>
        <b/>
        <sz val="11"/>
        <color theme="1"/>
        <rFont val="Calibri"/>
        <family val="2"/>
        <scheme val="minor"/>
      </rPr>
      <t>σου</t>
    </r>
  </si>
  <si>
    <t>και ψυχην των εχθρων</t>
  </si>
  <si>
    <t>και την ψυχην των εχθρων</t>
  </si>
  <si>
    <t>εν ταυτη μη ελθειν</t>
  </si>
  <si>
    <t>εν ταυτη του μη ελθειν</t>
  </si>
  <si>
    <t>αυχμωδους προς προς τον σαουλ</t>
  </si>
  <si>
    <t>αυχμωδους προς τον σαουλ</t>
  </si>
  <si>
    <t>εξελοιτο</t>
  </si>
  <si>
    <t>ο-ω;ω-ο</t>
  </si>
  <si>
    <r>
      <t>τον γεσερει και</t>
    </r>
    <r>
      <rPr>
        <b/>
        <sz val="11"/>
        <color theme="1"/>
        <rFont val="Calibri"/>
        <family val="2"/>
        <scheme val="minor"/>
      </rPr>
      <t xml:space="preserve"> τον γεζραιον</t>
    </r>
    <r>
      <rPr>
        <sz val="11"/>
        <color theme="1"/>
        <rFont val="Calibri"/>
        <family val="2"/>
        <scheme val="minor"/>
      </rPr>
      <t xml:space="preserve"> </t>
    </r>
    <r>
      <rPr>
        <b/>
        <sz val="11"/>
        <color theme="1"/>
        <rFont val="Calibri"/>
        <family val="2"/>
        <scheme val="minor"/>
      </rPr>
      <t>και</t>
    </r>
    <r>
      <rPr>
        <sz val="11"/>
        <color theme="1"/>
        <rFont val="Calibri"/>
        <family val="2"/>
        <scheme val="minor"/>
      </rPr>
      <t xml:space="preserve"> επι</t>
    </r>
  </si>
  <si>
    <t>9:9</t>
  </si>
  <si>
    <t>freq = γεσιρι + γεσουρι</t>
  </si>
  <si>
    <t>εζωογονει</t>
  </si>
  <si>
    <t>ω-ο;ο-ω</t>
  </si>
  <si>
    <t>αυτη και ειπεν οι παιδες</t>
  </si>
  <si>
    <t>αυτη και ειπον οι παιδες</t>
  </si>
  <si>
    <t>φωνη μεγαλην</t>
  </si>
  <si>
    <t>φωνη μεγαλη</t>
  </si>
  <si>
    <t>omits 2 lines (180r.2.9-11; visual cues present); freq = ορθριος</t>
  </si>
  <si>
    <t>6:6</t>
  </si>
  <si>
    <t>8:8</t>
  </si>
  <si>
    <t>12:6</t>
  </si>
  <si>
    <t>movable nu was left off of επαταξεν; freq = σικελαγ</t>
  </si>
  <si>
    <t>εφυγεν οι ανδρες</t>
  </si>
  <si>
    <t>εφυγον οι ανδρες</t>
  </si>
  <si>
    <r>
      <t xml:space="preserve">αποκεντησουσιν </t>
    </r>
    <r>
      <rPr>
        <b/>
        <sz val="11"/>
        <color theme="1"/>
        <rFont val="Calibri"/>
        <family val="2"/>
        <scheme val="minor"/>
      </rPr>
      <t>με</t>
    </r>
    <r>
      <rPr>
        <sz val="11"/>
        <color theme="1"/>
        <rFont val="Calibri"/>
        <family val="2"/>
        <scheme val="minor"/>
      </rPr>
      <t xml:space="preserve"> και εμπεξωσιν </t>
    </r>
  </si>
  <si>
    <r>
      <t xml:space="preserve">αποκεντησωσιν </t>
    </r>
    <r>
      <rPr>
        <b/>
        <sz val="11"/>
        <color theme="1"/>
        <rFont val="Calibri"/>
        <family val="2"/>
        <scheme val="minor"/>
      </rPr>
      <t>μη</t>
    </r>
    <r>
      <rPr>
        <sz val="11"/>
        <color theme="1"/>
        <rFont val="Calibri"/>
        <family val="2"/>
        <scheme val="minor"/>
      </rPr>
      <t xml:space="preserve"> και εμπαιξωσιν</t>
    </r>
  </si>
  <si>
    <r>
      <t xml:space="preserve">αποκεντησωσιν μη και </t>
    </r>
    <r>
      <rPr>
        <b/>
        <sz val="11"/>
        <color theme="1"/>
        <rFont val="Calibri"/>
        <family val="2"/>
        <scheme val="minor"/>
      </rPr>
      <t>εμπαιξωσιν</t>
    </r>
  </si>
  <si>
    <r>
      <t xml:space="preserve">αποκεντησουσιν με και </t>
    </r>
    <r>
      <rPr>
        <b/>
        <sz val="11"/>
        <color theme="1"/>
        <rFont val="Calibri"/>
        <family val="2"/>
        <scheme val="minor"/>
      </rPr>
      <t>εμπεξωσιν</t>
    </r>
    <r>
      <rPr>
        <sz val="11"/>
        <color theme="1"/>
        <rFont val="Calibri"/>
        <family val="2"/>
        <scheme val="minor"/>
      </rPr>
      <t xml:space="preserve"> </t>
    </r>
  </si>
  <si>
    <t>ολην την νυκτα</t>
  </si>
  <si>
    <t>ει-ι;αι-ε</t>
  </si>
  <si>
    <t>freq =ειμι - οιδα</t>
  </si>
  <si>
    <t>freq = ιεβοσθε</t>
  </si>
  <si>
    <t>(24) ειρηνη (25) ουκ οιδας</t>
  </si>
  <si>
    <t>(24) ειρηνη (25) ου ουκ οιδας</t>
  </si>
  <si>
    <t>κρατων σκυταλη</t>
  </si>
  <si>
    <t>κρατων σκυταλης</t>
  </si>
  <si>
    <t>3:21</t>
  </si>
  <si>
    <t>skipped one line (184v.1.39; visual cues present); freq = κεφαλη</t>
  </si>
  <si>
    <t>freq = ιουδα</t>
  </si>
  <si>
    <t>7:3</t>
  </si>
  <si>
    <t>skipped two lines (186r.1.18-19; visual cues present); freq = εξολεθρευω</t>
  </si>
  <si>
    <r>
      <t xml:space="preserve">εγενετο </t>
    </r>
    <r>
      <rPr>
        <b/>
        <sz val="11"/>
        <color theme="1"/>
        <rFont val="Calibri"/>
        <family val="2"/>
        <scheme val="minor"/>
      </rPr>
      <t>εις</t>
    </r>
    <r>
      <rPr>
        <sz val="11"/>
        <color theme="1"/>
        <rFont val="Calibri"/>
        <family val="2"/>
        <scheme val="minor"/>
      </rPr>
      <t xml:space="preserve"> δυο σχοινισματα</t>
    </r>
  </si>
  <si>
    <t>τω αδρααζαρ βασιλεια σουβα</t>
  </si>
  <si>
    <t>τω αδρααζαρ βασιλει σουβα</t>
  </si>
  <si>
    <t>εκ των εκλεκτων πολεων του αδρααζαρ</t>
  </si>
  <si>
    <t>εκ των πολεων εκλεκτων πολεων του αδρααζαρ</t>
  </si>
  <si>
    <t>επαταξεν τον αδρααζαρ και εν ταις χερσιν</t>
  </si>
  <si>
    <t>12:3</t>
  </si>
  <si>
    <t>freq = αντικειμαι</t>
  </si>
  <si>
    <t>7522A firsthand = οικω τω κυριω σου, corrected to υιω του κυριου σου</t>
  </si>
  <si>
    <r>
      <t xml:space="preserve">εποιησεν ο πατου μετ </t>
    </r>
    <r>
      <rPr>
        <b/>
        <sz val="11"/>
        <color theme="1"/>
        <rFont val="Calibri"/>
        <family val="2"/>
        <scheme val="minor"/>
      </rPr>
      <t>εμου</t>
    </r>
    <r>
      <rPr>
        <sz val="11"/>
        <color theme="1"/>
        <rFont val="Calibri"/>
        <family val="2"/>
        <scheme val="minor"/>
      </rPr>
      <t xml:space="preserve"> ελεος</t>
    </r>
  </si>
  <si>
    <t>9:3</t>
  </si>
  <si>
    <t>skipped 1 line (187r.2.41; visual cues present); freq = ιστωβ</t>
  </si>
  <si>
    <t>skipped 1 line (187v.2.11; visual cues present); freq = εισερχομαι</t>
  </si>
  <si>
    <t>10</t>
  </si>
  <si>
    <t>(9) κατεβη εις τον οικον αυτου (10) και ανηγγειλαν τω δαδ λεγοντες οτι ου κατεβη ουριας εις τον οικον αυτου και ειπεν δαδ</t>
  </si>
  <si>
    <t>16:3</t>
  </si>
  <si>
    <t>skipped 2 lines (187v.2.34-36; visual cues present); freq = ουριας</t>
  </si>
  <si>
    <t>freq = ιεροβααλ - ιεροβοαμ</t>
  </si>
  <si>
    <t>καταφαγετε η μαχαιρα</t>
  </si>
  <si>
    <t>καταφαγεται η μαχαιρα</t>
  </si>
  <si>
    <t>freq = εικοσι</t>
  </si>
  <si>
    <r>
      <t xml:space="preserve">και </t>
    </r>
    <r>
      <rPr>
        <b/>
        <sz val="11"/>
        <color theme="1"/>
        <rFont val="Calibri"/>
        <family val="2"/>
        <scheme val="minor"/>
      </rPr>
      <t xml:space="preserve">ει </t>
    </r>
    <r>
      <rPr>
        <sz val="11"/>
        <color theme="1"/>
        <rFont val="Calibri"/>
        <family val="2"/>
        <scheme val="minor"/>
      </rPr>
      <t>μικρον εστιν προσθησω</t>
    </r>
  </si>
  <si>
    <t>και σμικρον εστιν και προσθησω</t>
  </si>
  <si>
    <r>
      <t>και ει</t>
    </r>
    <r>
      <rPr>
        <b/>
        <sz val="11"/>
        <color theme="1"/>
        <rFont val="Calibri"/>
        <family val="2"/>
        <scheme val="minor"/>
      </rPr>
      <t xml:space="preserve"> μικρον</t>
    </r>
    <r>
      <rPr>
        <sz val="11"/>
        <color theme="1"/>
        <rFont val="Calibri"/>
        <family val="2"/>
        <scheme val="minor"/>
      </rPr>
      <t xml:space="preserve"> εστιν προσθησω</t>
    </r>
  </si>
  <si>
    <r>
      <t xml:space="preserve">του ποιησαι </t>
    </r>
    <r>
      <rPr>
        <b/>
        <sz val="11"/>
        <color theme="1"/>
        <rFont val="Calibri"/>
        <family val="2"/>
        <scheme val="minor"/>
      </rPr>
      <t>αυτη</t>
    </r>
    <r>
      <rPr>
        <sz val="11"/>
        <color theme="1"/>
        <rFont val="Calibri"/>
        <family val="2"/>
        <scheme val="minor"/>
      </rPr>
      <t xml:space="preserve"> τι (3) και ην</t>
    </r>
  </si>
  <si>
    <r>
      <t xml:space="preserve">του ποιησαι </t>
    </r>
    <r>
      <rPr>
        <b/>
        <sz val="11"/>
        <color theme="1"/>
        <rFont val="Calibri"/>
        <family val="2"/>
        <scheme val="minor"/>
      </rPr>
      <t>αυτην</t>
    </r>
    <r>
      <rPr>
        <sz val="11"/>
        <color theme="1"/>
        <rFont val="Calibri"/>
        <family val="2"/>
        <scheme val="minor"/>
      </rPr>
      <t xml:space="preserve"> (3) και ην</t>
    </r>
  </si>
  <si>
    <r>
      <t xml:space="preserve">του ποιησαι αυτη </t>
    </r>
    <r>
      <rPr>
        <b/>
        <sz val="11"/>
        <color theme="1"/>
        <rFont val="Calibri"/>
        <family val="2"/>
        <scheme val="minor"/>
      </rPr>
      <t>τι</t>
    </r>
    <r>
      <rPr>
        <sz val="11"/>
        <color theme="1"/>
        <rFont val="Calibri"/>
        <family val="2"/>
        <scheme val="minor"/>
      </rPr>
      <t xml:space="preserve"> (3) και ην</t>
    </r>
  </si>
  <si>
    <t>ει-ι; ι-ει</t>
  </si>
  <si>
    <r>
      <t xml:space="preserve">αδελφου δαδ μη </t>
    </r>
    <r>
      <rPr>
        <b/>
        <sz val="11"/>
        <color theme="1"/>
        <rFont val="Calibri"/>
        <family val="2"/>
        <scheme val="minor"/>
      </rPr>
      <t>ειπως</t>
    </r>
    <r>
      <rPr>
        <sz val="11"/>
        <color theme="1"/>
        <rFont val="Calibri"/>
        <family val="2"/>
        <scheme val="minor"/>
      </rPr>
      <t xml:space="preserve"> κυριος μου</t>
    </r>
  </si>
  <si>
    <r>
      <t xml:space="preserve">αδελφου δαβιδ μη </t>
    </r>
    <r>
      <rPr>
        <b/>
        <sz val="11"/>
        <color theme="1"/>
        <rFont val="Calibri"/>
        <family val="2"/>
        <scheme val="minor"/>
      </rPr>
      <t>ειπω</t>
    </r>
    <r>
      <rPr>
        <sz val="11"/>
        <color theme="1"/>
        <rFont val="Calibri"/>
        <family val="2"/>
        <scheme val="minor"/>
      </rPr>
      <t xml:space="preserve"> ο κυριος μου</t>
    </r>
  </si>
  <si>
    <r>
      <t xml:space="preserve">αδελφου δαβιδ μη ειπω </t>
    </r>
    <r>
      <rPr>
        <b/>
        <sz val="11"/>
        <color theme="1"/>
        <rFont val="Calibri"/>
        <family val="2"/>
        <scheme val="minor"/>
      </rPr>
      <t>ο</t>
    </r>
    <r>
      <rPr>
        <sz val="11"/>
        <color theme="1"/>
        <rFont val="Calibri"/>
        <family val="2"/>
        <scheme val="minor"/>
      </rPr>
      <t xml:space="preserve"> κυριος μου</t>
    </r>
  </si>
  <si>
    <t>εκ πλευρου</t>
  </si>
  <si>
    <t>εκ πλευραις</t>
  </si>
  <si>
    <t>η-ι</t>
  </si>
  <si>
    <r>
      <t xml:space="preserve">εαν </t>
    </r>
    <r>
      <rPr>
        <b/>
        <sz val="11"/>
        <color theme="1"/>
        <rFont val="Calibri"/>
        <family val="2"/>
        <scheme val="minor"/>
      </rPr>
      <t>επιστρεφων</t>
    </r>
    <r>
      <rPr>
        <sz val="11"/>
        <color theme="1"/>
        <rFont val="Calibri"/>
        <family val="2"/>
        <scheme val="minor"/>
      </rPr>
      <t xml:space="preserve"> επιστρεψει με</t>
    </r>
  </si>
  <si>
    <r>
      <t xml:space="preserve">εαν </t>
    </r>
    <r>
      <rPr>
        <b/>
        <sz val="11"/>
        <color theme="1"/>
        <rFont val="Calibri"/>
        <family val="2"/>
        <scheme val="minor"/>
      </rPr>
      <t>επιστρεψη</t>
    </r>
    <r>
      <rPr>
        <sz val="11"/>
        <color theme="1"/>
        <rFont val="Calibri"/>
        <family val="2"/>
        <scheme val="minor"/>
      </rPr>
      <t xml:space="preserve"> επιστρεψη με</t>
    </r>
  </si>
  <si>
    <r>
      <t xml:space="preserve">εαν επιστρεφων </t>
    </r>
    <r>
      <rPr>
        <b/>
        <sz val="11"/>
        <color theme="1"/>
        <rFont val="Calibri"/>
        <family val="2"/>
        <scheme val="minor"/>
      </rPr>
      <t>επιστρεψει</t>
    </r>
    <r>
      <rPr>
        <sz val="11"/>
        <color theme="1"/>
        <rFont val="Calibri"/>
        <family val="2"/>
        <scheme val="minor"/>
      </rPr>
      <t xml:space="preserve"> με</t>
    </r>
  </si>
  <si>
    <r>
      <t xml:space="preserve">εαν επιστρεψη </t>
    </r>
    <r>
      <rPr>
        <b/>
        <sz val="11"/>
        <color theme="1"/>
        <rFont val="Calibri"/>
        <family val="2"/>
        <scheme val="minor"/>
      </rPr>
      <t>επιστρεψη</t>
    </r>
    <r>
      <rPr>
        <sz val="11"/>
        <color theme="1"/>
        <rFont val="Calibri"/>
        <family val="2"/>
        <scheme val="minor"/>
      </rPr>
      <t xml:space="preserve"> με</t>
    </r>
  </si>
  <si>
    <t>αρχει εταιρος</t>
  </si>
  <si>
    <t>freq = τίς - προσετι</t>
  </si>
  <si>
    <t>ειεμενει αφετε αυτων καταρασθω</t>
  </si>
  <si>
    <r>
      <t xml:space="preserve">ιεμινει </t>
    </r>
    <r>
      <rPr>
        <b/>
        <sz val="11"/>
        <color theme="1"/>
        <rFont val="Calibri"/>
        <family val="2"/>
        <scheme val="minor"/>
      </rPr>
      <t>και</t>
    </r>
    <r>
      <rPr>
        <sz val="11"/>
        <color theme="1"/>
        <rFont val="Calibri"/>
        <family val="2"/>
        <scheme val="minor"/>
      </rPr>
      <t xml:space="preserve"> φετε αυτων καταρασθω</t>
    </r>
  </si>
  <si>
    <r>
      <t>ιεμινει και</t>
    </r>
    <r>
      <rPr>
        <b/>
        <sz val="11"/>
        <color theme="1"/>
        <rFont val="Calibri"/>
        <family val="2"/>
        <scheme val="minor"/>
      </rPr>
      <t xml:space="preserve"> φετε</t>
    </r>
    <r>
      <rPr>
        <sz val="11"/>
        <color theme="1"/>
        <rFont val="Calibri"/>
        <family val="2"/>
        <scheme val="minor"/>
      </rPr>
      <t xml:space="preserve"> αυτων καταρασθω</t>
    </r>
  </si>
  <si>
    <t>και αυτος κοπων</t>
  </si>
  <si>
    <t>ο-ω;αι-ε</t>
  </si>
  <si>
    <t>μετ υμων</t>
  </si>
  <si>
    <t>επι του ημιονου αυτου</t>
  </si>
  <si>
    <t>επι του ημιονος αυτου</t>
  </si>
  <si>
    <t>εκρεμασθη η κεφαλη</t>
  </si>
  <si>
    <t>εκρεμασεν η κεφαλη</t>
  </si>
  <si>
    <r>
      <t xml:space="preserve">και ειπεν </t>
    </r>
    <r>
      <rPr>
        <b/>
        <sz val="11"/>
        <color theme="1"/>
        <rFont val="Calibri"/>
        <family val="2"/>
        <scheme val="minor"/>
      </rPr>
      <t>ο</t>
    </r>
    <r>
      <rPr>
        <sz val="11"/>
        <color theme="1"/>
        <rFont val="Calibri"/>
        <family val="2"/>
        <scheme val="minor"/>
      </rPr>
      <t xml:space="preserve"> βασιλευς ειδον</t>
    </r>
  </si>
  <si>
    <r>
      <t xml:space="preserve">και ειπεν </t>
    </r>
    <r>
      <rPr>
        <b/>
        <sz val="11"/>
        <color theme="1"/>
        <rFont val="Calibri"/>
        <family val="2"/>
        <scheme val="minor"/>
      </rPr>
      <t>αχιμαας</t>
    </r>
    <r>
      <rPr>
        <sz val="11"/>
        <color theme="1"/>
        <rFont val="Calibri"/>
        <family val="2"/>
        <scheme val="minor"/>
      </rPr>
      <t xml:space="preserve"> ειδον</t>
    </r>
  </si>
  <si>
    <r>
      <t xml:space="preserve">και ειπεν ο </t>
    </r>
    <r>
      <rPr>
        <b/>
        <sz val="11"/>
        <color theme="1"/>
        <rFont val="Calibri"/>
        <family val="2"/>
        <scheme val="minor"/>
      </rPr>
      <t>βασιλευς</t>
    </r>
    <r>
      <rPr>
        <sz val="11"/>
        <color theme="1"/>
        <rFont val="Calibri"/>
        <family val="2"/>
        <scheme val="minor"/>
      </rPr>
      <t xml:space="preserve"> ειδον</t>
    </r>
  </si>
  <si>
    <r>
      <t xml:space="preserve">και </t>
    </r>
    <r>
      <rPr>
        <b/>
        <sz val="11"/>
        <color theme="1"/>
        <rFont val="Calibri"/>
        <family val="2"/>
        <scheme val="minor"/>
      </rPr>
      <t>απεκριθη</t>
    </r>
    <r>
      <rPr>
        <sz val="11"/>
        <color theme="1"/>
        <rFont val="Calibri"/>
        <family val="2"/>
        <scheme val="minor"/>
      </rPr>
      <t xml:space="preserve"> πας ανηρ</t>
    </r>
  </si>
  <si>
    <r>
      <t xml:space="preserve">και </t>
    </r>
    <r>
      <rPr>
        <b/>
        <sz val="11"/>
        <color theme="1"/>
        <rFont val="Calibri"/>
        <family val="2"/>
        <scheme val="minor"/>
      </rPr>
      <t>απεκριθησαν</t>
    </r>
    <r>
      <rPr>
        <sz val="11"/>
        <color theme="1"/>
        <rFont val="Calibri"/>
        <family val="2"/>
        <scheme val="minor"/>
      </rPr>
      <t xml:space="preserve"> οι πας ανηρ</t>
    </r>
  </si>
  <si>
    <r>
      <t xml:space="preserve">και απεκριθησαν </t>
    </r>
    <r>
      <rPr>
        <b/>
        <sz val="11"/>
        <color theme="1"/>
        <rFont val="Calibri"/>
        <family val="2"/>
        <scheme val="minor"/>
      </rPr>
      <t>οι</t>
    </r>
    <r>
      <rPr>
        <sz val="11"/>
        <color theme="1"/>
        <rFont val="Calibri"/>
        <family val="2"/>
        <scheme val="minor"/>
      </rPr>
      <t xml:space="preserve"> πας ανηρ</t>
    </r>
  </si>
  <si>
    <t>περι του λογου τουτου</t>
  </si>
  <si>
    <t>περι του λογου τουτω</t>
  </si>
  <si>
    <t>ανα μεσον δαδ και ανα μεσον ιωναθαν</t>
  </si>
  <si>
    <r>
      <t xml:space="preserve">ανα μεσον </t>
    </r>
    <r>
      <rPr>
        <b/>
        <sz val="11"/>
        <color theme="1"/>
        <rFont val="Calibri"/>
        <family val="2"/>
        <scheme val="minor"/>
      </rPr>
      <t>δαδ</t>
    </r>
    <r>
      <rPr>
        <sz val="11"/>
        <color theme="1"/>
        <rFont val="Calibri"/>
        <family val="2"/>
        <scheme val="minor"/>
      </rPr>
      <t xml:space="preserve"> και ανα μεσον ιωναθαν</t>
    </r>
  </si>
  <si>
    <r>
      <t xml:space="preserve">αναμεσον </t>
    </r>
    <r>
      <rPr>
        <b/>
        <sz val="11"/>
        <color theme="1"/>
        <rFont val="Calibri"/>
        <family val="2"/>
        <scheme val="minor"/>
      </rPr>
      <t>ιωναθαν</t>
    </r>
    <r>
      <rPr>
        <sz val="11"/>
        <color theme="1"/>
        <rFont val="Calibri"/>
        <family val="2"/>
        <scheme val="minor"/>
      </rPr>
      <t xml:space="preserve"> και αναμεσον δ ιωννθαν</t>
    </r>
  </si>
  <si>
    <r>
      <t xml:space="preserve">αναμεσον ιωναθαν και αναμεσον </t>
    </r>
    <r>
      <rPr>
        <b/>
        <sz val="11"/>
        <color theme="1"/>
        <rFont val="Calibri"/>
        <family val="2"/>
        <scheme val="minor"/>
      </rPr>
      <t>δ</t>
    </r>
    <r>
      <rPr>
        <sz val="11"/>
        <color theme="1"/>
        <rFont val="Calibri"/>
        <family val="2"/>
        <scheme val="minor"/>
      </rPr>
      <t xml:space="preserve"> ιωννθαν</t>
    </r>
  </si>
  <si>
    <r>
      <t xml:space="preserve">αυτοι </t>
    </r>
    <r>
      <rPr>
        <b/>
        <sz val="11"/>
        <color theme="1"/>
        <rFont val="Calibri"/>
        <family val="2"/>
        <scheme val="minor"/>
      </rPr>
      <t>δε</t>
    </r>
    <r>
      <rPr>
        <sz val="11"/>
        <color theme="1"/>
        <rFont val="Calibri"/>
        <family val="2"/>
        <scheme val="minor"/>
      </rPr>
      <t xml:space="preserve"> εθανατωθησαν εν ημεραις</t>
    </r>
  </si>
  <si>
    <r>
      <t xml:space="preserve">αυτοι δε </t>
    </r>
    <r>
      <rPr>
        <b/>
        <sz val="11"/>
        <color theme="1"/>
        <rFont val="Calibri"/>
        <family val="2"/>
        <scheme val="minor"/>
      </rPr>
      <t>εθανατωθησαν</t>
    </r>
    <r>
      <rPr>
        <sz val="11"/>
        <color theme="1"/>
        <rFont val="Calibri"/>
        <family val="2"/>
        <scheme val="minor"/>
      </rPr>
      <t xml:space="preserve"> εν ημεραις</t>
    </r>
  </si>
  <si>
    <r>
      <t xml:space="preserve">αυτοι </t>
    </r>
    <r>
      <rPr>
        <b/>
        <sz val="11"/>
        <color theme="1"/>
        <rFont val="Calibri"/>
        <family val="2"/>
        <scheme val="minor"/>
      </rPr>
      <t>απεθανατωθησαν</t>
    </r>
    <r>
      <rPr>
        <sz val="11"/>
        <color theme="1"/>
        <rFont val="Calibri"/>
        <family val="2"/>
        <scheme val="minor"/>
      </rPr>
      <t xml:space="preserve"> εν ημεραις</t>
    </r>
  </si>
  <si>
    <t>freq = ιεσβιεννος - νοβ</t>
  </si>
  <si>
    <t>freq = παις</t>
  </si>
  <si>
    <t>36:36</t>
  </si>
  <si>
    <r>
      <t xml:space="preserve">(50) κερατων του θυσιαστηριου (51) και ανηγγελη τω σαλωμων λεγοντες ιδου αδωνιας εφοβηθη τον βασιλεα σαλωμων και κατεχει των κερατων του θυσιαστηριου </t>
    </r>
    <r>
      <rPr>
        <b/>
        <sz val="11"/>
        <color theme="1"/>
        <rFont val="Calibri"/>
        <family val="2"/>
        <scheme val="minor"/>
      </rPr>
      <t>και ανηγγελη τω σαλωμων λεγοντες ιδου αδωνιας εφοβηθη τον βασιλεα σαλωμων και κατεχει των κερατων του θυσιαστηριου</t>
    </r>
    <r>
      <rPr>
        <sz val="11"/>
        <color theme="1"/>
        <rFont val="Calibri"/>
        <family val="2"/>
        <scheme val="minor"/>
      </rPr>
      <t xml:space="preserve"> λεγων ομοσατω </t>
    </r>
  </si>
  <si>
    <t>98:98</t>
  </si>
  <si>
    <r>
      <t xml:space="preserve">υιος </t>
    </r>
    <r>
      <rPr>
        <b/>
        <sz val="11"/>
        <color theme="1"/>
        <rFont val="Calibri"/>
        <family val="2"/>
        <scheme val="minor"/>
      </rPr>
      <t>αρουιας</t>
    </r>
  </si>
  <si>
    <r>
      <t xml:space="preserve">υιος </t>
    </r>
    <r>
      <rPr>
        <b/>
        <sz val="11"/>
        <color theme="1"/>
        <rFont val="Calibri"/>
        <family val="2"/>
        <scheme val="minor"/>
      </rPr>
      <t>σαρουιας</t>
    </r>
  </si>
  <si>
    <t>γινωσκων γννση οτι</t>
  </si>
  <si>
    <r>
      <t xml:space="preserve">ελαλησεν ο </t>
    </r>
    <r>
      <rPr>
        <b/>
        <sz val="11"/>
        <color theme="1"/>
        <rFont val="Calibri"/>
        <family val="2"/>
        <scheme val="minor"/>
      </rPr>
      <t>κυριος</t>
    </r>
    <r>
      <rPr>
        <sz val="11"/>
        <color theme="1"/>
        <rFont val="Calibri"/>
        <family val="2"/>
        <scheme val="minor"/>
      </rPr>
      <t xml:space="preserve"> μου </t>
    </r>
    <r>
      <rPr>
        <b/>
        <sz val="11"/>
        <color theme="1"/>
        <rFont val="Calibri"/>
        <family val="2"/>
        <scheme val="minor"/>
      </rPr>
      <t>βασιλευς</t>
    </r>
    <r>
      <rPr>
        <sz val="11"/>
        <color theme="1"/>
        <rFont val="Calibri"/>
        <family val="2"/>
        <scheme val="minor"/>
      </rPr>
      <t xml:space="preserve"> </t>
    </r>
  </si>
  <si>
    <r>
      <t xml:space="preserve">ελαλησας </t>
    </r>
    <r>
      <rPr>
        <b/>
        <sz val="11"/>
        <color theme="1"/>
        <rFont val="Calibri"/>
        <family val="2"/>
        <scheme val="minor"/>
      </rPr>
      <t>κε</t>
    </r>
    <r>
      <rPr>
        <sz val="11"/>
        <color theme="1"/>
        <rFont val="Calibri"/>
        <family val="2"/>
        <scheme val="minor"/>
      </rPr>
      <t xml:space="preserve"> μου </t>
    </r>
    <r>
      <rPr>
        <b/>
        <sz val="11"/>
        <color theme="1"/>
        <rFont val="Calibri"/>
        <family val="2"/>
        <scheme val="minor"/>
      </rPr>
      <t>βασιλευ</t>
    </r>
  </si>
  <si>
    <t>AB:AC:BD:CD</t>
  </si>
  <si>
    <t>3:3:3:3</t>
  </si>
  <si>
    <t>AC:CD</t>
  </si>
  <si>
    <t>3:5</t>
  </si>
  <si>
    <t>freq = αυ</t>
  </si>
  <si>
    <r>
      <t xml:space="preserve">ωμιδος του οικου </t>
    </r>
    <r>
      <rPr>
        <b/>
        <sz val="11"/>
        <color theme="1"/>
        <rFont val="Calibri"/>
        <family val="2"/>
        <scheme val="minor"/>
      </rPr>
      <t>εκ</t>
    </r>
    <r>
      <rPr>
        <sz val="11"/>
        <color theme="1"/>
        <rFont val="Calibri"/>
        <family val="2"/>
        <scheme val="minor"/>
      </rPr>
      <t xml:space="preserve"> δεξιων</t>
    </r>
  </si>
  <si>
    <r>
      <t xml:space="preserve">ωμιδος του οικου </t>
    </r>
    <r>
      <rPr>
        <b/>
        <sz val="11"/>
        <color theme="1"/>
        <rFont val="Calibri"/>
        <family val="2"/>
        <scheme val="minor"/>
      </rPr>
      <t>εξ</t>
    </r>
    <r>
      <rPr>
        <sz val="11"/>
        <color theme="1"/>
        <rFont val="Calibri"/>
        <family val="2"/>
        <scheme val="minor"/>
      </rPr>
      <t xml:space="preserve"> αριστερων δεξιων</t>
    </r>
  </si>
  <si>
    <r>
      <t xml:space="preserve">ωμιδος του οικου εξ </t>
    </r>
    <r>
      <rPr>
        <b/>
        <sz val="11"/>
        <color theme="1"/>
        <rFont val="Calibri"/>
        <family val="2"/>
        <scheme val="minor"/>
      </rPr>
      <t>αριστερων</t>
    </r>
    <r>
      <rPr>
        <sz val="11"/>
        <color theme="1"/>
        <rFont val="Calibri"/>
        <family val="2"/>
        <scheme val="minor"/>
      </rPr>
      <t xml:space="preserve"> δεξιων</t>
    </r>
  </si>
  <si>
    <t>τας θερμαστρις</t>
  </si>
  <si>
    <t>τας θερμας τρεις</t>
  </si>
  <si>
    <t>τα χερουβειν διαπεπετασμενα</t>
  </si>
  <si>
    <t>τα χερουβειν διαπεπετασμεναν</t>
  </si>
  <si>
    <t>AB</t>
  </si>
  <si>
    <t>14</t>
  </si>
  <si>
    <t>note that there are technically 2 variants here: the duplication/addition and the scribe started to misspell επληρωσας (επη); freq = επειμι (επη)</t>
  </si>
  <si>
    <r>
      <t xml:space="preserve">(24) η ημερα αυτη (25) και νυν κε θς ιηλ </t>
    </r>
    <r>
      <rPr>
        <b/>
        <sz val="11"/>
        <color theme="1"/>
        <rFont val="Calibri"/>
        <family val="2"/>
        <scheme val="minor"/>
      </rPr>
      <t xml:space="preserve">φυλαξον τω δουλω σου δαδ τω πατρι μου α ελαλησας αυτω λεγων ουκ εξαρθησεται σου ανηρ εκ προσωπου μου καθημενος επι θρονου ισλ πλην εαν φυλαξωνται τα τεκνα σου τας οδους αυτων του πορευεσθαι ενωπιον μου καθως επορευθης ενωπιον μου </t>
    </r>
    <r>
      <rPr>
        <sz val="11"/>
        <color theme="1"/>
        <rFont val="Calibri"/>
        <family val="2"/>
        <scheme val="minor"/>
      </rPr>
      <t xml:space="preserve"> (26) </t>
    </r>
    <r>
      <rPr>
        <b/>
        <sz val="11"/>
        <color theme="1"/>
        <rFont val="Calibri"/>
        <family val="2"/>
        <scheme val="minor"/>
      </rPr>
      <t>και νυν κε ο θς ιηλ</t>
    </r>
    <r>
      <rPr>
        <sz val="11"/>
        <color theme="1"/>
        <rFont val="Calibri"/>
        <family val="2"/>
        <scheme val="minor"/>
      </rPr>
      <t xml:space="preserve"> πιστωθη</t>
    </r>
  </si>
  <si>
    <t>βρουχος ερυσιβη εαν γενηται</t>
  </si>
  <si>
    <t>βρουχος ερυσιβης εαν γενηται</t>
  </si>
  <si>
    <t>ως ημερα αυτη</t>
  </si>
  <si>
    <t>αποστραφηται υμεις</t>
  </si>
  <si>
    <t>αποστραφητε υμεις</t>
  </si>
  <si>
    <t>AB:AC:BC:BD</t>
  </si>
  <si>
    <t>36:36:3:3</t>
  </si>
  <si>
    <t>6</t>
  </si>
  <si>
    <r>
      <t xml:space="preserve">κυριον τη τον ισραηλ στησαι </t>
    </r>
    <r>
      <rPr>
        <b/>
        <sz val="11"/>
        <color theme="1"/>
        <rFont val="Calibri"/>
        <family val="2"/>
        <scheme val="minor"/>
      </rPr>
      <t>στησαι αυτον</t>
    </r>
    <r>
      <rPr>
        <sz val="11"/>
        <color theme="1"/>
        <rFont val="Calibri"/>
        <family val="2"/>
        <scheme val="minor"/>
      </rPr>
      <t xml:space="preserve"> εις τον αιωνα</t>
    </r>
  </si>
  <si>
    <r>
      <t xml:space="preserve">του </t>
    </r>
    <r>
      <rPr>
        <b/>
        <sz val="11"/>
        <color theme="1"/>
        <rFont val="Calibri"/>
        <family val="2"/>
        <scheme val="minor"/>
      </rPr>
      <t>ποιησαι</t>
    </r>
    <r>
      <rPr>
        <sz val="11"/>
        <color theme="1"/>
        <rFont val="Calibri"/>
        <family val="2"/>
        <scheme val="minor"/>
      </rPr>
      <t xml:space="preserve"> κριμα  δικαιωσυνην</t>
    </r>
  </si>
  <si>
    <t>πολεσιν αρματων</t>
  </si>
  <si>
    <r>
      <t xml:space="preserve">αυτω </t>
    </r>
    <r>
      <rPr>
        <b/>
        <sz val="11"/>
        <color theme="1"/>
        <rFont val="Calibri"/>
        <family val="2"/>
        <scheme val="minor"/>
      </rPr>
      <t>η</t>
    </r>
    <r>
      <rPr>
        <sz val="11"/>
        <color theme="1"/>
        <rFont val="Calibri"/>
        <family val="2"/>
        <scheme val="minor"/>
      </rPr>
      <t xml:space="preserve"> αδελφη</t>
    </r>
  </si>
  <si>
    <t>freq = βαινω</t>
  </si>
  <si>
    <t>υμεις βουλεσθαι</t>
  </si>
  <si>
    <t>υμεις βουλεσθε</t>
  </si>
  <si>
    <t>δυο δαμαλις</t>
  </si>
  <si>
    <t>δυο δαμαλεις</t>
  </si>
  <si>
    <t>ανηγαγον τε εκ γης</t>
  </si>
  <si>
    <r>
      <t xml:space="preserve">και εθαψαν αυτον </t>
    </r>
    <r>
      <rPr>
        <b/>
        <sz val="11"/>
        <color theme="1"/>
        <rFont val="Calibri"/>
        <family val="2"/>
        <scheme val="minor"/>
      </rPr>
      <t>και εκοψαντο αυτον</t>
    </r>
    <r>
      <rPr>
        <sz val="11"/>
        <color theme="1"/>
        <rFont val="Calibri"/>
        <family val="2"/>
        <scheme val="minor"/>
      </rPr>
      <t xml:space="preserve"> πας ισλ</t>
    </r>
  </si>
  <si>
    <t>και εθαψαν αυτον πας ισραηλ</t>
  </si>
  <si>
    <t>12:12</t>
  </si>
  <si>
    <t>οικον; freq = οικος - ος</t>
  </si>
  <si>
    <t>freq = γε</t>
  </si>
  <si>
    <t>εβδομω του ασα</t>
  </si>
  <si>
    <t>omits 2 lines (216r.1.31-32; visual cues present); freq = βααλ</t>
  </si>
  <si>
    <r>
      <t xml:space="preserve">(6) μονος </t>
    </r>
    <r>
      <rPr>
        <b/>
        <sz val="11"/>
        <color theme="1"/>
        <rFont val="Calibri"/>
        <family val="2"/>
        <scheme val="minor"/>
      </rPr>
      <t xml:space="preserve">ην  </t>
    </r>
    <r>
      <rPr>
        <sz val="11"/>
        <color theme="1"/>
        <rFont val="Calibri"/>
        <family val="2"/>
        <scheme val="minor"/>
      </rPr>
      <t>(7) και ην αββιου</t>
    </r>
  </si>
  <si>
    <t xml:space="preserve">θεος πορευεσθε </t>
  </si>
  <si>
    <r>
      <t xml:space="preserve">φωνη </t>
    </r>
    <r>
      <rPr>
        <b/>
        <sz val="11"/>
        <color theme="1"/>
        <rFont val="Calibri"/>
        <family val="2"/>
        <scheme val="minor"/>
      </rPr>
      <t>των</t>
    </r>
    <r>
      <rPr>
        <sz val="11"/>
        <color theme="1"/>
        <rFont val="Calibri"/>
        <family val="2"/>
        <scheme val="minor"/>
      </rPr>
      <t xml:space="preserve"> ποδων του υετου</t>
    </r>
  </si>
  <si>
    <r>
      <t xml:space="preserve">φωνη των </t>
    </r>
    <r>
      <rPr>
        <b/>
        <sz val="11"/>
        <color theme="1"/>
        <rFont val="Calibri"/>
        <family val="2"/>
        <scheme val="minor"/>
      </rPr>
      <t>ποδων</t>
    </r>
    <r>
      <rPr>
        <sz val="11"/>
        <color theme="1"/>
        <rFont val="Calibri"/>
        <family val="2"/>
        <scheme val="minor"/>
      </rPr>
      <t xml:space="preserve"> του υετου</t>
    </r>
  </si>
  <si>
    <r>
      <t xml:space="preserve">φωνη </t>
    </r>
    <r>
      <rPr>
        <b/>
        <sz val="11"/>
        <color theme="1"/>
        <rFont val="Calibri"/>
        <family val="2"/>
        <scheme val="minor"/>
      </rPr>
      <t>πολλων</t>
    </r>
    <r>
      <rPr>
        <sz val="11"/>
        <color theme="1"/>
        <rFont val="Calibri"/>
        <family val="2"/>
        <scheme val="minor"/>
      </rPr>
      <t xml:space="preserve"> του υετου</t>
    </r>
  </si>
  <si>
    <t>ι-ει; ε-αι</t>
  </si>
  <si>
    <r>
      <rPr>
        <b/>
        <sz val="11"/>
        <color theme="1"/>
        <rFont val="Calibri"/>
        <family val="2"/>
        <scheme val="minor"/>
      </rPr>
      <t>χρισεις</t>
    </r>
    <r>
      <rPr>
        <sz val="11"/>
        <color theme="1"/>
        <rFont val="Calibri"/>
        <family val="2"/>
        <scheme val="minor"/>
      </rPr>
      <t xml:space="preserve"> εις προφητην</t>
    </r>
  </si>
  <si>
    <r>
      <t xml:space="preserve">χρισεις </t>
    </r>
    <r>
      <rPr>
        <b/>
        <sz val="11"/>
        <color theme="1"/>
        <rFont val="Calibri"/>
        <family val="2"/>
        <scheme val="minor"/>
      </rPr>
      <t>εις</t>
    </r>
    <r>
      <rPr>
        <sz val="11"/>
        <color theme="1"/>
        <rFont val="Calibri"/>
        <family val="2"/>
        <scheme val="minor"/>
      </rPr>
      <t xml:space="preserve"> προφητην</t>
    </r>
  </si>
  <si>
    <t>freq = πεμπτος</t>
  </si>
  <si>
    <t>τον λαον παντα υιον</t>
  </si>
  <si>
    <t>τον λαον λαον παντα υιον</t>
  </si>
  <si>
    <r>
      <t xml:space="preserve">εξηλθον </t>
    </r>
    <r>
      <rPr>
        <b/>
        <sz val="11"/>
        <color theme="1"/>
        <rFont val="Calibri"/>
        <family val="2"/>
        <scheme val="minor"/>
      </rPr>
      <t>ζωντας συλλαβεται</t>
    </r>
    <r>
      <rPr>
        <sz val="11"/>
        <color theme="1"/>
        <rFont val="Calibri"/>
        <family val="2"/>
        <scheme val="minor"/>
      </rPr>
      <t xml:space="preserve"> αυτους</t>
    </r>
  </si>
  <si>
    <r>
      <t xml:space="preserve">εξηλθον </t>
    </r>
    <r>
      <rPr>
        <b/>
        <sz val="11"/>
        <color theme="1"/>
        <rFont val="Calibri"/>
        <family val="2"/>
        <scheme val="minor"/>
      </rPr>
      <t>συλλαβετε ζωντας</t>
    </r>
    <r>
      <rPr>
        <sz val="11"/>
        <color theme="1"/>
        <rFont val="Calibri"/>
        <family val="2"/>
        <scheme val="minor"/>
      </rPr>
      <t xml:space="preserve"> αυτους</t>
    </r>
  </si>
  <si>
    <r>
      <t xml:space="preserve">εξηλθον ζωντας </t>
    </r>
    <r>
      <rPr>
        <b/>
        <sz val="11"/>
        <color theme="1"/>
        <rFont val="Calibri"/>
        <family val="2"/>
        <scheme val="minor"/>
      </rPr>
      <t>συλλαβεται</t>
    </r>
    <r>
      <rPr>
        <sz val="11"/>
        <color theme="1"/>
        <rFont val="Calibri"/>
        <family val="2"/>
        <scheme val="minor"/>
      </rPr>
      <t xml:space="preserve"> αυτους</t>
    </r>
  </si>
  <si>
    <r>
      <t xml:space="preserve">εξηλθον </t>
    </r>
    <r>
      <rPr>
        <b/>
        <sz val="11"/>
        <color theme="1"/>
        <rFont val="Calibri"/>
        <family val="2"/>
        <scheme val="minor"/>
      </rPr>
      <t>συλλαβετε</t>
    </r>
    <r>
      <rPr>
        <sz val="11"/>
        <color theme="1"/>
        <rFont val="Calibri"/>
        <family val="2"/>
        <scheme val="minor"/>
      </rPr>
      <t xml:space="preserve"> ζωντας αυτους</t>
    </r>
  </si>
  <si>
    <t>2.0.2 transposition</t>
  </si>
  <si>
    <t>freq = ειμι - ουκετι</t>
  </si>
  <si>
    <t>εαν αναστρεφων</t>
  </si>
  <si>
    <t>ι-ει; αι-ε</t>
  </si>
  <si>
    <t>freq = ιωσαφατ - ιωσηφ</t>
  </si>
  <si>
    <t>υμεις επορευεσθαι</t>
  </si>
  <si>
    <r>
      <t xml:space="preserve">και γε εγω </t>
    </r>
    <r>
      <rPr>
        <b/>
        <sz val="11"/>
        <color theme="1"/>
        <rFont val="Calibri"/>
        <family val="2"/>
        <scheme val="minor"/>
      </rPr>
      <t>εγνωκα</t>
    </r>
    <r>
      <rPr>
        <sz val="11"/>
        <color theme="1"/>
        <rFont val="Calibri"/>
        <family val="2"/>
        <scheme val="minor"/>
      </rPr>
      <t xml:space="preserve"> σιωπατε</t>
    </r>
  </si>
  <si>
    <r>
      <t xml:space="preserve">και γε εγω </t>
    </r>
    <r>
      <rPr>
        <b/>
        <sz val="11"/>
        <color theme="1"/>
        <rFont val="Calibri"/>
        <family val="2"/>
        <scheme val="minor"/>
      </rPr>
      <t>εγνων</t>
    </r>
    <r>
      <rPr>
        <sz val="11"/>
        <color theme="1"/>
        <rFont val="Calibri"/>
        <family val="2"/>
        <scheme val="minor"/>
      </rPr>
      <t xml:space="preserve"> εκ σιωπατε</t>
    </r>
  </si>
  <si>
    <r>
      <t xml:space="preserve">και γε εγω εγνων </t>
    </r>
    <r>
      <rPr>
        <b/>
        <sz val="11"/>
        <color theme="1"/>
        <rFont val="Calibri"/>
        <family val="2"/>
        <scheme val="minor"/>
      </rPr>
      <t>εκ</t>
    </r>
    <r>
      <rPr>
        <sz val="11"/>
        <color theme="1"/>
        <rFont val="Calibri"/>
        <family val="2"/>
        <scheme val="minor"/>
      </rPr>
      <t xml:space="preserve"> σιωπατε</t>
    </r>
  </si>
  <si>
    <r>
      <rPr>
        <b/>
        <sz val="11"/>
        <color theme="1"/>
        <rFont val="Calibri"/>
        <family val="2"/>
        <scheme val="minor"/>
      </rPr>
      <t>επελαβετο</t>
    </r>
    <r>
      <rPr>
        <sz val="11"/>
        <color theme="1"/>
        <rFont val="Calibri"/>
        <family val="2"/>
        <scheme val="minor"/>
      </rPr>
      <t xml:space="preserve"> των ιματιων</t>
    </r>
  </si>
  <si>
    <r>
      <rPr>
        <b/>
        <sz val="11"/>
        <color theme="1"/>
        <rFont val="Calibri"/>
        <family val="2"/>
        <scheme val="minor"/>
      </rPr>
      <t>επελαβεν</t>
    </r>
    <r>
      <rPr>
        <sz val="11"/>
        <color theme="1"/>
        <rFont val="Calibri"/>
        <family val="2"/>
        <scheme val="minor"/>
      </rPr>
      <t xml:space="preserve"> το των ιματιων</t>
    </r>
  </si>
  <si>
    <r>
      <t xml:space="preserve">επελαβεν </t>
    </r>
    <r>
      <rPr>
        <b/>
        <sz val="11"/>
        <color theme="1"/>
        <rFont val="Calibri"/>
        <family val="2"/>
        <scheme val="minor"/>
      </rPr>
      <t>το</t>
    </r>
    <r>
      <rPr>
        <sz val="11"/>
        <color theme="1"/>
        <rFont val="Calibri"/>
        <family val="2"/>
        <scheme val="minor"/>
      </rPr>
      <t xml:space="preserve"> των ιματιων</t>
    </r>
  </si>
  <si>
    <t>τους δυο υιος μου</t>
  </si>
  <si>
    <t>τους δυο υιους μου</t>
  </si>
  <si>
    <r>
      <t xml:space="preserve">ειπεν </t>
    </r>
    <r>
      <rPr>
        <b/>
        <sz val="11"/>
        <color theme="1"/>
        <rFont val="Calibri"/>
        <family val="2"/>
        <scheme val="minor"/>
      </rPr>
      <t>προς</t>
    </r>
    <r>
      <rPr>
        <sz val="11"/>
        <color theme="1"/>
        <rFont val="Calibri"/>
        <family val="2"/>
        <scheme val="minor"/>
      </rPr>
      <t xml:space="preserve"> αυτον ελισσαιε</t>
    </r>
  </si>
  <si>
    <r>
      <t xml:space="preserve">ειπεν προς </t>
    </r>
    <r>
      <rPr>
        <b/>
        <sz val="11"/>
        <color theme="1"/>
        <rFont val="Calibri"/>
        <family val="2"/>
        <scheme val="minor"/>
      </rPr>
      <t>αυτον</t>
    </r>
    <r>
      <rPr>
        <sz val="11"/>
        <color theme="1"/>
        <rFont val="Calibri"/>
        <family val="2"/>
        <scheme val="minor"/>
      </rPr>
      <t xml:space="preserve"> ελισσαιε</t>
    </r>
  </si>
  <si>
    <r>
      <t xml:space="preserve">ειπεν </t>
    </r>
    <r>
      <rPr>
        <b/>
        <sz val="11"/>
        <color theme="1"/>
        <rFont val="Calibri"/>
        <family val="2"/>
        <scheme val="minor"/>
      </rPr>
      <t>αυτην</t>
    </r>
    <r>
      <rPr>
        <sz val="11"/>
        <color theme="1"/>
        <rFont val="Calibri"/>
        <family val="2"/>
        <scheme val="minor"/>
      </rPr>
      <t xml:space="preserve"> ελισσαιε</t>
    </r>
  </si>
  <si>
    <t>ιδου σωμανιτις</t>
  </si>
  <si>
    <t>μετ εμου και ειπεν η μητηρ του παιδαριου ζη κυριος και ζη η ψυχη σου ει εγκαταλειψω σε και ανεστη ελισσαιε και επορευθη οπισω αυτης και γιεζει διηλθεν εμπροσθεν αυτης (29) και ειπεν ελισσαιε</t>
  </si>
  <si>
    <t>freq = γιεζει; added text if from v. 30 further on (i.e., scribe seems to have skipped a chunk of text, then caught the mistake)</t>
  </si>
  <si>
    <t>ζωογονησωσιν</t>
  </si>
  <si>
    <r>
      <t xml:space="preserve">τους </t>
    </r>
    <r>
      <rPr>
        <b/>
        <sz val="11"/>
        <color theme="1"/>
        <rFont val="Calibri"/>
        <family val="2"/>
        <scheme val="minor"/>
      </rPr>
      <t>βασιλεας</t>
    </r>
    <r>
      <rPr>
        <sz val="11"/>
        <color theme="1"/>
        <rFont val="Calibri"/>
        <family val="2"/>
        <scheme val="minor"/>
      </rPr>
      <t xml:space="preserve"> των χετταιων</t>
    </r>
  </si>
  <si>
    <r>
      <t xml:space="preserve">τους </t>
    </r>
    <r>
      <rPr>
        <b/>
        <sz val="11"/>
        <color theme="1"/>
        <rFont val="Calibri"/>
        <family val="2"/>
        <scheme val="minor"/>
      </rPr>
      <t>βασιλεις</t>
    </r>
    <r>
      <rPr>
        <sz val="11"/>
        <color theme="1"/>
        <rFont val="Calibri"/>
        <family val="2"/>
        <scheme val="minor"/>
      </rPr>
      <t xml:space="preserve"> η των χετταιων</t>
    </r>
  </si>
  <si>
    <t>ης ενκατελειπεν</t>
  </si>
  <si>
    <t>και ιωσαφατ βασιλευς ιουδα (17) υιος τριακοντα</t>
  </si>
  <si>
    <t>και ιωσαφατ βασιλευς ιουδα και εβασιλευσεν ιωραμ υιος ιωσαφατ βασιλεως ιουδα (17) υιος τριακοντα</t>
  </si>
  <si>
    <t>19</t>
  </si>
  <si>
    <t>skips 2 lines (227v.2.22-23; visual cues present); 7522A corrects, but the και after ιουδα remains absent; freq = ιουδα</t>
  </si>
  <si>
    <t>θυγατηρ αχααβ ην αυτω</t>
  </si>
  <si>
    <t>θυγατηρ αχααβ ην αυω</t>
  </si>
  <si>
    <r>
      <t xml:space="preserve">μεριδι </t>
    </r>
    <r>
      <rPr>
        <b/>
        <sz val="11"/>
        <color theme="1"/>
        <rFont val="Calibri"/>
        <family val="2"/>
        <scheme val="minor"/>
      </rPr>
      <t>του</t>
    </r>
    <r>
      <rPr>
        <sz val="11"/>
        <color theme="1"/>
        <rFont val="Calibri"/>
        <family val="2"/>
        <scheme val="minor"/>
      </rPr>
      <t xml:space="preserve"> ισλ και</t>
    </r>
  </si>
  <si>
    <r>
      <t xml:space="preserve">μεριδι του </t>
    </r>
    <r>
      <rPr>
        <b/>
        <sz val="11"/>
        <color theme="1"/>
        <rFont val="Calibri"/>
        <family val="2"/>
        <scheme val="minor"/>
      </rPr>
      <t>ισλ</t>
    </r>
    <r>
      <rPr>
        <sz val="11"/>
        <color theme="1"/>
        <rFont val="Calibri"/>
        <family val="2"/>
        <scheme val="minor"/>
      </rPr>
      <t xml:space="preserve"> και</t>
    </r>
  </si>
  <si>
    <r>
      <t xml:space="preserve">μεριδι </t>
    </r>
    <r>
      <rPr>
        <b/>
        <sz val="11"/>
        <color theme="1"/>
        <rFont val="Calibri"/>
        <family val="2"/>
        <scheme val="minor"/>
      </rPr>
      <t>ιεζραελ</t>
    </r>
    <r>
      <rPr>
        <sz val="11"/>
        <color theme="1"/>
        <rFont val="Calibri"/>
        <family val="2"/>
        <scheme val="minor"/>
      </rPr>
      <t xml:space="preserve"> και</t>
    </r>
  </si>
  <si>
    <t>Alex. not ιηου but ηου; freq = ιωραμ - ιου (note that this confounds both the proper name and the exclamation; could not separate in Accordance)</t>
  </si>
  <si>
    <t>εδιωξεν ιηου οπισω αυτου και ειπεν; freq = ιου, although this confounds with exclamation, form ιηου apparently unattested in Accordance version</t>
  </si>
  <si>
    <t>freq = ιου (Accordance does not differentiate name from exclamation)</t>
  </si>
  <si>
    <t>4</t>
  </si>
  <si>
    <t>21:21</t>
  </si>
  <si>
    <t>skipped 1 line (229v.1.12-13; visual cues present); correction reads συνελαβον instead of συνελαβοντο; freq = συλλαμβανω</t>
  </si>
  <si>
    <t>αι δαμαλις</t>
  </si>
  <si>
    <t>αι δαμαλεις</t>
  </si>
  <si>
    <t>11</t>
  </si>
  <si>
    <t>skips 1 line (230r.2.10; visual cues present); freq = τριτος</t>
  </si>
  <si>
    <t>only κυριου is left; 1.0.1 transposition</t>
  </si>
  <si>
    <r>
      <t xml:space="preserve">ο </t>
    </r>
    <r>
      <rPr>
        <b/>
        <sz val="11"/>
        <color theme="1"/>
        <rFont val="Calibri"/>
        <family val="2"/>
        <scheme val="minor"/>
      </rPr>
      <t>ακαν</t>
    </r>
    <r>
      <rPr>
        <sz val="11"/>
        <color theme="1"/>
        <rFont val="Calibri"/>
        <family val="2"/>
        <scheme val="minor"/>
      </rPr>
      <t xml:space="preserve"> ο εν τω λιβανω</t>
    </r>
  </si>
  <si>
    <r>
      <t xml:space="preserve">ο </t>
    </r>
    <r>
      <rPr>
        <b/>
        <sz val="11"/>
        <color theme="1"/>
        <rFont val="Calibri"/>
        <family val="2"/>
        <scheme val="minor"/>
      </rPr>
      <t>ακανθος</t>
    </r>
    <r>
      <rPr>
        <sz val="11"/>
        <color theme="1"/>
        <rFont val="Calibri"/>
        <family val="2"/>
        <scheme val="minor"/>
      </rPr>
      <t xml:space="preserve"> εν τω λιβανω</t>
    </r>
  </si>
  <si>
    <r>
      <t xml:space="preserve">ο ακαν </t>
    </r>
    <r>
      <rPr>
        <b/>
        <sz val="11"/>
        <color theme="1"/>
        <rFont val="Calibri"/>
        <family val="2"/>
        <scheme val="minor"/>
      </rPr>
      <t>ο</t>
    </r>
    <r>
      <rPr>
        <sz val="11"/>
        <color theme="1"/>
        <rFont val="Calibri"/>
        <family val="2"/>
        <scheme val="minor"/>
      </rPr>
      <t xml:space="preserve"> εν τω λιβανω</t>
    </r>
  </si>
  <si>
    <t>freq = ηρα</t>
  </si>
  <si>
    <t>autograph matches pattern from 1:5 (κς συναπεκλισεν τα περι την μητραν αυτης); apograph disharmonizes</t>
  </si>
  <si>
    <t>autograph form matches the exact pattern (μη καυχασθω ο &lt;person&gt;) observed 2x more in this verse and once more as αλλ η εν τουτω καυχασθω ο καυχωμενος; apograph disharmonizes</t>
  </si>
  <si>
    <t>article present in marginal reading; autograph form matches the exact pattern (μη καυχασθω ο &lt;person&gt;) observed 2x more in this verse and once more as αλλ η εν τουτω καυχασθω ο καυχωμενος; apograph disharmonizes</t>
  </si>
  <si>
    <t>autograph matches pattern in 5:4 (ιδου δαγων πεπτωκως επι προσωπον αυτου…); apograph disharmonizes</t>
  </si>
  <si>
    <t>autograph form matches 6:2 (αποστελλουμεν αυτην εις τον τοπον αυτης); apograph disharmonizes</t>
  </si>
  <si>
    <t>ανεβησαν σατραπαι αλλοφυλων επι ιηλ</t>
  </si>
  <si>
    <r>
      <t xml:space="preserve">ανεβησαν </t>
    </r>
    <r>
      <rPr>
        <b/>
        <sz val="11"/>
        <color theme="1"/>
        <rFont val="Calibri"/>
        <family val="2"/>
        <scheme val="minor"/>
      </rPr>
      <t>οι</t>
    </r>
    <r>
      <rPr>
        <sz val="11"/>
        <color theme="1"/>
        <rFont val="Calibri"/>
        <family val="2"/>
        <scheme val="minor"/>
      </rPr>
      <t xml:space="preserve"> σατραπαι των αλλοφυλων εις μασηφατ επι ισραηλ</t>
    </r>
  </si>
  <si>
    <r>
      <t xml:space="preserve">ανεβησαν οι σατραπαι </t>
    </r>
    <r>
      <rPr>
        <b/>
        <sz val="11"/>
        <color theme="1"/>
        <rFont val="Calibri"/>
        <family val="2"/>
        <scheme val="minor"/>
      </rPr>
      <t>των</t>
    </r>
    <r>
      <rPr>
        <sz val="11"/>
        <color theme="1"/>
        <rFont val="Calibri"/>
        <family val="2"/>
        <scheme val="minor"/>
      </rPr>
      <t xml:space="preserve"> αλλοφυλων εις μασηφατ επι ισραηλ</t>
    </r>
  </si>
  <si>
    <r>
      <t xml:space="preserve">ανεβησαν οι σατραπαι των αλλοφυλων </t>
    </r>
    <r>
      <rPr>
        <b/>
        <sz val="11"/>
        <color theme="1"/>
        <rFont val="Calibri"/>
        <family val="2"/>
        <scheme val="minor"/>
      </rPr>
      <t>εις μασηφατ</t>
    </r>
    <r>
      <rPr>
        <sz val="11"/>
        <color theme="1"/>
        <rFont val="Calibri"/>
        <family val="2"/>
        <scheme val="minor"/>
      </rPr>
      <t xml:space="preserve"> επι ισραηλ</t>
    </r>
  </si>
  <si>
    <t xml:space="preserve">matches pattern observed 2x more in near context (και &lt;verb&gt; οι σατραπαι των αλλοφυλων; 6:12, 16); apograph harmonizes </t>
  </si>
  <si>
    <t>εταπινωσεν κς</t>
  </si>
  <si>
    <r>
      <t xml:space="preserve">εταπεινωσεν </t>
    </r>
    <r>
      <rPr>
        <b/>
        <sz val="11"/>
        <color theme="1"/>
        <rFont val="Calibri"/>
        <family val="2"/>
        <scheme val="minor"/>
      </rPr>
      <t>ο</t>
    </r>
    <r>
      <rPr>
        <sz val="11"/>
        <color theme="1"/>
        <rFont val="Calibri"/>
        <family val="2"/>
        <scheme val="minor"/>
      </rPr>
      <t xml:space="preserve"> κυριος</t>
    </r>
  </si>
  <si>
    <t>haven't counted ου/ουκ since it seems to be a result of the change in verbs</t>
  </si>
  <si>
    <t>autograph matches form of 11:14 (και ειπεν σαμουηλ προς τον λαον); apograph disharmonizes</t>
  </si>
  <si>
    <t>autograph matches 11:1 (και ειπαν παντες οι ανδρες ιαβεις προς ναας τον αμανιτην); apograph disharmonizes</t>
  </si>
  <si>
    <t>1.0.1 transposition; autograph matches form in 14:10 (οτι παρεδωκεν αυτους κς εις τας χειρας ημων); apograph disharmonizes</t>
  </si>
  <si>
    <t>autograph matches pattern of 14:48 and 15:7 (και επαταξεν &lt;σαουλ&gt; τον αμαληκ), both times with the article; apograph disharmonizes</t>
  </si>
  <si>
    <t>autograph departs from pattern previously in this verse (επορευθησαν οπισω σαουλ εις πολεμον); apograph harmonizes</t>
  </si>
  <si>
    <t>autograph deviates from pattern elsewhere observed on this page, approximating ειπεν κατα το ρημα τουτο (17:27, 29, 30); apograph harmonizes</t>
  </si>
  <si>
    <t>the name Saul occurs at least 28x in the near context, and never with the article (this includes several instances of ειπεν προς αυτον σαουλ and similar phrases; 18:17x2,21x2,22); apograph disharmonizes</t>
  </si>
  <si>
    <t>autograph matches pattern observed at least 2x more in near context w/ verb of motion + εν ναυιωθ εν ραμα (again in 19:23 and in 20:1), other instances of ναυιωθ εν ραμα in near context also preceded by εν; apograph disharmonizes</t>
  </si>
  <si>
    <t>autograph matches pattern from 20:2 (και ειπεν αυτω ιωναθαν μηδαμως συ); apograph disharmonizes</t>
  </si>
  <si>
    <t>autograph matches pattern from 20:7 (γνωθι οτι συντετελεσται η κακια παρ αυτου); apograph disharmonizes</t>
  </si>
  <si>
    <t>autograph matches preposition used in corresponding text of 20:37 (η σχιζα απο σου); apograph disharmonizes</t>
  </si>
  <si>
    <t>autograph matches format of 20:42 (κς εσται μαρτυς αναμεσον εμου και σου); apograph disharmonizes</t>
  </si>
  <si>
    <t xml:space="preserve">autograph better conforms to pattern in 20:28 (και απεκριθη ιωναθαν τω σαουλ και ειπεν αυτω); apograph disharmonizes </t>
  </si>
  <si>
    <t>τι πεποιηκεν</t>
  </si>
  <si>
    <t>και πεποιηκεν</t>
  </si>
  <si>
    <t>και το παιδαριον εισηλθεν και δαδ</t>
  </si>
  <si>
    <r>
      <rPr>
        <b/>
        <sz val="11"/>
        <color theme="1"/>
        <rFont val="Calibri"/>
        <family val="2"/>
        <scheme val="minor"/>
      </rPr>
      <t>οτιν</t>
    </r>
    <r>
      <rPr>
        <sz val="11"/>
        <color theme="1"/>
        <rFont val="Calibri"/>
        <family val="2"/>
        <scheme val="minor"/>
      </rPr>
      <t xml:space="preserve"> αλλ η αρτος</t>
    </r>
  </si>
  <si>
    <r>
      <rPr>
        <b/>
        <sz val="11"/>
        <color theme="1"/>
        <rFont val="Calibri"/>
        <family val="2"/>
        <scheme val="minor"/>
      </rPr>
      <t>οτι</t>
    </r>
    <r>
      <rPr>
        <sz val="11"/>
        <color theme="1"/>
        <rFont val="Calibri"/>
        <family val="2"/>
        <scheme val="minor"/>
      </rPr>
      <t xml:space="preserve"> </t>
    </r>
    <r>
      <rPr>
        <b/>
        <sz val="11"/>
        <color theme="1"/>
        <rFont val="Calibri"/>
        <family val="2"/>
        <scheme val="minor"/>
      </rPr>
      <t>η</t>
    </r>
    <r>
      <rPr>
        <sz val="11"/>
        <color theme="1"/>
        <rFont val="Calibri"/>
        <family val="2"/>
        <scheme val="minor"/>
      </rPr>
      <t xml:space="preserve"> αλλ η αρτος</t>
    </r>
  </si>
  <si>
    <t>autograph more closely follwos pattern of 22:12 (και ειπεν σαουλ ακου δη υιε αχιτωβ); apograph disharmonizes</t>
  </si>
  <si>
    <t>apograph conforms to second instance of this pattern in this verse (ην δαδ και οι ανδρες αυτου εκ μεσου του ορους τουτου); apograph harmonizes</t>
  </si>
  <si>
    <t>apograph more closely matches pattern in 25:26 (εκωλυσεν σε κς του μη ελθειν εις αιμα αθωον και σωζειν την χειρα σου); apograph harmonizes</t>
  </si>
  <si>
    <t>appograph more closely adheres to phrasing in 29:7 (ποιησεις κακιαν εν οφθαλμοις των σατραπων των αλλοφυλων); apograph harmonizes</t>
  </si>
  <si>
    <t>autograph more closely adheres to form in 29:6 (ευθες συ και αγαθος εν οφθαλμοις μου); apograph disharmonizes</t>
  </si>
  <si>
    <t>autograph follows pattern of 1:5 (τεθνηκεν σαουλ και ιωναθαν ο υιος αυτου); apograph disharmonizes</t>
  </si>
  <si>
    <t>προς κυριον μου</t>
  </si>
  <si>
    <t>προς τον κυριον μου</t>
  </si>
  <si>
    <t>apograph matches pattern from 3:23 (απεσταλκεν αυτον και απηλθεν εν ειρηνη); apograph harmonizes</t>
  </si>
  <si>
    <t>autograph matches 5:22 (και συνεπεσαν εν τη κοιλαδι των τιτανων); apograph disharmonizes</t>
  </si>
  <si>
    <t>freq = αδρα - αδρααζαρ; autograph matches pattern in 8:12 (αδρααζαρ υιου ρααβ βασιλεως σωβα); apograph disharmonizes</t>
  </si>
  <si>
    <t>autograph more closely matches pattern observed earlier in this verse (εισοισεις τω υιω του κυριου σου αρτους και εδεται); apograph disharmonizes</t>
  </si>
  <si>
    <t>autograph reflects format as in 12:5 (ο ανηρ ο ποιησας τουτο); apograph disharmonizes</t>
  </si>
  <si>
    <t>autograph more closely matches format in 12:18 (εν τω ετι ζην το παιδαριον ετι ζην); apograph disharmonizes</t>
  </si>
  <si>
    <r>
      <t xml:space="preserve">και νυν συ </t>
    </r>
    <r>
      <rPr>
        <b/>
        <sz val="11"/>
        <color theme="1"/>
        <rFont val="Calibri"/>
        <family val="2"/>
        <scheme val="minor"/>
      </rPr>
      <t>αγαγε</t>
    </r>
    <r>
      <rPr>
        <sz val="11"/>
        <color theme="1"/>
        <rFont val="Calibri"/>
        <family val="2"/>
        <scheme val="minor"/>
      </rPr>
      <t xml:space="preserve"> το ναταλοιπον</t>
    </r>
  </si>
  <si>
    <t>apograph matches pattern from 13:5 (ελθατω θημαρ αδελφη μου); apograph harmonizes</t>
  </si>
  <si>
    <t>autograph more closely matches pattern in 13:7 (πορευθητι δη εις τον οικον αμμων του αδελφου σου); apograph disharmonizes</t>
  </si>
  <si>
    <t>apograph matches form used just 3 lines earlier in this verse (και επεκθηκεν [σποδον] επι της κεφαλης αυτης); autograph harmonizes</t>
  </si>
  <si>
    <t>not counting as disharmonization since apograph makes same modification in both v. 6 and 9</t>
  </si>
  <si>
    <t>apograph form matches wording earlier in 14:30 and again in 14:31 (ενεπρησαν αυτας οι παιδες αβεσσαλωμ την μεριδα; ενεπυρισαν οι παιδες σου την μεριδα); apograph harmonizes</t>
  </si>
  <si>
    <t>autograph matches patterni n 19:12 (ινα τι γινεσθαι εσχατοι του επιστρεψαι τον βασιλεα εις το νοικον αυτου); apograph disharmonizes</t>
  </si>
  <si>
    <r>
      <t xml:space="preserve">προεφθασαν με </t>
    </r>
    <r>
      <rPr>
        <b/>
        <sz val="11"/>
        <color theme="1"/>
        <rFont val="Calibri"/>
        <family val="2"/>
        <scheme val="minor"/>
      </rPr>
      <t>εν</t>
    </r>
    <r>
      <rPr>
        <sz val="11"/>
        <color theme="1"/>
        <rFont val="Calibri"/>
        <family val="2"/>
        <scheme val="minor"/>
      </rPr>
      <t xml:space="preserve"> ημερα θλιψεως</t>
    </r>
  </si>
  <si>
    <r>
      <t xml:space="preserve">προεφθασαν με </t>
    </r>
    <r>
      <rPr>
        <b/>
        <sz val="11"/>
        <color theme="1"/>
        <rFont val="Calibri"/>
        <family val="2"/>
        <scheme val="minor"/>
      </rPr>
      <t>ημεραι</t>
    </r>
    <r>
      <rPr>
        <sz val="11"/>
        <color theme="1"/>
        <rFont val="Calibri"/>
        <family val="2"/>
        <scheme val="minor"/>
      </rPr>
      <t xml:space="preserve"> θλιψεως</t>
    </r>
  </si>
  <si>
    <r>
      <t xml:space="preserve">προεφθασαν με εν </t>
    </r>
    <r>
      <rPr>
        <b/>
        <sz val="11"/>
        <color theme="1"/>
        <rFont val="Calibri"/>
        <family val="2"/>
        <scheme val="minor"/>
      </rPr>
      <t>ημερα</t>
    </r>
    <r>
      <rPr>
        <sz val="11"/>
        <color theme="1"/>
        <rFont val="Calibri"/>
        <family val="2"/>
        <scheme val="minor"/>
      </rPr>
      <t xml:space="preserve"> θλιψεως</t>
    </r>
  </si>
  <si>
    <t>apograph matches pattern in 23:8 (ταυτα τα ονοματα των δυνατων του δαδ ιεβοσθαι); apograph harmonizes</t>
  </si>
  <si>
    <t>autograph matches pattern in 1:13 and 1:30 (λεγων οτι σαλωμων ο υιος σου βασιλευσει μετ εμε και αυτος); apograph disharmonizes</t>
  </si>
  <si>
    <t>autograph matches pattern in 1:17 and 1:30 (λεγων οτι σαλωμων ο υιος σου βασιλευσει μετ εμε και αυτος); apograph disharmonizes</t>
  </si>
  <si>
    <t>apograph matches form used in 2:28 (και κατεσχεν των κερατων του θυσιαστηριου); apograph harmonizes</t>
  </si>
  <si>
    <t>εκ βεοσαν</t>
  </si>
  <si>
    <t>autograph more closely matches 5:9 (και εδωκεν κς σοφιαν τω σαλωμων); apograph disharmonizes</t>
  </si>
  <si>
    <t>autograph matches pattern from 8:39,45,49 (και (συ) εισακουση εκ του ουρανου); apograph disharmonizes</t>
  </si>
  <si>
    <t>autograph matches patern from 11:23 (και ηγειρεν κς σαταν τω σαλωμων); apograph disharmonizes</t>
  </si>
  <si>
    <t>apograph matches near context a) in resembling specific format of 11:33 (επορευθη ενωπιον κυ εν ταις οδοις μου το ποιησαι το ευθες ενωπιον εμου) and b) following the general use of οδος in the feminine (11:29x2,33); apograph harmonizes</t>
  </si>
  <si>
    <t>apograph matches format of 11:33 (επορευθη ενωπιον κυ εν ταις οδοις μου το ποιησαι το ευθες ενωπιον εμου); apograph harmonizes</t>
  </si>
  <si>
    <t>apograph follows more closely the pattern of 12:6 (πως υμεις βουλεσθαι και απεκριθω τω λαω τουτω); apograph harmonizes</t>
  </si>
  <si>
    <t>autograph matches a) the specific corresponding pattern in 14:31 (και ονομα της μρς αυτου νααμα η αμανιτις) and b) the general introductory formula for mothers' names here (14:31,15:2,10); apograph disharmonizes</t>
  </si>
  <si>
    <t>autograph follows pattern from 14:29 (και τα λοιπα των λογων); apograph disharmonizes</t>
  </si>
  <si>
    <t>autograph matches format used in 15:23,16:14,20 (ταυτα γεγραμμενα επι βιβλιου λογων των ημερων); apograph disharmonizes</t>
  </si>
  <si>
    <t>autograph matches format of 16:13,26 (του παροργισαει τον κν θν ισλ); apograph disharmonizes</t>
  </si>
  <si>
    <t>autograph more closely matches format of preceding command in verse (και συ επιστρεψον επτακις); apograph harmonizes</t>
  </si>
  <si>
    <t>apograph matches pattern in 20:4 (και απεκριθη ο βασιλευς ιηλ); apograph harmonizes</t>
  </si>
  <si>
    <t>autograph matches pattern in 20:43 (και απηλθεν ο βασιλευς ισλ προς οικον αυτου συγκεχυμενος και εκλελυμενος); apograph disharmonizes</t>
  </si>
  <si>
    <t>apograph matches form used in 22:11 (και παντες οι προφηται επροφητευον); apograph harmonizes</t>
  </si>
  <si>
    <t>autograph matches pattern in 22:46 (γεγραμμενα εν βιβλιω λογων των ημερων των βασιλεων ιουδα); apograph disharmonizes</t>
  </si>
  <si>
    <t>autograph matches pattern in 1:3 (ει παρα το μη ειναι θν εν ιηλ); apograph disharmonizes</t>
  </si>
  <si>
    <t>autograph matches pattern in 1:10 (καταβησεται πυρ εκ του ουρανου και καταφαγεται σε); apograph disharmonizes</t>
  </si>
  <si>
    <t>autograph matches pattern in 2:3 (και ειπεν και εγω εγνωκα σιωπατε); apograph disharmonizes</t>
  </si>
  <si>
    <t>autograph matchtes pattern of 3:13 (οτι κεκληκεν κς τους τρεις βασιλεις); apograph disharmonizes</t>
  </si>
  <si>
    <t>autograph matches wording of 4:17 (εις τον καιρον τουτον ως η ωρα ζωσα); apograph disharmonizes</t>
  </si>
  <si>
    <t>autograph more closely matches 5:7 (αποστελλει προς με αποσυναξαι ανδρα εκ της λεπρας αυτου); apograph disharmonizes</t>
  </si>
  <si>
    <t>autograph more closely matches pattern in 5:8 (ηκουσεν... οτι διερρηξεν ο βασιλευς ισλ τα ιματια εαυτου); apograph disharmonizes</t>
  </si>
  <si>
    <t>freq = ουν - οικεω; autograph matches second instance of this phrase in this verse (και ειπεν ναιμαν ουκουν λαβε); apograph disharmonizes</t>
  </si>
  <si>
    <t>apograph form matches pattern from 8:10 (ειπον αυτω ζων ζηση); apograph harmonizes</t>
  </si>
  <si>
    <t>autograph matches pattern in 8:25 (εν ετει δωδεκατω του ιωραμ υιω αχααβ βασιλει ισλ); apograph disharmonizes</t>
  </si>
  <si>
    <t>definite article still omitted; would be disharmonizing with 8:22, but apograph makes same change in both places</t>
  </si>
  <si>
    <t>would be disharmonizing with 8:20, but apograph makes same change in both places</t>
  </si>
  <si>
    <t>autograph matches consistent pattern concerning war with Azahel (8:29,9:15,9:16: πολεμειν/εν τω πολεμω μετα αζαηλ βασιλεως συριας); apograph disharmonizes</t>
  </si>
  <si>
    <t>autograph matches consistent pattern concerning war with Azahel (8:28,9:15,9:16: πολεμειν/εν τω πολεμω μετα αζαηλ βασιλεως συριας); apograph disharmonizes</t>
  </si>
  <si>
    <t>matches form used in 9:8 (και εξολοθρευσεις του οικου αχααβ); apograph disharmonizes</t>
  </si>
  <si>
    <r>
      <t xml:space="preserve">απεστειλεν </t>
    </r>
    <r>
      <rPr>
        <b/>
        <sz val="11"/>
        <color theme="1"/>
        <rFont val="Calibri"/>
        <family val="2"/>
        <scheme val="minor"/>
      </rPr>
      <t>εν</t>
    </r>
    <r>
      <rPr>
        <sz val="11"/>
        <color theme="1"/>
        <rFont val="Calibri"/>
        <family val="2"/>
        <scheme val="minor"/>
      </rPr>
      <t xml:space="preserve"> σαμαρεια</t>
    </r>
  </si>
  <si>
    <t>απεστειλεν σαμαρια</t>
  </si>
  <si>
    <t>autograph conforms to phrase in 10:5 (και οι πρεσβυτεροι και οι τιθηνοι); apograph disharmonizes</t>
  </si>
  <si>
    <t>autograph more closely matches pattern in 12:16 (δουναι τοις ποιουσιν τα εργα); apograph disharmonizes</t>
  </si>
  <si>
    <t>ε-αι; SimGem</t>
  </si>
  <si>
    <t>MedNas</t>
  </si>
  <si>
    <t>SimGem</t>
  </si>
  <si>
    <t>Contraction</t>
  </si>
  <si>
    <t>AltForm</t>
  </si>
  <si>
    <t>ε-αι; SimGem; αι-ε</t>
  </si>
  <si>
    <t>NasAssim;αι-ε</t>
  </si>
  <si>
    <t>NasAssim</t>
  </si>
  <si>
    <t>ε-αι; αι-ε</t>
  </si>
  <si>
    <t>freq = δευτερος</t>
  </si>
  <si>
    <t>Dependent variant</t>
  </si>
  <si>
    <t>Have not been able to acquire images for this page</t>
  </si>
  <si>
    <t>adds:</t>
  </si>
  <si>
    <t>omits:</t>
  </si>
  <si>
    <t>Add rate:</t>
  </si>
  <si>
    <t>LM</t>
  </si>
  <si>
    <t>HM</t>
  </si>
  <si>
    <t>LM-adds:</t>
  </si>
  <si>
    <t>LM-omits:</t>
  </si>
  <si>
    <t>LM-add rate:</t>
  </si>
  <si>
    <t>Length</t>
  </si>
  <si>
    <t>Adds</t>
  </si>
  <si>
    <t>Omits</t>
  </si>
  <si>
    <t>AddRate</t>
  </si>
  <si>
    <t>HM-adds:</t>
  </si>
  <si>
    <t>HM-omits:</t>
  </si>
  <si>
    <t>HM-add rate:</t>
  </si>
  <si>
    <t>Cues</t>
  </si>
  <si>
    <t>Not</t>
  </si>
  <si>
    <t>% present</t>
  </si>
  <si>
    <t>Total</t>
  </si>
  <si>
    <t>Add ratio diff.</t>
  </si>
  <si>
    <t>Add Ratio</t>
  </si>
  <si>
    <t>Cues Abs.</t>
  </si>
  <si>
    <t>Cues Pres.</t>
  </si>
  <si>
    <t>Non-ditt.</t>
  </si>
  <si>
    <t>Ditt.</t>
  </si>
  <si>
    <t>2-3</t>
  </si>
  <si>
    <t>4+</t>
  </si>
  <si>
    <t>&gt;=5</t>
  </si>
  <si>
    <t>Words in corpus (1 Sam - 2 Kings)</t>
  </si>
  <si>
    <t>SUB_Aut_Freq</t>
  </si>
  <si>
    <t>SUB_Apog_Freq</t>
  </si>
  <si>
    <t/>
  </si>
  <si>
    <t>Freq-per-10000</t>
  </si>
  <si>
    <t>Med-word-freq</t>
  </si>
  <si>
    <t>HF-adds</t>
  </si>
  <si>
    <t>HF-omits</t>
  </si>
  <si>
    <t>HF-add-ratio</t>
  </si>
  <si>
    <t>LF-adds</t>
  </si>
  <si>
    <t>LF-omits</t>
  </si>
  <si>
    <t>LF-add-ratio</t>
  </si>
  <si>
    <t>art-adds</t>
  </si>
  <si>
    <t>art-omits</t>
  </si>
  <si>
    <t>art-add-rate</t>
  </si>
  <si>
    <t>Aut_P10K_Freq</t>
  </si>
  <si>
    <t>Apog_P10K_Freq</t>
  </si>
  <si>
    <t>P10K_Freq_Diff</t>
  </si>
  <si>
    <t>pos</t>
  </si>
  <si>
    <t>neg</t>
  </si>
  <si>
    <t>p =</t>
  </si>
  <si>
    <t>avg_diff</t>
  </si>
  <si>
    <t>stdv</t>
  </si>
  <si>
    <t>avg_P10K_diff</t>
  </si>
  <si>
    <t>P10K_stdv</t>
  </si>
  <si>
    <t>AddRatioDiff</t>
  </si>
  <si>
    <t>total_subs</t>
  </si>
  <si>
    <t>std_dev</t>
  </si>
  <si>
    <t>Harmonizations</t>
  </si>
  <si>
    <t>Disharmonizations</t>
  </si>
  <si>
    <t>Harm_Ratio</t>
  </si>
  <si>
    <t>Words copied</t>
  </si>
  <si>
    <t>Raw Errors</t>
  </si>
  <si>
    <t>Variants</t>
  </si>
  <si>
    <t>Raw PKW Error Rate</t>
  </si>
  <si>
    <t>PKW Meaningful Error Rate</t>
  </si>
  <si>
    <t>Pseudo-singular</t>
  </si>
  <si>
    <t>Correction Readings Followed</t>
  </si>
  <si>
    <t>% Yes</t>
  </si>
  <si>
    <t>Variant Corrected</t>
  </si>
  <si>
    <t>Count</t>
  </si>
  <si>
    <t>% of Variants</t>
  </si>
  <si>
    <t>Proportion of "Corrections"</t>
  </si>
  <si>
    <t>Partially</t>
  </si>
  <si>
    <t>To Other Variant</t>
  </si>
  <si>
    <r>
      <t xml:space="preserve">εποιησεν ζαμβρι </t>
    </r>
    <r>
      <rPr>
        <b/>
        <sz val="11"/>
        <color theme="1"/>
        <rFont val="Calibri"/>
        <family val="2"/>
        <scheme val="minor"/>
      </rPr>
      <t>το πονηρον</t>
    </r>
    <r>
      <rPr>
        <sz val="11"/>
        <color theme="1"/>
        <rFont val="Calibri"/>
        <family val="2"/>
        <scheme val="minor"/>
      </rPr>
      <t xml:space="preserve"> ενωπιον κυ</t>
    </r>
  </si>
  <si>
    <r>
      <t xml:space="preserve">εποιησεν ζαμβρι </t>
    </r>
    <r>
      <rPr>
        <b/>
        <sz val="11"/>
        <color theme="1"/>
        <rFont val="Calibri"/>
        <family val="2"/>
        <scheme val="minor"/>
      </rPr>
      <t>τοπον ηρον πονηρον</t>
    </r>
    <r>
      <rPr>
        <sz val="11"/>
        <color theme="1"/>
        <rFont val="Calibri"/>
        <family val="2"/>
        <scheme val="minor"/>
      </rPr>
      <t xml:space="preserve"> ενωπιον κυριου</t>
    </r>
  </si>
  <si>
    <t>Diff.:</t>
  </si>
  <si>
    <t>Call No.</t>
  </si>
  <si>
    <t>Institution</t>
  </si>
  <si>
    <t>Century</t>
  </si>
  <si>
    <t>Text examined</t>
  </si>
  <si>
    <t>OT</t>
  </si>
  <si>
    <t>Length of text (words)</t>
  </si>
  <si>
    <t>Pages</t>
  </si>
  <si>
    <t>Cols./page</t>
  </si>
  <si>
    <t>Avg. lines/col</t>
  </si>
  <si>
    <t>Med. lines/col</t>
  </si>
  <si>
    <t>Std. lines/col</t>
  </si>
  <si>
    <t>Avg. words/line</t>
  </si>
  <si>
    <t>Med. words/line</t>
  </si>
  <si>
    <t>Std. words/line</t>
  </si>
  <si>
    <t>Avg. letters/line</t>
  </si>
  <si>
    <t>Med. letters/line</t>
  </si>
  <si>
    <t>Std. letters/line</t>
  </si>
  <si>
    <t>Orthography</t>
  </si>
  <si>
    <t>A</t>
  </si>
  <si>
    <t>Direction</t>
  </si>
  <si>
    <t>B</t>
  </si>
  <si>
    <t>Freq</t>
  </si>
  <si>
    <t>Notes</t>
  </si>
  <si>
    <t>αι</t>
  </si>
  <si>
    <t>Both</t>
  </si>
  <si>
    <t>ε</t>
  </si>
  <si>
    <t>Scribe 1</t>
  </si>
  <si>
    <t>Scribe 2</t>
  </si>
  <si>
    <t>η</t>
  </si>
  <si>
    <t>ι</t>
  </si>
  <si>
    <t>ο</t>
  </si>
  <si>
    <t>ω</t>
  </si>
  <si>
    <t>και οι δυο</t>
  </si>
  <si>
    <t>και δυο</t>
  </si>
  <si>
    <t>το χαλκον</t>
  </si>
  <si>
    <t>τον χαλκον</t>
  </si>
  <si>
    <r>
      <t xml:space="preserve">οφθαλμους </t>
    </r>
    <r>
      <rPr>
        <b/>
        <sz val="11"/>
        <color theme="1"/>
        <rFont val="Calibri"/>
        <family val="2"/>
        <scheme val="minor"/>
      </rPr>
      <t>αυτου</t>
    </r>
    <r>
      <rPr>
        <sz val="11"/>
        <color theme="1"/>
        <rFont val="Calibri"/>
        <family val="2"/>
        <scheme val="minor"/>
      </rPr>
      <t xml:space="preserve"> και καταρριν</t>
    </r>
  </si>
  <si>
    <r>
      <t xml:space="preserve">οφθαλμους αυτου και </t>
    </r>
    <r>
      <rPr>
        <b/>
        <sz val="11"/>
        <color theme="1"/>
        <rFont val="Calibri"/>
        <family val="2"/>
        <scheme val="minor"/>
      </rPr>
      <t>καταρριν</t>
    </r>
  </si>
  <si>
    <r>
      <t xml:space="preserve">αυτοις ιηλ </t>
    </r>
    <r>
      <rPr>
        <b/>
        <sz val="11"/>
        <color theme="1"/>
        <rFont val="Calibri"/>
        <family val="2"/>
        <scheme val="minor"/>
      </rPr>
      <t>εις πολεμον</t>
    </r>
    <r>
      <rPr>
        <sz val="11"/>
        <color theme="1"/>
        <rFont val="Calibri"/>
        <family val="2"/>
        <scheme val="minor"/>
      </rPr>
      <t xml:space="preserve"> και παρεμβαλουσιν</t>
    </r>
  </si>
  <si>
    <t>αυτοις ισραηλ και παρεμβαλλουσιν</t>
  </si>
  <si>
    <t>αποστειλητε αυτην καινην</t>
  </si>
  <si>
    <t>αποστειλητε αυτην κενην</t>
  </si>
  <si>
    <t>ως εβαρυνθη</t>
  </si>
  <si>
    <t>καθως εβαρυνθη</t>
  </si>
  <si>
    <t>θησεται εν θεματι</t>
  </si>
  <si>
    <t>θησετε εν θεματι</t>
  </si>
  <si>
    <r>
      <rPr>
        <b/>
        <sz val="11"/>
        <color theme="1"/>
        <rFont val="Calibri"/>
        <family val="2"/>
        <scheme val="minor"/>
      </rPr>
      <t>οψεσθαι</t>
    </r>
    <r>
      <rPr>
        <sz val="11"/>
        <color theme="1"/>
        <rFont val="Calibri"/>
        <family val="2"/>
        <scheme val="minor"/>
      </rPr>
      <t xml:space="preserve"> εις εις οδον</t>
    </r>
  </si>
  <si>
    <r>
      <rPr>
        <b/>
        <sz val="11"/>
        <color theme="1"/>
        <rFont val="Calibri"/>
        <family val="2"/>
        <scheme val="minor"/>
      </rPr>
      <t>οψεσθε</t>
    </r>
    <r>
      <rPr>
        <sz val="11"/>
        <color theme="1"/>
        <rFont val="Calibri"/>
        <family val="2"/>
        <scheme val="minor"/>
      </rPr>
      <t xml:space="preserve"> ει εις οδον</t>
    </r>
  </si>
  <si>
    <r>
      <t xml:space="preserve">οψεσθαι </t>
    </r>
    <r>
      <rPr>
        <b/>
        <sz val="11"/>
        <color theme="1"/>
        <rFont val="Calibri"/>
        <family val="2"/>
        <scheme val="minor"/>
      </rPr>
      <t>εις</t>
    </r>
    <r>
      <rPr>
        <sz val="11"/>
        <color theme="1"/>
        <rFont val="Calibri"/>
        <family val="2"/>
        <scheme val="minor"/>
      </rPr>
      <t xml:space="preserve"> εις οδον</t>
    </r>
  </si>
  <si>
    <r>
      <t xml:space="preserve">οψεσθε </t>
    </r>
    <r>
      <rPr>
        <b/>
        <sz val="11"/>
        <color theme="1"/>
        <rFont val="Calibri"/>
        <family val="2"/>
        <scheme val="minor"/>
      </rPr>
      <t>ει</t>
    </r>
    <r>
      <rPr>
        <sz val="11"/>
        <color theme="1"/>
        <rFont val="Calibri"/>
        <family val="2"/>
        <scheme val="minor"/>
      </rPr>
      <t xml:space="preserve"> εις οδον</t>
    </r>
  </si>
  <si>
    <r>
      <rPr>
        <b/>
        <sz val="11"/>
        <color theme="1"/>
        <rFont val="Calibri"/>
        <family val="2"/>
        <scheme val="minor"/>
      </rPr>
      <t>εταπεινωσεν</t>
    </r>
    <r>
      <rPr>
        <sz val="11"/>
        <color theme="1"/>
        <rFont val="Calibri"/>
        <family val="2"/>
        <scheme val="minor"/>
      </rPr>
      <t xml:space="preserve"> ο κυριος</t>
    </r>
  </si>
  <si>
    <r>
      <rPr>
        <b/>
        <sz val="11"/>
        <color theme="1"/>
        <rFont val="Calibri"/>
        <family val="2"/>
        <scheme val="minor"/>
      </rPr>
      <t>εταπινωσεν</t>
    </r>
    <r>
      <rPr>
        <sz val="11"/>
        <color theme="1"/>
        <rFont val="Calibri"/>
        <family val="2"/>
        <scheme val="minor"/>
      </rPr>
      <t xml:space="preserve"> κς</t>
    </r>
  </si>
  <si>
    <r>
      <rPr>
        <b/>
        <sz val="11"/>
        <color theme="1"/>
        <rFont val="Calibri"/>
        <family val="2"/>
        <scheme val="minor"/>
      </rPr>
      <t>αυτα</t>
    </r>
    <r>
      <rPr>
        <sz val="11"/>
        <color theme="1"/>
        <rFont val="Calibri"/>
        <family val="2"/>
        <scheme val="minor"/>
      </rPr>
      <t xml:space="preserve"> τω ισλ</t>
    </r>
  </si>
  <si>
    <r>
      <rPr>
        <b/>
        <sz val="11"/>
        <color theme="1"/>
        <rFont val="Calibri"/>
        <family val="2"/>
        <scheme val="minor"/>
      </rPr>
      <t>αυτας</t>
    </r>
    <r>
      <rPr>
        <sz val="11"/>
        <color theme="1"/>
        <rFont val="Calibri"/>
        <family val="2"/>
        <scheme val="minor"/>
      </rPr>
      <t xml:space="preserve"> προς ισραηλ</t>
    </r>
  </si>
  <si>
    <r>
      <t xml:space="preserve">αυτα </t>
    </r>
    <r>
      <rPr>
        <b/>
        <sz val="11"/>
        <color theme="1"/>
        <rFont val="Calibri"/>
        <family val="2"/>
        <scheme val="minor"/>
      </rPr>
      <t>τω</t>
    </r>
    <r>
      <rPr>
        <sz val="11"/>
        <color theme="1"/>
        <rFont val="Calibri"/>
        <family val="2"/>
        <scheme val="minor"/>
      </rPr>
      <t xml:space="preserve"> ι̅σ̅λ̅</t>
    </r>
  </si>
  <si>
    <t>αποστροφη εις ραμαθαιμ</t>
  </si>
  <si>
    <r>
      <t xml:space="preserve">αποστροφη </t>
    </r>
    <r>
      <rPr>
        <b/>
        <sz val="11"/>
        <color theme="1"/>
        <rFont val="Calibri"/>
        <family val="2"/>
        <scheme val="minor"/>
      </rPr>
      <t>αυτου</t>
    </r>
    <r>
      <rPr>
        <sz val="11"/>
        <color theme="1"/>
        <rFont val="Calibri"/>
        <family val="2"/>
        <scheme val="minor"/>
      </rPr>
      <t xml:space="preserve"> εις αρμαθαιμ</t>
    </r>
  </si>
  <si>
    <r>
      <t xml:space="preserve">αποστροφη αυτου εις </t>
    </r>
    <r>
      <rPr>
        <b/>
        <sz val="11"/>
        <color theme="1"/>
        <rFont val="Calibri"/>
        <family val="2"/>
        <scheme val="minor"/>
      </rPr>
      <t>αρμαθαιμ</t>
    </r>
  </si>
  <si>
    <r>
      <t xml:space="preserve">αποστροφη εις </t>
    </r>
    <r>
      <rPr>
        <b/>
        <sz val="11"/>
        <color theme="1"/>
        <rFont val="Calibri"/>
        <family val="2"/>
        <scheme val="minor"/>
      </rPr>
      <t>ραμαθαιμ</t>
    </r>
  </si>
  <si>
    <t>ου σοι</t>
  </si>
  <si>
    <t>ουχι σοι</t>
  </si>
  <si>
    <r>
      <rPr>
        <b/>
        <sz val="11"/>
        <color theme="1"/>
        <rFont val="Calibri"/>
        <family val="2"/>
        <scheme val="minor"/>
      </rPr>
      <t>ουχ</t>
    </r>
    <r>
      <rPr>
        <sz val="11"/>
        <color theme="1"/>
        <rFont val="Calibri"/>
        <family val="2"/>
        <scheme val="minor"/>
      </rPr>
      <t xml:space="preserve"> αλλα</t>
    </r>
  </si>
  <si>
    <r>
      <rPr>
        <b/>
        <sz val="11"/>
        <color theme="1"/>
        <rFont val="Calibri"/>
        <family val="2"/>
        <scheme val="minor"/>
      </rPr>
      <t>ουχι</t>
    </r>
    <r>
      <rPr>
        <sz val="11"/>
        <color theme="1"/>
        <rFont val="Calibri"/>
        <family val="2"/>
        <scheme val="minor"/>
      </rPr>
      <t xml:space="preserve"> αλλ</t>
    </r>
  </si>
  <si>
    <r>
      <t xml:space="preserve">ουχ </t>
    </r>
    <r>
      <rPr>
        <b/>
        <sz val="11"/>
        <color theme="1"/>
        <rFont val="Calibri"/>
        <family val="2"/>
        <scheme val="minor"/>
      </rPr>
      <t>αλλα</t>
    </r>
  </si>
  <si>
    <r>
      <t xml:space="preserve">ουχι </t>
    </r>
    <r>
      <rPr>
        <b/>
        <sz val="11"/>
        <color theme="1"/>
        <rFont val="Calibri"/>
        <family val="2"/>
        <scheme val="minor"/>
      </rPr>
      <t>αλλ</t>
    </r>
  </si>
  <si>
    <t>ματταρει εις ανδρας</t>
  </si>
  <si>
    <r>
      <rPr>
        <b/>
        <sz val="11"/>
        <color theme="1"/>
        <rFont val="Calibri"/>
        <family val="2"/>
        <scheme val="minor"/>
      </rPr>
      <t>ματταρει</t>
    </r>
    <r>
      <rPr>
        <sz val="11"/>
        <color theme="1"/>
        <rFont val="Calibri"/>
        <family val="2"/>
        <scheme val="minor"/>
      </rPr>
      <t xml:space="preserve"> εις ανδρας</t>
    </r>
  </si>
  <si>
    <r>
      <rPr>
        <b/>
        <sz val="11"/>
        <color theme="1"/>
        <rFont val="Calibri"/>
        <family val="2"/>
        <scheme val="minor"/>
      </rPr>
      <t>ααρων</t>
    </r>
    <r>
      <rPr>
        <sz val="11"/>
        <color theme="1"/>
        <rFont val="Calibri"/>
        <family val="2"/>
        <scheme val="minor"/>
      </rPr>
      <t xml:space="preserve"> ο αναγαγων</t>
    </r>
  </si>
  <si>
    <r>
      <rPr>
        <b/>
        <sz val="11"/>
        <color theme="1"/>
        <rFont val="Calibri"/>
        <family val="2"/>
        <scheme val="minor"/>
      </rPr>
      <t>αααρων</t>
    </r>
    <r>
      <rPr>
        <sz val="11"/>
        <color theme="1"/>
        <rFont val="Calibri"/>
        <family val="2"/>
        <scheme val="minor"/>
      </rPr>
      <t xml:space="preserve"> και ο αναγαγων</t>
    </r>
  </si>
  <si>
    <r>
      <t xml:space="preserve">αααρων </t>
    </r>
    <r>
      <rPr>
        <b/>
        <sz val="11"/>
        <color theme="1"/>
        <rFont val="Calibri"/>
        <family val="2"/>
        <scheme val="minor"/>
      </rPr>
      <t>και</t>
    </r>
    <r>
      <rPr>
        <sz val="11"/>
        <color theme="1"/>
        <rFont val="Calibri"/>
        <family val="2"/>
        <scheme val="minor"/>
      </rPr>
      <t xml:space="preserve"> ο αναγαγων</t>
    </r>
  </si>
  <si>
    <r>
      <rPr>
        <b/>
        <sz val="11"/>
        <color theme="1"/>
        <rFont val="Calibri"/>
        <family val="2"/>
        <scheme val="minor"/>
      </rPr>
      <t>σουβ</t>
    </r>
    <r>
      <rPr>
        <sz val="11"/>
        <color theme="1"/>
        <rFont val="Calibri"/>
        <family val="2"/>
        <scheme val="minor"/>
      </rPr>
      <t xml:space="preserve"> (20) και ανεβοησεν</t>
    </r>
  </si>
  <si>
    <r>
      <rPr>
        <b/>
        <sz val="11"/>
        <color theme="1"/>
        <rFont val="Calibri"/>
        <family val="2"/>
        <scheme val="minor"/>
      </rPr>
      <t>σου</t>
    </r>
    <r>
      <rPr>
        <sz val="11"/>
        <color theme="1"/>
        <rFont val="Calibri"/>
        <family val="2"/>
        <scheme val="minor"/>
      </rPr>
      <t xml:space="preserve"> (20) και ανεβοησεν</t>
    </r>
  </si>
  <si>
    <t>δουλιαν και εγω</t>
  </si>
  <si>
    <t>δουλειαν και εγω</t>
  </si>
  <si>
    <t>δουλιαν και ειπεν</t>
  </si>
  <si>
    <t>δουλειαν και ειπεν</t>
  </si>
  <si>
    <t>εως ποτε</t>
  </si>
  <si>
    <t>εως εις ποτε</t>
  </si>
  <si>
    <t>Alexandrinus = εις ογχω</t>
  </si>
  <si>
    <t>εις τον πολεμον ελιαβ</t>
  </si>
  <si>
    <t>εις πολεμον ελιαβ</t>
  </si>
  <si>
    <t>εν αυτον</t>
  </si>
  <si>
    <r>
      <rPr>
        <b/>
        <sz val="11"/>
        <color theme="1"/>
        <rFont val="Calibri"/>
        <family val="2"/>
        <scheme val="minor"/>
      </rPr>
      <t>αποστελει</t>
    </r>
    <r>
      <rPr>
        <sz val="11"/>
        <color theme="1"/>
        <rFont val="Calibri"/>
        <family val="2"/>
        <scheme val="minor"/>
      </rPr>
      <t xml:space="preserve"> του ιδειν επι τον δαδ</t>
    </r>
  </si>
  <si>
    <r>
      <rPr>
        <b/>
        <sz val="11"/>
        <color theme="1"/>
        <rFont val="Calibri"/>
        <family val="2"/>
        <scheme val="minor"/>
      </rPr>
      <t>αποστελειν</t>
    </r>
    <r>
      <rPr>
        <sz val="11"/>
        <color theme="1"/>
        <rFont val="Calibri"/>
        <family val="2"/>
        <scheme val="minor"/>
      </rPr>
      <t xml:space="preserve"> επι τον δαβιδ</t>
    </r>
  </si>
  <si>
    <r>
      <t xml:space="preserve">αποστελει </t>
    </r>
    <r>
      <rPr>
        <b/>
        <sz val="11"/>
        <color theme="1"/>
        <rFont val="Calibri"/>
        <family val="2"/>
        <scheme val="minor"/>
      </rPr>
      <t>του ιδειν</t>
    </r>
    <r>
      <rPr>
        <sz val="11"/>
        <color theme="1"/>
        <rFont val="Calibri"/>
        <family val="2"/>
        <scheme val="minor"/>
      </rPr>
      <t xml:space="preserve"> επι τον δαδ</t>
    </r>
  </si>
  <si>
    <t>εαν μη ο π απορκιθη</t>
  </si>
  <si>
    <r>
      <t>εαν</t>
    </r>
    <r>
      <rPr>
        <b/>
        <sz val="11"/>
        <color theme="1"/>
        <rFont val="Calibri"/>
        <family val="2"/>
        <scheme val="minor"/>
      </rPr>
      <t xml:space="preserve"> μη</t>
    </r>
    <r>
      <rPr>
        <sz val="11"/>
        <color theme="1"/>
        <rFont val="Calibri"/>
        <family val="2"/>
        <scheme val="minor"/>
      </rPr>
      <t xml:space="preserve"> οκριθη</t>
    </r>
  </si>
  <si>
    <t>7522Α corrector omits μη</t>
  </si>
  <si>
    <t>και [] νυν εισιν</t>
  </si>
  <si>
    <r>
      <t xml:space="preserve">και </t>
    </r>
    <r>
      <rPr>
        <b/>
        <sz val="11"/>
        <color theme="1"/>
        <rFont val="Calibri"/>
        <family val="2"/>
        <scheme val="minor"/>
      </rPr>
      <t>[]</t>
    </r>
    <r>
      <rPr>
        <sz val="11"/>
        <color theme="1"/>
        <rFont val="Calibri"/>
        <family val="2"/>
        <scheme val="minor"/>
      </rPr>
      <t xml:space="preserve"> νυν εισιν</t>
    </r>
  </si>
  <si>
    <r>
      <t xml:space="preserve">και νυν </t>
    </r>
    <r>
      <rPr>
        <b/>
        <sz val="11"/>
        <color theme="1"/>
        <rFont val="Calibri"/>
        <family val="2"/>
        <scheme val="minor"/>
      </rPr>
      <t>ει</t>
    </r>
    <r>
      <rPr>
        <sz val="11"/>
        <color theme="1"/>
        <rFont val="Calibri"/>
        <family val="2"/>
        <scheme val="minor"/>
      </rPr>
      <t xml:space="preserve"> εισιν</t>
    </r>
  </si>
  <si>
    <t>ουχει τουτω</t>
  </si>
  <si>
    <t>ουχι τουτω</t>
  </si>
  <si>
    <t>ως υ και</t>
  </si>
  <si>
    <t>ως ιυ και</t>
  </si>
  <si>
    <t>ποτος του βασιλεως</t>
  </si>
  <si>
    <t>ποτος βασιλεως</t>
  </si>
  <si>
    <t>εως εξενηψεν</t>
  </si>
  <si>
    <t>πορευετο αυτος</t>
  </si>
  <si>
    <t>πορευετε αυτος</t>
  </si>
  <si>
    <r>
      <rPr>
        <b/>
        <sz val="11"/>
        <color theme="1"/>
        <rFont val="Calibri"/>
        <family val="2"/>
        <scheme val="minor"/>
      </rPr>
      <t>ελαβον</t>
    </r>
    <r>
      <rPr>
        <sz val="11"/>
        <color theme="1"/>
        <rFont val="Calibri"/>
        <family val="2"/>
        <scheme val="minor"/>
      </rPr>
      <t xml:space="preserve"> οι αμαληκειται </t>
    </r>
  </si>
  <si>
    <r>
      <rPr>
        <b/>
        <sz val="11"/>
        <color theme="1"/>
        <rFont val="Calibri"/>
        <family val="2"/>
        <scheme val="minor"/>
      </rPr>
      <t>ελαβεν</t>
    </r>
    <r>
      <rPr>
        <sz val="11"/>
        <color theme="1"/>
        <rFont val="Calibri"/>
        <family val="2"/>
        <scheme val="minor"/>
      </rPr>
      <t xml:space="preserve"> οι αμαληκιται </t>
    </r>
  </si>
  <si>
    <r>
      <t xml:space="preserve">ελαβον οι </t>
    </r>
    <r>
      <rPr>
        <b/>
        <sz val="11"/>
        <color theme="1"/>
        <rFont val="Calibri"/>
        <family val="2"/>
        <scheme val="minor"/>
      </rPr>
      <t>αμαληκειται</t>
    </r>
    <r>
      <rPr>
        <sz val="11"/>
        <color theme="1"/>
        <rFont val="Calibri"/>
        <family val="2"/>
        <scheme val="minor"/>
      </rPr>
      <t xml:space="preserve"> </t>
    </r>
  </si>
  <si>
    <r>
      <t xml:space="preserve">ελαβεν οι </t>
    </r>
    <r>
      <rPr>
        <b/>
        <sz val="11"/>
        <color theme="1"/>
        <rFont val="Calibri"/>
        <family val="2"/>
        <scheme val="minor"/>
      </rPr>
      <t>αμαληκιται</t>
    </r>
    <r>
      <rPr>
        <sz val="11"/>
        <color theme="1"/>
        <rFont val="Calibri"/>
        <family val="2"/>
        <scheme val="minor"/>
      </rPr>
      <t xml:space="preserve"> </t>
    </r>
  </si>
  <si>
    <r>
      <rPr>
        <b/>
        <sz val="11"/>
        <color theme="1"/>
        <rFont val="Calibri"/>
        <family val="2"/>
        <scheme val="minor"/>
      </rPr>
      <t>αποκεντησουσιν</t>
    </r>
    <r>
      <rPr>
        <sz val="11"/>
        <color theme="1"/>
        <rFont val="Calibri"/>
        <family val="2"/>
        <scheme val="minor"/>
      </rPr>
      <t xml:space="preserve"> με και εμπεξωσιν</t>
    </r>
  </si>
  <si>
    <r>
      <rPr>
        <b/>
        <sz val="11"/>
        <color theme="1"/>
        <rFont val="Calibri"/>
        <family val="2"/>
        <scheme val="minor"/>
      </rPr>
      <t>αποκεντησωσιν</t>
    </r>
    <r>
      <rPr>
        <sz val="11"/>
        <color theme="1"/>
        <rFont val="Calibri"/>
        <family val="2"/>
        <scheme val="minor"/>
      </rPr>
      <t xml:space="preserve"> μη και εμπαιξωσιν</t>
    </r>
  </si>
  <si>
    <t>αβεννηρ και ινατι απεσταλκας</t>
  </si>
  <si>
    <r>
      <t xml:space="preserve">αβεννηρ </t>
    </r>
    <r>
      <rPr>
        <b/>
        <sz val="11"/>
        <color theme="1"/>
        <rFont val="Calibri"/>
        <family val="2"/>
        <scheme val="minor"/>
      </rPr>
      <t>προς σε</t>
    </r>
    <r>
      <rPr>
        <sz val="11"/>
        <color theme="1"/>
        <rFont val="Calibri"/>
        <family val="2"/>
        <scheme val="minor"/>
      </rPr>
      <t xml:space="preserve"> και ινατι εξαπεσταλκας</t>
    </r>
  </si>
  <si>
    <r>
      <t xml:space="preserve">αβεννηρ προς σε και ινατι </t>
    </r>
    <r>
      <rPr>
        <b/>
        <sz val="11"/>
        <color theme="1"/>
        <rFont val="Calibri"/>
        <family val="2"/>
        <scheme val="minor"/>
      </rPr>
      <t>εξαπεσταλκας</t>
    </r>
  </si>
  <si>
    <r>
      <t xml:space="preserve">αβεννηρ και ινατι </t>
    </r>
    <r>
      <rPr>
        <b/>
        <sz val="11"/>
        <color theme="1"/>
        <rFont val="Calibri"/>
        <family val="2"/>
        <scheme val="minor"/>
      </rPr>
      <t>απεσταλκας</t>
    </r>
  </si>
  <si>
    <t>Alexandrinus = ανταποδοι</t>
  </si>
  <si>
    <t>καθ αυτον</t>
  </si>
  <si>
    <r>
      <rPr>
        <b/>
        <sz val="11"/>
        <color theme="1"/>
        <rFont val="Calibri"/>
        <family val="2"/>
        <scheme val="minor"/>
      </rPr>
      <t>εγενετο</t>
    </r>
    <r>
      <rPr>
        <sz val="11"/>
        <color theme="1"/>
        <rFont val="Calibri"/>
        <family val="2"/>
        <scheme val="minor"/>
      </rPr>
      <t xml:space="preserve"> εις δυο σχοινισματα</t>
    </r>
  </si>
  <si>
    <t>εφυγαν απο προσωπου</t>
  </si>
  <si>
    <t>Alexandrinus = ειεδιδια</t>
  </si>
  <si>
    <t>προς θαμαρ</t>
  </si>
  <si>
    <t>ελαβεν θαμαρ</t>
  </si>
  <si>
    <t>αυτης επι την κεφαλην αυτης</t>
  </si>
  <si>
    <t>αυτης επι της κεφαλης αυτης</t>
  </si>
  <si>
    <t>βεδλασωρ</t>
  </si>
  <si>
    <t>Alexandrinus = ανηγγειλεν</t>
  </si>
  <si>
    <r>
      <t xml:space="preserve">επ εμου </t>
    </r>
    <r>
      <rPr>
        <b/>
        <sz val="11"/>
        <color theme="1"/>
        <rFont val="Calibri"/>
        <family val="2"/>
        <scheme val="minor"/>
      </rPr>
      <t>επελευσεται</t>
    </r>
    <r>
      <rPr>
        <sz val="11"/>
        <color theme="1"/>
        <rFont val="Calibri"/>
        <family val="2"/>
        <scheme val="minor"/>
      </rPr>
      <t xml:space="preserve"> πας ανηρ</t>
    </r>
  </si>
  <si>
    <t>Alexandrinus = χουσιν ρος</t>
  </si>
  <si>
    <t>τω χουσει</t>
  </si>
  <si>
    <t>τω χουσι</t>
  </si>
  <si>
    <t>προσεκυνησεν χουσει</t>
  </si>
  <si>
    <t>προσεκυνησεν χουσι</t>
  </si>
  <si>
    <t>ιδου ο χουσει</t>
  </si>
  <si>
    <t>ιδου ο χουσι</t>
  </si>
  <si>
    <t>ειπεν χουσει</t>
  </si>
  <si>
    <t>ειπεν χουσι</t>
  </si>
  <si>
    <t>ειπεν ο χουσει</t>
  </si>
  <si>
    <t>ειπεν ο χουσι</t>
  </si>
  <si>
    <t>τον χουσει</t>
  </si>
  <si>
    <t>τον χουσι</t>
  </si>
  <si>
    <t>Alexandrinus = επεκρυψεν</t>
  </si>
  <si>
    <t>βασταση</t>
  </si>
  <si>
    <t>Alexandrinus = βασταση</t>
  </si>
  <si>
    <r>
      <rPr>
        <b/>
        <sz val="11"/>
        <color theme="1"/>
        <rFont val="Calibri"/>
        <family val="2"/>
        <scheme val="minor"/>
      </rPr>
      <t>σαμεα</t>
    </r>
    <r>
      <rPr>
        <sz val="11"/>
        <color theme="1"/>
        <rFont val="Calibri"/>
        <family val="2"/>
        <scheme val="minor"/>
      </rPr>
      <t xml:space="preserve"> </t>
    </r>
    <r>
      <rPr>
        <b/>
        <sz val="11"/>
        <color theme="1"/>
        <rFont val="Calibri"/>
        <family val="2"/>
        <scheme val="minor"/>
      </rPr>
      <t>ο</t>
    </r>
    <r>
      <rPr>
        <sz val="11"/>
        <color theme="1"/>
        <rFont val="Calibri"/>
        <family val="2"/>
        <scheme val="minor"/>
      </rPr>
      <t xml:space="preserve"> υιος</t>
    </r>
  </si>
  <si>
    <r>
      <rPr>
        <b/>
        <sz val="11"/>
        <color theme="1"/>
        <rFont val="Calibri"/>
        <family val="2"/>
        <scheme val="minor"/>
      </rPr>
      <t>αραβωθει</t>
    </r>
    <r>
      <rPr>
        <sz val="11"/>
        <color theme="1"/>
        <rFont val="Calibri"/>
        <family val="2"/>
        <scheme val="minor"/>
      </rPr>
      <t xml:space="preserve"> ασμωθ</t>
    </r>
  </si>
  <si>
    <r>
      <rPr>
        <b/>
        <sz val="11"/>
        <color theme="1"/>
        <rFont val="Calibri"/>
        <family val="2"/>
        <scheme val="minor"/>
      </rPr>
      <t>αραβωθει</t>
    </r>
    <r>
      <rPr>
        <sz val="11"/>
        <color theme="1"/>
        <rFont val="Calibri"/>
        <family val="2"/>
        <scheme val="minor"/>
      </rPr>
      <t xml:space="preserve"> ας ασμωθ</t>
    </r>
  </si>
  <si>
    <t>κατα προσωπον του βασιλεως</t>
  </si>
  <si>
    <t>κατα το προσωπον του βασιλεως</t>
  </si>
  <si>
    <r>
      <rPr>
        <b/>
        <sz val="11"/>
        <color theme="1"/>
        <rFont val="Calibri"/>
        <family val="2"/>
        <scheme val="minor"/>
      </rPr>
      <t>ελαλησας</t>
    </r>
    <r>
      <rPr>
        <sz val="11"/>
        <color theme="1"/>
        <rFont val="Calibri"/>
        <family val="2"/>
        <scheme val="minor"/>
      </rPr>
      <t xml:space="preserve"> κε μου βασιλευ</t>
    </r>
  </si>
  <si>
    <t>ελαλησας κε μου βασιλευ</t>
  </si>
  <si>
    <r>
      <rPr>
        <b/>
        <sz val="11"/>
        <color theme="1"/>
        <rFont val="Calibri"/>
        <family val="2"/>
        <scheme val="minor"/>
      </rPr>
      <t>ελαλησεν</t>
    </r>
    <r>
      <rPr>
        <sz val="11"/>
        <color theme="1"/>
        <rFont val="Calibri"/>
        <family val="2"/>
        <scheme val="minor"/>
      </rPr>
      <t xml:space="preserve"> ο κυριος μου βασιλευς</t>
    </r>
  </si>
  <si>
    <r>
      <t xml:space="preserve">ελαλησεν </t>
    </r>
    <r>
      <rPr>
        <b/>
        <sz val="11"/>
        <color theme="1"/>
        <rFont val="Calibri"/>
        <family val="2"/>
        <scheme val="minor"/>
      </rPr>
      <t>ο</t>
    </r>
    <r>
      <rPr>
        <sz val="11"/>
        <color theme="1"/>
        <rFont val="Calibri"/>
        <family val="2"/>
        <scheme val="minor"/>
      </rPr>
      <t xml:space="preserve"> κυριος μου βασιλευς</t>
    </r>
  </si>
  <si>
    <t>τουτο εκρινεν ο βασιλευς</t>
  </si>
  <si>
    <t>τουτο ο εκρινεν ο βασιλευς</t>
  </si>
  <si>
    <t>Alexandrinus = διαπεταση</t>
  </si>
  <si>
    <r>
      <t xml:space="preserve">κατα </t>
    </r>
    <r>
      <rPr>
        <b/>
        <sz val="11"/>
        <color theme="1"/>
        <rFont val="Calibri"/>
        <family val="2"/>
        <scheme val="minor"/>
      </rPr>
      <t>πασας</t>
    </r>
    <r>
      <rPr>
        <sz val="11"/>
        <color theme="1"/>
        <rFont val="Calibri"/>
        <family val="2"/>
        <scheme val="minor"/>
      </rPr>
      <t xml:space="preserve"> τας οδους</t>
    </r>
  </si>
  <si>
    <r>
      <t xml:space="preserve">κατα τας </t>
    </r>
    <r>
      <rPr>
        <b/>
        <sz val="11"/>
        <color theme="1"/>
        <rFont val="Calibri"/>
        <family val="2"/>
        <scheme val="minor"/>
      </rPr>
      <t>οδους</t>
    </r>
  </si>
  <si>
    <r>
      <t xml:space="preserve">κατα πασας τας </t>
    </r>
    <r>
      <rPr>
        <b/>
        <sz val="11"/>
        <color theme="1"/>
        <rFont val="Calibri"/>
        <family val="2"/>
        <scheme val="minor"/>
      </rPr>
      <t>οδους</t>
    </r>
  </si>
  <si>
    <t>Alexandrinus = οδου</t>
  </si>
  <si>
    <r>
      <rPr>
        <b/>
        <sz val="11"/>
        <color theme="1"/>
        <rFont val="Calibri"/>
        <family val="2"/>
        <scheme val="minor"/>
      </rPr>
      <t>εγκατελειπον</t>
    </r>
    <r>
      <rPr>
        <sz val="11"/>
        <color theme="1"/>
        <rFont val="Calibri"/>
        <family val="2"/>
        <scheme val="minor"/>
      </rPr>
      <t xml:space="preserve"> τον κν</t>
    </r>
  </si>
  <si>
    <r>
      <t xml:space="preserve">εγκατελειπον </t>
    </r>
    <r>
      <rPr>
        <b/>
        <sz val="11"/>
        <color theme="1"/>
        <rFont val="Calibri"/>
        <family val="2"/>
        <scheme val="minor"/>
      </rPr>
      <t>τον</t>
    </r>
    <r>
      <rPr>
        <sz val="11"/>
        <color theme="1"/>
        <rFont val="Calibri"/>
        <family val="2"/>
        <scheme val="minor"/>
      </rPr>
      <t xml:space="preserve"> κν</t>
    </r>
  </si>
  <si>
    <r>
      <t xml:space="preserve">εποιησεν </t>
    </r>
    <r>
      <rPr>
        <b/>
        <sz val="11"/>
        <color theme="1"/>
        <rFont val="Calibri"/>
        <family val="2"/>
        <scheme val="minor"/>
      </rPr>
      <t>ζαμβρι</t>
    </r>
    <r>
      <rPr>
        <sz val="11"/>
        <color theme="1"/>
        <rFont val="Calibri"/>
        <family val="2"/>
        <scheme val="minor"/>
      </rPr>
      <t xml:space="preserve"> το πονηρον ενωπιον κυ</t>
    </r>
  </si>
  <si>
    <r>
      <t xml:space="preserve">εποιησεν </t>
    </r>
    <r>
      <rPr>
        <b/>
        <sz val="11"/>
        <color theme="1"/>
        <rFont val="Calibri"/>
        <family val="2"/>
        <scheme val="minor"/>
      </rPr>
      <t>ζαμβρι</t>
    </r>
    <r>
      <rPr>
        <sz val="11"/>
        <color theme="1"/>
        <rFont val="Calibri"/>
        <family val="2"/>
        <scheme val="minor"/>
      </rPr>
      <t xml:space="preserve"> τοπον ηρον πονηρον ενωπιον κυριου</t>
    </r>
  </si>
  <si>
    <t>αχααβ υιος ζαμβρι</t>
  </si>
  <si>
    <r>
      <t xml:space="preserve">αχααβ υιος </t>
    </r>
    <r>
      <rPr>
        <b/>
        <sz val="11"/>
        <color theme="1"/>
        <rFont val="Calibri"/>
        <family val="2"/>
        <scheme val="minor"/>
      </rPr>
      <t>ζαμβρι</t>
    </r>
  </si>
  <si>
    <r>
      <rPr>
        <b/>
        <sz val="11"/>
        <color theme="1"/>
        <rFont val="Calibri"/>
        <family val="2"/>
        <scheme val="minor"/>
      </rPr>
      <t>αναστρεφε</t>
    </r>
    <r>
      <rPr>
        <sz val="11"/>
        <color theme="1"/>
        <rFont val="Calibri"/>
        <family val="2"/>
        <scheme val="minor"/>
      </rPr>
      <t xml:space="preserve"> οτι πεποιηκα</t>
    </r>
  </si>
  <si>
    <r>
      <t xml:space="preserve">αναστρεφε </t>
    </r>
    <r>
      <rPr>
        <b/>
        <sz val="11"/>
        <color theme="1"/>
        <rFont val="Calibri"/>
        <family val="2"/>
        <scheme val="minor"/>
      </rPr>
      <t>οτι</t>
    </r>
    <r>
      <rPr>
        <sz val="11"/>
        <color theme="1"/>
        <rFont val="Calibri"/>
        <family val="2"/>
        <scheme val="minor"/>
      </rPr>
      <t xml:space="preserve"> πεποιηκα</t>
    </r>
  </si>
  <si>
    <t>πρων μου σοι (7) και</t>
  </si>
  <si>
    <t>Alexandrinus = λαλησεις</t>
  </si>
  <si>
    <t>εις σαμαριαν</t>
  </si>
  <si>
    <r>
      <t xml:space="preserve">μηποτε </t>
    </r>
    <r>
      <rPr>
        <b/>
        <sz val="11"/>
        <color theme="1"/>
        <rFont val="Calibri"/>
        <family val="2"/>
        <scheme val="minor"/>
      </rPr>
      <t>ευρεν</t>
    </r>
    <r>
      <rPr>
        <sz val="11"/>
        <color theme="1"/>
        <rFont val="Calibri"/>
        <family val="2"/>
        <scheme val="minor"/>
      </rPr>
      <t xml:space="preserve"> αυτον</t>
    </r>
  </si>
  <si>
    <r>
      <t xml:space="preserve">μηποτε </t>
    </r>
    <r>
      <rPr>
        <b/>
        <sz val="11"/>
        <color theme="1"/>
        <rFont val="Calibri"/>
        <family val="2"/>
        <scheme val="minor"/>
      </rPr>
      <t>αιρεν</t>
    </r>
    <r>
      <rPr>
        <sz val="11"/>
        <color theme="1"/>
        <rFont val="Calibri"/>
        <family val="2"/>
        <scheme val="minor"/>
      </rPr>
      <t xml:space="preserve"> αυτον</t>
    </r>
  </si>
  <si>
    <r>
      <t xml:space="preserve">μηποτε ευρεν </t>
    </r>
    <r>
      <rPr>
        <b/>
        <sz val="11"/>
        <color theme="1"/>
        <rFont val="Calibri"/>
        <family val="2"/>
        <scheme val="minor"/>
      </rPr>
      <t>αυτον</t>
    </r>
  </si>
  <si>
    <r>
      <t xml:space="preserve">μηποτε αιρεν </t>
    </r>
    <r>
      <rPr>
        <b/>
        <sz val="11"/>
        <color theme="1"/>
        <rFont val="Calibri"/>
        <family val="2"/>
        <scheme val="minor"/>
      </rPr>
      <t>αυτον</t>
    </r>
  </si>
  <si>
    <t>Alexandrinus = αυτο</t>
  </si>
  <si>
    <t>ωδαι ελισσαιε</t>
  </si>
  <si>
    <t>ωδε ελισσαιε</t>
  </si>
  <si>
    <r>
      <t xml:space="preserve">καταλειπειν </t>
    </r>
    <r>
      <rPr>
        <b/>
        <sz val="11"/>
        <color theme="1"/>
        <rFont val="Calibri"/>
        <family val="2"/>
        <scheme val="minor"/>
      </rPr>
      <t>τους</t>
    </r>
    <r>
      <rPr>
        <sz val="11"/>
        <color theme="1"/>
        <rFont val="Calibri"/>
        <family val="2"/>
        <scheme val="minor"/>
      </rPr>
      <t xml:space="preserve"> λιθους</t>
    </r>
  </si>
  <si>
    <t>ευλογησεις αυτον</t>
  </si>
  <si>
    <t>ευλογησει σε</t>
  </si>
  <si>
    <t>ειπεν κυ κυριε διανοιξαν τους</t>
  </si>
  <si>
    <t>Alexandrinus inserts δη between διανοιξον and τους</t>
  </si>
  <si>
    <t>Alexandrinus = σωση</t>
  </si>
  <si>
    <t>η-ει</t>
  </si>
  <si>
    <t>αιματα παντων των δουλων</t>
  </si>
  <si>
    <t>αιματα παντα των δουλων</t>
  </si>
  <si>
    <t>οικου του βασιλεως</t>
  </si>
  <si>
    <t>οικω του βασιλεως</t>
  </si>
  <si>
    <t>εμαθ εγο</t>
  </si>
  <si>
    <r>
      <t xml:space="preserve">οφθαλμους και </t>
    </r>
    <r>
      <rPr>
        <b/>
        <sz val="11"/>
        <color theme="1"/>
        <rFont val="Calibri"/>
        <family val="2"/>
        <scheme val="minor"/>
      </rPr>
      <t>καταρρειν</t>
    </r>
  </si>
  <si>
    <t>εκαλεσεν ετι σαμουηλ</t>
  </si>
  <si>
    <t>εκαλεσεν οτι σαμουηλ</t>
  </si>
  <si>
    <t>πας ισραηλ και εως</t>
  </si>
  <si>
    <r>
      <t xml:space="preserve">εισηλθεν </t>
    </r>
    <r>
      <rPr>
        <b/>
        <sz val="11"/>
        <color theme="1"/>
        <rFont val="Calibri"/>
        <family val="2"/>
        <scheme val="minor"/>
      </rPr>
      <t>η</t>
    </r>
    <r>
      <rPr>
        <sz val="11"/>
        <color theme="1"/>
        <rFont val="Calibri"/>
        <family val="2"/>
        <scheme val="minor"/>
      </rPr>
      <t xml:space="preserve"> κιβωτος</t>
    </r>
  </si>
  <si>
    <r>
      <t xml:space="preserve">εισηλθεν η </t>
    </r>
    <r>
      <rPr>
        <b/>
        <sz val="11"/>
        <color theme="1"/>
        <rFont val="Calibri"/>
        <family val="2"/>
        <scheme val="minor"/>
      </rPr>
      <t>κιβωτος</t>
    </r>
  </si>
  <si>
    <r>
      <t xml:space="preserve">εισηλθεν </t>
    </r>
    <r>
      <rPr>
        <b/>
        <sz val="11"/>
        <color theme="1"/>
        <rFont val="Calibri"/>
        <family val="2"/>
        <scheme val="minor"/>
      </rPr>
      <t>κειβωτος</t>
    </r>
  </si>
  <si>
    <t>εδουλευσαν τω κω μονω</t>
  </si>
  <si>
    <t>εδουλευσαν κυριω μονω</t>
  </si>
  <si>
    <t>ακουσαν οτι</t>
  </si>
  <si>
    <t>7522A changed to ηκουσαν οι</t>
  </si>
  <si>
    <r>
      <t xml:space="preserve">αυτας </t>
    </r>
    <r>
      <rPr>
        <b/>
        <sz val="11"/>
        <color theme="1"/>
        <rFont val="Calibri"/>
        <family val="2"/>
        <scheme val="minor"/>
      </rPr>
      <t>προς</t>
    </r>
    <r>
      <rPr>
        <sz val="11"/>
        <color theme="1"/>
        <rFont val="Calibri"/>
        <family val="2"/>
        <scheme val="minor"/>
      </rPr>
      <t xml:space="preserve"> ισραηλ</t>
    </r>
  </si>
  <si>
    <t>7522A = ευρεσητε</t>
  </si>
  <si>
    <r>
      <t xml:space="preserve">ουτως ευρησετε </t>
    </r>
    <r>
      <rPr>
        <b/>
        <sz val="11"/>
        <color theme="1"/>
        <rFont val="Calibri"/>
        <family val="2"/>
        <scheme val="minor"/>
      </rPr>
      <t>αυτον</t>
    </r>
  </si>
  <si>
    <r>
      <t xml:space="preserve">ουτως ευρησετε </t>
    </r>
    <r>
      <rPr>
        <b/>
        <sz val="11"/>
        <color theme="1"/>
        <rFont val="Calibri"/>
        <family val="2"/>
        <scheme val="minor"/>
      </rPr>
      <t>εαυτον</t>
    </r>
  </si>
  <si>
    <r>
      <t xml:space="preserve">ουτως </t>
    </r>
    <r>
      <rPr>
        <b/>
        <sz val="11"/>
        <color theme="1"/>
        <rFont val="Calibri"/>
        <family val="2"/>
        <scheme val="minor"/>
      </rPr>
      <t>ευρησετε</t>
    </r>
    <r>
      <rPr>
        <sz val="11"/>
        <color theme="1"/>
        <rFont val="Calibri"/>
        <family val="2"/>
        <scheme val="minor"/>
      </rPr>
      <t xml:space="preserve"> αυτον</t>
    </r>
  </si>
  <si>
    <r>
      <t xml:space="preserve">ουτως </t>
    </r>
    <r>
      <rPr>
        <b/>
        <sz val="11"/>
        <color theme="1"/>
        <rFont val="Calibri"/>
        <family val="2"/>
        <scheme val="minor"/>
      </rPr>
      <t>ευρησετε</t>
    </r>
    <r>
      <rPr>
        <sz val="11"/>
        <color theme="1"/>
        <rFont val="Calibri"/>
        <family val="2"/>
        <scheme val="minor"/>
      </rPr>
      <t xml:space="preserve"> εαυτον</t>
    </r>
  </si>
  <si>
    <t>ημεραν ευρησεται</t>
  </si>
  <si>
    <t>ημεραν ευρεσητε</t>
  </si>
  <si>
    <t>εδαψιλευσατο</t>
  </si>
  <si>
    <t>ειπαν ζητειν</t>
  </si>
  <si>
    <t>ειπεν ζητειν</t>
  </si>
  <si>
    <t>τι ειπεν σοι</t>
  </si>
  <si>
    <t>τι ειπειν σοι</t>
  </si>
  <si>
    <r>
      <rPr>
        <b/>
        <sz val="11"/>
        <color theme="1"/>
        <rFont val="Calibri"/>
        <family val="2"/>
        <scheme val="minor"/>
      </rPr>
      <t>ματταρειτ</t>
    </r>
    <r>
      <rPr>
        <sz val="11"/>
        <color theme="1"/>
        <rFont val="Calibri"/>
        <family val="2"/>
        <scheme val="minor"/>
      </rPr>
      <t xml:space="preserve"> και ανδρας</t>
    </r>
  </si>
  <si>
    <r>
      <t xml:space="preserve">ματταρειτ </t>
    </r>
    <r>
      <rPr>
        <b/>
        <sz val="11"/>
        <color theme="1"/>
        <rFont val="Calibri"/>
        <family val="2"/>
        <scheme val="minor"/>
      </rPr>
      <t>και</t>
    </r>
    <r>
      <rPr>
        <sz val="11"/>
        <color theme="1"/>
        <rFont val="Calibri"/>
        <family val="2"/>
        <scheme val="minor"/>
      </rPr>
      <t xml:space="preserve"> ανδρας</t>
    </r>
  </si>
  <si>
    <r>
      <rPr>
        <b/>
        <sz val="11"/>
        <color theme="1"/>
        <rFont val="Calibri"/>
        <family val="2"/>
        <scheme val="minor"/>
      </rPr>
      <t>πεφευγασιν</t>
    </r>
    <r>
      <rPr>
        <sz val="11"/>
        <color theme="1"/>
        <rFont val="Calibri"/>
        <family val="2"/>
        <scheme val="minor"/>
      </rPr>
      <t xml:space="preserve"> οι αλλοφυλοι</t>
    </r>
  </si>
  <si>
    <r>
      <rPr>
        <b/>
        <sz val="11"/>
        <color theme="1"/>
        <rFont val="Calibri"/>
        <family val="2"/>
        <scheme val="minor"/>
      </rPr>
      <t>πεφευγασιν</t>
    </r>
    <r>
      <rPr>
        <sz val="11"/>
        <color theme="1"/>
        <rFont val="Calibri"/>
        <family val="2"/>
        <scheme val="minor"/>
      </rPr>
      <t xml:space="preserve"> αλλοφυλοι</t>
    </r>
  </si>
  <si>
    <r>
      <t xml:space="preserve">πεφευγασιν </t>
    </r>
    <r>
      <rPr>
        <b/>
        <sz val="11"/>
        <color theme="1"/>
        <rFont val="Calibri"/>
        <family val="2"/>
        <scheme val="minor"/>
      </rPr>
      <t>οι</t>
    </r>
    <r>
      <rPr>
        <sz val="11"/>
        <color theme="1"/>
        <rFont val="Calibri"/>
        <family val="2"/>
        <scheme val="minor"/>
      </rPr>
      <t xml:space="preserve"> αλλοφυλοι</t>
    </r>
  </si>
  <si>
    <t>7522A = πεφυγασιν</t>
  </si>
  <si>
    <t>[ε]ν αυτοις εως</t>
  </si>
  <si>
    <t>εν αυτοις δ εως</t>
  </si>
  <si>
    <t xml:space="preserve">ως ανθρωπος του μετανοησαι </t>
  </si>
  <si>
    <t>τρυυφαλιδας</t>
  </si>
  <si>
    <t>παρεπαρεταξαντο</t>
  </si>
  <si>
    <t>ει συ και</t>
  </si>
  <si>
    <t>ει σοι και</t>
  </si>
  <si>
    <t>7522A corrects οικω -&gt; οικου</t>
  </si>
  <si>
    <t>εν σοι ο βασιλευς</t>
  </si>
  <si>
    <t>εν σοι βασιλευς</t>
  </si>
  <si>
    <t>πρς μου</t>
  </si>
  <si>
    <t>πατρος σου</t>
  </si>
  <si>
    <t>ιωναθαν ιδου δη</t>
  </si>
  <si>
    <t>ιωναθαν αυριον δη</t>
  </si>
  <si>
    <t>7522A = ιωναθαν ιδου αυιον δη</t>
  </si>
  <si>
    <r>
      <t xml:space="preserve">ειπεν αναστηθι </t>
    </r>
    <r>
      <rPr>
        <b/>
        <sz val="11"/>
        <color theme="1"/>
        <rFont val="Calibri"/>
        <family val="2"/>
        <scheme val="minor"/>
      </rPr>
      <t>και</t>
    </r>
    <r>
      <rPr>
        <sz val="11"/>
        <color theme="1"/>
        <rFont val="Calibri"/>
        <family val="2"/>
        <scheme val="minor"/>
      </rPr>
      <t xml:space="preserve"> προς αυτον και καταβηθι</t>
    </r>
  </si>
  <si>
    <r>
      <t xml:space="preserve">ποιμνια αυτου εν </t>
    </r>
    <r>
      <rPr>
        <b/>
        <sz val="11"/>
        <color theme="1"/>
        <rFont val="Calibri"/>
        <family val="2"/>
        <scheme val="minor"/>
      </rPr>
      <t>τω</t>
    </r>
    <r>
      <rPr>
        <sz val="11"/>
        <color theme="1"/>
        <rFont val="Calibri"/>
        <family val="2"/>
        <scheme val="minor"/>
      </rPr>
      <t xml:space="preserve"> καρμηλω</t>
    </r>
  </si>
  <si>
    <t>ποιμνια αυτω εν καρμηλω</t>
  </si>
  <si>
    <t>κειρειν τα ποιμνια</t>
  </si>
  <si>
    <t>κειρειν το ποιμνια</t>
  </si>
  <si>
    <r>
      <t xml:space="preserve">σου </t>
    </r>
    <r>
      <rPr>
        <b/>
        <sz val="11"/>
        <color theme="1"/>
        <rFont val="Calibri"/>
        <family val="2"/>
        <scheme val="minor"/>
      </rPr>
      <t>ουχ</t>
    </r>
    <r>
      <rPr>
        <sz val="11"/>
        <color theme="1"/>
        <rFont val="Calibri"/>
        <family val="2"/>
        <scheme val="minor"/>
      </rPr>
      <t xml:space="preserve"> ιδον</t>
    </r>
  </si>
  <si>
    <r>
      <t xml:space="preserve">σου </t>
    </r>
    <r>
      <rPr>
        <b/>
        <sz val="11"/>
        <color theme="1"/>
        <rFont val="Calibri"/>
        <family val="2"/>
        <scheme val="minor"/>
      </rPr>
      <t>ουκ</t>
    </r>
    <r>
      <rPr>
        <sz val="11"/>
        <color theme="1"/>
        <rFont val="Calibri"/>
        <family val="2"/>
        <scheme val="minor"/>
      </rPr>
      <t xml:space="preserve"> ειδον</t>
    </r>
  </si>
  <si>
    <r>
      <t xml:space="preserve">σου ουκ </t>
    </r>
    <r>
      <rPr>
        <b/>
        <sz val="11"/>
        <color theme="1"/>
        <rFont val="Calibri"/>
        <family val="2"/>
        <scheme val="minor"/>
      </rPr>
      <t>ειδον</t>
    </r>
  </si>
  <si>
    <r>
      <t xml:space="preserve">σου ουχ </t>
    </r>
    <r>
      <rPr>
        <b/>
        <sz val="11"/>
        <color theme="1"/>
        <rFont val="Calibri"/>
        <family val="2"/>
        <scheme val="minor"/>
      </rPr>
      <t>ιδον</t>
    </r>
  </si>
  <si>
    <t>ειπεν δαβιδ ουκ ανηρ</t>
  </si>
  <si>
    <t>των ημερων δαβιδ ων εκαθισεν εν αγρω</t>
  </si>
  <si>
    <t>ουχι εν ταις</t>
  </si>
  <si>
    <t>ουχει εν ταις</t>
  </si>
  <si>
    <r>
      <t xml:space="preserve">(19) δυνατοι (20) </t>
    </r>
    <r>
      <rPr>
        <b/>
        <sz val="11"/>
        <color theme="1"/>
        <rFont val="Calibri"/>
        <family val="2"/>
        <scheme val="minor"/>
      </rPr>
      <t>αναγγειλατε</t>
    </r>
  </si>
  <si>
    <t>δαυιδ εγω καλως διαθησομαι</t>
  </si>
  <si>
    <t>τα ωτα δαυιδ</t>
  </si>
  <si>
    <r>
      <rPr>
        <b/>
        <sz val="11"/>
        <color theme="1"/>
        <rFont val="Calibri"/>
        <family val="2"/>
        <scheme val="minor"/>
      </rPr>
      <t>του</t>
    </r>
    <r>
      <rPr>
        <sz val="11"/>
        <color theme="1"/>
        <rFont val="Calibri"/>
        <family val="2"/>
        <scheme val="minor"/>
      </rPr>
      <t xml:space="preserve"> περιδειπνησαι</t>
    </r>
  </si>
  <si>
    <r>
      <t xml:space="preserve">του </t>
    </r>
    <r>
      <rPr>
        <b/>
        <sz val="11"/>
        <color theme="1"/>
        <rFont val="Calibri"/>
        <family val="2"/>
        <scheme val="minor"/>
      </rPr>
      <t>περιδειπνησαι</t>
    </r>
  </si>
  <si>
    <t>ενωπιον κυριου διαθηκην και χριουσιν</t>
  </si>
  <si>
    <t>τον οικον αβεδδαδαμ</t>
  </si>
  <si>
    <r>
      <t xml:space="preserve">ηγουμενον επι </t>
    </r>
    <r>
      <rPr>
        <b/>
        <sz val="11"/>
        <color theme="1"/>
        <rFont val="Calibri"/>
        <family val="2"/>
        <scheme val="minor"/>
      </rPr>
      <t>τον</t>
    </r>
    <r>
      <rPr>
        <sz val="11"/>
        <color theme="1"/>
        <rFont val="Calibri"/>
        <family val="2"/>
        <scheme val="minor"/>
      </rPr>
      <t xml:space="preserve"> ισραηλ</t>
    </r>
  </si>
  <si>
    <t>ηγουμενον επι τον ισραηλ</t>
  </si>
  <si>
    <r>
      <rPr>
        <b/>
        <sz val="11"/>
        <color theme="1"/>
        <rFont val="Calibri"/>
        <family val="2"/>
        <scheme val="minor"/>
      </rPr>
      <t>εγενοντο</t>
    </r>
    <r>
      <rPr>
        <sz val="11"/>
        <color theme="1"/>
        <rFont val="Calibri"/>
        <family val="2"/>
        <scheme val="minor"/>
      </rPr>
      <t xml:space="preserve"> τα δυο σχοινισματα</t>
    </r>
  </si>
  <si>
    <r>
      <t xml:space="preserve">εγενοντο </t>
    </r>
    <r>
      <rPr>
        <b/>
        <sz val="11"/>
        <color theme="1"/>
        <rFont val="Calibri"/>
        <family val="2"/>
        <scheme val="minor"/>
      </rPr>
      <t>τα</t>
    </r>
    <r>
      <rPr>
        <sz val="11"/>
        <color theme="1"/>
        <rFont val="Calibri"/>
        <family val="2"/>
        <scheme val="minor"/>
      </rPr>
      <t xml:space="preserve"> δυο σχοινισματα</t>
    </r>
  </si>
  <si>
    <r>
      <t xml:space="preserve">παντων </t>
    </r>
    <r>
      <rPr>
        <b/>
        <sz val="11"/>
        <color theme="1"/>
        <rFont val="Calibri"/>
        <family val="2"/>
        <scheme val="minor"/>
      </rPr>
      <t>νεανισκων</t>
    </r>
  </si>
  <si>
    <t>(9) κατεβη εις τον οικον αυτου (10) και ειπεν δαβιδ</t>
  </si>
  <si>
    <t>αρχιεταιρος</t>
  </si>
  <si>
    <t>7522A = ισμαηλιτης</t>
  </si>
  <si>
    <t>ο βασιλευς επεκρυψεν</t>
  </si>
  <si>
    <t>και εξηλθον οπισω</t>
  </si>
  <si>
    <t>και εξηλθεν οπισω</t>
  </si>
  <si>
    <t>δαν ει εξελειπον</t>
  </si>
  <si>
    <t>δαν ει εξελιπον</t>
  </si>
  <si>
    <t>ουτως ει εξελειπον</t>
  </si>
  <si>
    <t>ουτως ει εξελιπον</t>
  </si>
  <si>
    <t>κυριος εκλαμψει</t>
  </si>
  <si>
    <r>
      <rPr>
        <b/>
        <sz val="11"/>
        <color theme="1"/>
        <rFont val="Calibri"/>
        <family val="2"/>
        <scheme val="minor"/>
      </rPr>
      <t>εν</t>
    </r>
    <r>
      <rPr>
        <sz val="11"/>
        <color theme="1"/>
        <rFont val="Calibri"/>
        <family val="2"/>
        <scheme val="minor"/>
      </rPr>
      <t xml:space="preserve"> μεσω γαδ της φαραγγος και ελιαζηρ</t>
    </r>
  </si>
  <si>
    <r>
      <t xml:space="preserve">εν μεσω </t>
    </r>
    <r>
      <rPr>
        <b/>
        <sz val="11"/>
        <color theme="1"/>
        <rFont val="Calibri"/>
        <family val="2"/>
        <scheme val="minor"/>
      </rPr>
      <t>γαδ</t>
    </r>
    <r>
      <rPr>
        <sz val="11"/>
        <color theme="1"/>
        <rFont val="Calibri"/>
        <family val="2"/>
        <scheme val="minor"/>
      </rPr>
      <t xml:space="preserve"> της φαραγγος και ελιαζηρ</t>
    </r>
  </si>
  <si>
    <t>ωκοδομησεν δαβιδ</t>
  </si>
  <si>
    <t>επι θρονου της</t>
  </si>
  <si>
    <t xml:space="preserve">(50) κερατων του θυσιαστηριου (51) και ανηγγελη τω σαλωμων λεγοντες ιδου αδωνιας εφοβηθη τον βασιλεα σαλωμων και κατεχει των κερατων του θυσιαστηριου λεγων ωμοσατω </t>
  </si>
  <si>
    <t>και ειπον αυτω</t>
  </si>
  <si>
    <t>και ειπεν αυτω</t>
  </si>
  <si>
    <t>εις βασιλεια</t>
  </si>
  <si>
    <t>μοι εις τον ιορδανην</t>
  </si>
  <si>
    <t>ελεος μεγα</t>
  </si>
  <si>
    <t>ελεος σου</t>
  </si>
  <si>
    <t>τραπεζαν ετ ης</t>
  </si>
  <si>
    <t>(24) η ημερα αυτη (25) και νυν κε ο θς ισραηλ (26) πιστωθητι</t>
  </si>
  <si>
    <t>(6) αυτοις (7) και εξαρω τον ισραηλ απο της γης ης εδωκα αυτοις και τον οικον</t>
  </si>
  <si>
    <t>αυτω αδελφη</t>
  </si>
  <si>
    <r>
      <t xml:space="preserve">εθαψαν </t>
    </r>
    <r>
      <rPr>
        <b/>
        <sz val="11"/>
        <color theme="1"/>
        <rFont val="Calibri"/>
        <family val="2"/>
        <scheme val="minor"/>
      </rPr>
      <t>αυτον</t>
    </r>
    <r>
      <rPr>
        <sz val="11"/>
        <color theme="1"/>
        <rFont val="Calibri"/>
        <family val="2"/>
        <scheme val="minor"/>
      </rPr>
      <t xml:space="preserve"> πας ισραηλ</t>
    </r>
  </si>
  <si>
    <r>
      <t xml:space="preserve">ιουδα </t>
    </r>
    <r>
      <rPr>
        <b/>
        <sz val="11"/>
        <color theme="1"/>
        <rFont val="Calibri"/>
        <family val="2"/>
        <scheme val="minor"/>
      </rPr>
      <t>ε</t>
    </r>
    <r>
      <rPr>
        <sz val="11"/>
        <color theme="1"/>
        <rFont val="Calibri"/>
        <family val="2"/>
        <scheme val="minor"/>
      </rPr>
      <t xml:space="preserve"> εβασιλευσεν α ηλα</t>
    </r>
  </si>
  <si>
    <t>ιουδα εβασιλευσεν ηλα</t>
  </si>
  <si>
    <r>
      <t xml:space="preserve">ιουδα ε εβασιλευσεν </t>
    </r>
    <r>
      <rPr>
        <b/>
        <sz val="11"/>
        <color theme="1"/>
        <rFont val="Calibri"/>
        <family val="2"/>
        <scheme val="minor"/>
      </rPr>
      <t>α</t>
    </r>
    <r>
      <rPr>
        <sz val="11"/>
        <color theme="1"/>
        <rFont val="Calibri"/>
        <family val="2"/>
        <scheme val="minor"/>
      </rPr>
      <t xml:space="preserve"> ηλα</t>
    </r>
  </si>
  <si>
    <r>
      <t xml:space="preserve">αχααβ </t>
    </r>
    <r>
      <rPr>
        <b/>
        <sz val="11"/>
        <color theme="1"/>
        <rFont val="Calibri"/>
        <family val="2"/>
        <scheme val="minor"/>
      </rPr>
      <t>ο</t>
    </r>
    <r>
      <rPr>
        <sz val="11"/>
        <color theme="1"/>
        <rFont val="Calibri"/>
        <family val="2"/>
        <scheme val="minor"/>
      </rPr>
      <t xml:space="preserve"> υιος ζαμβρι</t>
    </r>
  </si>
  <si>
    <r>
      <t xml:space="preserve">αχααβ ο υιος </t>
    </r>
    <r>
      <rPr>
        <b/>
        <sz val="11"/>
        <color theme="1"/>
        <rFont val="Calibri"/>
        <family val="2"/>
        <scheme val="minor"/>
      </rPr>
      <t>ζαμβρι</t>
    </r>
  </si>
  <si>
    <r>
      <rPr>
        <b/>
        <sz val="11"/>
        <color theme="1"/>
        <rFont val="Calibri"/>
        <family val="2"/>
        <scheme val="minor"/>
      </rPr>
      <t>εωρακας</t>
    </r>
    <r>
      <rPr>
        <sz val="11"/>
        <color theme="1"/>
        <rFont val="Calibri"/>
        <family val="2"/>
        <scheme val="minor"/>
      </rPr>
      <t xml:space="preserve"> εως κατενυγη</t>
    </r>
  </si>
  <si>
    <r>
      <t xml:space="preserve">εωρακας </t>
    </r>
    <r>
      <rPr>
        <b/>
        <sz val="11"/>
        <color theme="1"/>
        <rFont val="Calibri"/>
        <family val="2"/>
        <scheme val="minor"/>
      </rPr>
      <t>εως</t>
    </r>
    <r>
      <rPr>
        <sz val="11"/>
        <color theme="1"/>
        <rFont val="Calibri"/>
        <family val="2"/>
        <scheme val="minor"/>
      </rPr>
      <t xml:space="preserve"> κατενυγη</t>
    </r>
  </si>
  <si>
    <t>additional text seems to be a correction reading</t>
  </si>
  <si>
    <r>
      <t xml:space="preserve">(6) </t>
    </r>
    <r>
      <rPr>
        <b/>
        <sz val="11"/>
        <color theme="1"/>
        <rFont val="Calibri"/>
        <family val="2"/>
        <scheme val="minor"/>
      </rPr>
      <t>αποθανη (7) ει και</t>
    </r>
    <r>
      <rPr>
        <sz val="11"/>
        <color theme="1"/>
        <rFont val="Calibri"/>
        <family val="2"/>
        <scheme val="minor"/>
      </rPr>
      <t xml:space="preserve"> ειπεν προς αυτους</t>
    </r>
  </si>
  <si>
    <t>ειπεν ελισαιε</t>
  </si>
  <si>
    <t>ειπεν ελισσαιε</t>
  </si>
  <si>
    <t>απηγγειλεν κυριω του θεου</t>
  </si>
  <si>
    <t>7522A = προς τον βασιλεα και; Seems to have been copied from the next line (i.e., scribe skipped a line but eventually caught his mistake); freq = προς</t>
  </si>
  <si>
    <r>
      <rPr>
        <b/>
        <sz val="11"/>
        <color theme="1"/>
        <rFont val="Calibri"/>
        <family val="2"/>
        <scheme val="minor"/>
      </rPr>
      <t>ειπεν</t>
    </r>
    <r>
      <rPr>
        <sz val="11"/>
        <color theme="1"/>
        <rFont val="Calibri"/>
        <family val="2"/>
        <scheme val="minor"/>
      </rPr>
      <t xml:space="preserve"> αδικον απαγγειλον</t>
    </r>
  </si>
  <si>
    <r>
      <rPr>
        <b/>
        <sz val="11"/>
        <color theme="1"/>
        <rFont val="Calibri"/>
        <family val="2"/>
        <scheme val="minor"/>
      </rPr>
      <t>ειπεν</t>
    </r>
    <r>
      <rPr>
        <sz val="11"/>
        <color theme="1"/>
        <rFont val="Calibri"/>
        <family val="2"/>
        <scheme val="minor"/>
      </rPr>
      <t xml:space="preserve"> αδικον αναγγειλον</t>
    </r>
  </si>
  <si>
    <r>
      <t xml:space="preserve">ειπεν αδικον </t>
    </r>
    <r>
      <rPr>
        <b/>
        <sz val="11"/>
        <color theme="1"/>
        <rFont val="Calibri"/>
        <family val="2"/>
        <scheme val="minor"/>
      </rPr>
      <t>αναγγειλον</t>
    </r>
  </si>
  <si>
    <r>
      <t xml:space="preserve">ειπεν αδικον </t>
    </r>
    <r>
      <rPr>
        <b/>
        <sz val="11"/>
        <color theme="1"/>
        <rFont val="Calibri"/>
        <family val="2"/>
        <scheme val="minor"/>
      </rPr>
      <t>απαγγειλον</t>
    </r>
  </si>
  <si>
    <t>απεστρεψεν ο βασιλευς ιωραμ ιατρευθηναι</t>
  </si>
  <si>
    <r>
      <t xml:space="preserve">ελυπηθη </t>
    </r>
    <r>
      <rPr>
        <b/>
        <sz val="11"/>
        <color theme="1"/>
        <rFont val="Calibri"/>
        <family val="2"/>
        <scheme val="minor"/>
      </rPr>
      <t>ο ανθρωπος θεου επ αυτω</t>
    </r>
  </si>
  <si>
    <t>ελυπηθη ο ανθρωπος θεου επ αυτω</t>
  </si>
  <si>
    <t>πασας τας ημερας ας ο υιος ιεσσαι ζη επι της γης</t>
  </si>
  <si>
    <t>εποιησεν ο πατηρ αυτου μετ αυτου εμου ελεος</t>
  </si>
  <si>
    <r>
      <rPr>
        <b/>
        <sz val="11"/>
        <color theme="1"/>
        <rFont val="Calibri"/>
        <family val="2"/>
        <scheme val="minor"/>
      </rPr>
      <t>αναστραφε</t>
    </r>
    <r>
      <rPr>
        <sz val="11"/>
        <color theme="1"/>
        <rFont val="Calibri"/>
        <family val="2"/>
        <scheme val="minor"/>
      </rPr>
      <t xml:space="preserve"> οτι πεποιηκα</t>
    </r>
  </si>
  <si>
    <t>πινεται "corrected" to πιεται</t>
  </si>
  <si>
    <t>ειδαν -&gt; ειδον</t>
  </si>
  <si>
    <t>autograph transcript error (Alex.  = βασιλευσει); autograph matches form from 8:11 (το δικαιωμα του βασιλεως ος βασιλευσει εφ υμας); apograph disharmonizes</t>
  </si>
  <si>
    <t>omits one αυριον</t>
  </si>
  <si>
    <t>freq = ορθρος</t>
  </si>
  <si>
    <t>freq = κωφευω</t>
  </si>
  <si>
    <t xml:space="preserve"> -&gt; παρεδωκεν κυριος αυτους; autograph matches form in 14:10 (οτι παρεδωκεν αυτους κς εις τας χειρας ημων); apograph disharmonizes</t>
  </si>
  <si>
    <t>autograph matches form in 14:23 (εν τω ορει εφραιμ); apograph disharmonizes</t>
  </si>
  <si>
    <t>autograph matches form in 14:24 (εν τω ορει εφραιμ); apograph disharmonizes</t>
  </si>
  <si>
    <t>freq = δοξαζω; apograph matches pattern in 15:24 (και ειπεν σαουλ προς σαμουηλ ημαρτηκα); apograph harmonizes</t>
  </si>
  <si>
    <t>freq = οιδα - οραω</t>
  </si>
  <si>
    <t>παρητηται</t>
  </si>
  <si>
    <t>τη σχιζη και παρηγαγεν</t>
  </si>
  <si>
    <t>"corrected" to τι</t>
  </si>
  <si>
    <t>πολεσιν του ναιου</t>
  </si>
  <si>
    <t>Alex. = εξηγαγεν (misrecorded as in col D); original 7522A = εξηγαγεν  (apparent, correction covers the relevant ε); corrected 7522A = εξηγαγον</t>
  </si>
  <si>
    <t>δουλοι</t>
  </si>
  <si>
    <t>διαβαινε</t>
  </si>
  <si>
    <t>του αβεσσαλωμ και πας ο λαος ηκουσεν εντελλομενου του βασιλεως πασι τοις αρχουσιν υπερ αβεσσαλωμ (6) και εξηλθεν</t>
  </si>
  <si>
    <t>freq = τριακοστος</t>
  </si>
  <si>
    <t>skipped 1 line (199v.1.33-34); freq = ρημα</t>
  </si>
  <si>
    <t>σαλωμωντα</t>
  </si>
  <si>
    <t>Alex. = σουμανιτην</t>
  </si>
  <si>
    <t>skipped 1 line (205r.2.40; visual cues present); correction = λιθοις δεκας πηχεσιν και οκτωπηχεσι (48) και επανθωεν</t>
  </si>
  <si>
    <t>freq = εξαιρω</t>
  </si>
  <si>
    <t>freq = αρμα</t>
  </si>
  <si>
    <t>εξοδος εξ αιγυπτου αρμα αντι εκατον</t>
  </si>
  <si>
    <t>βασιλευσιν χεττιειμ και βασιλευσιν συριας</t>
  </si>
  <si>
    <t>εν αιγυπτω εως</t>
  </si>
  <si>
    <t>autograph matches pattern used in 15:7 (τα λοιπα των λογων ... επι βιβλιου λογων των ημερων τοις βασιλευσιν ιουδα); apograph disharmonizes</t>
  </si>
  <si>
    <t>corrected 7522A = χειρι ιηου</t>
  </si>
  <si>
    <t>Alex. = ορους εν δυο ταλαντων</t>
  </si>
  <si>
    <t>autograph more closely matches pattern in 16:30 (και εποιησεν αχααβ υιος ζαμβρι το πονηρον ενωπιον κυ θπερ παντας τους εμπροσθεν αυτου); apograph disharmonizes</t>
  </si>
  <si>
    <t>απηλθεν ηλιου επι τον  ελισσαιε και</t>
  </si>
  <si>
    <t>και ει εις πολεμον</t>
  </si>
  <si>
    <t>autograph matches pattern in 22:22 (πνευμα ψευδες εν στοματι παντων των προφητων); apograph disharmonizes</t>
  </si>
  <si>
    <t>7522A = μι μιχαιας</t>
  </si>
  <si>
    <t>ιωσαφατ και η δυναστεια αυτου ην εποιησεν</t>
  </si>
  <si>
    <t>Alex. = δια του δικτυου τουτου εν τω υπερωω</t>
  </si>
  <si>
    <t>αιρεν -&gt; ηρεν</t>
  </si>
  <si>
    <t>freq = ισραηλ - ιουδα</t>
  </si>
  <si>
    <t>σφενδονηται</t>
  </si>
  <si>
    <t>Alex. = παντα</t>
  </si>
  <si>
    <t>δορευειη εικως -&gt; δευρο επιεικως</t>
  </si>
  <si>
    <t>ανδρων των [] του κυριου</t>
  </si>
  <si>
    <t>θιαθη -&gt; διαθηκη</t>
  </si>
  <si>
    <t>2.0.4 transposition</t>
  </si>
  <si>
    <t>freq = νυν</t>
  </si>
  <si>
    <t xml:space="preserve"> freq = ιωαθαμ</t>
  </si>
  <si>
    <t>autograph transcript error (Alex. originally = βασιλευσει); interestingly, Harley made the same mistake as me then corrected (βασιλευει -&gt; βασιλευσει); autograph matches form from 8:11 (το δικαιωμα του βασιλεως ος βασιλευσει εφ υμας); apograph disharmonizes</t>
  </si>
  <si>
    <t xml:space="preserve"> -&gt; παρεδωκεν κυριος αυτους; transposition remains; autograph matches form in 14:10 (οτι παρεδωκεν αυτους κς εις τας χειρας ημων); apograph disharmonizes</t>
  </si>
  <si>
    <t>autograph matches form in 14:23 (εν τω ορει εφραιμ), but note apograph omits article there too; apograph disharmonizes</t>
  </si>
  <si>
    <t>autograph matches form in 14:24 (εν τω ορει εφραιμ), but note apograph omits article there too; apograph disharmonizes</t>
  </si>
  <si>
    <t>εδοξασα deleted in correction; the rest of the addition remains; freq = δοξαζω; apograph matches pattern in 15:24 (και ειπεν σαουλ προς σαμουηλ ημαρτηκα); apograph harmonizes</t>
  </si>
  <si>
    <t>Accordance says Ιουδα occurs only 2x in Sam-Kings, apparently the normal word for Judah in these books is Ιουδας; autograph matches pattern used in 15:7 (τα λοιπα των λογων ... επι βιβλιου λογων των ημερων τοις βασιλευσιν ιουδα), and in context still talking about kings of Judah; apograph disharmonizes</t>
  </si>
  <si>
    <t>counting this as addition since, discounting word division, πονηρον is simply duplicated; autograph more closely matches pattern in 16:30 (και εποιησεν αχααβ υιος ζαμβρι το πονηρον ενωπιον κυ θπερ παντας τους εμπροσθεν αυτου); apograph disharmonizes</t>
  </si>
  <si>
    <t>is this necessarily a nonsense reading if the φ could serve as a numeral?; autograph matches pattern in 22:22 (πνευμα ψευδες εν στοματι παντων των προφητων); apograph disharmonizes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</si>
</sst>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theme="1"/>
      <name val="Arial Unicode MS"/>
    </font>
  </fonts>
  <fills count="7">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0" borderId="0" xfId="0" applyAlignment="1">
      <alignment vertical="center" wrapText="1"/>
    </xf>
    <xf numFmtId="0" fontId="0" fillId="2" borderId="0" xfId="0" applyFill="1" applyAlignment="1">
      <alignment vertical="center" wrapText="1"/>
    </xf>
    <xf numFmtId="0" fontId="0" fillId="3" borderId="0" xfId="0" applyFill="1"/>
    <xf numFmtId="0" fontId="1" fillId="0" borderId="0" xfId="0" applyFont="1" applyAlignment="1">
      <alignment vertical="center" wrapText="1"/>
    </xf>
    <xf numFmtId="0" fontId="0" fillId="4" borderId="0" xfId="0" applyFill="1"/>
    <xf numFmtId="49" fontId="1" fillId="0" borderId="0" xfId="0" applyNumberFormat="1" applyFont="1"/>
    <xf numFmtId="0" fontId="0" fillId="5" borderId="1" xfId="0" applyFill="1" applyBorder="1"/>
    <xf numFmtId="49" fontId="0" fillId="5" borderId="1" xfId="0" applyNumberFormat="1" applyFill="1" applyBorder="1"/>
    <xf numFmtId="0" fontId="0" fillId="3" borderId="0" xfId="0" applyFill="1" applyAlignment="1">
      <alignment vertical="center" wrapText="1"/>
    </xf>
    <xf numFmtId="0" fontId="0" fillId="0" borderId="0" xfId="0" applyAlignment="1">
      <alignment wrapText="1"/>
    </xf>
    <xf numFmtId="49" fontId="0" fillId="0" borderId="0" xfId="0" applyNumberFormat="1"/>
    <xf numFmtId="0" fontId="4" fillId="0" borderId="0" xfId="0" applyFont="1" applyAlignment="1">
      <alignment vertical="center"/>
    </xf>
    <xf numFmtId="0" fontId="1" fillId="0" borderId="0" xfId="0" applyFont="1" applyAlignment="1">
      <alignment wrapText="1"/>
    </xf>
    <xf numFmtId="0" fontId="0" fillId="6" borderId="0" xfId="0" applyFill="1"/>
    <xf numFmtId="0" fontId="1" fillId="6" borderId="0" xfId="0" applyFont="1" applyFill="1"/>
    <xf numFmtId="0" fontId="0" fillId="0" borderId="0" xfId="0" applyAlignment="1">
      <alignment horizontal="center"/>
    </xf>
  </cellXfs>
  <cellStyles count="1">
    <cellStyle name="Normal" xfId="0" builtinId="0"/>
  </cellStyles>
  <dxfs count="182">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clusteredColumn" uniqueId="{E6116E1E-83A0-472B-BF20-B6453B670A26}">
          <cx:dataId val="0"/>
          <cx:layoutPr>
            <cx:binning intervalClosed="r"/>
          </cx:layoutPr>
        </cx:series>
      </cx:plotAreaRegion>
      <cx:axis id="0">
        <cx:catScaling gapWidth="0"/>
        <cx:title>
          <cx:tx>
            <cx:txData>
              <cx:v>P10K Word Frequency Range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P10K Word Frequency Range</a:t>
              </a:r>
            </a:p>
          </cx:txPr>
        </cx:title>
        <cx:tickLabels/>
      </cx:axis>
      <cx:axis id="1">
        <cx:valScaling/>
        <cx:title>
          <cx:tx>
            <cx:txData>
              <cx:v>Total Additions and Omissions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 Additions and Omissions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65D31B4-82DE-48AF-9ABE-CBD209C118AF}">
          <cx:dataId val="0"/>
          <cx:layoutPr>
            <cx:binning intervalClosed="r"/>
          </cx:layoutPr>
        </cx:series>
      </cx:plotAreaRegion>
      <cx:axis id="0">
        <cx:catScaling gapWidth="0"/>
        <cx:title>
          <cx:tx>
            <cx:txData>
              <cx:v>P10K Word Frequency Range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P10K Word Frequency Range</a:t>
              </a:r>
            </a:p>
          </cx:txPr>
        </cx:title>
        <cx:tickLabels/>
      </cx:axis>
      <cx:axis id="1">
        <cx:valScaling/>
        <cx:title>
          <cx:tx>
            <cx:txData>
              <cx:v>Total Additions and Omissions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 Additions and Omissions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28575</xdr:colOff>
      <xdr:row>602</xdr:row>
      <xdr:rowOff>19050</xdr:rowOff>
    </xdr:from>
    <xdr:to>
      <xdr:col>8</xdr:col>
      <xdr:colOff>333375</xdr:colOff>
      <xdr:row>617</xdr:row>
      <xdr:rowOff>44450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B67FB7C-A3D3-4EAA-8A54-D4B606993C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47775" y="426231050"/>
              <a:ext cx="3962400" cy="2787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105</xdr:row>
      <xdr:rowOff>171450</xdr:rowOff>
    </xdr:from>
    <xdr:to>
      <xdr:col>9</xdr:col>
      <xdr:colOff>295275</xdr:colOff>
      <xdr:row>121</xdr:row>
      <xdr:rowOff>19050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3FF2749-0F8A-4A66-BDA2-9627E88181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19275" y="67754500"/>
              <a:ext cx="39624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Jonathan Wilken" id="{F418FEAB-B6F1-4619-B287-21956836AF69}" userId="186593bc330ab858"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1" dT="2024-01-16T10:00:06.98" personId="{F418FEAB-B6F1-4619-B287-21956836AF69}" id="{588BE818-CA05-4E5A-896E-60D1E3B246A6}">
    <text>For substitutions, the word frequency of the apograph reading</text>
  </threadedComment>
  <threadedComment ref="U1" dT="2024-01-16T09:59:48.08" personId="{F418FEAB-B6F1-4619-B287-21956836AF69}" id="{A3886A4E-C736-45C8-BEF3-4F7780149B9F}">
    <text>For substitutions, the word frequency of the autograph reading</text>
  </threadedComment>
</ThreadedComments>
</file>

<file path=xl/threadedComments/threadedComment10.xml><?xml version="1.0" encoding="utf-8"?>
<ThreadedComments xmlns="http://schemas.microsoft.com/office/spreadsheetml/2018/threadedcomments" xmlns:x="http://schemas.openxmlformats.org/spreadsheetml/2006/main">
  <threadedComment ref="K3" dT="2023-08-03T13:34:30.53" personId="{F418FEAB-B6F1-4619-B287-21956836AF69}" id="{721DF4BD-8A41-4393-A46B-DF3950D37900}">
    <text>The apograph reading is singular and the autograph reading is not. The singular readings method would detect this variant</text>
  </threadedComment>
  <threadedComment ref="K4" dT="2023-08-03T13:33:28.57" personId="{F418FEAB-B6F1-4619-B287-21956836AF69}" id="{CE366912-EBA8-4D36-8952-975514A02AA2}">
    <text>That is, the autograph contains a singular reading and the apograph followed it</text>
  </threadedComment>
  <threadedComment ref="K5" dT="2023-08-03T13:35:10.13" personId="{F418FEAB-B6F1-4619-B287-21956836AF69}" id="{EA99A7C9-DCE6-40AF-B4A7-AA049A6D935A}">
    <text>The apograph reading is not singular: other witnesses contain the same reading. These are real variants produced by the apograph scribe, but the singular readings method would not detect them</text>
  </threadedComment>
  <threadedComment ref="M13" dT="2023-08-14T14:21:11.11" personId="{F418FEAB-B6F1-4619-B287-21956836AF69}" id="{DF5A39CF-53B5-40CC-9266-FAAB20A43327}">
    <text>For words which have multiple common forms not impacting their inflection (e.g., ουκ-ουχ-ου, επι-επ-εφ)</text>
  </threadedComment>
</ThreadedComments>
</file>

<file path=xl/threadedComments/threadedComment2.xml><?xml version="1.0" encoding="utf-8"?>
<ThreadedComments xmlns="http://schemas.microsoft.com/office/spreadsheetml/2018/threadedcomments" xmlns:x="http://schemas.openxmlformats.org/spreadsheetml/2006/main">
  <threadedComment ref="R1" dT="2024-01-16T10:00:06.98" personId="{F418FEAB-B6F1-4619-B287-21956836AF69}" id="{044018C4-855F-44AB-8D89-3AAE6596FC6A}">
    <text>For substitutions, the word frequency of the apograph reading</text>
  </threadedComment>
  <threadedComment ref="S1" dT="2024-01-16T09:59:48.08" personId="{F418FEAB-B6F1-4619-B287-21956836AF69}" id="{4D362138-A128-4DAC-AFF8-5E7859E1C587}">
    <text>For substitutions, the word frequency of the autograph reading</text>
  </threadedComment>
</ThreadedComments>
</file>

<file path=xl/threadedComments/threadedComment3.xml><?xml version="1.0" encoding="utf-8"?>
<ThreadedComments xmlns="http://schemas.microsoft.com/office/spreadsheetml/2018/threadedcomments" xmlns:x="http://schemas.openxmlformats.org/spreadsheetml/2006/main">
  <threadedComment ref="Q1" dT="2024-01-15T15:51:08.85" personId="{F418FEAB-B6F1-4619-B287-21956836AF69}" id="{3E6DF575-84EB-4F67-A5A9-0CAFDD74CC06}">
    <text>Derived variable indicating the number of times per 1000 words the added or omitted word occurs. Thus, Freq-per-10,000 = (AO Word Frequency / Words in Corpus) * 10,000</text>
  </threadedComment>
  <threadedComment ref="S1" dT="2024-01-16T10:00:06.98" personId="{F418FEAB-B6F1-4619-B287-21956836AF69}" id="{C19E2D99-2B0C-478C-9648-03DB3D9C27DE}">
    <text>For substitutions, the word frequency of the apograph reading</text>
  </threadedComment>
  <threadedComment ref="T1" dT="2024-01-16T09:59:48.08" personId="{F418FEAB-B6F1-4619-B287-21956836AF69}" id="{DAC1155A-44C5-43F8-89C3-24B0B3717629}">
    <text>For substitutions, the word frequency of the autograph reading</text>
  </threadedComment>
  <threadedComment ref="F553" dT="2023-09-09T16:20:24.92" personId="{F418FEAB-B6F1-4619-B287-21956836AF69}" id="{FB508E18-835A-4919-9A50-6D64DC3F8C69}">
    <text>Raw number of additions</text>
  </threadedComment>
  <threadedComment ref="B554" dT="2023-09-09T13:15:24.43" personId="{F418FEAB-B6F1-4619-B287-21956836AF69}" id="{06B5BEC2-50FB-466C-9314-F85FF73F06BD}">
    <text>"Low Meaning" words</text>
  </threadedComment>
  <threadedComment ref="C554" dT="2023-09-09T13:15:40.92" personId="{F418FEAB-B6F1-4619-B287-21956836AF69}" id="{1D1F21C1-8688-45AB-AECC-70075E31471B}">
    <text>"High Meaning" words</text>
  </threadedComment>
  <threadedComment ref="F554" dT="2023-09-09T16:20:41.93" personId="{F418FEAB-B6F1-4619-B287-21956836AF69}" id="{DB043F2B-7157-4133-A311-BDE425BED459}">
    <text>Raw number of omissions</text>
  </threadedComment>
  <threadedComment ref="F555" dT="2023-09-09T16:21:30.82" personId="{F418FEAB-B6F1-4619-B287-21956836AF69}" id="{7B40DAC0-756C-477C-BF1D-11312EFA1CB6}">
    <text>% of add-omits that are additions</text>
  </threadedComment>
  <threadedComment ref="F558" dT="2023-09-09T16:22:43.13" personId="{F418FEAB-B6F1-4619-B287-21956836AF69}" id="{1ABAB90A-D420-4600-8327-000CB405EAF1}">
    <text>Raw number of additions of "low meaning" words. See LM column for included word types (and adjust equation as necessary)</text>
  </threadedComment>
  <threadedComment ref="F559" dT="2023-09-09T16:23:00.73" personId="{F418FEAB-B6F1-4619-B287-21956836AF69}" id="{B63723E2-8ACB-4BAE-A803-D8A1846134C4}">
    <text>Raw number of omissions of "low meaning" words. See LM column for included word types (and adjust equation as necessary)</text>
  </threadedComment>
  <threadedComment ref="F560" dT="2023-09-09T16:23:25.50" personId="{F418FEAB-B6F1-4619-B287-21956836AF69}" id="{B2EDBAC5-A7E0-43F3-B656-7F7FA2FA0548}">
    <text>Addition rate for "low meaning" words. See LM column for included word types (and adjust equation as necessary)</text>
  </threadedComment>
  <threadedComment ref="F563" dT="2023-09-09T16:26:23.57" personId="{F418FEAB-B6F1-4619-B287-21956836AF69}" id="{2824EF94-CB61-46F5-9A0E-BA46A44CDBAB}">
    <text>Raw number of additions of "high meaning" words. See HM column for included word types (and adjust equation as necessary)</text>
  </threadedComment>
  <threadedComment ref="F564" dT="2023-09-09T16:26:53.68" personId="{F418FEAB-B6F1-4619-B287-21956836AF69}" id="{003BF3EB-14C1-4E2E-A824-6CC1B3AE4C3D}">
    <text>Raw number of omissions of "high meaning" words. See HM column for included word types (and adjust equation as necessary)</text>
  </threadedComment>
  <threadedComment ref="F565" dT="2023-09-09T16:27:24.75" personId="{F418FEAB-B6F1-4619-B287-21956836AF69}" id="{4AC9F0D2-D887-4698-8C4D-D3CD9616A997}">
    <text>Addition rate for "high meaning" words. See HM column for included word types (and adjust equation as necessary)</text>
  </threadedComment>
  <threadedComment ref="D570" dT="2023-09-09T16:31:02.72" personId="{F418FEAB-B6F1-4619-B287-21956836AF69}" id="{B139E061-74F7-48B2-AFAB-4B0B72C949C1}">
    <text>The number of add-omits where visual cues are present that are, in fact, additions. I.e., the number of additions that result in the presence of visual cues</text>
  </threadedComment>
  <threadedComment ref="E570" dT="2023-09-09T16:31:50.60" personId="{F418FEAB-B6F1-4619-B287-21956836AF69}" id="{3701D9C5-277B-4F55-981C-8DC043FF1DD0}">
    <text>The number of add-omits where visual cues are NOT present that are, in fact, additions. I.e., the number of additions that generate no visual cues</text>
  </threadedComment>
  <threadedComment ref="F570" dT="2023-09-09T16:33:25.83" personId="{F418FEAB-B6F1-4619-B287-21956836AF69}" id="{7CB259D7-0A68-4EB8-9452-984700D66388}">
    <text>The percentage of add-omits where visual cues are present that are, in fact, additions. I.e., a percent frequency indicating how often an addition generates visual cues</text>
  </threadedComment>
  <threadedComment ref="D571" dT="2023-09-09T16:34:19.48" personId="{F418FEAB-B6F1-4619-B287-21956836AF69}" id="{040F5757-9C6F-4E0B-BD49-939ADC638391}">
    <text>The number of add-omits where visual cues are present that are, in fact, omissions. I.e., the number of times that omissions occurred in the presence of visual cues</text>
  </threadedComment>
  <threadedComment ref="E571" dT="2023-09-09T16:34:51.06" personId="{F418FEAB-B6F1-4619-B287-21956836AF69}" id="{4F0C55DB-85E4-4206-BDE9-BAA165DCE40F}">
    <text>The number of add-omits where visual cues are NOT present that are, in fact, omissions. I.e., the number of times that omissions occurred in the absence of visual cues</text>
  </threadedComment>
  <threadedComment ref="F571" dT="2023-09-09T16:35:41.16" personId="{F418FEAB-B6F1-4619-B287-21956836AF69}" id="{DB35783C-1F61-4DF4-9416-5F0211CC2E2E}">
    <text>The percentage of add-omits where visual cues are present that are, in fact, omissions. I.e., the percentage of omissions that could plausibly be due to visual cues</text>
  </threadedComment>
  <threadedComment ref="D572" dT="2023-09-09T16:36:05.81" personId="{F418FEAB-B6F1-4619-B287-21956836AF69}" id="{9FAFFE0C-F117-4ADE-A83E-106C290F8283}">
    <text>The total number of add-omits that involve visual cues</text>
  </threadedComment>
  <threadedComment ref="E572" dT="2023-09-09T16:38:54.43" personId="{F418FEAB-B6F1-4619-B287-21956836AF69}" id="{3D372E81-F67C-4E70-98DC-0CF49DD02DA4}">
    <text>The total number of add-omits that involve NO visual cues (given the definition of this project, i.e., 3-character minimum similarity in critical regions)</text>
  </threadedComment>
  <threadedComment ref="F572" dT="2023-09-09T16:39:12.76" personId="{F418FEAB-B6F1-4619-B287-21956836AF69}" id="{87F77263-D327-4113-A663-C9B6B511DFEB}">
    <text>The percentage of all add-omits that involve visual cues</text>
  </threadedComment>
  <threadedComment ref="D576" dT="2023-09-09T16:31:50.60" personId="{F418FEAB-B6F1-4619-B287-21956836AF69}" id="{535EDDF0-2ECE-451F-B083-D5666D435603}">
    <text>The number of add-omits where visual cues are NOT present that are, in fact, additions. I.e., the number of additions that generate no visual cues</text>
  </threadedComment>
  <threadedComment ref="E576" dT="2023-09-09T16:34:51.06" personId="{F418FEAB-B6F1-4619-B287-21956836AF69}" id="{FAC31A8F-940A-4060-B3BA-EA04C5B5D6A5}">
    <text>The number of add-omits where visual cues are NOT present that are, in fact, omissions. I.e., the number of times that omissions occurred in the absence of visual cues</text>
  </threadedComment>
  <threadedComment ref="D577" dT="2023-09-09T16:31:02.72" personId="{F418FEAB-B6F1-4619-B287-21956836AF69}" id="{7A4E1D2A-4EBD-4C9D-B54D-04D4B2BD99B3}">
    <text>The number of add-omits where visual cues are present that are, in fact, additions. I.e., the number of additions that result in the presence of visual cues</text>
  </threadedComment>
  <threadedComment ref="E577" dT="2023-09-09T16:34:19.48" personId="{F418FEAB-B6F1-4619-B287-21956836AF69}" id="{4B8FC20F-DA35-43DE-A8B6-C6660DC827C7}">
    <text>The number of add-omits where visual cues are present that are, in fact, omissions. I.e., the number of times that omissions occurred in the presence of visual cues</text>
  </threadedComment>
  <threadedComment ref="D582" dT="2023-09-09T16:31:50.60" personId="{F418FEAB-B6F1-4619-B287-21956836AF69}" id="{D32C8553-E851-41C1-85A7-845E483246A8}">
    <text>The number of non-dittographic add-omits that are, in fact, additions. I.e., the number of additions that do not result in dittography</text>
  </threadedComment>
  <threadedComment ref="E582" dT="2023-09-09T16:34:51.06" personId="{F418FEAB-B6F1-4619-B287-21956836AF69}" id="{691B222C-39CA-4E13-A838-C3B355948293}">
    <text>The number of non-dittographic add-omits that are, in fact, omissions. I.e., the number of omissions that did not undo a dittographic reading</text>
  </threadedComment>
  <threadedComment ref="D583" dT="2023-09-09T16:31:02.72" personId="{F418FEAB-B6F1-4619-B287-21956836AF69}" id="{D3A46ED1-CAAA-4BE6-BDD7-BF7D4D5AB478}">
    <text>The number of dittographic add-omits that are, in fact, additions. I.e., the number of additions that result in dittography</text>
  </threadedComment>
  <threadedComment ref="E583" dT="2023-09-09T16:34:19.48" personId="{F418FEAB-B6F1-4619-B287-21956836AF69}" id="{F8C56C7C-CF08-47F7-8DBA-FB79CF589B98}">
    <text>The number of dittographic add-omits that are, in fact, omissions. I.e., the number omissions where the omitted word(s) is/are dittographies</text>
  </threadedComment>
  <threadedComment ref="D588" dT="2024-01-06T19:48:13.17" personId="{F418FEAB-B6F1-4619-B287-21956836AF69}" id="{F9BD0F28-559B-4302-9BF2-534B106C0DDC}">
    <text>Additions of one word</text>
  </threadedComment>
  <threadedComment ref="E588" dT="2024-01-06T19:48:24.08" personId="{F418FEAB-B6F1-4619-B287-21956836AF69}" id="{ABCAEBBB-F73C-4F7A-AA7E-A5455AF73DF1}">
    <text>Omissions of one word</text>
  </threadedComment>
  <threadedComment ref="F588" dT="2024-01-06T19:49:49.67" personId="{F418FEAB-B6F1-4619-B287-21956836AF69}" id="{B5D65452-9DA5-4463-B695-9EB0CEC9CDDF}">
    <text>Add ratio for single-word variants</text>
  </threadedComment>
  <threadedComment ref="D589" dT="2024-01-06T19:48:46.30" personId="{F418FEAB-B6F1-4619-B287-21956836AF69}" id="{3200C69B-6B07-4FFE-9646-8ABCF4526537}">
    <text>Additions of 2-3 words</text>
  </threadedComment>
  <threadedComment ref="E589" dT="2024-01-06T19:49:11.26" personId="{F418FEAB-B6F1-4619-B287-21956836AF69}" id="{FD3037A3-B687-4653-955C-66F5059AA3F5}">
    <text>Omissions of 2-3 words</text>
  </threadedComment>
  <threadedComment ref="F589" dT="2024-01-06T19:50:08.15" personId="{F418FEAB-B6F1-4619-B287-21956836AF69}" id="{ECACA7A4-4BAB-40F9-8FF6-98901E1C1F7B}">
    <text>Add ratio for variants of 2-3 words</text>
  </threadedComment>
  <threadedComment ref="D590" dT="2024-01-06T19:48:58.81" personId="{F418FEAB-B6F1-4619-B287-21956836AF69}" id="{1970053C-E8B1-4F5A-8F5A-95BCAED1590E}">
    <text>Additions of 4 or more words</text>
  </threadedComment>
  <threadedComment ref="E590" dT="2024-01-06T19:49:22.83" personId="{F418FEAB-B6F1-4619-B287-21956836AF69}" id="{69C82FF9-CAE5-4D1E-A18B-B611488928AB}">
    <text>Omissions of 4 or more words</text>
  </threadedComment>
  <threadedComment ref="F590" dT="2024-01-06T19:50:20.70" personId="{F418FEAB-B6F1-4619-B287-21956836AF69}" id="{A969FC2D-0B30-41B3-97A0-F803DA05D984}">
    <text>Add ratio for variants of 4 or more words</text>
  </threadedComment>
  <threadedComment ref="C593" dT="2023-09-09T16:27:49.68" personId="{F418FEAB-B6F1-4619-B287-21956836AF69}" id="{993AB3E9-4102-4C82-9DB7-DB4CC86C402C}">
    <text>Number of words added or omitted</text>
  </threadedComment>
  <threadedComment ref="D593" dT="2023-09-09T16:28:21.63" personId="{F418FEAB-B6F1-4619-B287-21956836AF69}" id="{48E2B7EA-2059-491B-A21E-888CC875D1A1}">
    <text>Number of additions involving the number of words specified in the "Length" column</text>
  </threadedComment>
  <threadedComment ref="E593" dT="2023-09-09T16:28:41.21" personId="{F418FEAB-B6F1-4619-B287-21956836AF69}" id="{6F2CCF69-2793-4D5E-9880-ED2DB3F0C0B0}">
    <text>Number of omissions involving the number of words specified in the "Length" column</text>
  </threadedComment>
  <threadedComment ref="F593" dT="2023-09-09T16:29:25.88" personId="{F418FEAB-B6F1-4619-B287-21956836AF69}" id="{5264299C-DD7C-42E3-9E05-D90EA5B25D23}">
    <text>The addition rate for add-omits involving the number of words indicated in the "Length" column</text>
  </threadedComment>
  <threadedComment ref="D601" dT="2024-01-15T11:53:38.99" personId="{F418FEAB-B6F1-4619-B287-21956836AF69}" id="{F258EB54-4902-4874-8CE7-FE89A38484CF}">
    <text>Total word count for corpus. Figure taken from Accordance "Word Count Totals" analysis. Search for word "*" specifying [RANGE &lt;CONTENT&gt;]. E.g., for 1 Samuel - 2 Kings in Alexandrinus, search for "* [RANGE 1 Sam - 2 Kings]" in LXX Rahlfs.</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4-01-15T15:51:08.85" personId="{F418FEAB-B6F1-4619-B287-21956836AF69}" id="{05F4231A-1FCC-41EA-8988-0C33E5127D4B}">
    <text>Derived variable indicating the number of times per 1000 words the added or omitted word occurs. Thus, Freq-per-10,000 = (AO Word Frequency / Words in Corpus) * 10,000</text>
  </threadedComment>
  <threadedComment ref="S1" dT="2024-01-16T10:00:06.98" personId="{F418FEAB-B6F1-4619-B287-21956836AF69}" id="{42163AE5-08F5-4C62-9E10-D5D4704E71DB}">
    <text>For substitutions, the word frequency of the apograph reading</text>
  </threadedComment>
  <threadedComment ref="T1" dT="2024-01-16T09:59:48.08" personId="{F418FEAB-B6F1-4619-B287-21956836AF69}" id="{C42BCCA8-52E7-4914-9CE0-DF7490A3A31B}">
    <text>For substitutions, the word frequency of the autograph reading</text>
  </threadedComment>
  <threadedComment ref="D389" dT="2024-01-15T11:53:38.99" personId="{F418FEAB-B6F1-4619-B287-21956836AF69}" id="{933E5183-27E4-4C4A-AF04-F4278F971BE9}">
    <text>Total word count for corpus. Figure taken from Accordance "Word Count Totals" analysis. Search for word "*" specifying [RANGE &lt;CONTENT&gt;]. E.g., for 1 Samuel - 2 Kings in Alexandrinus, search for "* [RANGE 1 Sam - 2 Kings]" in LXX Rahlfs.</text>
  </threadedComment>
  <threadedComment ref="D390" dT="2024-01-15T16:09:47.97" personId="{F418FEAB-B6F1-4619-B287-21956836AF69}" id="{34E1EAB6-E709-44F1-B1AC-BC54659A0592}">
    <text>Median word frequency</text>
  </threadedComment>
  <threadedComment ref="D393" dT="2024-01-16T15:49:15.06" personId="{F418FEAB-B6F1-4619-B287-21956836AF69}" id="{CA3D7367-949E-4046-82D4-44FF87FC3E39}">
    <text>Higher-frequency additions: the number of additions among variants whose word frequency was equal to or above the median</text>
  </threadedComment>
  <threadedComment ref="D394" dT="2024-01-16T15:49:42.55" personId="{F418FEAB-B6F1-4619-B287-21956836AF69}" id="{9CEB2F3D-B285-4FCF-BF53-2C9746269B64}">
    <text xml:space="preserve">Higher-frequency omissions: the number of omissions among variants whose word frequency was equal to or above the median
</text>
  </threadedComment>
  <threadedComment ref="D395" dT="2024-01-16T15:50:17.80" personId="{F418FEAB-B6F1-4619-B287-21956836AF69}" id="{1A62710A-8EF0-4E86-A812-9C02B94B7DCF}">
    <text>Higher-frequency add ratio: the add ratio among variants whose word frequency was equal to or above the median</text>
  </threadedComment>
  <threadedComment ref="D396" dT="2024-01-16T15:50:43.11" personId="{F418FEAB-B6F1-4619-B287-21956836AF69}" id="{E86134D2-D3A4-4522-9658-C1100B5EC8C6}">
    <text xml:space="preserve">Lower-frequency additions: the number of additions among variants whose word frequency was below the median
</text>
  </threadedComment>
  <threadedComment ref="D397" dT="2024-01-16T15:52:18.36" personId="{F418FEAB-B6F1-4619-B287-21956836AF69}" id="{88D832AB-B9C6-415E-BCEF-052AC1AF226F}">
    <text>Higher-frequency omissions: the number of omissions among variants whose word frequency was below  the median</text>
  </threadedComment>
  <threadedComment ref="D398" dT="2024-01-16T15:51:50.24" personId="{F418FEAB-B6F1-4619-B287-21956836AF69}" id="{AA0DD523-231F-4533-B969-E91845748C50}">
    <text xml:space="preserve">Lower-frequency add ratio: the add ratio among variants whose word frequency was below the median
</text>
  </threadedComment>
  <threadedComment ref="D401" dT="2024-01-16T15:56:55.41" personId="{F418FEAB-B6F1-4619-B287-21956836AF69}" id="{0693C2A0-5880-4E67-B097-05BE489DF90F}">
    <text>Articular additions: the number of additions of an article</text>
  </threadedComment>
  <threadedComment ref="D402" dT="2024-01-16T16:01:25.48" personId="{F418FEAB-B6F1-4619-B287-21956836AF69}" id="{7FA41AB3-689B-4479-B008-85BC85F825DB}">
    <text>Articular omissions: the number of omissions of an article</text>
  </threadedComment>
  <threadedComment ref="D403" dT="2024-01-16T16:01:49.04" personId="{F418FEAB-B6F1-4619-B287-21956836AF69}" id="{004D65F6-27D7-46CF-84DC-527A36C3AE2E}">
    <text>Articular add ratio: the add ratio for the definite article</text>
  </threadedComment>
</ThreadedComments>
</file>

<file path=xl/threadedComments/threadedComment5.xml><?xml version="1.0" encoding="utf-8"?>
<ThreadedComments xmlns="http://schemas.microsoft.com/office/spreadsheetml/2018/threadedcomments" xmlns:x="http://schemas.openxmlformats.org/spreadsheetml/2006/main">
  <threadedComment ref="Q1" dT="2024-01-15T15:51:08.85" personId="{F418FEAB-B6F1-4619-B287-21956836AF69}" id="{566743A5-339A-4E31-956E-BB999502DD79}">
    <text>Derived variable indicating the number of times per 1000 words the added or omitted word occurs. Thus, Freq-per-10,000 = (AO Word Frequency / Words in Corpus) * 10,000</text>
  </threadedComment>
  <threadedComment ref="S1" dT="2024-01-16T10:00:06.98" personId="{F418FEAB-B6F1-4619-B287-21956836AF69}" id="{9D1BB0D9-E062-4CC9-9D5D-3C184D40F1E6}">
    <text>For substitutions, the word frequency of the apograph reading</text>
  </threadedComment>
  <threadedComment ref="T1" dT="2024-01-16T09:59:48.08" personId="{F418FEAB-B6F1-4619-B287-21956836AF69}" id="{BF3AFE3E-6AFC-40F6-9AB9-275E77438004}">
    <text>For substitutions, the word frequency of the autograph reading</text>
  </threadedComment>
  <threadedComment ref="D95" dT="2024-01-15T11:53:38.99" personId="{F418FEAB-B6F1-4619-B287-21956836AF69}" id="{0C79BF0B-2DEE-4A5F-A04D-D2F27C2C4BE4}">
    <text>Total word count for corpus. Figure taken from Accordance "Word Count Totals" analysis. Search for word "*" specifying [RANGE &lt;CONTENT&gt;]. E.g., for 1 Samuel - 2 Kings in Alexandrinus, search for "* [RANGE 1 Sam - 2 Kings]" in LXX Rahlfs.</text>
  </threadedComment>
  <threadedComment ref="D96" dT="2024-01-15T16:09:47.97" personId="{F418FEAB-B6F1-4619-B287-21956836AF69}" id="{2DA3B38B-0D08-4A01-916C-253AC2B79EC7}">
    <text>Median word frequency</text>
  </threadedComment>
  <threadedComment ref="D99" dT="2024-01-16T15:49:15.06" personId="{F418FEAB-B6F1-4619-B287-21956836AF69}" id="{1C0B79F9-C160-4E7C-8174-58370C0AB18C}">
    <text>Higher-frequency additions: the number of additions among variants whose word frequency was equal to or above the median</text>
  </threadedComment>
  <threadedComment ref="D100" dT="2024-01-16T15:49:42.55" personId="{F418FEAB-B6F1-4619-B287-21956836AF69}" id="{08EDB8F2-662B-48DD-AABF-5ACA58E43B74}">
    <text xml:space="preserve">Higher-frequency omissions: the number of omissions among variants whose word frequency was equal to or above the median
</text>
  </threadedComment>
  <threadedComment ref="D101" dT="2024-01-16T15:50:17.80" personId="{F418FEAB-B6F1-4619-B287-21956836AF69}" id="{29452EBE-AC43-4780-A2BF-54F264A92846}">
    <text>Higher-frequency add ratio: the add ratio among variants whose word frequency was equal to or above the median</text>
  </threadedComment>
  <threadedComment ref="D102" dT="2024-01-16T15:50:43.11" personId="{F418FEAB-B6F1-4619-B287-21956836AF69}" id="{11676A8B-1ADA-4AA4-B636-75A8EC3BCD5F}">
    <text xml:space="preserve">Lower-frequency additions: the number of additions among variants whose word frequency was below the median
</text>
  </threadedComment>
  <threadedComment ref="D103" dT="2024-01-16T15:52:18.36" personId="{F418FEAB-B6F1-4619-B287-21956836AF69}" id="{D281AD30-D462-40B6-8F87-AD895F723520}">
    <text>Higher-frequency omissions: the number of omissions among variants whose word frequency was below  the median</text>
  </threadedComment>
  <threadedComment ref="D104" dT="2024-01-16T15:51:50.24" personId="{F418FEAB-B6F1-4619-B287-21956836AF69}" id="{4417CC70-8F3F-4076-84D4-275E6FDCD95E}">
    <text xml:space="preserve">Lower-frequency add ratio: the add ratio among variants whose word frequency was below the median
</text>
  </threadedComment>
  <threadedComment ref="D105" dT="2024-01-22T14:15:25.14" personId="{F418FEAB-B6F1-4619-B287-21956836AF69}" id="{8300E24D-424C-4B38-86B8-02EEFC3FDC3F}">
    <text>The difference in add ratio based on word frequency category. If scribes exhibit preference for the familiar, the HF add ratio should usually be higher than the LF add ratio (thus, the Add Ratio Difference should be positive)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R1" dT="2024-01-16T10:00:06.98" personId="{F418FEAB-B6F1-4619-B287-21956836AF69}" id="{387443A7-A77F-4AEC-BCD0-583B24F11233}">
    <text>For substitutions, the word frequency of the apograph reading</text>
  </threadedComment>
  <threadedComment ref="S1" dT="2024-01-16T09:59:48.08" personId="{F418FEAB-B6F1-4619-B287-21956836AF69}" id="{C2D72B92-BD52-471A-B12D-04BFB2E6F3E9}">
    <text>For substitutions, the word frequency of the autograph reading</text>
  </threadedComment>
  <threadedComment ref="T1" dT="2024-01-16T12:04:07.25" personId="{F418FEAB-B6F1-4619-B287-21956836AF69}" id="{C2D6C040-CFDE-4E69-8FBD-C9BB7B16100C}">
    <text>Frequency occurrence of autograph reading per 10,000 words of text</text>
  </threadedComment>
  <threadedComment ref="U1" dT="2024-01-16T12:04:21.22" personId="{F418FEAB-B6F1-4619-B287-21956836AF69}" id="{17C6D982-0B43-410B-8623-381699C92866}">
    <text>Frequency occurrence of apograph reading per 10,000 words of text</text>
  </threadedComment>
  <threadedComment ref="V1" dT="2024-01-16T12:05:32.46" personId="{F418FEAB-B6F1-4619-B287-21956836AF69}" id="{BCC8E0FD-4D15-4DF1-A870-F0DF117F9522}">
    <text>Difference in the P10K frequency of the autograph and apograph readings. Difference = apograph - autograph. Thus, positive values indicate the apograph reading was a more common/frequent word; negative values indicate the apograph reading was a less common/frequent word</text>
  </threadedComment>
  <threadedComment ref="D237" dT="2024-01-15T11:53:38.99" personId="{F418FEAB-B6F1-4619-B287-21956836AF69}" id="{EE98C3A8-EF71-4573-A7B4-0FE3173A1784}">
    <text>Total word count for corpus. Figure taken from Accordance "Word Count Totals" analysis. Search for word "*" specifying [RANGE &lt;CONTENT&gt;]. E.g., for 1 Samuel - 2 Kings in Alexandrinus, search for "* [RANGE 1 Sam - 2 Kings]" in LXX Rahlfs.</text>
  </threadedComment>
  <threadedComment ref="D240" dT="2024-01-16T16:24:54.84" personId="{F418FEAB-B6F1-4619-B287-21956836AF69}" id="{87DEFD3F-A2DA-44D9-9767-2A20B0F68B6C}">
    <text>Number of variants where the scribe used a more common/frequent word in place of a less common/frequent word</text>
  </threadedComment>
  <threadedComment ref="D241" dT="2024-01-16T16:25:18.29" personId="{F418FEAB-B6F1-4619-B287-21956836AF69}" id="{C2936FE2-1559-4861-BF43-D8EBF6ADABEE}">
    <text>Number of variants where the scribe used a less common/frequent word in place of a more  common/frequent word</text>
  </threadedComment>
  <threadedComment ref="D242" dT="2024-01-16T16:26:16.57" personId="{F418FEAB-B6F1-4619-B287-21956836AF69}" id="{01B0EEFA-29DA-4222-B5BD-317822F33448}">
    <text>Probability based on 2-tailed sign test: probability of obtaining a result as extreme as or more extreme than that shown above</text>
  </threadedComment>
  <threadedComment ref="D244" dT="2024-01-16T16:28:22.68" personId="{F418FEAB-B6F1-4619-B287-21956836AF69}" id="{F755CC36-BADB-4EEB-8A25-E4BBD51E2841}">
    <text>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ext>
  </threadedComment>
  <threadedComment ref="D245" dT="2024-01-16T16:28:51.78" personId="{F418FEAB-B6F1-4619-B287-21956836AF69}" id="{8B3B3B6A-A23B-49C5-8B80-CB971A47F5B5}">
    <text>Standard deviation of the word frequency difference for substitutions</text>
  </threadedComment>
  <threadedComment ref="D248" dT="2024-01-16T16:30:57.18" personId="{F418FEAB-B6F1-4619-B287-21956836AF69}" id="{744D1816-D949-4CF0-A140-30FFA23A0B70}">
    <text>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ext>
  </threadedComment>
  <threadedComment ref="D249" dT="2024-01-16T16:31:30.62" personId="{F418FEAB-B6F1-4619-B287-21956836AF69}" id="{1FBF8A2A-1548-4CFB-B32E-D55376D9C6AD}">
    <text>Standard deviation of the change in word frequency, using the frequency measure of "occurrences per 10,000 words"</text>
  </threadedComment>
  <threadedComment ref="D252" dT="2024-01-22T16:14:41.99" personId="{F418FEAB-B6F1-4619-B287-21956836AF69}" id="{94F61FF3-02EB-466E-8C7A-EB3C260F6E18}">
    <text>Total number of substitutions for which a word frequency difference could be calculated</text>
  </threadedComment>
  <threadedComment ref="D253" dT="2024-01-22T17:13:39.02" personId="{F418FEAB-B6F1-4619-B287-21956836AF69}" id="{76947B5E-7AB1-42EC-B090-D32E4A4B79D0}">
    <text>The standard deviation of word frequency difference scores</text>
  </threadedComment>
</ThreadedComments>
</file>

<file path=xl/threadedComments/threadedComment7.xml><?xml version="1.0" encoding="utf-8"?>
<ThreadedComments xmlns="http://schemas.microsoft.com/office/spreadsheetml/2018/threadedcomments" xmlns:x="http://schemas.openxmlformats.org/spreadsheetml/2006/main">
  <threadedComment ref="S1" dT="2024-01-16T10:00:06.98" personId="{F418FEAB-B6F1-4619-B287-21956836AF69}" id="{13419FA0-8DA7-49E2-B6A0-AB46BC8D23F3}">
    <text>For substitutions, the word frequency of the apograph reading</text>
  </threadedComment>
  <threadedComment ref="T1" dT="2024-01-16T09:59:48.08" personId="{F418FEAB-B6F1-4619-B287-21956836AF69}" id="{E6773809-7782-49BB-B520-8CF6CC133FA1}">
    <text>For substitutions, the word frequency of the autograph reading</text>
  </threadedComment>
  <threadedComment ref="D81" dT="2024-01-24T17:15:11.25" personId="{F418FEAB-B6F1-4619-B287-21956836AF69}" id="{0CEB815B-1D5F-443E-99FB-43E35EB7DFF8}">
    <text>The number of variants that harmonized to parallel phrases in the near context</text>
  </threadedComment>
  <threadedComment ref="D82" dT="2024-01-24T17:15:35.01" personId="{F418FEAB-B6F1-4619-B287-21956836AF69}" id="{29F5BD62-0988-498B-9F09-82B0526EC9F2}">
    <text>The number of variants that disharmonized from  parallel phrases in the near context</text>
  </threadedComment>
  <threadedComment ref="D83" dT="2024-01-24T17:16:15.06" personId="{F418FEAB-B6F1-4619-B287-21956836AF69}" id="{D4E7280C-835B-43B9-9C98-278DA4B388CB}">
    <text>The ratio of harmonizations to disharmonizations; = harmonizations / (harmonizations + disharmonizations)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H2" dT="2023-08-15T15:31:46.43" personId="{F418FEAB-B6F1-4619-B287-21956836AF69}" id="{625175C0-7E01-44DD-8D62-C61B2A1A6EE5}">
    <text>="Medial Nasal" (Gignac, vol. 1) The omission of a nasal preceding a consonant in the middle of a word</text>
  </threadedComment>
  <threadedComment ref="H3" dT="2023-08-15T15:50:37.47" personId="{F418FEAB-B6F1-4619-B287-21956836AF69}" id="{7AC6A0D6-E15E-4114-A78F-663001C4616B}">
    <text>="Nasal Assimilation" (Gignac, vol. 1) Change of nasal consonants when preceding certain other consonants</text>
  </threadedComment>
  <threadedComment ref="H4" dT="2023-08-09T15:58:56.93" personId="{F418FEAB-B6F1-4619-B287-21956836AF69}" id="{AEE00366-3C36-43EA-B07C-7AF29FC88F0E}">
    <text>= "Simplification or Gemination" (Gignac, vol. 1). The production or removal of duplicate consonants (e.g., σς &lt;-&gt; ς)</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4-01-30T16:42:58.97" personId="{F418FEAB-B6F1-4619-B287-21956836AF69}" id="{73A640AE-EF0A-4CC4-9280-DEC52D006368}">
    <text>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ext>
  </threadedComment>
  <threadedComment ref="A2" dT="2024-01-30T16:43:29.06" personId="{F418FEAB-B6F1-4619-B287-21956836AF69}" id="{644B400E-A808-465E-8267-8B9558A266A8}">
    <text>The number of total deviations from the exemplar. Includes itacisms, orthographic changes, nonsense readings etc.</text>
  </threadedComment>
  <threadedComment ref="A3" dT="2024-01-30T16:44:34.54" personId="{F418FEAB-B6F1-4619-B287-21956836AF69}" id="{201DFED2-FA2D-4DA9-A1C6-49C681AAE93C}">
    <text>The number of "meaningful" variants produced by the scribe. Should be based on the "general filters" page, with those readings excluded that have not been deemed fit for analysis (e.g., nonsense readings and corrections thereof, itacisms etc.)</text>
  </threadedComment>
  <threadedComment ref="A5" dT="2024-01-31T15:17:30.66" personId="{F418FEAB-B6F1-4619-B287-21956836AF69}" id="{48ED19A4-56BA-407B-9576-5933B9274229}">
    <text>The rate of error generation per 1000 words in the apograph. Figure includes itacisms, orthographic changes, nonsense readings etc.</text>
  </threadedComment>
  <threadedComment ref="A6" dT="2024-01-31T15:18:45.83" personId="{F418FEAB-B6F1-4619-B287-21956836AF69}" id="{0DE4D4A5-9BDC-4FE0-B10F-3082BBE770EA}">
    <text>Frequency of "meaningful" errors per 1000 words in the apograph. "Meaningful" errors are defined by the general filters applied to the raw data. (Here, this means the exclusion of such readings as itacisms, orthographic changes, variants involving nonsense readings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 Id="rId4" Type="http://schemas.microsoft.com/office/2017/10/relationships/threadedComment" Target="../threadedComments/threadedComment9.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9D5B-C28E-48E4-939D-46B2362760F6}">
  <dimension ref="A1:AC3953"/>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RowHeight="14.5"/>
  <cols>
    <col min="1" max="1" width="10.81640625" customWidth="1"/>
    <col min="2" max="3" width="8.90625" hidden="1" customWidth="1"/>
    <col min="4" max="5" width="20.81640625" customWidth="1"/>
    <col min="6" max="6" width="10.81640625" customWidth="1"/>
    <col min="7" max="8" width="18.81640625" customWidth="1"/>
    <col min="9" max="9" width="9.54296875" bestFit="1" customWidth="1"/>
    <col min="10" max="10" width="16.90625" style="9" bestFit="1" customWidth="1"/>
    <col min="11" max="15" width="8.90625" style="9"/>
    <col min="16" max="16" width="8.90625" style="10"/>
    <col min="17" max="17" width="8.90625" style="9"/>
    <col min="18" max="18" width="8.81640625" style="9" customWidth="1"/>
    <col min="19" max="21" width="8.90625" style="9"/>
    <col min="22" max="24" width="5.81640625" style="9" customWidth="1"/>
    <col min="25" max="29" width="8.90625" style="9"/>
  </cols>
  <sheetData>
    <row r="1" spans="1:29" s="1" customFormat="1">
      <c r="A1" s="1" t="s">
        <v>0</v>
      </c>
      <c r="B1" s="1" t="s">
        <v>1</v>
      </c>
      <c r="C1" s="1" t="s">
        <v>2</v>
      </c>
      <c r="D1" s="1" t="s">
        <v>5</v>
      </c>
      <c r="E1" s="1" t="s">
        <v>6</v>
      </c>
      <c r="F1" s="1" t="s">
        <v>8711</v>
      </c>
      <c r="G1" s="1" t="s">
        <v>8712</v>
      </c>
      <c r="H1" s="1" t="s">
        <v>8713</v>
      </c>
      <c r="I1" s="1" t="s">
        <v>7</v>
      </c>
      <c r="J1" s="1" t="s">
        <v>3</v>
      </c>
      <c r="K1" s="1" t="s">
        <v>8715</v>
      </c>
      <c r="L1" s="1" t="s">
        <v>8716</v>
      </c>
      <c r="M1" s="1" t="s">
        <v>8717</v>
      </c>
      <c r="N1" s="1" t="s">
        <v>8677</v>
      </c>
      <c r="O1" s="1" t="s">
        <v>8718</v>
      </c>
      <c r="P1" s="8" t="s">
        <v>8719</v>
      </c>
      <c r="Q1" s="1" t="s">
        <v>8678</v>
      </c>
      <c r="R1" s="1" t="s">
        <v>8720</v>
      </c>
      <c r="S1" s="1" t="s">
        <v>8721</v>
      </c>
      <c r="T1" s="1" t="s">
        <v>9319</v>
      </c>
      <c r="U1" s="1" t="s">
        <v>9320</v>
      </c>
      <c r="V1" s="1" t="s">
        <v>8723</v>
      </c>
      <c r="W1" s="1" t="s">
        <v>8679</v>
      </c>
      <c r="X1" s="1" t="s">
        <v>8680</v>
      </c>
      <c r="Y1" s="1" t="s">
        <v>8681</v>
      </c>
      <c r="Z1" s="1" t="s">
        <v>8722</v>
      </c>
      <c r="AA1" s="1" t="s">
        <v>8726</v>
      </c>
      <c r="AB1" s="1" t="s">
        <v>8682</v>
      </c>
      <c r="AC1" s="1" t="s">
        <v>8727</v>
      </c>
    </row>
    <row r="2" spans="1:29">
      <c r="A2" s="3" t="s">
        <v>13</v>
      </c>
      <c r="D2" s="3" t="s">
        <v>1931</v>
      </c>
      <c r="E2" s="3" t="s">
        <v>1932</v>
      </c>
      <c r="H2" t="s">
        <v>3880</v>
      </c>
      <c r="J2" s="9" t="s">
        <v>8729</v>
      </c>
      <c r="S2" s="9" t="s">
        <v>8730</v>
      </c>
      <c r="T2" s="9" t="str">
        <f t="shared" ref="T2" ca="1" si="0">IF(ISNUMBER(S2),VALUE(MID(_xlfn.FORMULATEXT(S2),SEARCH("-",_xlfn.FORMULATEXT(S2))+1,LEN(_xlfn.FORMULATEXT(S2))-SEARCH("-",_xlfn.FORMULATEXT(S2)))), "")</f>
        <v/>
      </c>
      <c r="U2" s="9" t="str">
        <f t="shared" ref="U2" ca="1" si="1">IF(ISNUMBER(S2), VALUE(MID(_xlfn.FORMULATEXT(S2), 2, SEARCH("-", _xlfn.FORMULATEXT(S2)) - 2)), "")</f>
        <v/>
      </c>
      <c r="Y2" s="9" t="s">
        <v>8735</v>
      </c>
      <c r="AA2" s="9" t="s">
        <v>3884</v>
      </c>
    </row>
    <row r="3" spans="1:29">
      <c r="A3" s="3" t="s">
        <v>14</v>
      </c>
      <c r="D3" s="3" t="s">
        <v>1933</v>
      </c>
      <c r="E3" s="3" t="s">
        <v>1934</v>
      </c>
      <c r="J3" s="9" t="s">
        <v>8731</v>
      </c>
      <c r="T3" s="9" t="str">
        <f t="shared" ref="T3:T65" ca="1" si="2">IF(ISNUMBER(S3),VALUE(MID(_xlfn.FORMULATEXT(S3),SEARCH("-",_xlfn.FORMULATEXT(S3))+1,LEN(_xlfn.FORMULATEXT(S3))-SEARCH("-",_xlfn.FORMULATEXT(S3)))), "")</f>
        <v/>
      </c>
      <c r="U3" s="9" t="str">
        <f t="shared" ref="U3:U65" ca="1" si="3">IF(ISNUMBER(S3), VALUE(MID(_xlfn.FORMULATEXT(S3), 2, SEARCH("-", _xlfn.FORMULATEXT(S3)) - 2)), "")</f>
        <v/>
      </c>
      <c r="Z3" s="9" t="s">
        <v>9278</v>
      </c>
      <c r="AA3" s="9" t="s">
        <v>3884</v>
      </c>
    </row>
    <row r="4" spans="1:29" ht="29">
      <c r="A4" s="3" t="s">
        <v>14</v>
      </c>
      <c r="D4" s="3" t="s">
        <v>1935</v>
      </c>
      <c r="E4" s="3" t="s">
        <v>1936</v>
      </c>
      <c r="F4" s="3" t="s">
        <v>3881</v>
      </c>
      <c r="T4" s="9" t="str">
        <f t="shared" ca="1" si="2"/>
        <v/>
      </c>
      <c r="U4" s="9" t="str">
        <f t="shared" ca="1" si="3"/>
        <v/>
      </c>
    </row>
    <row r="5" spans="1:29">
      <c r="A5" s="3" t="s">
        <v>14</v>
      </c>
      <c r="D5" s="3" t="s">
        <v>1937</v>
      </c>
      <c r="E5" s="3" t="s">
        <v>1938</v>
      </c>
      <c r="F5" s="3"/>
      <c r="J5" s="9" t="s">
        <v>8729</v>
      </c>
      <c r="S5" s="9" t="s">
        <v>8730</v>
      </c>
      <c r="T5" s="9" t="str">
        <f t="shared" ca="1" si="2"/>
        <v/>
      </c>
      <c r="U5" s="9" t="str">
        <f t="shared" ca="1" si="3"/>
        <v/>
      </c>
      <c r="Y5" s="9" t="s">
        <v>8735</v>
      </c>
      <c r="AA5" s="9" t="s">
        <v>3884</v>
      </c>
    </row>
    <row r="6" spans="1:29">
      <c r="A6" s="3" t="s">
        <v>14</v>
      </c>
      <c r="D6" s="4" t="s">
        <v>9398</v>
      </c>
      <c r="E6" s="3" t="s">
        <v>9399</v>
      </c>
      <c r="F6" t="s">
        <v>3883</v>
      </c>
      <c r="T6" s="9" t="str">
        <f t="shared" ca="1" si="2"/>
        <v/>
      </c>
      <c r="U6" s="9" t="str">
        <f t="shared" ca="1" si="3"/>
        <v/>
      </c>
    </row>
    <row r="7" spans="1:29">
      <c r="A7" s="3" t="s">
        <v>15</v>
      </c>
      <c r="B7" s="2" t="s">
        <v>11</v>
      </c>
      <c r="D7" s="3" t="s">
        <v>1939</v>
      </c>
      <c r="E7" s="3" t="s">
        <v>1940</v>
      </c>
      <c r="H7" t="s">
        <v>3880</v>
      </c>
      <c r="J7" s="9" t="s">
        <v>8729</v>
      </c>
      <c r="S7" s="9">
        <f>79-3678</f>
        <v>-3599</v>
      </c>
      <c r="T7" s="9">
        <f t="shared" ca="1" si="2"/>
        <v>3678</v>
      </c>
      <c r="U7" s="9">
        <f t="shared" ca="1" si="3"/>
        <v>79</v>
      </c>
    </row>
    <row r="8" spans="1:29">
      <c r="A8" s="3" t="s">
        <v>16</v>
      </c>
      <c r="B8" s="2" t="s">
        <v>12</v>
      </c>
      <c r="D8" s="3" t="s">
        <v>1941</v>
      </c>
      <c r="E8" s="3" t="s">
        <v>1942</v>
      </c>
      <c r="J8" s="9" t="s">
        <v>8731</v>
      </c>
      <c r="T8" s="9" t="str">
        <f t="shared" ca="1" si="2"/>
        <v/>
      </c>
      <c r="U8" s="9" t="str">
        <f t="shared" ca="1" si="3"/>
        <v/>
      </c>
      <c r="AB8" s="9" t="s">
        <v>8700</v>
      </c>
    </row>
    <row r="9" spans="1:29">
      <c r="A9" s="3" t="s">
        <v>16</v>
      </c>
      <c r="D9" s="3" t="s">
        <v>1943</v>
      </c>
      <c r="E9" s="3" t="s">
        <v>1944</v>
      </c>
      <c r="J9" s="9" t="s">
        <v>8729</v>
      </c>
      <c r="S9" s="9" t="s">
        <v>8739</v>
      </c>
      <c r="T9" s="9" t="str">
        <f t="shared" ca="1" si="2"/>
        <v/>
      </c>
      <c r="U9" s="9" t="str">
        <f t="shared" ca="1" si="3"/>
        <v/>
      </c>
      <c r="Z9" s="9" t="s">
        <v>8741</v>
      </c>
      <c r="AA9" s="9" t="s">
        <v>3884</v>
      </c>
      <c r="AB9" s="9" t="s">
        <v>8697</v>
      </c>
    </row>
    <row r="10" spans="1:29">
      <c r="A10" s="3" t="s">
        <v>17</v>
      </c>
      <c r="D10" s="3" t="s">
        <v>1945</v>
      </c>
      <c r="E10" s="3" t="s">
        <v>1946</v>
      </c>
      <c r="J10" s="9" t="s">
        <v>8731</v>
      </c>
      <c r="T10" s="9" t="str">
        <f t="shared" ca="1" si="2"/>
        <v/>
      </c>
      <c r="U10" s="9" t="str">
        <f t="shared" ca="1" si="3"/>
        <v/>
      </c>
      <c r="Z10" s="9" t="s">
        <v>8742</v>
      </c>
      <c r="AA10" s="9" t="s">
        <v>3884</v>
      </c>
      <c r="AB10" s="9" t="s">
        <v>8688</v>
      </c>
    </row>
    <row r="11" spans="1:29">
      <c r="A11" s="3" t="s">
        <v>17</v>
      </c>
      <c r="D11" s="3" t="s">
        <v>1943</v>
      </c>
      <c r="E11" s="3" t="s">
        <v>1944</v>
      </c>
      <c r="J11" s="9" t="s">
        <v>8729</v>
      </c>
      <c r="S11" s="9" t="s">
        <v>8739</v>
      </c>
      <c r="T11" s="9" t="str">
        <f t="shared" ca="1" si="2"/>
        <v/>
      </c>
      <c r="U11" s="9" t="str">
        <f t="shared" ca="1" si="3"/>
        <v/>
      </c>
      <c r="Z11" s="9" t="s">
        <v>8741</v>
      </c>
      <c r="AA11" s="9" t="s">
        <v>3884</v>
      </c>
      <c r="AB11" s="9" t="s">
        <v>8697</v>
      </c>
    </row>
    <row r="12" spans="1:29">
      <c r="A12" s="3" t="s">
        <v>17</v>
      </c>
      <c r="D12" t="s">
        <v>8744</v>
      </c>
      <c r="E12" t="s">
        <v>8743</v>
      </c>
      <c r="I12" t="s">
        <v>9184</v>
      </c>
      <c r="J12" s="9" t="s">
        <v>8729</v>
      </c>
      <c r="S12" s="9">
        <f>88-70</f>
        <v>18</v>
      </c>
      <c r="T12" s="9">
        <f t="shared" ca="1" si="2"/>
        <v>70</v>
      </c>
      <c r="U12" s="9">
        <f t="shared" ca="1" si="3"/>
        <v>88</v>
      </c>
      <c r="V12" s="9" t="s">
        <v>8728</v>
      </c>
    </row>
    <row r="13" spans="1:29">
      <c r="A13" s="3" t="s">
        <v>18</v>
      </c>
      <c r="D13" s="3" t="s">
        <v>3898</v>
      </c>
      <c r="E13" s="3" t="s">
        <v>3898</v>
      </c>
      <c r="F13" t="s">
        <v>3932</v>
      </c>
      <c r="T13" s="9" t="str">
        <f t="shared" ca="1" si="2"/>
        <v/>
      </c>
      <c r="U13" s="9" t="str">
        <f t="shared" ca="1" si="3"/>
        <v/>
      </c>
    </row>
    <row r="14" spans="1:29">
      <c r="A14" s="3" t="s">
        <v>19</v>
      </c>
      <c r="D14" s="3" t="s">
        <v>2059</v>
      </c>
      <c r="E14" s="3" t="s">
        <v>1949</v>
      </c>
      <c r="F14" t="s">
        <v>3890</v>
      </c>
      <c r="I14" t="s">
        <v>3899</v>
      </c>
      <c r="T14" s="9" t="str">
        <f t="shared" ca="1" si="2"/>
        <v/>
      </c>
      <c r="U14" s="9" t="str">
        <f t="shared" ca="1" si="3"/>
        <v/>
      </c>
    </row>
    <row r="15" spans="1:29" ht="72.5">
      <c r="A15" s="3" t="s">
        <v>19</v>
      </c>
      <c r="D15" s="4" t="s">
        <v>1950</v>
      </c>
      <c r="E15" s="3" t="s">
        <v>9549</v>
      </c>
      <c r="F15" s="3" t="s">
        <v>3883</v>
      </c>
      <c r="T15" s="9" t="str">
        <f t="shared" ca="1" si="2"/>
        <v/>
      </c>
      <c r="U15" s="9" t="str">
        <f t="shared" ca="1" si="3"/>
        <v/>
      </c>
      <c r="AC15" s="9" t="s">
        <v>3884</v>
      </c>
    </row>
    <row r="16" spans="1:29">
      <c r="A16" s="3" t="s">
        <v>19</v>
      </c>
      <c r="D16" s="3" t="s">
        <v>3349</v>
      </c>
      <c r="E16" s="3" t="s">
        <v>1951</v>
      </c>
      <c r="J16" s="9" t="s">
        <v>8729</v>
      </c>
      <c r="S16" s="9">
        <f>494-13</f>
        <v>481</v>
      </c>
      <c r="T16" s="9">
        <f t="shared" ca="1" si="2"/>
        <v>13</v>
      </c>
      <c r="U16" s="9">
        <f t="shared" ca="1" si="3"/>
        <v>494</v>
      </c>
    </row>
    <row r="17" spans="1:28">
      <c r="A17" s="3" t="s">
        <v>20</v>
      </c>
      <c r="D17" s="3" t="s">
        <v>1952</v>
      </c>
      <c r="E17" s="3" t="s">
        <v>1953</v>
      </c>
      <c r="J17" s="9" t="s">
        <v>8729</v>
      </c>
      <c r="S17" s="9" t="s">
        <v>8739</v>
      </c>
      <c r="T17" s="9" t="str">
        <f t="shared" ca="1" si="2"/>
        <v/>
      </c>
      <c r="U17" s="9" t="str">
        <f t="shared" ca="1" si="3"/>
        <v/>
      </c>
      <c r="Z17" s="9" t="s">
        <v>8741</v>
      </c>
      <c r="AA17" s="9" t="s">
        <v>3884</v>
      </c>
      <c r="AB17" s="9" t="s">
        <v>8697</v>
      </c>
    </row>
    <row r="18" spans="1:28">
      <c r="A18" s="3" t="s">
        <v>20</v>
      </c>
      <c r="D18" s="3" t="s">
        <v>8745</v>
      </c>
      <c r="E18" s="3" t="s">
        <v>8746</v>
      </c>
      <c r="J18" s="9" t="s">
        <v>8731</v>
      </c>
      <c r="T18" s="9" t="str">
        <f t="shared" ca="1" si="2"/>
        <v/>
      </c>
      <c r="U18" s="9" t="str">
        <f t="shared" ca="1" si="3"/>
        <v/>
      </c>
      <c r="AB18" s="9" t="s">
        <v>8700</v>
      </c>
    </row>
    <row r="19" spans="1:28">
      <c r="A19" s="3" t="s">
        <v>20</v>
      </c>
      <c r="D19" s="3" t="s">
        <v>1954</v>
      </c>
      <c r="E19" s="3" t="s">
        <v>1955</v>
      </c>
      <c r="F19" t="s">
        <v>3893</v>
      </c>
      <c r="H19" t="s">
        <v>3892</v>
      </c>
      <c r="I19" t="s">
        <v>9670</v>
      </c>
      <c r="J19" s="9" t="s">
        <v>8731</v>
      </c>
      <c r="T19" s="9" t="str">
        <f t="shared" ca="1" si="2"/>
        <v/>
      </c>
      <c r="U19" s="9" t="str">
        <f t="shared" ca="1" si="3"/>
        <v/>
      </c>
      <c r="Z19" s="9" t="s">
        <v>8747</v>
      </c>
      <c r="AA19" s="9" t="s">
        <v>3891</v>
      </c>
    </row>
    <row r="20" spans="1:28">
      <c r="A20" s="3" t="s">
        <v>21</v>
      </c>
      <c r="D20" s="3" t="s">
        <v>1956</v>
      </c>
      <c r="E20" s="3" t="s">
        <v>1957</v>
      </c>
      <c r="H20" t="s">
        <v>3884</v>
      </c>
      <c r="J20" s="9" t="s">
        <v>8731</v>
      </c>
      <c r="T20" s="9" t="str">
        <f t="shared" ca="1" si="2"/>
        <v/>
      </c>
      <c r="U20" s="9" t="str">
        <f t="shared" ca="1" si="3"/>
        <v/>
      </c>
      <c r="AB20" s="9" t="s">
        <v>8694</v>
      </c>
    </row>
    <row r="21" spans="1:28">
      <c r="A21" s="3" t="s">
        <v>22</v>
      </c>
      <c r="D21" s="3" t="s">
        <v>1958</v>
      </c>
      <c r="E21" s="3" t="s">
        <v>1959</v>
      </c>
      <c r="J21" s="9" t="s">
        <v>8729</v>
      </c>
      <c r="S21" s="9" t="s">
        <v>8730</v>
      </c>
      <c r="T21" s="9" t="str">
        <f t="shared" ca="1" si="2"/>
        <v/>
      </c>
      <c r="U21" s="9" t="str">
        <f t="shared" ca="1" si="3"/>
        <v/>
      </c>
      <c r="Z21" s="9" t="s">
        <v>9032</v>
      </c>
      <c r="AA21" s="9" t="s">
        <v>3884</v>
      </c>
      <c r="AB21" s="9" t="s">
        <v>8697</v>
      </c>
    </row>
    <row r="22" spans="1:28">
      <c r="A22" s="3" t="s">
        <v>23</v>
      </c>
      <c r="D22" s="3" t="s">
        <v>1960</v>
      </c>
      <c r="E22" s="3" t="s">
        <v>1961</v>
      </c>
      <c r="J22" s="9" t="s">
        <v>8729</v>
      </c>
      <c r="S22" s="9" t="s">
        <v>8739</v>
      </c>
      <c r="T22" s="9" t="str">
        <f t="shared" ca="1" si="2"/>
        <v/>
      </c>
      <c r="U22" s="9" t="str">
        <f t="shared" ca="1" si="3"/>
        <v/>
      </c>
      <c r="AB22" s="9" t="s">
        <v>8697</v>
      </c>
    </row>
    <row r="23" spans="1:28">
      <c r="A23" s="3" t="s">
        <v>24</v>
      </c>
      <c r="D23" s="3" t="s">
        <v>8748</v>
      </c>
      <c r="E23" s="3" t="s">
        <v>8749</v>
      </c>
      <c r="H23" t="s">
        <v>3884</v>
      </c>
      <c r="J23" s="9" t="s">
        <v>8731</v>
      </c>
      <c r="T23" s="9" t="str">
        <f t="shared" ca="1" si="2"/>
        <v/>
      </c>
      <c r="U23" s="9" t="str">
        <f t="shared" ca="1" si="3"/>
        <v/>
      </c>
      <c r="AB23" s="9" t="s">
        <v>8694</v>
      </c>
    </row>
    <row r="24" spans="1:28" ht="29">
      <c r="A24" s="3" t="s">
        <v>25</v>
      </c>
      <c r="D24" s="3" t="s">
        <v>8750</v>
      </c>
      <c r="E24" s="3" t="s">
        <v>8751</v>
      </c>
      <c r="H24" t="s">
        <v>3891</v>
      </c>
      <c r="J24" s="9" t="s">
        <v>3889</v>
      </c>
      <c r="K24" s="9">
        <v>1</v>
      </c>
      <c r="L24" s="9">
        <v>3</v>
      </c>
      <c r="M24" s="9" t="s">
        <v>8695</v>
      </c>
      <c r="N24" s="9" t="s">
        <v>8690</v>
      </c>
      <c r="R24" s="9">
        <v>78</v>
      </c>
      <c r="T24" s="9" t="str">
        <f t="shared" ca="1" si="2"/>
        <v/>
      </c>
      <c r="U24" s="9" t="str">
        <f t="shared" ca="1" si="3"/>
        <v/>
      </c>
    </row>
    <row r="25" spans="1:28">
      <c r="A25" s="3" t="s">
        <v>26</v>
      </c>
      <c r="D25" s="3" t="s">
        <v>1963</v>
      </c>
      <c r="E25" s="3" t="s">
        <v>1964</v>
      </c>
      <c r="J25" s="9" t="s">
        <v>8729</v>
      </c>
      <c r="S25" s="9" t="s">
        <v>8739</v>
      </c>
      <c r="T25" s="9" t="str">
        <f t="shared" ca="1" si="2"/>
        <v/>
      </c>
      <c r="U25" s="9" t="str">
        <f t="shared" ca="1" si="3"/>
        <v/>
      </c>
      <c r="Z25" s="9" t="s">
        <v>8742</v>
      </c>
      <c r="AA25" s="9" t="s">
        <v>3884</v>
      </c>
      <c r="AB25" s="9" t="s">
        <v>8697</v>
      </c>
    </row>
    <row r="26" spans="1:28">
      <c r="A26" s="3" t="s">
        <v>27</v>
      </c>
      <c r="D26" s="3" t="s">
        <v>3902</v>
      </c>
      <c r="E26" s="3" t="s">
        <v>3903</v>
      </c>
      <c r="J26" s="9" t="s">
        <v>3885</v>
      </c>
      <c r="K26" s="9">
        <v>1</v>
      </c>
      <c r="L26" s="9">
        <v>2</v>
      </c>
      <c r="M26" s="9" t="s">
        <v>8707</v>
      </c>
      <c r="N26" s="9" t="s">
        <v>8730</v>
      </c>
      <c r="R26" s="9">
        <v>519</v>
      </c>
      <c r="T26" s="9" t="str">
        <f t="shared" ca="1" si="2"/>
        <v/>
      </c>
      <c r="U26" s="9" t="str">
        <f t="shared" ca="1" si="3"/>
        <v/>
      </c>
    </row>
    <row r="27" spans="1:28">
      <c r="A27" s="3" t="s">
        <v>28</v>
      </c>
      <c r="D27" s="3" t="s">
        <v>3904</v>
      </c>
      <c r="E27" s="3" t="s">
        <v>3905</v>
      </c>
      <c r="H27" t="s">
        <v>3884</v>
      </c>
      <c r="J27" s="9" t="s">
        <v>3885</v>
      </c>
      <c r="K27" s="9">
        <v>1</v>
      </c>
      <c r="L27" s="9">
        <v>3</v>
      </c>
      <c r="M27" s="9" t="s">
        <v>8705</v>
      </c>
      <c r="N27" s="9" t="s">
        <v>8690</v>
      </c>
      <c r="R27" s="9">
        <v>1443</v>
      </c>
      <c r="T27" s="9" t="str">
        <f t="shared" ca="1" si="2"/>
        <v/>
      </c>
      <c r="U27" s="9" t="str">
        <f t="shared" ca="1" si="3"/>
        <v/>
      </c>
      <c r="AB27" s="9" t="s">
        <v>8694</v>
      </c>
    </row>
    <row r="28" spans="1:28">
      <c r="A28" s="3" t="s">
        <v>29</v>
      </c>
      <c r="D28" s="3" t="s">
        <v>3906</v>
      </c>
      <c r="E28" s="3" t="s">
        <v>3907</v>
      </c>
      <c r="H28" t="s">
        <v>3892</v>
      </c>
      <c r="I28" t="s">
        <v>3908</v>
      </c>
      <c r="J28" s="9" t="s">
        <v>8731</v>
      </c>
      <c r="T28" s="9" t="str">
        <f t="shared" ca="1" si="2"/>
        <v/>
      </c>
      <c r="U28" s="9" t="str">
        <f t="shared" ca="1" si="3"/>
        <v/>
      </c>
    </row>
    <row r="29" spans="1:28" ht="43.5">
      <c r="A29" s="3" t="s">
        <v>30</v>
      </c>
      <c r="D29" s="3" t="s">
        <v>8752</v>
      </c>
      <c r="E29" s="3" t="s">
        <v>8753</v>
      </c>
      <c r="H29" t="s">
        <v>3884</v>
      </c>
      <c r="J29" s="9" t="s">
        <v>3885</v>
      </c>
      <c r="K29" s="9">
        <v>2</v>
      </c>
      <c r="L29" s="9">
        <v>5</v>
      </c>
      <c r="N29" s="9" t="s">
        <v>8684</v>
      </c>
      <c r="O29" s="9" t="s">
        <v>8755</v>
      </c>
      <c r="P29" s="10" t="s">
        <v>8756</v>
      </c>
      <c r="R29" s="9">
        <v>9418</v>
      </c>
      <c r="T29" s="9" t="str">
        <f t="shared" ca="1" si="2"/>
        <v/>
      </c>
      <c r="U29" s="9" t="str">
        <f t="shared" ca="1" si="3"/>
        <v/>
      </c>
      <c r="AB29" s="9" t="s">
        <v>8694</v>
      </c>
    </row>
    <row r="30" spans="1:28" ht="43.5">
      <c r="A30" s="3" t="s">
        <v>31</v>
      </c>
      <c r="D30" s="3" t="s">
        <v>8752</v>
      </c>
      <c r="E30" s="3" t="s">
        <v>8754</v>
      </c>
      <c r="H30" t="s">
        <v>3884</v>
      </c>
      <c r="J30" s="9" t="s">
        <v>8729</v>
      </c>
      <c r="S30" s="9" t="s">
        <v>8730</v>
      </c>
      <c r="T30" s="9" t="str">
        <f t="shared" ca="1" si="2"/>
        <v/>
      </c>
      <c r="U30" s="9" t="str">
        <f t="shared" ca="1" si="3"/>
        <v/>
      </c>
      <c r="AB30" s="9" t="s">
        <v>8688</v>
      </c>
    </row>
    <row r="31" spans="1:28">
      <c r="A31" s="3" t="s">
        <v>32</v>
      </c>
      <c r="D31" s="3" t="s">
        <v>1966</v>
      </c>
      <c r="E31" s="3" t="s">
        <v>1967</v>
      </c>
      <c r="J31" s="9" t="s">
        <v>8731</v>
      </c>
      <c r="T31" s="9" t="str">
        <f t="shared" ca="1" si="2"/>
        <v/>
      </c>
      <c r="U31" s="9" t="str">
        <f t="shared" ca="1" si="3"/>
        <v/>
      </c>
      <c r="Z31" s="9" t="s">
        <v>8757</v>
      </c>
      <c r="AA31" s="9" t="s">
        <v>3884</v>
      </c>
    </row>
    <row r="32" spans="1:28">
      <c r="A32" s="3" t="s">
        <v>32</v>
      </c>
      <c r="D32" s="3" t="s">
        <v>1968</v>
      </c>
      <c r="E32" s="3" t="s">
        <v>1969</v>
      </c>
      <c r="J32" s="9" t="s">
        <v>8729</v>
      </c>
      <c r="S32" s="9" t="s">
        <v>8739</v>
      </c>
      <c r="T32" s="9" t="str">
        <f t="shared" ca="1" si="2"/>
        <v/>
      </c>
      <c r="U32" s="9" t="str">
        <f t="shared" ca="1" si="3"/>
        <v/>
      </c>
      <c r="Z32" s="9" t="s">
        <v>8757</v>
      </c>
      <c r="AA32" s="9" t="s">
        <v>3884</v>
      </c>
      <c r="AB32" s="9" t="s">
        <v>8697</v>
      </c>
    </row>
    <row r="33" spans="1:28" ht="29">
      <c r="A33" s="3" t="s">
        <v>33</v>
      </c>
      <c r="D33" s="3" t="s">
        <v>8759</v>
      </c>
      <c r="E33" s="3" t="s">
        <v>8760</v>
      </c>
      <c r="H33" t="s">
        <v>3884</v>
      </c>
      <c r="J33" s="9" t="s">
        <v>3885</v>
      </c>
      <c r="K33" s="9">
        <v>1</v>
      </c>
      <c r="L33" s="9">
        <v>3</v>
      </c>
      <c r="M33" s="9" t="s">
        <v>8689</v>
      </c>
      <c r="N33" s="9" t="s">
        <v>8690</v>
      </c>
      <c r="R33" s="9">
        <v>10929</v>
      </c>
      <c r="T33" s="9" t="str">
        <f t="shared" ca="1" si="2"/>
        <v/>
      </c>
      <c r="U33" s="9" t="str">
        <f t="shared" ca="1" si="3"/>
        <v/>
      </c>
    </row>
    <row r="34" spans="1:28">
      <c r="A34" s="3" t="s">
        <v>34</v>
      </c>
      <c r="D34" s="3" t="s">
        <v>1970</v>
      </c>
      <c r="E34" s="3" t="s">
        <v>1971</v>
      </c>
      <c r="J34" s="9" t="s">
        <v>8729</v>
      </c>
      <c r="S34" s="9" t="s">
        <v>8739</v>
      </c>
      <c r="T34" s="9" t="str">
        <f t="shared" ca="1" si="2"/>
        <v/>
      </c>
      <c r="U34" s="9" t="str">
        <f t="shared" ca="1" si="3"/>
        <v/>
      </c>
      <c r="Z34" s="9" t="s">
        <v>9280</v>
      </c>
      <c r="AA34" s="9" t="s">
        <v>3884</v>
      </c>
      <c r="AB34" s="9" t="s">
        <v>8688</v>
      </c>
    </row>
    <row r="35" spans="1:28">
      <c r="A35" s="3" t="s">
        <v>34</v>
      </c>
      <c r="D35" s="3" t="s">
        <v>1972</v>
      </c>
      <c r="E35" s="3" t="s">
        <v>1973</v>
      </c>
      <c r="J35" s="9" t="s">
        <v>8729</v>
      </c>
      <c r="S35" s="9">
        <f>3-46</f>
        <v>-43</v>
      </c>
      <c r="T35" s="9">
        <f t="shared" ca="1" si="2"/>
        <v>46</v>
      </c>
      <c r="U35" s="9">
        <f t="shared" ca="1" si="3"/>
        <v>3</v>
      </c>
      <c r="Z35" s="9" t="s">
        <v>8741</v>
      </c>
      <c r="AA35" s="9" t="s">
        <v>3884</v>
      </c>
      <c r="AB35" s="9" t="s">
        <v>8697</v>
      </c>
    </row>
    <row r="36" spans="1:28">
      <c r="A36" s="3" t="s">
        <v>35</v>
      </c>
      <c r="D36" s="3" t="s">
        <v>1974</v>
      </c>
      <c r="E36" s="4" t="s">
        <v>1975</v>
      </c>
      <c r="F36" t="s">
        <v>3897</v>
      </c>
      <c r="T36" s="9" t="str">
        <f t="shared" ca="1" si="2"/>
        <v/>
      </c>
      <c r="U36" s="9" t="str">
        <f t="shared" ca="1" si="3"/>
        <v/>
      </c>
    </row>
    <row r="37" spans="1:28">
      <c r="A37" s="3" t="s">
        <v>36</v>
      </c>
      <c r="D37" s="3" t="s">
        <v>1976</v>
      </c>
      <c r="E37" s="3" t="s">
        <v>1977</v>
      </c>
      <c r="J37" s="9" t="s">
        <v>8731</v>
      </c>
      <c r="T37" s="9" t="str">
        <f t="shared" ca="1" si="2"/>
        <v/>
      </c>
      <c r="U37" s="9" t="str">
        <f t="shared" ca="1" si="3"/>
        <v/>
      </c>
      <c r="Z37" s="9" t="s">
        <v>8741</v>
      </c>
      <c r="AA37" s="9" t="s">
        <v>3884</v>
      </c>
      <c r="AB37" s="9" t="s">
        <v>8697</v>
      </c>
    </row>
    <row r="38" spans="1:28">
      <c r="A38" s="3" t="s">
        <v>37</v>
      </c>
      <c r="D38" s="3" t="s">
        <v>1978</v>
      </c>
      <c r="E38" s="3" t="s">
        <v>1979</v>
      </c>
      <c r="J38" s="9" t="s">
        <v>8732</v>
      </c>
      <c r="S38" s="9">
        <f>16-100</f>
        <v>-84</v>
      </c>
      <c r="T38" s="9">
        <f t="shared" ca="1" si="2"/>
        <v>100</v>
      </c>
      <c r="U38" s="9">
        <f t="shared" ca="1" si="3"/>
        <v>16</v>
      </c>
      <c r="Z38" s="9" t="s">
        <v>8742</v>
      </c>
      <c r="AA38" s="9" t="s">
        <v>3884</v>
      </c>
      <c r="AB38" s="9" t="s">
        <v>8700</v>
      </c>
    </row>
    <row r="39" spans="1:28">
      <c r="A39" s="3" t="s">
        <v>38</v>
      </c>
      <c r="D39" s="3" t="s">
        <v>1980</v>
      </c>
      <c r="E39" s="3" t="s">
        <v>1981</v>
      </c>
      <c r="H39" t="s">
        <v>3884</v>
      </c>
      <c r="J39" s="9" t="s">
        <v>8731</v>
      </c>
      <c r="T39" s="9" t="str">
        <f t="shared" ca="1" si="2"/>
        <v/>
      </c>
      <c r="U39" s="9" t="str">
        <f t="shared" ca="1" si="3"/>
        <v/>
      </c>
      <c r="AB39" s="9" t="s">
        <v>8688</v>
      </c>
    </row>
    <row r="40" spans="1:28">
      <c r="A40" s="3" t="s">
        <v>38</v>
      </c>
      <c r="D40" t="s">
        <v>8761</v>
      </c>
      <c r="E40" t="s">
        <v>8762</v>
      </c>
      <c r="I40" t="s">
        <v>9185</v>
      </c>
      <c r="J40" s="9" t="s">
        <v>3889</v>
      </c>
      <c r="K40" s="9">
        <v>1</v>
      </c>
      <c r="L40" s="9">
        <v>1</v>
      </c>
      <c r="M40" s="9" t="s">
        <v>8689</v>
      </c>
      <c r="N40" s="9" t="s">
        <v>8730</v>
      </c>
      <c r="R40" s="9">
        <v>10929</v>
      </c>
      <c r="T40" s="9" t="str">
        <f t="shared" ca="1" si="2"/>
        <v/>
      </c>
      <c r="U40" s="9" t="str">
        <f t="shared" ca="1" si="3"/>
        <v/>
      </c>
      <c r="V40" s="9" t="s">
        <v>8728</v>
      </c>
    </row>
    <row r="41" spans="1:28">
      <c r="A41" s="3" t="s">
        <v>38</v>
      </c>
      <c r="D41" t="s">
        <v>8763</v>
      </c>
      <c r="E41" t="s">
        <v>8764</v>
      </c>
      <c r="I41" t="s">
        <v>9186</v>
      </c>
      <c r="J41" s="9" t="s">
        <v>3889</v>
      </c>
      <c r="K41" s="9">
        <v>1</v>
      </c>
      <c r="L41" s="9">
        <v>1</v>
      </c>
      <c r="M41" s="9" t="s">
        <v>8689</v>
      </c>
      <c r="N41" s="9" t="s">
        <v>8730</v>
      </c>
      <c r="R41" s="9">
        <v>10929</v>
      </c>
      <c r="T41" s="9" t="str">
        <f t="shared" ca="1" si="2"/>
        <v/>
      </c>
      <c r="U41" s="9" t="str">
        <f t="shared" ca="1" si="3"/>
        <v/>
      </c>
      <c r="V41" s="9" t="s">
        <v>8728</v>
      </c>
    </row>
    <row r="42" spans="1:28">
      <c r="A42" s="3" t="s">
        <v>39</v>
      </c>
      <c r="D42" s="3" t="s">
        <v>1982</v>
      </c>
      <c r="E42" s="3" t="s">
        <v>1983</v>
      </c>
      <c r="J42" s="9" t="s">
        <v>8731</v>
      </c>
      <c r="T42" s="9" t="str">
        <f t="shared" ca="1" si="2"/>
        <v/>
      </c>
      <c r="U42" s="9" t="str">
        <f t="shared" ca="1" si="3"/>
        <v/>
      </c>
      <c r="Z42" s="9" t="s">
        <v>8742</v>
      </c>
      <c r="AA42" s="9" t="s">
        <v>3884</v>
      </c>
    </row>
    <row r="43" spans="1:28">
      <c r="A43" s="3" t="s">
        <v>39</v>
      </c>
      <c r="D43" t="s">
        <v>8765</v>
      </c>
      <c r="E43" s="3" t="s">
        <v>8766</v>
      </c>
      <c r="H43" t="s">
        <v>3884</v>
      </c>
      <c r="J43" s="9" t="s">
        <v>3885</v>
      </c>
      <c r="K43" s="9">
        <v>1</v>
      </c>
      <c r="L43" s="9">
        <v>3</v>
      </c>
      <c r="M43" s="9" t="s">
        <v>8689</v>
      </c>
      <c r="N43" s="9" t="s">
        <v>8690</v>
      </c>
      <c r="R43" s="9">
        <v>10929</v>
      </c>
      <c r="T43" s="9" t="str">
        <f t="shared" ca="1" si="2"/>
        <v/>
      </c>
      <c r="U43" s="9" t="str">
        <f t="shared" ca="1" si="3"/>
        <v/>
      </c>
    </row>
    <row r="44" spans="1:28">
      <c r="A44" s="3" t="s">
        <v>39</v>
      </c>
      <c r="D44" s="3" t="s">
        <v>1984</v>
      </c>
      <c r="E44" s="3" t="s">
        <v>1985</v>
      </c>
      <c r="J44" s="9" t="s">
        <v>8729</v>
      </c>
      <c r="S44" s="9" t="s">
        <v>8739</v>
      </c>
      <c r="T44" s="9" t="str">
        <f t="shared" ca="1" si="2"/>
        <v/>
      </c>
      <c r="U44" s="9" t="str">
        <f t="shared" ca="1" si="3"/>
        <v/>
      </c>
      <c r="Z44" s="9" t="s">
        <v>8741</v>
      </c>
      <c r="AA44" s="9" t="s">
        <v>3884</v>
      </c>
      <c r="AB44" s="9" t="s">
        <v>8697</v>
      </c>
    </row>
    <row r="45" spans="1:28">
      <c r="A45" s="3" t="s">
        <v>40</v>
      </c>
      <c r="D45" t="s">
        <v>8767</v>
      </c>
      <c r="E45" t="s">
        <v>8768</v>
      </c>
      <c r="J45" s="9" t="s">
        <v>3889</v>
      </c>
      <c r="K45" s="9">
        <v>1</v>
      </c>
      <c r="L45" s="9">
        <v>2</v>
      </c>
      <c r="M45" s="9" t="s">
        <v>8689</v>
      </c>
      <c r="N45" s="9" t="s">
        <v>8730</v>
      </c>
      <c r="R45" s="9">
        <v>10929</v>
      </c>
      <c r="T45" s="9" t="str">
        <f t="shared" ca="1" si="2"/>
        <v/>
      </c>
      <c r="U45" s="9" t="str">
        <f t="shared" ca="1" si="3"/>
        <v/>
      </c>
    </row>
    <row r="46" spans="1:28">
      <c r="A46" s="3" t="s">
        <v>41</v>
      </c>
      <c r="D46" s="3" t="s">
        <v>8769</v>
      </c>
      <c r="E46" s="3" t="s">
        <v>8770</v>
      </c>
      <c r="H46" t="s">
        <v>3884</v>
      </c>
      <c r="J46" s="9" t="s">
        <v>3885</v>
      </c>
      <c r="K46" s="9">
        <v>1</v>
      </c>
      <c r="L46" s="9">
        <v>4</v>
      </c>
      <c r="M46" s="9" t="s">
        <v>8703</v>
      </c>
      <c r="N46" s="9" t="s">
        <v>8684</v>
      </c>
      <c r="O46" s="9" t="s">
        <v>8771</v>
      </c>
      <c r="P46" s="10" t="s">
        <v>8772</v>
      </c>
      <c r="R46" s="9">
        <v>0</v>
      </c>
      <c r="T46" s="9" t="str">
        <f t="shared" ca="1" si="2"/>
        <v/>
      </c>
      <c r="U46" s="9" t="str">
        <f t="shared" ca="1" si="3"/>
        <v/>
      </c>
      <c r="AB46" s="9" t="s">
        <v>8694</v>
      </c>
    </row>
    <row r="47" spans="1:28">
      <c r="A47" s="3" t="s">
        <v>42</v>
      </c>
      <c r="D47" s="3" t="s">
        <v>8773</v>
      </c>
      <c r="E47" s="3" t="s">
        <v>8774</v>
      </c>
      <c r="H47" t="s">
        <v>3884</v>
      </c>
      <c r="J47" s="9" t="s">
        <v>3885</v>
      </c>
      <c r="K47" s="9">
        <v>1</v>
      </c>
      <c r="L47" s="9">
        <v>3</v>
      </c>
      <c r="M47" s="9" t="s">
        <v>8689</v>
      </c>
      <c r="N47" s="9" t="s">
        <v>8690</v>
      </c>
      <c r="R47" s="9">
        <v>10929</v>
      </c>
      <c r="T47" s="9" t="str">
        <f t="shared" ca="1" si="2"/>
        <v/>
      </c>
      <c r="U47" s="9" t="str">
        <f t="shared" ca="1" si="3"/>
        <v/>
      </c>
      <c r="AB47" s="9" t="s">
        <v>8694</v>
      </c>
    </row>
    <row r="48" spans="1:28">
      <c r="A48" s="3" t="s">
        <v>42</v>
      </c>
      <c r="D48" s="4" t="s">
        <v>1986</v>
      </c>
      <c r="E48" s="3" t="s">
        <v>1987</v>
      </c>
      <c r="F48" t="s">
        <v>3883</v>
      </c>
      <c r="T48" s="9" t="str">
        <f t="shared" ca="1" si="2"/>
        <v/>
      </c>
      <c r="U48" s="9" t="str">
        <f t="shared" ca="1" si="3"/>
        <v/>
      </c>
    </row>
    <row r="49" spans="1:28">
      <c r="A49" s="3" t="s">
        <v>42</v>
      </c>
      <c r="D49" s="4" t="s">
        <v>9400</v>
      </c>
      <c r="E49" s="3" t="s">
        <v>9401</v>
      </c>
      <c r="F49" t="s">
        <v>3883</v>
      </c>
      <c r="T49" s="9" t="str">
        <f t="shared" ca="1" si="2"/>
        <v/>
      </c>
      <c r="U49" s="9" t="str">
        <f t="shared" ca="1" si="3"/>
        <v/>
      </c>
    </row>
    <row r="50" spans="1:28">
      <c r="A50" s="3" t="s">
        <v>42</v>
      </c>
      <c r="D50" s="3" t="s">
        <v>1988</v>
      </c>
      <c r="E50" s="3" t="s">
        <v>1989</v>
      </c>
      <c r="J50" s="9" t="s">
        <v>8729</v>
      </c>
      <c r="S50" s="9">
        <f>3678-79</f>
        <v>3599</v>
      </c>
      <c r="T50" s="9">
        <f t="shared" ca="1" si="2"/>
        <v>79</v>
      </c>
      <c r="U50" s="9">
        <f t="shared" ca="1" si="3"/>
        <v>3678</v>
      </c>
    </row>
    <row r="51" spans="1:28">
      <c r="A51" s="3" t="s">
        <v>42</v>
      </c>
      <c r="D51" s="3" t="s">
        <v>3911</v>
      </c>
      <c r="E51" s="3" t="s">
        <v>1990</v>
      </c>
      <c r="J51" s="9" t="s">
        <v>8729</v>
      </c>
      <c r="S51" s="9">
        <f>335-1225</f>
        <v>-890</v>
      </c>
      <c r="T51" s="9">
        <f t="shared" ca="1" si="2"/>
        <v>1225</v>
      </c>
      <c r="U51" s="9">
        <f t="shared" ca="1" si="3"/>
        <v>335</v>
      </c>
    </row>
    <row r="52" spans="1:28">
      <c r="A52" s="3" t="s">
        <v>43</v>
      </c>
      <c r="D52" s="3" t="s">
        <v>3912</v>
      </c>
      <c r="E52" s="3" t="s">
        <v>3913</v>
      </c>
      <c r="F52" t="s">
        <v>3893</v>
      </c>
      <c r="H52" t="s">
        <v>3884</v>
      </c>
      <c r="T52" s="9" t="str">
        <f t="shared" ca="1" si="2"/>
        <v/>
      </c>
      <c r="U52" s="9" t="str">
        <f t="shared" ca="1" si="3"/>
        <v/>
      </c>
    </row>
    <row r="53" spans="1:28">
      <c r="A53" s="3" t="s">
        <v>44</v>
      </c>
      <c r="D53" s="3" t="s">
        <v>3915</v>
      </c>
      <c r="E53" s="3" t="s">
        <v>3914</v>
      </c>
      <c r="F53" t="s">
        <v>3893</v>
      </c>
      <c r="T53" s="9" t="str">
        <f t="shared" ca="1" si="2"/>
        <v/>
      </c>
      <c r="U53" s="9" t="str">
        <f t="shared" ca="1" si="3"/>
        <v/>
      </c>
    </row>
    <row r="54" spans="1:28">
      <c r="A54" s="3" t="s">
        <v>44</v>
      </c>
      <c r="D54" s="3" t="s">
        <v>1991</v>
      </c>
      <c r="E54" s="3" t="s">
        <v>3916</v>
      </c>
      <c r="J54" s="9" t="s">
        <v>8729</v>
      </c>
      <c r="S54" s="9" t="s">
        <v>8739</v>
      </c>
      <c r="T54" s="9" t="str">
        <f t="shared" ca="1" si="2"/>
        <v/>
      </c>
      <c r="U54" s="9" t="str">
        <f t="shared" ca="1" si="3"/>
        <v/>
      </c>
      <c r="Z54" s="9" t="s">
        <v>8742</v>
      </c>
      <c r="AA54" s="9" t="s">
        <v>3884</v>
      </c>
      <c r="AB54" s="9" t="s">
        <v>8697</v>
      </c>
    </row>
    <row r="55" spans="1:28">
      <c r="A55" s="3" t="s">
        <v>44</v>
      </c>
      <c r="D55" s="3" t="s">
        <v>1994</v>
      </c>
      <c r="E55" s="3" t="s">
        <v>3917</v>
      </c>
      <c r="F55" t="s">
        <v>3893</v>
      </c>
      <c r="H55" t="s">
        <v>3892</v>
      </c>
      <c r="I55" t="s">
        <v>3918</v>
      </c>
      <c r="T55" s="9" t="str">
        <f t="shared" ca="1" si="2"/>
        <v/>
      </c>
      <c r="U55" s="9" t="str">
        <f t="shared" ca="1" si="3"/>
        <v/>
      </c>
    </row>
    <row r="56" spans="1:28">
      <c r="A56" s="3" t="s">
        <v>44</v>
      </c>
      <c r="D56" s="3" t="s">
        <v>1997</v>
      </c>
      <c r="E56" s="3" t="s">
        <v>3010</v>
      </c>
      <c r="J56" s="9" t="s">
        <v>8731</v>
      </c>
      <c r="T56" s="9" t="str">
        <f t="shared" ca="1" si="2"/>
        <v/>
      </c>
      <c r="U56" s="9" t="str">
        <f t="shared" ca="1" si="3"/>
        <v/>
      </c>
      <c r="Z56" s="9" t="s">
        <v>9279</v>
      </c>
      <c r="AA56" s="9" t="s">
        <v>3884</v>
      </c>
      <c r="AB56" s="9" t="s">
        <v>8697</v>
      </c>
    </row>
    <row r="57" spans="1:28">
      <c r="A57" s="3" t="s">
        <v>45</v>
      </c>
      <c r="D57" s="3" t="s">
        <v>8775</v>
      </c>
      <c r="E57" s="3" t="s">
        <v>8776</v>
      </c>
      <c r="J57" s="9" t="s">
        <v>3889</v>
      </c>
      <c r="K57" s="9">
        <v>1</v>
      </c>
      <c r="L57" s="9">
        <v>3</v>
      </c>
      <c r="M57" s="9" t="s">
        <v>8689</v>
      </c>
      <c r="N57" s="9" t="s">
        <v>8690</v>
      </c>
      <c r="R57" s="9">
        <v>10929</v>
      </c>
      <c r="T57" s="9" t="str">
        <f t="shared" ca="1" si="2"/>
        <v/>
      </c>
      <c r="U57" s="9" t="str">
        <f t="shared" ca="1" si="3"/>
        <v/>
      </c>
    </row>
    <row r="58" spans="1:28">
      <c r="A58" s="3" t="s">
        <v>46</v>
      </c>
      <c r="D58" s="3" t="s">
        <v>1998</v>
      </c>
      <c r="E58" s="3" t="s">
        <v>1999</v>
      </c>
      <c r="H58" t="s">
        <v>3892</v>
      </c>
      <c r="I58" t="s">
        <v>3919</v>
      </c>
      <c r="J58" s="9" t="s">
        <v>8729</v>
      </c>
      <c r="S58" s="9" t="s">
        <v>8739</v>
      </c>
      <c r="T58" s="9" t="str">
        <f t="shared" ca="1" si="2"/>
        <v/>
      </c>
      <c r="U58" s="9" t="str">
        <f t="shared" ca="1" si="3"/>
        <v/>
      </c>
      <c r="Z58" s="9" t="s">
        <v>8742</v>
      </c>
      <c r="AA58" s="9" t="s">
        <v>3884</v>
      </c>
      <c r="AB58" s="9" t="s">
        <v>8697</v>
      </c>
    </row>
    <row r="59" spans="1:28">
      <c r="A59" s="3" t="s">
        <v>46</v>
      </c>
      <c r="D59" s="3" t="s">
        <v>3920</v>
      </c>
      <c r="E59" s="3" t="s">
        <v>3921</v>
      </c>
      <c r="H59" t="s">
        <v>3884</v>
      </c>
      <c r="J59" s="9" t="s">
        <v>8731</v>
      </c>
      <c r="T59" s="9" t="str">
        <f t="shared" ca="1" si="2"/>
        <v/>
      </c>
      <c r="U59" s="9" t="str">
        <f t="shared" ca="1" si="3"/>
        <v/>
      </c>
    </row>
    <row r="60" spans="1:28">
      <c r="A60" s="3" t="s">
        <v>47</v>
      </c>
      <c r="D60" s="3" t="s">
        <v>3922</v>
      </c>
      <c r="E60" s="3" t="s">
        <v>3923</v>
      </c>
      <c r="H60" t="s">
        <v>3884</v>
      </c>
      <c r="J60" s="9" t="s">
        <v>3889</v>
      </c>
      <c r="K60" s="9">
        <v>1</v>
      </c>
      <c r="L60" s="9">
        <v>2</v>
      </c>
      <c r="M60" s="9" t="s">
        <v>8703</v>
      </c>
      <c r="N60" s="9" t="s">
        <v>8730</v>
      </c>
      <c r="R60" s="9">
        <v>1225</v>
      </c>
      <c r="T60" s="9" t="str">
        <f t="shared" ca="1" si="2"/>
        <v/>
      </c>
      <c r="U60" s="9" t="str">
        <f t="shared" ca="1" si="3"/>
        <v/>
      </c>
    </row>
    <row r="61" spans="1:28">
      <c r="A61" s="3" t="s">
        <v>48</v>
      </c>
      <c r="D61" s="3" t="s">
        <v>2000</v>
      </c>
      <c r="E61" s="3" t="s">
        <v>2001</v>
      </c>
      <c r="J61" s="9" t="s">
        <v>8729</v>
      </c>
      <c r="S61" s="9">
        <f>0-28</f>
        <v>-28</v>
      </c>
      <c r="T61" s="9">
        <f t="shared" ca="1" si="2"/>
        <v>28</v>
      </c>
      <c r="U61" s="9">
        <f t="shared" ca="1" si="3"/>
        <v>0</v>
      </c>
    </row>
    <row r="62" spans="1:28">
      <c r="A62" s="3" t="s">
        <v>48</v>
      </c>
      <c r="D62" s="3" t="s">
        <v>2002</v>
      </c>
      <c r="E62" s="3" t="s">
        <v>2003</v>
      </c>
      <c r="J62" s="9" t="s">
        <v>8729</v>
      </c>
      <c r="S62" s="9" t="s">
        <v>8739</v>
      </c>
      <c r="T62" s="9" t="str">
        <f t="shared" ca="1" si="2"/>
        <v/>
      </c>
      <c r="U62" s="9" t="str">
        <f t="shared" ca="1" si="3"/>
        <v/>
      </c>
      <c r="Z62" s="9" t="s">
        <v>8757</v>
      </c>
      <c r="AA62" s="9" t="s">
        <v>3884</v>
      </c>
      <c r="AB62" s="9" t="s">
        <v>8697</v>
      </c>
    </row>
    <row r="63" spans="1:28">
      <c r="A63" s="3" t="s">
        <v>49</v>
      </c>
      <c r="D63" s="3" t="s">
        <v>2005</v>
      </c>
      <c r="E63" s="3" t="s">
        <v>2006</v>
      </c>
      <c r="J63" s="9" t="s">
        <v>8729</v>
      </c>
      <c r="S63" s="9" t="s">
        <v>8739</v>
      </c>
      <c r="T63" s="9" t="str">
        <f t="shared" ca="1" si="2"/>
        <v/>
      </c>
      <c r="U63" s="9" t="str">
        <f t="shared" ca="1" si="3"/>
        <v/>
      </c>
      <c r="Z63" s="9" t="s">
        <v>9280</v>
      </c>
      <c r="AA63" s="9" t="s">
        <v>3884</v>
      </c>
      <c r="AB63" s="9" t="s">
        <v>8697</v>
      </c>
    </row>
    <row r="64" spans="1:28">
      <c r="A64" s="3" t="s">
        <v>49</v>
      </c>
      <c r="D64" s="3" t="s">
        <v>2007</v>
      </c>
      <c r="E64" s="3" t="s">
        <v>2008</v>
      </c>
      <c r="J64" s="9" t="s">
        <v>8729</v>
      </c>
      <c r="S64" s="9" t="s">
        <v>8739</v>
      </c>
      <c r="T64" s="9" t="str">
        <f t="shared" ca="1" si="2"/>
        <v/>
      </c>
      <c r="U64" s="9" t="str">
        <f t="shared" ca="1" si="3"/>
        <v/>
      </c>
      <c r="Z64" s="9" t="s">
        <v>9280</v>
      </c>
      <c r="AA64" s="9" t="s">
        <v>3884</v>
      </c>
      <c r="AB64" s="9" t="s">
        <v>8697</v>
      </c>
    </row>
    <row r="65" spans="1:28">
      <c r="A65" s="3" t="s">
        <v>49</v>
      </c>
      <c r="D65" s="3" t="s">
        <v>2009</v>
      </c>
      <c r="E65" s="3" t="s">
        <v>2010</v>
      </c>
      <c r="J65" s="9" t="s">
        <v>8729</v>
      </c>
      <c r="S65" s="9">
        <f>6-15</f>
        <v>-9</v>
      </c>
      <c r="T65" s="9">
        <f t="shared" ca="1" si="2"/>
        <v>15</v>
      </c>
      <c r="U65" s="9">
        <f t="shared" ca="1" si="3"/>
        <v>6</v>
      </c>
    </row>
    <row r="66" spans="1:28">
      <c r="A66" s="3" t="s">
        <v>50</v>
      </c>
      <c r="D66" s="3" t="s">
        <v>3924</v>
      </c>
      <c r="E66" s="3" t="s">
        <v>3925</v>
      </c>
      <c r="H66" t="s">
        <v>3884</v>
      </c>
      <c r="J66" s="9" t="s">
        <v>3885</v>
      </c>
      <c r="K66" s="9">
        <v>1</v>
      </c>
      <c r="L66" s="9">
        <v>3</v>
      </c>
      <c r="M66" s="9" t="s">
        <v>8698</v>
      </c>
      <c r="N66" s="9" t="s">
        <v>8684</v>
      </c>
      <c r="O66" s="9" t="s">
        <v>8777</v>
      </c>
      <c r="P66" s="10" t="s">
        <v>8778</v>
      </c>
      <c r="Q66" s="9" t="s">
        <v>8685</v>
      </c>
      <c r="R66" s="9">
        <v>9418</v>
      </c>
      <c r="T66" s="9" t="str">
        <f t="shared" ref="T66:T129" ca="1" si="4">IF(ISNUMBER(S66),VALUE(MID(_xlfn.FORMULATEXT(S66),SEARCH("-",_xlfn.FORMULATEXT(S66))+1,LEN(_xlfn.FORMULATEXT(S66))-SEARCH("-",_xlfn.FORMULATEXT(S66)))), "")</f>
        <v/>
      </c>
      <c r="U66" s="9" t="str">
        <f t="shared" ref="U66:U129" ca="1" si="5">IF(ISNUMBER(S66), VALUE(MID(_xlfn.FORMULATEXT(S66), 2, SEARCH("-", _xlfn.FORMULATEXT(S66)) - 2)), "")</f>
        <v/>
      </c>
      <c r="AB66" s="9" t="s">
        <v>8694</v>
      </c>
    </row>
    <row r="67" spans="1:28" ht="29">
      <c r="A67" s="3" t="s">
        <v>51</v>
      </c>
      <c r="D67" s="4" t="s">
        <v>3926</v>
      </c>
      <c r="E67" s="3" t="s">
        <v>3927</v>
      </c>
      <c r="F67" t="s">
        <v>3883</v>
      </c>
      <c r="T67" s="9" t="str">
        <f t="shared" ca="1" si="4"/>
        <v/>
      </c>
      <c r="U67" s="9" t="str">
        <f t="shared" ca="1" si="5"/>
        <v/>
      </c>
    </row>
    <row r="68" spans="1:28">
      <c r="A68" s="3" t="s">
        <v>51</v>
      </c>
      <c r="D68" s="3" t="s">
        <v>3928</v>
      </c>
      <c r="E68" s="3" t="s">
        <v>3929</v>
      </c>
      <c r="J68" s="9" t="s">
        <v>8731</v>
      </c>
      <c r="T68" s="9" t="str">
        <f t="shared" ca="1" si="4"/>
        <v/>
      </c>
      <c r="U68" s="9" t="str">
        <f t="shared" ca="1" si="5"/>
        <v/>
      </c>
    </row>
    <row r="69" spans="1:28" ht="29">
      <c r="A69" s="3" t="s">
        <v>52</v>
      </c>
      <c r="D69" s="3" t="s">
        <v>8779</v>
      </c>
      <c r="E69" s="3" t="s">
        <v>8780</v>
      </c>
      <c r="H69" t="s">
        <v>3892</v>
      </c>
      <c r="J69" s="9" t="s">
        <v>3885</v>
      </c>
      <c r="K69" s="9">
        <v>1</v>
      </c>
      <c r="L69" s="9">
        <v>3</v>
      </c>
      <c r="M69" s="9" t="s">
        <v>8707</v>
      </c>
      <c r="N69" s="9" t="s">
        <v>8690</v>
      </c>
      <c r="R69" s="9">
        <v>991</v>
      </c>
      <c r="T69" s="9" t="str">
        <f t="shared" ca="1" si="4"/>
        <v/>
      </c>
      <c r="U69" s="9" t="str">
        <f t="shared" ca="1" si="5"/>
        <v/>
      </c>
    </row>
    <row r="70" spans="1:28">
      <c r="A70" s="3" t="s">
        <v>52</v>
      </c>
      <c r="D70" s="4" t="s">
        <v>3930</v>
      </c>
      <c r="E70" s="3" t="s">
        <v>3931</v>
      </c>
      <c r="F70" t="s">
        <v>3883</v>
      </c>
      <c r="T70" s="9" t="str">
        <f t="shared" ca="1" si="4"/>
        <v/>
      </c>
      <c r="U70" s="9" t="str">
        <f t="shared" ca="1" si="5"/>
        <v/>
      </c>
    </row>
    <row r="71" spans="1:28">
      <c r="A71" s="3" t="s">
        <v>53</v>
      </c>
      <c r="D71" s="3" t="s">
        <v>2012</v>
      </c>
      <c r="E71" s="3" t="s">
        <v>2012</v>
      </c>
      <c r="F71" t="s">
        <v>3932</v>
      </c>
      <c r="I71" t="s">
        <v>3933</v>
      </c>
      <c r="T71" s="9" t="str">
        <f t="shared" ca="1" si="4"/>
        <v/>
      </c>
      <c r="U71" s="9" t="str">
        <f t="shared" ca="1" si="5"/>
        <v/>
      </c>
    </row>
    <row r="72" spans="1:28">
      <c r="A72" s="3" t="s">
        <v>54</v>
      </c>
      <c r="D72" s="4" t="s">
        <v>2013</v>
      </c>
      <c r="E72" s="3" t="s">
        <v>2014</v>
      </c>
      <c r="F72" t="s">
        <v>3883</v>
      </c>
      <c r="T72" s="9" t="str">
        <f t="shared" ca="1" si="4"/>
        <v/>
      </c>
      <c r="U72" s="9" t="str">
        <f t="shared" ca="1" si="5"/>
        <v/>
      </c>
    </row>
    <row r="73" spans="1:28">
      <c r="A73" s="3" t="s">
        <v>54</v>
      </c>
      <c r="D73" s="3" t="s">
        <v>3934</v>
      </c>
      <c r="E73" s="3" t="s">
        <v>3935</v>
      </c>
      <c r="H73" t="s">
        <v>3884</v>
      </c>
      <c r="J73" s="9" t="s">
        <v>3885</v>
      </c>
      <c r="K73" s="9">
        <v>1</v>
      </c>
      <c r="L73" s="9">
        <v>4</v>
      </c>
      <c r="M73" s="9" t="s">
        <v>8703</v>
      </c>
      <c r="N73" s="9" t="s">
        <v>8684</v>
      </c>
      <c r="O73" s="9" t="s">
        <v>8777</v>
      </c>
      <c r="P73" s="10" t="s">
        <v>8772</v>
      </c>
      <c r="Q73" s="9" t="s">
        <v>8685</v>
      </c>
      <c r="R73" s="9" t="s">
        <v>8730</v>
      </c>
      <c r="T73" s="9" t="str">
        <f t="shared" ca="1" si="4"/>
        <v/>
      </c>
      <c r="U73" s="9" t="str">
        <f t="shared" ca="1" si="5"/>
        <v/>
      </c>
      <c r="AB73" s="9" t="s">
        <v>8688</v>
      </c>
    </row>
    <row r="74" spans="1:28">
      <c r="A74" s="3" t="s">
        <v>54</v>
      </c>
      <c r="D74" s="3" t="s">
        <v>3936</v>
      </c>
      <c r="E74" s="3" t="s">
        <v>3937</v>
      </c>
      <c r="H74" t="s">
        <v>3884</v>
      </c>
      <c r="J74" s="9" t="s">
        <v>8729</v>
      </c>
      <c r="S74" s="9">
        <f>10929-494</f>
        <v>10435</v>
      </c>
      <c r="T74" s="9">
        <f t="shared" ca="1" si="4"/>
        <v>494</v>
      </c>
      <c r="U74" s="9">
        <f t="shared" ca="1" si="5"/>
        <v>10929</v>
      </c>
    </row>
    <row r="75" spans="1:28">
      <c r="A75" s="3" t="s">
        <v>55</v>
      </c>
      <c r="D75" t="s">
        <v>9402</v>
      </c>
      <c r="E75" t="s">
        <v>8781</v>
      </c>
      <c r="J75" s="9" t="s">
        <v>3889</v>
      </c>
      <c r="K75" s="9">
        <v>1</v>
      </c>
      <c r="L75" s="9">
        <v>5</v>
      </c>
      <c r="M75" s="9" t="s">
        <v>8705</v>
      </c>
      <c r="N75" s="9" t="s">
        <v>8684</v>
      </c>
      <c r="O75" s="9" t="s">
        <v>8777</v>
      </c>
      <c r="P75" s="10" t="s">
        <v>8778</v>
      </c>
      <c r="R75" s="9">
        <v>3678</v>
      </c>
      <c r="T75" s="9" t="str">
        <f t="shared" ca="1" si="4"/>
        <v/>
      </c>
      <c r="U75" s="9" t="str">
        <f t="shared" ca="1" si="5"/>
        <v/>
      </c>
    </row>
    <row r="76" spans="1:28">
      <c r="A76" s="3" t="s">
        <v>55</v>
      </c>
      <c r="D76" t="s">
        <v>9403</v>
      </c>
      <c r="E76" t="s">
        <v>9550</v>
      </c>
      <c r="J76" s="9" t="s">
        <v>8731</v>
      </c>
      <c r="T76" s="9" t="str">
        <f t="shared" ca="1" si="4"/>
        <v/>
      </c>
      <c r="U76" s="9" t="str">
        <f t="shared" ca="1" si="5"/>
        <v/>
      </c>
      <c r="Z76" s="9" t="s">
        <v>8741</v>
      </c>
      <c r="AA76" s="9" t="s">
        <v>3884</v>
      </c>
      <c r="AB76" s="9" t="s">
        <v>8697</v>
      </c>
    </row>
    <row r="77" spans="1:28">
      <c r="A77" s="3" t="s">
        <v>55</v>
      </c>
      <c r="D77" s="3" t="s">
        <v>8782</v>
      </c>
      <c r="E77" s="3" t="s">
        <v>8783</v>
      </c>
      <c r="H77" t="s">
        <v>3884</v>
      </c>
      <c r="J77" s="9" t="s">
        <v>3885</v>
      </c>
      <c r="K77" s="9">
        <v>1</v>
      </c>
      <c r="L77" s="9">
        <v>3</v>
      </c>
      <c r="M77" s="9" t="s">
        <v>8689</v>
      </c>
      <c r="N77" s="9" t="s">
        <v>8690</v>
      </c>
      <c r="R77" s="9">
        <v>10929</v>
      </c>
      <c r="T77" s="9" t="str">
        <f t="shared" ca="1" si="4"/>
        <v/>
      </c>
      <c r="U77" s="9" t="str">
        <f t="shared" ca="1" si="5"/>
        <v/>
      </c>
    </row>
    <row r="78" spans="1:28">
      <c r="A78" s="3" t="s">
        <v>56</v>
      </c>
      <c r="D78" s="3" t="s">
        <v>2016</v>
      </c>
      <c r="E78" s="3" t="s">
        <v>2017</v>
      </c>
      <c r="J78" s="9" t="s">
        <v>8731</v>
      </c>
      <c r="T78" s="9" t="str">
        <f t="shared" ca="1" si="4"/>
        <v/>
      </c>
      <c r="U78" s="9" t="str">
        <f t="shared" ca="1" si="5"/>
        <v/>
      </c>
      <c r="AB78" s="9" t="s">
        <v>8697</v>
      </c>
    </row>
    <row r="79" spans="1:28">
      <c r="A79" s="3" t="s">
        <v>56</v>
      </c>
      <c r="D79" s="3" t="s">
        <v>2018</v>
      </c>
      <c r="E79" s="3" t="s">
        <v>2019</v>
      </c>
      <c r="F79" t="s">
        <v>3881</v>
      </c>
      <c r="T79" s="9" t="str">
        <f t="shared" ca="1" si="4"/>
        <v/>
      </c>
      <c r="U79" s="9" t="str">
        <f t="shared" ca="1" si="5"/>
        <v/>
      </c>
    </row>
    <row r="80" spans="1:28">
      <c r="A80" s="3" t="s">
        <v>57</v>
      </c>
      <c r="D80" s="3" t="s">
        <v>3939</v>
      </c>
      <c r="E80" s="3" t="s">
        <v>3938</v>
      </c>
      <c r="H80" t="s">
        <v>3884</v>
      </c>
      <c r="J80" s="9" t="s">
        <v>3885</v>
      </c>
      <c r="K80" s="9">
        <v>1</v>
      </c>
      <c r="L80" s="9">
        <v>5</v>
      </c>
      <c r="M80" s="9" t="s">
        <v>8705</v>
      </c>
      <c r="N80" s="9" t="s">
        <v>8690</v>
      </c>
      <c r="R80" s="9">
        <v>3678</v>
      </c>
      <c r="T80" s="9" t="str">
        <f t="shared" ca="1" si="4"/>
        <v/>
      </c>
      <c r="U80" s="9" t="str">
        <f t="shared" ca="1" si="5"/>
        <v/>
      </c>
    </row>
    <row r="81" spans="1:28">
      <c r="A81" s="3" t="s">
        <v>58</v>
      </c>
      <c r="D81" s="3" t="s">
        <v>2020</v>
      </c>
      <c r="E81" s="3" t="s">
        <v>2021</v>
      </c>
      <c r="F81" t="s">
        <v>3881</v>
      </c>
      <c r="T81" s="9" t="str">
        <f t="shared" ca="1" si="4"/>
        <v/>
      </c>
      <c r="U81" s="9" t="str">
        <f t="shared" ca="1" si="5"/>
        <v/>
      </c>
    </row>
    <row r="82" spans="1:28">
      <c r="A82" s="3" t="s">
        <v>58</v>
      </c>
      <c r="D82" s="4" t="s">
        <v>2022</v>
      </c>
      <c r="E82" s="3" t="s">
        <v>2023</v>
      </c>
      <c r="F82" t="s">
        <v>3883</v>
      </c>
      <c r="T82" s="9" t="str">
        <f t="shared" ca="1" si="4"/>
        <v/>
      </c>
      <c r="U82" s="9" t="str">
        <f t="shared" ca="1" si="5"/>
        <v/>
      </c>
    </row>
    <row r="83" spans="1:28">
      <c r="A83" s="3" t="s">
        <v>59</v>
      </c>
      <c r="D83" s="3" t="s">
        <v>2024</v>
      </c>
      <c r="E83" s="3" t="s">
        <v>2025</v>
      </c>
      <c r="J83" s="9" t="s">
        <v>8731</v>
      </c>
      <c r="T83" s="9" t="str">
        <f t="shared" ca="1" si="4"/>
        <v/>
      </c>
      <c r="U83" s="9" t="str">
        <f t="shared" ca="1" si="5"/>
        <v/>
      </c>
      <c r="AB83" s="9" t="s">
        <v>8697</v>
      </c>
    </row>
    <row r="84" spans="1:28">
      <c r="A84" s="3" t="s">
        <v>60</v>
      </c>
      <c r="D84" s="3" t="s">
        <v>2026</v>
      </c>
      <c r="E84" s="3" t="s">
        <v>2027</v>
      </c>
      <c r="J84" s="9" t="s">
        <v>8729</v>
      </c>
      <c r="S84" s="9" t="s">
        <v>8739</v>
      </c>
      <c r="T84" s="9" t="str">
        <f t="shared" ca="1" si="4"/>
        <v/>
      </c>
      <c r="U84" s="9" t="str">
        <f t="shared" ca="1" si="5"/>
        <v/>
      </c>
      <c r="Z84" s="9" t="s">
        <v>8742</v>
      </c>
      <c r="AA84" s="9" t="s">
        <v>3884</v>
      </c>
      <c r="AB84" s="9" t="s">
        <v>8697</v>
      </c>
    </row>
    <row r="85" spans="1:28">
      <c r="A85" s="3" t="s">
        <v>61</v>
      </c>
      <c r="D85" s="3" t="s">
        <v>2028</v>
      </c>
      <c r="E85" s="3" t="s">
        <v>2029</v>
      </c>
      <c r="J85" s="9" t="s">
        <v>8731</v>
      </c>
      <c r="T85" s="9" t="str">
        <f t="shared" ca="1" si="4"/>
        <v/>
      </c>
      <c r="U85" s="9" t="str">
        <f t="shared" ca="1" si="5"/>
        <v/>
      </c>
    </row>
    <row r="86" spans="1:28">
      <c r="A86" s="3" t="s">
        <v>62</v>
      </c>
      <c r="D86" s="3" t="s">
        <v>9552</v>
      </c>
      <c r="E86" s="3" t="s">
        <v>9551</v>
      </c>
      <c r="F86" t="s">
        <v>3881</v>
      </c>
      <c r="T86" s="9" t="str">
        <f t="shared" ca="1" si="4"/>
        <v/>
      </c>
      <c r="U86" s="9" t="str">
        <f t="shared" ca="1" si="5"/>
        <v/>
      </c>
    </row>
    <row r="87" spans="1:28">
      <c r="A87" s="3" t="s">
        <v>62</v>
      </c>
      <c r="D87" s="3" t="s">
        <v>8784</v>
      </c>
      <c r="E87" s="3" t="s">
        <v>8785</v>
      </c>
      <c r="H87" t="s">
        <v>3884</v>
      </c>
      <c r="J87" s="9" t="s">
        <v>3885</v>
      </c>
      <c r="K87" s="9">
        <v>1</v>
      </c>
      <c r="L87" s="9">
        <v>1</v>
      </c>
      <c r="M87" s="9" t="s">
        <v>8689</v>
      </c>
      <c r="N87" s="9" t="s">
        <v>8730</v>
      </c>
      <c r="R87" s="9">
        <v>10929</v>
      </c>
      <c r="T87" s="9" t="str">
        <f t="shared" ca="1" si="4"/>
        <v/>
      </c>
      <c r="U87" s="9" t="str">
        <f t="shared" ca="1" si="5"/>
        <v/>
      </c>
    </row>
    <row r="88" spans="1:28">
      <c r="A88" s="3" t="s">
        <v>63</v>
      </c>
      <c r="D88" s="3" t="s">
        <v>2031</v>
      </c>
      <c r="E88" s="3" t="s">
        <v>2029</v>
      </c>
      <c r="J88" s="9" t="s">
        <v>8729</v>
      </c>
      <c r="S88" s="9" t="s">
        <v>8739</v>
      </c>
      <c r="T88" s="9" t="str">
        <f t="shared" ca="1" si="4"/>
        <v/>
      </c>
      <c r="U88" s="9" t="str">
        <f t="shared" ca="1" si="5"/>
        <v/>
      </c>
      <c r="AB88" s="9" t="s">
        <v>8697</v>
      </c>
    </row>
    <row r="89" spans="1:28">
      <c r="A89" s="3" t="s">
        <v>64</v>
      </c>
      <c r="D89" s="3" t="s">
        <v>2183</v>
      </c>
      <c r="E89" s="3" t="s">
        <v>2032</v>
      </c>
      <c r="H89" t="s">
        <v>3884</v>
      </c>
      <c r="J89" s="9" t="s">
        <v>8731</v>
      </c>
      <c r="T89" s="9" t="str">
        <f t="shared" ca="1" si="4"/>
        <v/>
      </c>
      <c r="U89" s="9" t="str">
        <f t="shared" ca="1" si="5"/>
        <v/>
      </c>
      <c r="AB89" s="9" t="s">
        <v>8694</v>
      </c>
    </row>
    <row r="90" spans="1:28">
      <c r="A90" s="3" t="s">
        <v>65</v>
      </c>
      <c r="D90" s="3" t="s">
        <v>2033</v>
      </c>
      <c r="E90" s="3" t="s">
        <v>2034</v>
      </c>
      <c r="J90" s="9" t="s">
        <v>8729</v>
      </c>
      <c r="S90" s="9">
        <f>39-16</f>
        <v>23</v>
      </c>
      <c r="T90" s="9">
        <f t="shared" ca="1" si="4"/>
        <v>16</v>
      </c>
      <c r="U90" s="9">
        <f t="shared" ca="1" si="5"/>
        <v>39</v>
      </c>
    </row>
    <row r="91" spans="1:28">
      <c r="A91" s="3" t="s">
        <v>66</v>
      </c>
      <c r="D91" t="s">
        <v>8786</v>
      </c>
      <c r="E91" t="s">
        <v>8787</v>
      </c>
      <c r="H91" t="s">
        <v>3884</v>
      </c>
      <c r="J91" s="9" t="s">
        <v>3885</v>
      </c>
      <c r="K91" s="9">
        <v>1</v>
      </c>
      <c r="L91" s="9">
        <v>3</v>
      </c>
      <c r="M91" s="9" t="s">
        <v>8705</v>
      </c>
      <c r="N91" s="9" t="s">
        <v>8690</v>
      </c>
      <c r="R91" s="9">
        <v>1443</v>
      </c>
      <c r="T91" s="9" t="str">
        <f t="shared" ca="1" si="4"/>
        <v/>
      </c>
      <c r="U91" s="9" t="str">
        <f t="shared" ca="1" si="5"/>
        <v/>
      </c>
    </row>
    <row r="92" spans="1:28">
      <c r="A92" s="3" t="s">
        <v>67</v>
      </c>
      <c r="D92" s="3" t="s">
        <v>2036</v>
      </c>
      <c r="E92" s="3" t="s">
        <v>2037</v>
      </c>
      <c r="J92" s="9" t="s">
        <v>8731</v>
      </c>
      <c r="T92" s="9" t="str">
        <f t="shared" ca="1" si="4"/>
        <v/>
      </c>
      <c r="U92" s="9" t="str">
        <f t="shared" ca="1" si="5"/>
        <v/>
      </c>
      <c r="Z92" s="9" t="s">
        <v>8747</v>
      </c>
      <c r="AA92" s="9" t="s">
        <v>3884</v>
      </c>
    </row>
    <row r="93" spans="1:28">
      <c r="A93" s="3" t="s">
        <v>68</v>
      </c>
      <c r="D93" s="3" t="s">
        <v>3940</v>
      </c>
      <c r="E93" s="3" t="s">
        <v>9553</v>
      </c>
      <c r="H93" t="s">
        <v>3884</v>
      </c>
      <c r="J93" s="9" t="s">
        <v>3889</v>
      </c>
      <c r="K93" s="9">
        <v>2</v>
      </c>
      <c r="L93" s="9">
        <v>6</v>
      </c>
      <c r="N93" s="9" t="s">
        <v>8690</v>
      </c>
      <c r="R93" s="9">
        <v>13</v>
      </c>
      <c r="T93" s="9" t="str">
        <f t="shared" ca="1" si="4"/>
        <v/>
      </c>
      <c r="U93" s="9" t="str">
        <f t="shared" ca="1" si="5"/>
        <v/>
      </c>
    </row>
    <row r="94" spans="1:28">
      <c r="A94" s="3" t="s">
        <v>68</v>
      </c>
      <c r="D94" s="3" t="s">
        <v>2038</v>
      </c>
      <c r="E94" s="3" t="s">
        <v>2039</v>
      </c>
      <c r="J94" s="9" t="s">
        <v>8729</v>
      </c>
      <c r="S94" s="9" t="s">
        <v>8739</v>
      </c>
      <c r="T94" s="9" t="str">
        <f t="shared" ca="1" si="4"/>
        <v/>
      </c>
      <c r="U94" s="9" t="str">
        <f t="shared" ca="1" si="5"/>
        <v/>
      </c>
      <c r="Y94" s="9" t="s">
        <v>8735</v>
      </c>
      <c r="Z94" s="9" t="s">
        <v>8757</v>
      </c>
      <c r="AA94" s="9" t="s">
        <v>3884</v>
      </c>
    </row>
    <row r="95" spans="1:28">
      <c r="A95" s="3" t="s">
        <v>69</v>
      </c>
      <c r="D95" s="3" t="s">
        <v>3941</v>
      </c>
      <c r="E95" s="3" t="s">
        <v>3942</v>
      </c>
      <c r="H95" t="s">
        <v>3884</v>
      </c>
      <c r="J95" s="9" t="s">
        <v>8729</v>
      </c>
      <c r="S95" s="9" t="s">
        <v>8739</v>
      </c>
      <c r="T95" s="9" t="str">
        <f t="shared" ca="1" si="4"/>
        <v/>
      </c>
      <c r="U95" s="9" t="str">
        <f t="shared" ca="1" si="5"/>
        <v/>
      </c>
      <c r="Z95" s="9" t="s">
        <v>9280</v>
      </c>
      <c r="AA95" s="9" t="s">
        <v>3884</v>
      </c>
      <c r="AB95" s="9" t="s">
        <v>8688</v>
      </c>
    </row>
    <row r="96" spans="1:28" ht="29">
      <c r="A96" s="3" t="s">
        <v>69</v>
      </c>
      <c r="D96" s="3" t="s">
        <v>9404</v>
      </c>
      <c r="E96" s="3" t="s">
        <v>9405</v>
      </c>
      <c r="J96" s="9" t="s">
        <v>3889</v>
      </c>
      <c r="K96" s="9">
        <v>2</v>
      </c>
      <c r="L96" s="9">
        <v>10</v>
      </c>
      <c r="N96" s="9" t="s">
        <v>8690</v>
      </c>
      <c r="R96" s="9">
        <v>84</v>
      </c>
      <c r="T96" s="9" t="str">
        <f t="shared" ca="1" si="4"/>
        <v/>
      </c>
      <c r="U96" s="9" t="str">
        <f t="shared" ca="1" si="5"/>
        <v/>
      </c>
    </row>
    <row r="97" spans="1:28" ht="29">
      <c r="A97" s="3" t="s">
        <v>69</v>
      </c>
      <c r="D97" s="3" t="s">
        <v>8788</v>
      </c>
      <c r="E97" s="3" t="s">
        <v>8789</v>
      </c>
      <c r="J97" s="9" t="s">
        <v>8731</v>
      </c>
      <c r="T97" s="9" t="str">
        <f t="shared" ca="1" si="4"/>
        <v/>
      </c>
      <c r="U97" s="9" t="str">
        <f t="shared" ca="1" si="5"/>
        <v/>
      </c>
      <c r="Z97" s="9" t="s">
        <v>9280</v>
      </c>
      <c r="AA97" s="9" t="s">
        <v>3884</v>
      </c>
      <c r="AB97" s="9" t="s">
        <v>8697</v>
      </c>
    </row>
    <row r="98" spans="1:28">
      <c r="A98" s="3" t="s">
        <v>69</v>
      </c>
      <c r="D98" s="3" t="s">
        <v>2042</v>
      </c>
      <c r="E98" s="3" t="s">
        <v>2043</v>
      </c>
      <c r="J98" s="9" t="s">
        <v>8729</v>
      </c>
      <c r="S98" s="9" t="s">
        <v>8739</v>
      </c>
      <c r="T98" s="9" t="str">
        <f t="shared" ca="1" si="4"/>
        <v/>
      </c>
      <c r="U98" s="9" t="str">
        <f t="shared" ca="1" si="5"/>
        <v/>
      </c>
      <c r="Y98" s="9" t="s">
        <v>8735</v>
      </c>
      <c r="AA98" s="9" t="s">
        <v>3884</v>
      </c>
    </row>
    <row r="99" spans="1:28">
      <c r="A99" s="3" t="s">
        <v>69</v>
      </c>
      <c r="D99" s="3" t="s">
        <v>2040</v>
      </c>
      <c r="E99" s="3" t="s">
        <v>2041</v>
      </c>
      <c r="G99" t="s">
        <v>3884</v>
      </c>
      <c r="J99" s="9" t="s">
        <v>8731</v>
      </c>
      <c r="T99" s="9" t="str">
        <f t="shared" ca="1" si="4"/>
        <v/>
      </c>
      <c r="U99" s="9" t="str">
        <f t="shared" ca="1" si="5"/>
        <v/>
      </c>
      <c r="Z99" s="9" t="s">
        <v>9280</v>
      </c>
      <c r="AA99" s="9" t="s">
        <v>3884</v>
      </c>
      <c r="AB99" s="9" t="s">
        <v>8697</v>
      </c>
    </row>
    <row r="100" spans="1:28" ht="29">
      <c r="A100" s="3" t="s">
        <v>70</v>
      </c>
      <c r="D100" s="3" t="s">
        <v>3943</v>
      </c>
      <c r="E100" s="3" t="s">
        <v>3944</v>
      </c>
      <c r="H100" t="s">
        <v>3884</v>
      </c>
      <c r="J100" s="9" t="s">
        <v>3885</v>
      </c>
      <c r="K100" s="9">
        <v>1</v>
      </c>
      <c r="L100" s="9">
        <v>3</v>
      </c>
      <c r="M100" s="9" t="s">
        <v>8689</v>
      </c>
      <c r="N100" s="9" t="s">
        <v>8690</v>
      </c>
      <c r="R100" s="9">
        <v>10929</v>
      </c>
      <c r="T100" s="9" t="str">
        <f t="shared" ca="1" si="4"/>
        <v/>
      </c>
      <c r="U100" s="9" t="str">
        <f t="shared" ca="1" si="5"/>
        <v/>
      </c>
    </row>
    <row r="101" spans="1:28">
      <c r="A101" s="3" t="s">
        <v>70</v>
      </c>
      <c r="D101" s="3" t="s">
        <v>2045</v>
      </c>
      <c r="E101" s="3" t="s">
        <v>2046</v>
      </c>
      <c r="J101" s="9" t="s">
        <v>8731</v>
      </c>
      <c r="T101" s="9" t="str">
        <f t="shared" ca="1" si="4"/>
        <v/>
      </c>
      <c r="U101" s="9" t="str">
        <f t="shared" ca="1" si="5"/>
        <v/>
      </c>
      <c r="AB101" s="9" t="s">
        <v>8697</v>
      </c>
    </row>
    <row r="102" spans="1:28">
      <c r="A102" s="3" t="s">
        <v>71</v>
      </c>
      <c r="D102" s="3" t="s">
        <v>3945</v>
      </c>
      <c r="E102" s="3" t="s">
        <v>3946</v>
      </c>
      <c r="H102" t="s">
        <v>3884</v>
      </c>
      <c r="J102" s="9" t="s">
        <v>3885</v>
      </c>
      <c r="K102" s="9">
        <v>1</v>
      </c>
      <c r="L102" s="9">
        <v>4</v>
      </c>
      <c r="M102" s="9" t="s">
        <v>8698</v>
      </c>
      <c r="N102" s="9" t="s">
        <v>8684</v>
      </c>
      <c r="O102" s="9" t="s">
        <v>8771</v>
      </c>
      <c r="P102" s="10" t="s">
        <v>8772</v>
      </c>
      <c r="R102" s="9" t="s">
        <v>8730</v>
      </c>
      <c r="T102" s="9" t="str">
        <f t="shared" ca="1" si="4"/>
        <v/>
      </c>
      <c r="U102" s="9" t="str">
        <f t="shared" ca="1" si="5"/>
        <v/>
      </c>
      <c r="AB102" s="9" t="s">
        <v>8688</v>
      </c>
    </row>
    <row r="103" spans="1:28">
      <c r="A103" s="3" t="s">
        <v>71</v>
      </c>
      <c r="D103" s="3" t="s">
        <v>2047</v>
      </c>
      <c r="E103" s="3" t="s">
        <v>2048</v>
      </c>
      <c r="J103" s="9" t="s">
        <v>8729</v>
      </c>
      <c r="S103" s="9" t="s">
        <v>8730</v>
      </c>
      <c r="T103" s="9" t="str">
        <f t="shared" ca="1" si="4"/>
        <v/>
      </c>
      <c r="U103" s="9" t="str">
        <f t="shared" ca="1" si="5"/>
        <v/>
      </c>
      <c r="Z103" s="9" t="s">
        <v>8747</v>
      </c>
      <c r="AA103" s="9" t="s">
        <v>3884</v>
      </c>
      <c r="AB103" s="9" t="s">
        <v>8697</v>
      </c>
    </row>
    <row r="104" spans="1:28">
      <c r="A104" s="3" t="s">
        <v>71</v>
      </c>
      <c r="D104" s="3" t="s">
        <v>1938</v>
      </c>
      <c r="E104" s="3" t="s">
        <v>2049</v>
      </c>
      <c r="J104" s="9" t="s">
        <v>8729</v>
      </c>
      <c r="S104" s="9" t="s">
        <v>8739</v>
      </c>
      <c r="T104" s="9" t="str">
        <f t="shared" ca="1" si="4"/>
        <v/>
      </c>
      <c r="U104" s="9" t="str">
        <f t="shared" ca="1" si="5"/>
        <v/>
      </c>
      <c r="Y104" s="9" t="s">
        <v>8735</v>
      </c>
      <c r="AA104" s="9" t="s">
        <v>3884</v>
      </c>
    </row>
    <row r="105" spans="1:28">
      <c r="A105" s="3" t="s">
        <v>71</v>
      </c>
      <c r="D105" s="3" t="s">
        <v>3948</v>
      </c>
      <c r="E105" s="3" t="s">
        <v>3947</v>
      </c>
      <c r="J105" s="9" t="s">
        <v>8731</v>
      </c>
      <c r="T105" s="9" t="str">
        <f t="shared" ca="1" si="4"/>
        <v/>
      </c>
      <c r="U105" s="9" t="str">
        <f t="shared" ca="1" si="5"/>
        <v/>
      </c>
      <c r="Z105" s="9" t="s">
        <v>9285</v>
      </c>
      <c r="AA105" s="9" t="s">
        <v>3884</v>
      </c>
    </row>
    <row r="106" spans="1:28" ht="29">
      <c r="A106" s="3" t="s">
        <v>72</v>
      </c>
      <c r="D106" s="3" t="s">
        <v>8790</v>
      </c>
      <c r="E106" s="3" t="s">
        <v>8792</v>
      </c>
      <c r="J106" s="9" t="s">
        <v>3885</v>
      </c>
      <c r="K106" s="9">
        <v>1</v>
      </c>
      <c r="L106" s="9">
        <v>1</v>
      </c>
      <c r="M106" s="9" t="s">
        <v>8689</v>
      </c>
      <c r="N106" s="9" t="s">
        <v>8730</v>
      </c>
      <c r="R106" s="9">
        <v>10929</v>
      </c>
      <c r="T106" s="9" t="str">
        <f t="shared" ca="1" si="4"/>
        <v/>
      </c>
      <c r="U106" s="9" t="str">
        <f t="shared" ca="1" si="5"/>
        <v/>
      </c>
    </row>
    <row r="107" spans="1:28" ht="29">
      <c r="A107" s="3" t="s">
        <v>72</v>
      </c>
      <c r="D107" s="3" t="s">
        <v>8791</v>
      </c>
      <c r="E107" s="3" t="s">
        <v>8793</v>
      </c>
      <c r="J107" s="9" t="s">
        <v>8729</v>
      </c>
      <c r="S107" s="9" t="s">
        <v>8739</v>
      </c>
      <c r="T107" s="9" t="str">
        <f t="shared" ca="1" si="4"/>
        <v/>
      </c>
      <c r="U107" s="9" t="str">
        <f t="shared" ca="1" si="5"/>
        <v/>
      </c>
      <c r="Z107" s="9" t="s">
        <v>8742</v>
      </c>
      <c r="AA107" s="9" t="s">
        <v>3884</v>
      </c>
      <c r="AB107" s="9" t="s">
        <v>8697</v>
      </c>
    </row>
    <row r="108" spans="1:28" ht="29">
      <c r="A108" s="3" t="s">
        <v>72</v>
      </c>
      <c r="D108" s="3" t="s">
        <v>8790</v>
      </c>
      <c r="E108" s="3" t="s">
        <v>8794</v>
      </c>
      <c r="J108" s="9" t="s">
        <v>3885</v>
      </c>
      <c r="K108" s="9">
        <v>1</v>
      </c>
      <c r="L108" s="9">
        <v>3</v>
      </c>
      <c r="M108" s="9" t="s">
        <v>8689</v>
      </c>
      <c r="N108" s="9" t="s">
        <v>8690</v>
      </c>
      <c r="R108" s="9">
        <v>10929</v>
      </c>
      <c r="T108" s="9" t="str">
        <f t="shared" ca="1" si="4"/>
        <v/>
      </c>
      <c r="U108" s="9" t="str">
        <f t="shared" ca="1" si="5"/>
        <v/>
      </c>
    </row>
    <row r="109" spans="1:28">
      <c r="A109" s="3" t="s">
        <v>73</v>
      </c>
      <c r="D109" t="s">
        <v>8795</v>
      </c>
      <c r="E109" t="s">
        <v>8796</v>
      </c>
      <c r="J109" s="9" t="s">
        <v>3885</v>
      </c>
      <c r="K109" s="9">
        <v>1</v>
      </c>
      <c r="L109" s="9">
        <v>1</v>
      </c>
      <c r="M109" s="9" t="s">
        <v>8689</v>
      </c>
      <c r="N109" s="9" t="s">
        <v>8730</v>
      </c>
      <c r="R109" s="9">
        <v>10929</v>
      </c>
      <c r="T109" s="9" t="str">
        <f t="shared" ca="1" si="4"/>
        <v/>
      </c>
      <c r="U109" s="9" t="str">
        <f t="shared" ca="1" si="5"/>
        <v/>
      </c>
    </row>
    <row r="110" spans="1:28">
      <c r="A110" s="3" t="s">
        <v>73</v>
      </c>
      <c r="D110" s="3" t="s">
        <v>8798</v>
      </c>
      <c r="E110" s="3" t="s">
        <v>8797</v>
      </c>
      <c r="J110" s="9" t="s">
        <v>8729</v>
      </c>
      <c r="S110" s="9" t="s">
        <v>8739</v>
      </c>
      <c r="T110" s="9" t="str">
        <f t="shared" ca="1" si="4"/>
        <v/>
      </c>
      <c r="U110" s="9" t="str">
        <f t="shared" ca="1" si="5"/>
        <v/>
      </c>
      <c r="Z110" s="9" t="s">
        <v>8742</v>
      </c>
      <c r="AA110" s="9" t="s">
        <v>3884</v>
      </c>
      <c r="AB110" s="9" t="s">
        <v>8697</v>
      </c>
    </row>
    <row r="111" spans="1:28">
      <c r="A111" s="3" t="s">
        <v>74</v>
      </c>
      <c r="D111" s="3" t="s">
        <v>8799</v>
      </c>
      <c r="E111" s="3" t="s">
        <v>8800</v>
      </c>
      <c r="J111" s="9" t="s">
        <v>8731</v>
      </c>
      <c r="T111" s="9" t="str">
        <f t="shared" ca="1" si="4"/>
        <v/>
      </c>
      <c r="U111" s="9" t="str">
        <f t="shared" ca="1" si="5"/>
        <v/>
      </c>
      <c r="AB111" s="9" t="s">
        <v>8700</v>
      </c>
    </row>
    <row r="112" spans="1:28">
      <c r="A112" s="3" t="s">
        <v>75</v>
      </c>
      <c r="D112" s="3" t="s">
        <v>2050</v>
      </c>
      <c r="E112" s="3" t="s">
        <v>2051</v>
      </c>
      <c r="J112" s="9" t="s">
        <v>8731</v>
      </c>
      <c r="T112" s="9" t="str">
        <f t="shared" ca="1" si="4"/>
        <v/>
      </c>
      <c r="U112" s="9" t="str">
        <f t="shared" ca="1" si="5"/>
        <v/>
      </c>
      <c r="Z112" s="9" t="s">
        <v>8757</v>
      </c>
      <c r="AA112" s="9" t="s">
        <v>3884</v>
      </c>
    </row>
    <row r="113" spans="1:28">
      <c r="A113" s="3" t="s">
        <v>75</v>
      </c>
      <c r="D113" s="3" t="s">
        <v>2052</v>
      </c>
      <c r="E113" s="3" t="s">
        <v>2053</v>
      </c>
      <c r="J113" s="9" t="s">
        <v>8731</v>
      </c>
      <c r="T113" s="9" t="str">
        <f t="shared" ca="1" si="4"/>
        <v/>
      </c>
      <c r="U113" s="9" t="str">
        <f t="shared" ca="1" si="5"/>
        <v/>
      </c>
      <c r="Z113" s="9" t="s">
        <v>8757</v>
      </c>
      <c r="AA113" s="9" t="s">
        <v>3884</v>
      </c>
    </row>
    <row r="114" spans="1:28">
      <c r="A114" s="3" t="s">
        <v>75</v>
      </c>
      <c r="D114" s="3" t="s">
        <v>2331</v>
      </c>
      <c r="E114" s="3" t="s">
        <v>3949</v>
      </c>
      <c r="J114" s="9" t="s">
        <v>3885</v>
      </c>
      <c r="K114" s="9">
        <v>1</v>
      </c>
      <c r="L114" s="9">
        <v>2</v>
      </c>
      <c r="M114" s="9" t="s">
        <v>8689</v>
      </c>
      <c r="N114" s="9" t="s">
        <v>8730</v>
      </c>
      <c r="R114" s="9">
        <v>10929</v>
      </c>
      <c r="T114" s="9" t="str">
        <f t="shared" ca="1" si="4"/>
        <v/>
      </c>
      <c r="U114" s="9" t="str">
        <f t="shared" ca="1" si="5"/>
        <v/>
      </c>
    </row>
    <row r="115" spans="1:28">
      <c r="A115" s="3" t="s">
        <v>75</v>
      </c>
      <c r="D115" s="3" t="s">
        <v>2054</v>
      </c>
      <c r="E115" s="3" t="s">
        <v>2054</v>
      </c>
      <c r="F115" t="s">
        <v>3932</v>
      </c>
      <c r="I115" t="s">
        <v>3950</v>
      </c>
      <c r="T115" s="9" t="str">
        <f t="shared" ca="1" si="4"/>
        <v/>
      </c>
      <c r="U115" s="9" t="str">
        <f t="shared" ca="1" si="5"/>
        <v/>
      </c>
    </row>
    <row r="116" spans="1:28">
      <c r="A116" s="3" t="s">
        <v>76</v>
      </c>
      <c r="D116" s="3" t="s">
        <v>2055</v>
      </c>
      <c r="E116" s="3" t="s">
        <v>2056</v>
      </c>
      <c r="H116" t="s">
        <v>3892</v>
      </c>
      <c r="I116" t="s">
        <v>3951</v>
      </c>
      <c r="J116" s="9" t="s">
        <v>8729</v>
      </c>
      <c r="S116" s="9" t="s">
        <v>8739</v>
      </c>
      <c r="T116" s="9" t="str">
        <f t="shared" ca="1" si="4"/>
        <v/>
      </c>
      <c r="U116" s="9" t="str">
        <f t="shared" ca="1" si="5"/>
        <v/>
      </c>
      <c r="AB116" s="9" t="s">
        <v>8697</v>
      </c>
    </row>
    <row r="117" spans="1:28" ht="29">
      <c r="A117" s="3" t="s">
        <v>76</v>
      </c>
      <c r="D117" s="3" t="s">
        <v>8801</v>
      </c>
      <c r="E117" s="3" t="s">
        <v>8802</v>
      </c>
      <c r="H117" t="s">
        <v>3884</v>
      </c>
      <c r="I117" t="s">
        <v>8803</v>
      </c>
      <c r="J117" s="9" t="s">
        <v>3885</v>
      </c>
      <c r="K117" s="9">
        <v>1</v>
      </c>
      <c r="L117" s="9">
        <v>1</v>
      </c>
      <c r="M117" s="9" t="s">
        <v>8683</v>
      </c>
      <c r="N117" s="9" t="s">
        <v>8730</v>
      </c>
      <c r="R117" s="9">
        <v>10</v>
      </c>
      <c r="T117" s="9" t="str">
        <f t="shared" ca="1" si="4"/>
        <v/>
      </c>
      <c r="U117" s="9" t="str">
        <f t="shared" ca="1" si="5"/>
        <v/>
      </c>
    </row>
    <row r="118" spans="1:28">
      <c r="A118" s="3" t="s">
        <v>77</v>
      </c>
      <c r="D118" s="3" t="s">
        <v>2057</v>
      </c>
      <c r="E118" s="3" t="s">
        <v>2058</v>
      </c>
      <c r="J118" s="9" t="s">
        <v>8731</v>
      </c>
      <c r="T118" s="9" t="str">
        <f t="shared" ca="1" si="4"/>
        <v/>
      </c>
      <c r="U118" s="9" t="str">
        <f t="shared" ca="1" si="5"/>
        <v/>
      </c>
      <c r="Z118" s="9" t="s">
        <v>9279</v>
      </c>
      <c r="AA118" s="9" t="s">
        <v>3884</v>
      </c>
    </row>
    <row r="119" spans="1:28">
      <c r="A119" s="3" t="s">
        <v>78</v>
      </c>
      <c r="D119" s="3" t="s">
        <v>3952</v>
      </c>
      <c r="E119" s="3" t="s">
        <v>2062</v>
      </c>
      <c r="H119" t="s">
        <v>3884</v>
      </c>
      <c r="J119" s="9" t="s">
        <v>8729</v>
      </c>
      <c r="S119" s="9" t="s">
        <v>8739</v>
      </c>
      <c r="T119" s="9" t="str">
        <f t="shared" ca="1" si="4"/>
        <v/>
      </c>
      <c r="U119" s="9" t="str">
        <f t="shared" ca="1" si="5"/>
        <v/>
      </c>
      <c r="Z119" s="9" t="s">
        <v>8804</v>
      </c>
      <c r="AA119" s="9" t="s">
        <v>3884</v>
      </c>
      <c r="AB119" s="9" t="s">
        <v>8688</v>
      </c>
    </row>
    <row r="120" spans="1:28">
      <c r="A120" s="3" t="s">
        <v>78</v>
      </c>
      <c r="D120" s="3" t="s">
        <v>3953</v>
      </c>
      <c r="E120" s="3" t="s">
        <v>3953</v>
      </c>
      <c r="F120" t="s">
        <v>3932</v>
      </c>
      <c r="I120" t="s">
        <v>3954</v>
      </c>
      <c r="T120" s="9" t="str">
        <f t="shared" ca="1" si="4"/>
        <v/>
      </c>
      <c r="U120" s="9" t="str">
        <f t="shared" ca="1" si="5"/>
        <v/>
      </c>
    </row>
    <row r="121" spans="1:28">
      <c r="A121" s="3" t="s">
        <v>79</v>
      </c>
      <c r="D121" s="3" t="s">
        <v>3955</v>
      </c>
      <c r="E121" s="3" t="s">
        <v>3956</v>
      </c>
      <c r="H121" t="s">
        <v>3884</v>
      </c>
      <c r="I121" t="s">
        <v>8805</v>
      </c>
      <c r="J121" s="9" t="s">
        <v>3894</v>
      </c>
      <c r="T121" s="9" t="str">
        <f t="shared" ca="1" si="4"/>
        <v/>
      </c>
      <c r="U121" s="9" t="str">
        <f t="shared" ca="1" si="5"/>
        <v/>
      </c>
    </row>
    <row r="122" spans="1:28">
      <c r="A122" s="3" t="s">
        <v>79</v>
      </c>
      <c r="D122" s="3" t="s">
        <v>2026</v>
      </c>
      <c r="E122" s="3" t="s">
        <v>2027</v>
      </c>
      <c r="J122" s="9" t="s">
        <v>8729</v>
      </c>
      <c r="S122" s="9" t="s">
        <v>8739</v>
      </c>
      <c r="T122" s="9" t="str">
        <f t="shared" ca="1" si="4"/>
        <v/>
      </c>
      <c r="U122" s="9" t="str">
        <f t="shared" ca="1" si="5"/>
        <v/>
      </c>
      <c r="Z122" s="9" t="s">
        <v>8742</v>
      </c>
      <c r="AA122" s="9" t="s">
        <v>3884</v>
      </c>
      <c r="AB122" s="9" t="s">
        <v>8697</v>
      </c>
    </row>
    <row r="123" spans="1:28">
      <c r="A123" s="3" t="s">
        <v>80</v>
      </c>
      <c r="D123" s="3" t="s">
        <v>2065</v>
      </c>
      <c r="E123" s="3" t="s">
        <v>2066</v>
      </c>
      <c r="J123" s="9" t="s">
        <v>8729</v>
      </c>
      <c r="S123" s="9" t="s">
        <v>8739</v>
      </c>
      <c r="T123" s="9" t="str">
        <f t="shared" ca="1" si="4"/>
        <v/>
      </c>
      <c r="U123" s="9" t="str">
        <f t="shared" ca="1" si="5"/>
        <v/>
      </c>
      <c r="Z123" s="9" t="s">
        <v>8742</v>
      </c>
      <c r="AA123" s="9" t="s">
        <v>3884</v>
      </c>
      <c r="AB123" s="9" t="s">
        <v>8697</v>
      </c>
    </row>
    <row r="124" spans="1:28">
      <c r="A124" s="3" t="s">
        <v>80</v>
      </c>
      <c r="D124" s="3" t="s">
        <v>2067</v>
      </c>
      <c r="E124" s="3" t="s">
        <v>2068</v>
      </c>
      <c r="J124" s="9" t="s">
        <v>8729</v>
      </c>
      <c r="S124" s="9" t="s">
        <v>8739</v>
      </c>
      <c r="T124" s="9" t="str">
        <f t="shared" ca="1" si="4"/>
        <v/>
      </c>
      <c r="U124" s="9" t="str">
        <f t="shared" ca="1" si="5"/>
        <v/>
      </c>
      <c r="AB124" s="9" t="s">
        <v>8688</v>
      </c>
    </row>
    <row r="125" spans="1:28">
      <c r="A125" s="3" t="s">
        <v>81</v>
      </c>
      <c r="D125" s="3" t="s">
        <v>8806</v>
      </c>
      <c r="E125" s="3" t="s">
        <v>8807</v>
      </c>
      <c r="J125" s="9" t="s">
        <v>3885</v>
      </c>
      <c r="K125" s="9">
        <v>1</v>
      </c>
      <c r="L125" s="9">
        <v>1</v>
      </c>
      <c r="M125" s="9" t="s">
        <v>8689</v>
      </c>
      <c r="N125" s="9" t="s">
        <v>8730</v>
      </c>
      <c r="R125" s="9">
        <v>10929</v>
      </c>
      <c r="T125" s="9" t="str">
        <f t="shared" ca="1" si="4"/>
        <v/>
      </c>
      <c r="U125" s="9" t="str">
        <f t="shared" ca="1" si="5"/>
        <v/>
      </c>
    </row>
    <row r="126" spans="1:28">
      <c r="A126" s="3" t="s">
        <v>81</v>
      </c>
      <c r="D126" s="3" t="s">
        <v>8809</v>
      </c>
      <c r="E126" s="3" t="s">
        <v>8808</v>
      </c>
      <c r="J126" s="9" t="s">
        <v>8731</v>
      </c>
      <c r="T126" s="9" t="str">
        <f t="shared" ca="1" si="4"/>
        <v/>
      </c>
      <c r="U126" s="9" t="str">
        <f t="shared" ca="1" si="5"/>
        <v/>
      </c>
    </row>
    <row r="127" spans="1:28">
      <c r="A127" s="3" t="s">
        <v>81</v>
      </c>
      <c r="D127" s="3" t="s">
        <v>2026</v>
      </c>
      <c r="E127" s="3" t="s">
        <v>2027</v>
      </c>
      <c r="J127" s="9" t="s">
        <v>8729</v>
      </c>
      <c r="S127" s="9" t="s">
        <v>8739</v>
      </c>
      <c r="T127" s="9" t="str">
        <f t="shared" ca="1" si="4"/>
        <v/>
      </c>
      <c r="U127" s="9" t="str">
        <f t="shared" ca="1" si="5"/>
        <v/>
      </c>
      <c r="Z127" s="9" t="s">
        <v>8742</v>
      </c>
      <c r="AA127" s="9" t="s">
        <v>3884</v>
      </c>
      <c r="AB127" s="9" t="s">
        <v>8697</v>
      </c>
    </row>
    <row r="128" spans="1:28">
      <c r="A128" s="3" t="s">
        <v>81</v>
      </c>
      <c r="D128" s="3" t="s">
        <v>3957</v>
      </c>
      <c r="E128" s="3" t="s">
        <v>3958</v>
      </c>
      <c r="J128" s="9" t="s">
        <v>8731</v>
      </c>
      <c r="T128" s="9" t="str">
        <f t="shared" ca="1" si="4"/>
        <v/>
      </c>
      <c r="U128" s="9" t="str">
        <f t="shared" ca="1" si="5"/>
        <v/>
      </c>
    </row>
    <row r="129" spans="1:28">
      <c r="A129" s="3" t="s">
        <v>81</v>
      </c>
      <c r="D129" s="3" t="s">
        <v>2069</v>
      </c>
      <c r="E129" s="3" t="s">
        <v>2070</v>
      </c>
      <c r="J129" s="9" t="s">
        <v>8729</v>
      </c>
      <c r="S129" s="9" t="s">
        <v>8739</v>
      </c>
      <c r="T129" s="9" t="str">
        <f t="shared" ca="1" si="4"/>
        <v/>
      </c>
      <c r="U129" s="9" t="str">
        <f t="shared" ca="1" si="5"/>
        <v/>
      </c>
      <c r="Z129" s="9" t="s">
        <v>8742</v>
      </c>
      <c r="AA129" s="9" t="s">
        <v>3884</v>
      </c>
      <c r="AB129" s="9" t="s">
        <v>8697</v>
      </c>
    </row>
    <row r="130" spans="1:28">
      <c r="A130" s="3" t="s">
        <v>82</v>
      </c>
      <c r="D130" s="3" t="s">
        <v>2071</v>
      </c>
      <c r="E130" s="3" t="s">
        <v>2072</v>
      </c>
      <c r="J130" s="9" t="s">
        <v>8729</v>
      </c>
      <c r="S130" s="9" t="s">
        <v>8739</v>
      </c>
      <c r="T130" s="9" t="str">
        <f t="shared" ref="T130:T194" ca="1" si="6">IF(ISNUMBER(S130),VALUE(MID(_xlfn.FORMULATEXT(S130),SEARCH("-",_xlfn.FORMULATEXT(S130))+1,LEN(_xlfn.FORMULATEXT(S130))-SEARCH("-",_xlfn.FORMULATEXT(S130)))), "")</f>
        <v/>
      </c>
      <c r="U130" s="9" t="str">
        <f t="shared" ref="U130:U194" ca="1" si="7">IF(ISNUMBER(S130), VALUE(MID(_xlfn.FORMULATEXT(S130), 2, SEARCH("-", _xlfn.FORMULATEXT(S130)) - 2)), "")</f>
        <v/>
      </c>
      <c r="AB130" s="9" t="s">
        <v>8688</v>
      </c>
    </row>
    <row r="131" spans="1:28">
      <c r="A131" s="3" t="s">
        <v>82</v>
      </c>
      <c r="D131" s="3" t="s">
        <v>2073</v>
      </c>
      <c r="E131" s="3" t="s">
        <v>2074</v>
      </c>
      <c r="J131" s="9" t="s">
        <v>8729</v>
      </c>
      <c r="S131" s="9" t="s">
        <v>8739</v>
      </c>
      <c r="T131" s="9" t="str">
        <f t="shared" ca="1" si="6"/>
        <v/>
      </c>
      <c r="U131" s="9" t="str">
        <f t="shared" ca="1" si="7"/>
        <v/>
      </c>
      <c r="AB131" s="9" t="s">
        <v>8697</v>
      </c>
    </row>
    <row r="132" spans="1:28">
      <c r="A132" s="3" t="s">
        <v>83</v>
      </c>
      <c r="D132" s="3" t="s">
        <v>2075</v>
      </c>
      <c r="E132" s="3" t="s">
        <v>2076</v>
      </c>
      <c r="J132" s="9" t="s">
        <v>8729</v>
      </c>
      <c r="S132" s="9" t="s">
        <v>8739</v>
      </c>
      <c r="T132" s="9" t="str">
        <f t="shared" ca="1" si="6"/>
        <v/>
      </c>
      <c r="U132" s="9" t="str">
        <f t="shared" ca="1" si="7"/>
        <v/>
      </c>
      <c r="Z132" s="9" t="s">
        <v>8742</v>
      </c>
      <c r="AA132" s="9" t="s">
        <v>3884</v>
      </c>
      <c r="AB132" s="9" t="s">
        <v>8697</v>
      </c>
    </row>
    <row r="133" spans="1:28">
      <c r="A133" s="3" t="s">
        <v>84</v>
      </c>
      <c r="D133" s="3" t="s">
        <v>2077</v>
      </c>
      <c r="E133" s="3" t="s">
        <v>2078</v>
      </c>
      <c r="J133" s="9" t="s">
        <v>8729</v>
      </c>
      <c r="S133" s="9" t="s">
        <v>8739</v>
      </c>
      <c r="T133" s="9" t="str">
        <f t="shared" ca="1" si="6"/>
        <v/>
      </c>
      <c r="U133" s="9" t="str">
        <f t="shared" ca="1" si="7"/>
        <v/>
      </c>
      <c r="Z133" s="9" t="s">
        <v>8742</v>
      </c>
      <c r="AA133" s="9" t="s">
        <v>3884</v>
      </c>
      <c r="AB133" s="9" t="s">
        <v>8697</v>
      </c>
    </row>
    <row r="134" spans="1:28">
      <c r="A134" s="3" t="s">
        <v>84</v>
      </c>
      <c r="D134" s="3" t="s">
        <v>2079</v>
      </c>
      <c r="E134" s="3" t="s">
        <v>2080</v>
      </c>
      <c r="J134" s="9" t="s">
        <v>8731</v>
      </c>
      <c r="T134" s="9" t="str">
        <f t="shared" ca="1" si="6"/>
        <v/>
      </c>
      <c r="U134" s="9" t="str">
        <f t="shared" ca="1" si="7"/>
        <v/>
      </c>
      <c r="Z134" s="9" t="s">
        <v>9279</v>
      </c>
      <c r="AA134" s="9" t="s">
        <v>3884</v>
      </c>
    </row>
    <row r="135" spans="1:28">
      <c r="A135" s="3" t="s">
        <v>84</v>
      </c>
      <c r="D135" s="3" t="s">
        <v>3959</v>
      </c>
      <c r="E135" s="3" t="s">
        <v>3960</v>
      </c>
      <c r="J135" s="9" t="s">
        <v>3889</v>
      </c>
      <c r="K135" s="9">
        <v>1</v>
      </c>
      <c r="L135" s="9">
        <v>2</v>
      </c>
      <c r="M135" s="9" t="s">
        <v>8689</v>
      </c>
      <c r="N135" s="9" t="s">
        <v>8730</v>
      </c>
      <c r="R135" s="9">
        <v>10929</v>
      </c>
      <c r="T135" s="9" t="str">
        <f t="shared" ca="1" si="6"/>
        <v/>
      </c>
      <c r="U135" s="9" t="str">
        <f t="shared" ca="1" si="7"/>
        <v/>
      </c>
    </row>
    <row r="136" spans="1:28">
      <c r="A136" s="3" t="s">
        <v>84</v>
      </c>
      <c r="D136" s="3" t="s">
        <v>2077</v>
      </c>
      <c r="E136" s="3" t="s">
        <v>2078</v>
      </c>
      <c r="J136" s="9" t="s">
        <v>8729</v>
      </c>
      <c r="S136" s="9" t="s">
        <v>8739</v>
      </c>
      <c r="T136" s="9" t="str">
        <f t="shared" ca="1" si="6"/>
        <v/>
      </c>
      <c r="U136" s="9" t="str">
        <f t="shared" ca="1" si="7"/>
        <v/>
      </c>
      <c r="Z136" s="9" t="s">
        <v>8742</v>
      </c>
      <c r="AA136" s="9" t="s">
        <v>3884</v>
      </c>
      <c r="AB136" s="9" t="s">
        <v>8697</v>
      </c>
    </row>
    <row r="137" spans="1:28">
      <c r="A137" s="3" t="s">
        <v>84</v>
      </c>
      <c r="D137" s="3" t="s">
        <v>2057</v>
      </c>
      <c r="E137" s="3" t="s">
        <v>2058</v>
      </c>
      <c r="J137" s="9" t="s">
        <v>8731</v>
      </c>
      <c r="T137" s="9" t="str">
        <f t="shared" ca="1" si="6"/>
        <v/>
      </c>
      <c r="U137" s="9" t="str">
        <f t="shared" ca="1" si="7"/>
        <v/>
      </c>
    </row>
    <row r="138" spans="1:28">
      <c r="A138" s="3" t="s">
        <v>85</v>
      </c>
      <c r="D138" s="3" t="s">
        <v>3961</v>
      </c>
      <c r="E138" s="3" t="s">
        <v>3962</v>
      </c>
      <c r="H138" t="s">
        <v>3884</v>
      </c>
      <c r="J138" s="9" t="s">
        <v>3889</v>
      </c>
      <c r="K138" s="9">
        <v>1</v>
      </c>
      <c r="L138" s="9">
        <v>3</v>
      </c>
      <c r="M138" s="9" t="s">
        <v>8689</v>
      </c>
      <c r="N138" s="9" t="s">
        <v>8690</v>
      </c>
      <c r="R138" s="9">
        <v>10929</v>
      </c>
      <c r="T138" s="9" t="str">
        <f t="shared" ca="1" si="6"/>
        <v/>
      </c>
      <c r="U138" s="9" t="str">
        <f t="shared" ca="1" si="7"/>
        <v/>
      </c>
    </row>
    <row r="139" spans="1:28">
      <c r="A139" s="3" t="s">
        <v>86</v>
      </c>
      <c r="D139" s="3" t="s">
        <v>2081</v>
      </c>
      <c r="E139" s="3" t="s">
        <v>2082</v>
      </c>
      <c r="J139" s="9" t="s">
        <v>8731</v>
      </c>
      <c r="T139" s="9" t="str">
        <f t="shared" ca="1" si="6"/>
        <v/>
      </c>
      <c r="U139" s="9" t="str">
        <f t="shared" ca="1" si="7"/>
        <v/>
      </c>
      <c r="Z139" s="9" t="s">
        <v>8742</v>
      </c>
      <c r="AA139" s="9" t="s">
        <v>3884</v>
      </c>
    </row>
    <row r="140" spans="1:28">
      <c r="A140" s="3" t="s">
        <v>86</v>
      </c>
      <c r="D140" s="3" t="s">
        <v>2083</v>
      </c>
      <c r="E140" s="3" t="s">
        <v>2084</v>
      </c>
      <c r="I140" t="s">
        <v>9187</v>
      </c>
      <c r="J140" s="9" t="s">
        <v>8731</v>
      </c>
      <c r="T140" s="9" t="str">
        <f t="shared" ca="1" si="6"/>
        <v/>
      </c>
      <c r="U140" s="9" t="str">
        <f t="shared" ca="1" si="7"/>
        <v/>
      </c>
      <c r="V140" s="9" t="s">
        <v>8728</v>
      </c>
    </row>
    <row r="141" spans="1:28">
      <c r="A141" s="3" t="s">
        <v>87</v>
      </c>
      <c r="D141" s="3" t="s">
        <v>2075</v>
      </c>
      <c r="E141" s="3" t="s">
        <v>2076</v>
      </c>
      <c r="J141" s="9" t="s">
        <v>8729</v>
      </c>
      <c r="S141" s="9" t="s">
        <v>8739</v>
      </c>
      <c r="T141" s="9" t="str">
        <f t="shared" ca="1" si="6"/>
        <v/>
      </c>
      <c r="U141" s="9" t="str">
        <f t="shared" ca="1" si="7"/>
        <v/>
      </c>
      <c r="Z141" s="9" t="s">
        <v>8742</v>
      </c>
      <c r="AA141" s="9" t="s">
        <v>3884</v>
      </c>
      <c r="AB141" s="9" t="s">
        <v>8697</v>
      </c>
    </row>
    <row r="142" spans="1:28">
      <c r="A142" s="3" t="s">
        <v>87</v>
      </c>
      <c r="D142" s="3" t="s">
        <v>3963</v>
      </c>
      <c r="E142" s="3" t="s">
        <v>3964</v>
      </c>
      <c r="F142" t="s">
        <v>3893</v>
      </c>
      <c r="H142" t="s">
        <v>3884</v>
      </c>
      <c r="T142" s="9" t="str">
        <f t="shared" ca="1" si="6"/>
        <v/>
      </c>
      <c r="U142" s="9" t="str">
        <f t="shared" ca="1" si="7"/>
        <v/>
      </c>
    </row>
    <row r="143" spans="1:28">
      <c r="A143" s="3" t="s">
        <v>87</v>
      </c>
      <c r="D143" s="3" t="s">
        <v>2085</v>
      </c>
      <c r="E143" s="3" t="s">
        <v>2086</v>
      </c>
      <c r="J143" s="9" t="s">
        <v>8731</v>
      </c>
      <c r="T143" s="9" t="str">
        <f t="shared" ca="1" si="6"/>
        <v/>
      </c>
      <c r="U143" s="9" t="str">
        <f t="shared" ca="1" si="7"/>
        <v/>
      </c>
    </row>
    <row r="144" spans="1:28">
      <c r="A144" s="3" t="s">
        <v>87</v>
      </c>
      <c r="D144" s="3" t="s">
        <v>2087</v>
      </c>
      <c r="E144" s="3" t="s">
        <v>2088</v>
      </c>
      <c r="J144" s="9" t="s">
        <v>8729</v>
      </c>
      <c r="S144" s="9" t="s">
        <v>8739</v>
      </c>
      <c r="T144" s="9" t="str">
        <f t="shared" ca="1" si="6"/>
        <v/>
      </c>
      <c r="U144" s="9" t="str">
        <f t="shared" ca="1" si="7"/>
        <v/>
      </c>
      <c r="Z144" s="9" t="s">
        <v>8742</v>
      </c>
      <c r="AA144" s="9" t="s">
        <v>3884</v>
      </c>
      <c r="AB144" s="9" t="s">
        <v>8697</v>
      </c>
    </row>
    <row r="145" spans="1:28">
      <c r="A145" s="3" t="s">
        <v>87</v>
      </c>
      <c r="D145" s="3" t="s">
        <v>2089</v>
      </c>
      <c r="E145" s="3" t="s">
        <v>2090</v>
      </c>
      <c r="J145" s="9" t="s">
        <v>8731</v>
      </c>
      <c r="T145" s="9" t="str">
        <f t="shared" ca="1" si="6"/>
        <v/>
      </c>
      <c r="U145" s="9" t="str">
        <f t="shared" ca="1" si="7"/>
        <v/>
      </c>
      <c r="AB145" s="9" t="s">
        <v>8694</v>
      </c>
    </row>
    <row r="146" spans="1:28">
      <c r="A146" s="3" t="s">
        <v>87</v>
      </c>
      <c r="D146" s="3" t="s">
        <v>2091</v>
      </c>
      <c r="E146" s="3" t="s">
        <v>2092</v>
      </c>
      <c r="J146" s="9" t="s">
        <v>8731</v>
      </c>
      <c r="T146" s="9" t="str">
        <f t="shared" ca="1" si="6"/>
        <v/>
      </c>
      <c r="U146" s="9" t="str">
        <f t="shared" ca="1" si="7"/>
        <v/>
      </c>
      <c r="Z146" s="9" t="s">
        <v>8742</v>
      </c>
      <c r="AA146" s="9" t="s">
        <v>3884</v>
      </c>
      <c r="AB146" s="9" t="s">
        <v>8700</v>
      </c>
    </row>
    <row r="147" spans="1:28">
      <c r="A147" s="3" t="s">
        <v>88</v>
      </c>
      <c r="D147" s="3" t="s">
        <v>8810</v>
      </c>
      <c r="E147" s="3" t="s">
        <v>8811</v>
      </c>
      <c r="J147" s="9" t="s">
        <v>8731</v>
      </c>
      <c r="T147" s="9" t="str">
        <f t="shared" ca="1" si="6"/>
        <v/>
      </c>
      <c r="U147" s="9" t="str">
        <f t="shared" ca="1" si="7"/>
        <v/>
      </c>
    </row>
    <row r="148" spans="1:28">
      <c r="A148" s="3" t="s">
        <v>88</v>
      </c>
      <c r="D148" s="3" t="s">
        <v>2094</v>
      </c>
      <c r="E148" s="3" t="s">
        <v>2095</v>
      </c>
      <c r="J148" s="9" t="s">
        <v>8729</v>
      </c>
      <c r="S148" s="9" t="s">
        <v>8739</v>
      </c>
      <c r="T148" s="9" t="str">
        <f t="shared" ca="1" si="6"/>
        <v/>
      </c>
      <c r="U148" s="9" t="str">
        <f t="shared" ca="1" si="7"/>
        <v/>
      </c>
      <c r="AB148" s="9" t="s">
        <v>8697</v>
      </c>
    </row>
    <row r="149" spans="1:28">
      <c r="A149" s="3" t="s">
        <v>88</v>
      </c>
      <c r="D149" s="3" t="s">
        <v>3965</v>
      </c>
      <c r="E149" s="3" t="s">
        <v>3966</v>
      </c>
      <c r="H149" t="s">
        <v>3892</v>
      </c>
      <c r="J149" s="9" t="s">
        <v>8731</v>
      </c>
      <c r="T149" s="9" t="str">
        <f t="shared" ca="1" si="6"/>
        <v/>
      </c>
      <c r="U149" s="9" t="str">
        <f t="shared" ca="1" si="7"/>
        <v/>
      </c>
      <c r="Z149" s="9" t="s">
        <v>8742</v>
      </c>
      <c r="AA149" s="9" t="s">
        <v>3884</v>
      </c>
      <c r="AB149" s="9" t="s">
        <v>8700</v>
      </c>
    </row>
    <row r="150" spans="1:28">
      <c r="A150" s="3" t="s">
        <v>88</v>
      </c>
      <c r="D150" s="3" t="s">
        <v>2096</v>
      </c>
      <c r="E150" s="3" t="s">
        <v>2097</v>
      </c>
      <c r="J150" s="9" t="s">
        <v>8731</v>
      </c>
      <c r="T150" s="9" t="str">
        <f t="shared" ca="1" si="6"/>
        <v/>
      </c>
      <c r="U150" s="9" t="str">
        <f t="shared" ca="1" si="7"/>
        <v/>
      </c>
      <c r="Y150" s="9" t="s">
        <v>8693</v>
      </c>
      <c r="AA150" s="9" t="s">
        <v>3884</v>
      </c>
    </row>
    <row r="151" spans="1:28">
      <c r="A151" s="3" t="s">
        <v>89</v>
      </c>
      <c r="D151" s="3" t="s">
        <v>2098</v>
      </c>
      <c r="E151" s="3" t="s">
        <v>2099</v>
      </c>
      <c r="J151" s="9" t="s">
        <v>8731</v>
      </c>
      <c r="T151" s="9" t="str">
        <f t="shared" ca="1" si="6"/>
        <v/>
      </c>
      <c r="U151" s="9" t="str">
        <f t="shared" ca="1" si="7"/>
        <v/>
      </c>
      <c r="Z151" s="9" t="s">
        <v>8741</v>
      </c>
      <c r="AA151" s="9" t="s">
        <v>3884</v>
      </c>
    </row>
    <row r="152" spans="1:28">
      <c r="A152" s="3" t="s">
        <v>89</v>
      </c>
      <c r="D152" s="3" t="s">
        <v>2100</v>
      </c>
      <c r="E152" s="3" t="s">
        <v>2101</v>
      </c>
      <c r="J152" s="9" t="s">
        <v>8731</v>
      </c>
      <c r="T152" s="9" t="str">
        <f t="shared" ca="1" si="6"/>
        <v/>
      </c>
      <c r="U152" s="9" t="str">
        <f t="shared" ca="1" si="7"/>
        <v/>
      </c>
      <c r="AB152" s="9" t="s">
        <v>8697</v>
      </c>
    </row>
    <row r="153" spans="1:28">
      <c r="A153" s="3" t="s">
        <v>90</v>
      </c>
      <c r="D153" s="3" t="s">
        <v>3967</v>
      </c>
      <c r="E153" s="3" t="s">
        <v>3968</v>
      </c>
      <c r="J153" s="9" t="s">
        <v>3885</v>
      </c>
      <c r="K153" s="9">
        <v>1</v>
      </c>
      <c r="L153" s="9">
        <v>2</v>
      </c>
      <c r="M153" s="9" t="s">
        <v>8707</v>
      </c>
      <c r="N153" s="9" t="s">
        <v>8730</v>
      </c>
      <c r="R153" s="9">
        <v>1942</v>
      </c>
      <c r="T153" s="9" t="str">
        <f t="shared" ca="1" si="6"/>
        <v/>
      </c>
      <c r="U153" s="9" t="str">
        <f t="shared" ca="1" si="7"/>
        <v/>
      </c>
    </row>
    <row r="154" spans="1:28" ht="29">
      <c r="A154" s="3" t="s">
        <v>90</v>
      </c>
      <c r="D154" s="3" t="s">
        <v>3969</v>
      </c>
      <c r="E154" s="3" t="s">
        <v>3970</v>
      </c>
      <c r="H154" t="s">
        <v>3888</v>
      </c>
      <c r="I154" t="s">
        <v>8814</v>
      </c>
      <c r="J154" s="9" t="s">
        <v>3885</v>
      </c>
      <c r="K154" s="9">
        <v>3</v>
      </c>
      <c r="L154" s="9">
        <v>5</v>
      </c>
      <c r="N154" s="9" t="s">
        <v>8684</v>
      </c>
      <c r="O154" s="9" t="s">
        <v>8812</v>
      </c>
      <c r="P154" s="10" t="s">
        <v>8813</v>
      </c>
      <c r="R154" s="9">
        <v>15</v>
      </c>
      <c r="T154" s="9" t="str">
        <f t="shared" ca="1" si="6"/>
        <v/>
      </c>
      <c r="U154" s="9" t="str">
        <f t="shared" ca="1" si="7"/>
        <v/>
      </c>
      <c r="AB154" s="9" t="s">
        <v>8694</v>
      </c>
    </row>
    <row r="155" spans="1:28">
      <c r="A155" s="3" t="s">
        <v>90</v>
      </c>
      <c r="D155" s="3" t="s">
        <v>3971</v>
      </c>
      <c r="E155" s="3" t="s">
        <v>3973</v>
      </c>
      <c r="H155" t="s">
        <v>3884</v>
      </c>
      <c r="J155" s="9" t="s">
        <v>3885</v>
      </c>
      <c r="K155" s="9">
        <v>1</v>
      </c>
      <c r="L155" s="9">
        <v>3</v>
      </c>
      <c r="M155" s="9" t="s">
        <v>8698</v>
      </c>
      <c r="N155" s="9" t="s">
        <v>8690</v>
      </c>
      <c r="R155" s="9">
        <v>9418</v>
      </c>
      <c r="T155" s="9" t="str">
        <f t="shared" ca="1" si="6"/>
        <v/>
      </c>
      <c r="U155" s="9" t="str">
        <f t="shared" ca="1" si="7"/>
        <v/>
      </c>
    </row>
    <row r="156" spans="1:28">
      <c r="A156" s="3" t="s">
        <v>90</v>
      </c>
      <c r="D156" s="3" t="s">
        <v>3972</v>
      </c>
      <c r="E156" s="3" t="s">
        <v>3974</v>
      </c>
      <c r="J156" s="9" t="s">
        <v>8729</v>
      </c>
      <c r="S156" s="9" t="s">
        <v>8739</v>
      </c>
      <c r="T156" s="9" t="str">
        <f t="shared" ca="1" si="6"/>
        <v/>
      </c>
      <c r="U156" s="9" t="str">
        <f t="shared" ca="1" si="7"/>
        <v/>
      </c>
      <c r="Z156" s="9" t="s">
        <v>8742</v>
      </c>
      <c r="AA156" s="9" t="s">
        <v>3884</v>
      </c>
      <c r="AB156" s="9" t="s">
        <v>8697</v>
      </c>
    </row>
    <row r="157" spans="1:28">
      <c r="A157" s="3" t="s">
        <v>90</v>
      </c>
      <c r="D157" s="4" t="s">
        <v>3975</v>
      </c>
      <c r="E157" s="3" t="s">
        <v>3976</v>
      </c>
      <c r="F157" t="s">
        <v>3883</v>
      </c>
      <c r="T157" s="9" t="str">
        <f t="shared" ca="1" si="6"/>
        <v/>
      </c>
      <c r="U157" s="9" t="str">
        <f t="shared" ca="1" si="7"/>
        <v/>
      </c>
    </row>
    <row r="158" spans="1:28">
      <c r="A158" s="3" t="s">
        <v>90</v>
      </c>
      <c r="D158" s="3" t="s">
        <v>8815</v>
      </c>
      <c r="E158" s="3" t="s">
        <v>8816</v>
      </c>
      <c r="J158" s="9" t="s">
        <v>8729</v>
      </c>
      <c r="S158" s="9" t="s">
        <v>8739</v>
      </c>
      <c r="T158" s="9" t="str">
        <f t="shared" ca="1" si="6"/>
        <v/>
      </c>
      <c r="U158" s="9" t="str">
        <f t="shared" ca="1" si="7"/>
        <v/>
      </c>
      <c r="AB158" s="9" t="s">
        <v>8697</v>
      </c>
    </row>
    <row r="159" spans="1:28">
      <c r="A159" s="3" t="s">
        <v>91</v>
      </c>
      <c r="D159" s="3" t="s">
        <v>3977</v>
      </c>
      <c r="E159" s="3" t="s">
        <v>3978</v>
      </c>
      <c r="H159" t="s">
        <v>3884</v>
      </c>
      <c r="J159" s="9" t="s">
        <v>3885</v>
      </c>
      <c r="K159" s="9">
        <v>1</v>
      </c>
      <c r="L159" s="9">
        <v>4</v>
      </c>
      <c r="M159" s="9" t="s">
        <v>8703</v>
      </c>
      <c r="N159" s="9" t="s">
        <v>8684</v>
      </c>
      <c r="O159" s="9" t="s">
        <v>8771</v>
      </c>
      <c r="P159" s="10" t="s">
        <v>8778</v>
      </c>
      <c r="R159" s="9">
        <v>148</v>
      </c>
      <c r="T159" s="9" t="str">
        <f t="shared" ca="1" si="6"/>
        <v/>
      </c>
      <c r="U159" s="9" t="str">
        <f t="shared" ca="1" si="7"/>
        <v/>
      </c>
      <c r="AB159" s="9" t="s">
        <v>8694</v>
      </c>
    </row>
    <row r="160" spans="1:28">
      <c r="A160" s="3" t="s">
        <v>91</v>
      </c>
      <c r="D160" s="3" t="s">
        <v>3979</v>
      </c>
      <c r="E160" s="3" t="s">
        <v>3980</v>
      </c>
      <c r="J160" s="9" t="s">
        <v>3889</v>
      </c>
      <c r="K160" s="9">
        <v>1</v>
      </c>
      <c r="L160" s="9">
        <v>7</v>
      </c>
      <c r="M160" s="9" t="s">
        <v>8705</v>
      </c>
      <c r="N160" s="9" t="s">
        <v>8684</v>
      </c>
      <c r="O160" s="9" t="s">
        <v>8777</v>
      </c>
      <c r="P160" s="10" t="s">
        <v>8772</v>
      </c>
      <c r="R160" s="9">
        <v>79</v>
      </c>
      <c r="T160" s="9" t="str">
        <f t="shared" ca="1" si="6"/>
        <v/>
      </c>
      <c r="U160" s="9" t="str">
        <f t="shared" ca="1" si="7"/>
        <v/>
      </c>
    </row>
    <row r="161" spans="1:28">
      <c r="A161" s="3" t="s">
        <v>92</v>
      </c>
      <c r="D161" s="3" t="s">
        <v>3981</v>
      </c>
      <c r="E161" s="3" t="s">
        <v>3982</v>
      </c>
      <c r="H161" t="s">
        <v>3884</v>
      </c>
      <c r="J161" s="9" t="s">
        <v>8729</v>
      </c>
      <c r="S161" s="9" t="s">
        <v>8739</v>
      </c>
      <c r="T161" s="9" t="str">
        <f t="shared" ca="1" si="6"/>
        <v/>
      </c>
      <c r="U161" s="9" t="str">
        <f t="shared" ca="1" si="7"/>
        <v/>
      </c>
      <c r="AB161" s="9" t="s">
        <v>8688</v>
      </c>
    </row>
    <row r="162" spans="1:28">
      <c r="A162" s="3" t="s">
        <v>92</v>
      </c>
      <c r="D162" s="3" t="s">
        <v>3983</v>
      </c>
      <c r="E162" s="3" t="s">
        <v>3984</v>
      </c>
      <c r="I162" t="s">
        <v>9188</v>
      </c>
      <c r="J162" s="9" t="s">
        <v>3889</v>
      </c>
      <c r="K162" s="9">
        <v>1</v>
      </c>
      <c r="L162" s="9">
        <v>3</v>
      </c>
      <c r="M162" s="9" t="s">
        <v>8689</v>
      </c>
      <c r="N162" s="9" t="s">
        <v>8684</v>
      </c>
      <c r="O162" s="9" t="s">
        <v>8771</v>
      </c>
      <c r="P162" s="10" t="s">
        <v>8778</v>
      </c>
      <c r="R162" s="9">
        <v>10929</v>
      </c>
      <c r="T162" s="9" t="str">
        <f t="shared" ca="1" si="6"/>
        <v/>
      </c>
      <c r="U162" s="9" t="str">
        <f t="shared" ca="1" si="7"/>
        <v/>
      </c>
      <c r="V162" s="9" t="s">
        <v>8728</v>
      </c>
    </row>
    <row r="163" spans="1:28">
      <c r="A163" s="3" t="s">
        <v>92</v>
      </c>
      <c r="D163" s="3" t="s">
        <v>3985</v>
      </c>
      <c r="E163" s="3" t="s">
        <v>3986</v>
      </c>
      <c r="H163" t="s">
        <v>3884</v>
      </c>
      <c r="J163" s="9" t="s">
        <v>3885</v>
      </c>
      <c r="K163" s="9">
        <v>1</v>
      </c>
      <c r="L163" s="9">
        <v>3</v>
      </c>
      <c r="M163" s="9" t="s">
        <v>8689</v>
      </c>
      <c r="N163" s="9" t="s">
        <v>8684</v>
      </c>
      <c r="O163" s="9" t="s">
        <v>8771</v>
      </c>
      <c r="P163" s="10" t="s">
        <v>8778</v>
      </c>
      <c r="R163" s="9">
        <v>10929</v>
      </c>
      <c r="T163" s="9" t="str">
        <f t="shared" ca="1" si="6"/>
        <v/>
      </c>
      <c r="U163" s="9" t="str">
        <f t="shared" ca="1" si="7"/>
        <v/>
      </c>
    </row>
    <row r="164" spans="1:28">
      <c r="A164" s="3" t="s">
        <v>92</v>
      </c>
      <c r="D164" t="s">
        <v>8817</v>
      </c>
      <c r="E164" t="s">
        <v>9554</v>
      </c>
      <c r="J164" s="9" t="s">
        <v>3885</v>
      </c>
      <c r="K164" s="9">
        <v>1</v>
      </c>
      <c r="L164" s="9">
        <v>1</v>
      </c>
      <c r="M164" s="9" t="s">
        <v>8689</v>
      </c>
      <c r="N164" s="9" t="s">
        <v>8730</v>
      </c>
      <c r="R164" s="9">
        <v>10929</v>
      </c>
      <c r="T164" s="9" t="str">
        <f t="shared" ca="1" si="6"/>
        <v/>
      </c>
      <c r="U164" s="9" t="str">
        <f t="shared" ca="1" si="7"/>
        <v/>
      </c>
    </row>
    <row r="165" spans="1:28">
      <c r="A165" s="3" t="s">
        <v>92</v>
      </c>
      <c r="D165" t="s">
        <v>9556</v>
      </c>
      <c r="E165" t="s">
        <v>9555</v>
      </c>
      <c r="J165" s="9" t="s">
        <v>8731</v>
      </c>
      <c r="T165" s="9" t="str">
        <f t="shared" ref="T165" ca="1" si="8">IF(ISNUMBER(S165),VALUE(MID(_xlfn.FORMULATEXT(S165),SEARCH("-",_xlfn.FORMULATEXT(S165))+1,LEN(_xlfn.FORMULATEXT(S165))-SEARCH("-",_xlfn.FORMULATEXT(S165)))), "")</f>
        <v/>
      </c>
      <c r="U165" s="9" t="str">
        <f t="shared" ref="U165" ca="1" si="9">IF(ISNUMBER(S165), VALUE(MID(_xlfn.FORMULATEXT(S165), 2, SEARCH("-", _xlfn.FORMULATEXT(S165)) - 2)), "")</f>
        <v/>
      </c>
      <c r="Z165" s="9" t="s">
        <v>8742</v>
      </c>
      <c r="AA165" s="9" t="s">
        <v>3884</v>
      </c>
    </row>
    <row r="166" spans="1:28">
      <c r="A166" s="3" t="s">
        <v>93</v>
      </c>
      <c r="D166" s="3" t="s">
        <v>3987</v>
      </c>
      <c r="E166" s="3" t="s">
        <v>2103</v>
      </c>
      <c r="H166" t="s">
        <v>3884</v>
      </c>
      <c r="J166" s="9" t="s">
        <v>8731</v>
      </c>
      <c r="T166" s="9" t="str">
        <f t="shared" ca="1" si="6"/>
        <v/>
      </c>
      <c r="U166" s="9" t="str">
        <f t="shared" ca="1" si="7"/>
        <v/>
      </c>
      <c r="AB166" s="9" t="s">
        <v>8688</v>
      </c>
    </row>
    <row r="167" spans="1:28" ht="29">
      <c r="A167" s="3" t="s">
        <v>94</v>
      </c>
      <c r="D167" s="3" t="s">
        <v>3988</v>
      </c>
      <c r="E167" s="3" t="s">
        <v>3989</v>
      </c>
      <c r="J167" s="9" t="s">
        <v>3889</v>
      </c>
      <c r="K167" s="9">
        <v>1</v>
      </c>
      <c r="L167" s="9">
        <v>3</v>
      </c>
      <c r="M167" s="9" t="s">
        <v>8689</v>
      </c>
      <c r="N167" s="9" t="s">
        <v>8684</v>
      </c>
      <c r="O167" s="9" t="s">
        <v>8771</v>
      </c>
      <c r="P167" s="10" t="s">
        <v>8778</v>
      </c>
      <c r="Q167" s="9" t="s">
        <v>8685</v>
      </c>
      <c r="R167" s="9">
        <v>10929</v>
      </c>
      <c r="T167" s="9" t="str">
        <f t="shared" ca="1" si="6"/>
        <v/>
      </c>
      <c r="U167" s="9" t="str">
        <f t="shared" ca="1" si="7"/>
        <v/>
      </c>
      <c r="AB167" s="9" t="s">
        <v>8700</v>
      </c>
    </row>
    <row r="168" spans="1:28">
      <c r="A168" s="3" t="s">
        <v>95</v>
      </c>
      <c r="D168" s="3" t="s">
        <v>2104</v>
      </c>
      <c r="E168" s="3" t="s">
        <v>2105</v>
      </c>
      <c r="J168" s="9" t="s">
        <v>8729</v>
      </c>
      <c r="S168" s="9" t="s">
        <v>8739</v>
      </c>
      <c r="T168" s="9" t="str">
        <f t="shared" ca="1" si="6"/>
        <v/>
      </c>
      <c r="U168" s="9" t="str">
        <f t="shared" ca="1" si="7"/>
        <v/>
      </c>
      <c r="AB168" s="9" t="s">
        <v>8688</v>
      </c>
    </row>
    <row r="169" spans="1:28">
      <c r="A169" s="3" t="s">
        <v>95</v>
      </c>
      <c r="D169" s="3" t="s">
        <v>2106</v>
      </c>
      <c r="E169" s="3" t="s">
        <v>2107</v>
      </c>
      <c r="J169" s="9" t="s">
        <v>8729</v>
      </c>
      <c r="S169" s="9" t="s">
        <v>8739</v>
      </c>
      <c r="T169" s="9" t="str">
        <f t="shared" ca="1" si="6"/>
        <v/>
      </c>
      <c r="U169" s="9" t="str">
        <f t="shared" ca="1" si="7"/>
        <v/>
      </c>
      <c r="Z169" s="9" t="s">
        <v>8742</v>
      </c>
      <c r="AA169" s="9" t="s">
        <v>3884</v>
      </c>
      <c r="AB169" s="9" t="s">
        <v>8697</v>
      </c>
    </row>
    <row r="170" spans="1:28">
      <c r="A170" s="3" t="s">
        <v>95</v>
      </c>
      <c r="D170" s="3" t="s">
        <v>2108</v>
      </c>
      <c r="E170" s="3" t="s">
        <v>2109</v>
      </c>
      <c r="J170" s="9" t="s">
        <v>8731</v>
      </c>
      <c r="T170" s="9" t="str">
        <f t="shared" ca="1" si="6"/>
        <v/>
      </c>
      <c r="U170" s="9" t="str">
        <f t="shared" ca="1" si="7"/>
        <v/>
      </c>
      <c r="Z170" s="9" t="s">
        <v>9280</v>
      </c>
      <c r="AA170" s="9" t="s">
        <v>3884</v>
      </c>
      <c r="AB170" s="9" t="s">
        <v>8697</v>
      </c>
    </row>
    <row r="171" spans="1:28">
      <c r="A171" s="3" t="s">
        <v>96</v>
      </c>
      <c r="D171" s="3" t="s">
        <v>2110</v>
      </c>
      <c r="E171" s="3" t="s">
        <v>2111</v>
      </c>
      <c r="J171" s="9" t="s">
        <v>8729</v>
      </c>
      <c r="S171" s="9" t="s">
        <v>8739</v>
      </c>
      <c r="T171" s="9" t="str">
        <f t="shared" ca="1" si="6"/>
        <v/>
      </c>
      <c r="U171" s="9" t="str">
        <f t="shared" ca="1" si="7"/>
        <v/>
      </c>
      <c r="Z171" s="9" t="s">
        <v>8742</v>
      </c>
      <c r="AA171" s="9" t="s">
        <v>3884</v>
      </c>
      <c r="AB171" s="9" t="s">
        <v>8697</v>
      </c>
    </row>
    <row r="172" spans="1:28">
      <c r="A172" s="3" t="s">
        <v>96</v>
      </c>
      <c r="D172" s="3" t="s">
        <v>3990</v>
      </c>
      <c r="E172" s="3" t="s">
        <v>3991</v>
      </c>
      <c r="H172" t="s">
        <v>3884</v>
      </c>
      <c r="J172" s="9" t="s">
        <v>3889</v>
      </c>
      <c r="K172" s="9">
        <v>1</v>
      </c>
      <c r="L172" s="9">
        <v>2</v>
      </c>
      <c r="M172" s="9" t="s">
        <v>8703</v>
      </c>
      <c r="N172" s="9" t="s">
        <v>8730</v>
      </c>
      <c r="R172" s="9">
        <v>335</v>
      </c>
      <c r="T172" s="9" t="str">
        <f t="shared" ca="1" si="6"/>
        <v/>
      </c>
      <c r="U172" s="9" t="str">
        <f t="shared" ca="1" si="7"/>
        <v/>
      </c>
    </row>
    <row r="173" spans="1:28" ht="29">
      <c r="A173" s="3" t="s">
        <v>96</v>
      </c>
      <c r="D173" s="3" t="s">
        <v>9406</v>
      </c>
      <c r="E173" s="3" t="s">
        <v>9407</v>
      </c>
      <c r="J173" s="9" t="s">
        <v>8729</v>
      </c>
      <c r="S173" s="9">
        <f>4-6</f>
        <v>-2</v>
      </c>
      <c r="T173" s="9">
        <f t="shared" ca="1" si="6"/>
        <v>6</v>
      </c>
      <c r="U173" s="9">
        <f t="shared" ca="1" si="7"/>
        <v>4</v>
      </c>
      <c r="Z173" s="9" t="s">
        <v>8757</v>
      </c>
      <c r="AA173" s="9" t="s">
        <v>3884</v>
      </c>
    </row>
    <row r="174" spans="1:28">
      <c r="A174" s="3" t="s">
        <v>96</v>
      </c>
      <c r="D174" s="3" t="s">
        <v>3992</v>
      </c>
      <c r="E174" s="3" t="s">
        <v>3993</v>
      </c>
      <c r="J174" s="9" t="s">
        <v>8731</v>
      </c>
      <c r="T174" s="9" t="str">
        <f t="shared" ca="1" si="6"/>
        <v/>
      </c>
      <c r="U174" s="9" t="str">
        <f t="shared" ca="1" si="7"/>
        <v/>
      </c>
      <c r="Y174" s="9" t="s">
        <v>9282</v>
      </c>
      <c r="AA174" s="9" t="s">
        <v>3884</v>
      </c>
    </row>
    <row r="175" spans="1:28">
      <c r="A175" s="3" t="s">
        <v>96</v>
      </c>
      <c r="D175" s="3" t="s">
        <v>2112</v>
      </c>
      <c r="E175" s="3" t="s">
        <v>2113</v>
      </c>
      <c r="J175" s="9" t="s">
        <v>8731</v>
      </c>
      <c r="T175" s="9" t="str">
        <f t="shared" ca="1" si="6"/>
        <v/>
      </c>
      <c r="U175" s="9" t="str">
        <f t="shared" ca="1" si="7"/>
        <v/>
      </c>
      <c r="Z175" s="9" t="s">
        <v>8757</v>
      </c>
      <c r="AA175" s="9" t="s">
        <v>3884</v>
      </c>
      <c r="AB175" s="9" t="s">
        <v>8700</v>
      </c>
    </row>
    <row r="176" spans="1:28">
      <c r="A176" s="3" t="s">
        <v>97</v>
      </c>
      <c r="D176" s="3" t="s">
        <v>3994</v>
      </c>
      <c r="E176" s="3" t="s">
        <v>3995</v>
      </c>
      <c r="J176" s="9" t="s">
        <v>8731</v>
      </c>
      <c r="T176" s="9" t="str">
        <f t="shared" ca="1" si="6"/>
        <v/>
      </c>
      <c r="U176" s="9" t="str">
        <f t="shared" ca="1" si="7"/>
        <v/>
      </c>
      <c r="Y176" s="9" t="s">
        <v>9282</v>
      </c>
      <c r="AA176" s="9" t="s">
        <v>3884</v>
      </c>
    </row>
    <row r="177" spans="1:28">
      <c r="A177" s="3" t="s">
        <v>97</v>
      </c>
      <c r="D177" s="3" t="s">
        <v>2114</v>
      </c>
      <c r="E177" s="3" t="s">
        <v>2115</v>
      </c>
      <c r="J177" s="9" t="s">
        <v>8729</v>
      </c>
      <c r="S177" s="9" t="s">
        <v>8739</v>
      </c>
      <c r="T177" s="9" t="str">
        <f t="shared" ca="1" si="6"/>
        <v/>
      </c>
      <c r="U177" s="9" t="str">
        <f t="shared" ca="1" si="7"/>
        <v/>
      </c>
      <c r="Z177" s="9" t="s">
        <v>8747</v>
      </c>
      <c r="AA177" s="9" t="s">
        <v>3884</v>
      </c>
      <c r="AB177" s="9" t="s">
        <v>8697</v>
      </c>
    </row>
    <row r="178" spans="1:28">
      <c r="A178" s="3" t="s">
        <v>98</v>
      </c>
      <c r="D178" t="s">
        <v>8818</v>
      </c>
      <c r="E178" t="s">
        <v>8819</v>
      </c>
      <c r="J178" s="9" t="s">
        <v>8731</v>
      </c>
      <c r="T178" s="9" t="str">
        <f t="shared" ca="1" si="6"/>
        <v/>
      </c>
      <c r="U178" s="9" t="str">
        <f t="shared" ca="1" si="7"/>
        <v/>
      </c>
      <c r="Z178" s="9" t="s">
        <v>8757</v>
      </c>
      <c r="AA178" s="9" t="s">
        <v>3884</v>
      </c>
    </row>
    <row r="179" spans="1:28">
      <c r="A179" s="3" t="s">
        <v>98</v>
      </c>
      <c r="D179" s="3" t="s">
        <v>2118</v>
      </c>
      <c r="E179" s="3" t="s">
        <v>2119</v>
      </c>
      <c r="J179" s="9" t="s">
        <v>8729</v>
      </c>
      <c r="S179" s="9" t="s">
        <v>8739</v>
      </c>
      <c r="T179" s="9" t="str">
        <f t="shared" ca="1" si="6"/>
        <v/>
      </c>
      <c r="U179" s="9" t="str">
        <f t="shared" ca="1" si="7"/>
        <v/>
      </c>
      <c r="Z179" s="9" t="s">
        <v>8741</v>
      </c>
      <c r="AA179" s="9" t="s">
        <v>3884</v>
      </c>
      <c r="AB179" s="9" t="s">
        <v>8697</v>
      </c>
    </row>
    <row r="180" spans="1:28">
      <c r="A180" s="3" t="s">
        <v>98</v>
      </c>
      <c r="D180" s="3" t="s">
        <v>2120</v>
      </c>
      <c r="E180" s="3" t="s">
        <v>2121</v>
      </c>
      <c r="J180" s="9" t="s">
        <v>8731</v>
      </c>
      <c r="T180" s="9" t="str">
        <f t="shared" ca="1" si="6"/>
        <v/>
      </c>
      <c r="U180" s="9" t="str">
        <f t="shared" ca="1" si="7"/>
        <v/>
      </c>
      <c r="Z180" s="9" t="s">
        <v>8757</v>
      </c>
      <c r="AA180" s="9" t="s">
        <v>3884</v>
      </c>
    </row>
    <row r="181" spans="1:28">
      <c r="A181" s="3" t="s">
        <v>98</v>
      </c>
      <c r="D181" s="3" t="s">
        <v>2122</v>
      </c>
      <c r="E181" s="3" t="s">
        <v>2123</v>
      </c>
      <c r="J181" s="9" t="s">
        <v>8731</v>
      </c>
      <c r="T181" s="9" t="str">
        <f t="shared" ca="1" si="6"/>
        <v/>
      </c>
      <c r="U181" s="9" t="str">
        <f t="shared" ca="1" si="7"/>
        <v/>
      </c>
    </row>
    <row r="182" spans="1:28">
      <c r="A182" s="3" t="s">
        <v>99</v>
      </c>
      <c r="D182" s="3" t="s">
        <v>9408</v>
      </c>
      <c r="E182" s="3" t="s">
        <v>9409</v>
      </c>
      <c r="J182" s="9" t="s">
        <v>8729</v>
      </c>
      <c r="S182" s="9">
        <f>69-203</f>
        <v>-134</v>
      </c>
      <c r="T182" s="9">
        <f t="shared" ca="1" si="6"/>
        <v>203</v>
      </c>
      <c r="U182" s="9">
        <f t="shared" ca="1" si="7"/>
        <v>69</v>
      </c>
    </row>
    <row r="183" spans="1:28">
      <c r="A183" s="3" t="s">
        <v>99</v>
      </c>
      <c r="D183" s="3" t="s">
        <v>3996</v>
      </c>
      <c r="E183" s="3" t="s">
        <v>3997</v>
      </c>
      <c r="I183" t="s">
        <v>8820</v>
      </c>
      <c r="J183" s="9" t="s">
        <v>3894</v>
      </c>
      <c r="T183" s="9" t="str">
        <f t="shared" ca="1" si="6"/>
        <v/>
      </c>
      <c r="U183" s="9" t="str">
        <f t="shared" ca="1" si="7"/>
        <v/>
      </c>
    </row>
    <row r="184" spans="1:28" ht="43.5">
      <c r="A184" s="3" t="s">
        <v>99</v>
      </c>
      <c r="D184" s="12" t="s">
        <v>8821</v>
      </c>
      <c r="E184" s="12" t="s">
        <v>8822</v>
      </c>
      <c r="J184" s="9" t="s">
        <v>8729</v>
      </c>
      <c r="S184" s="9">
        <f>653-10</f>
        <v>643</v>
      </c>
      <c r="T184" s="9">
        <f t="shared" ca="1" si="6"/>
        <v>10</v>
      </c>
      <c r="U184" s="9">
        <f t="shared" ca="1" si="7"/>
        <v>653</v>
      </c>
    </row>
    <row r="185" spans="1:28" ht="43.5">
      <c r="A185" s="3" t="s">
        <v>99</v>
      </c>
      <c r="D185" s="12" t="s">
        <v>8823</v>
      </c>
      <c r="E185" s="12" t="s">
        <v>8824</v>
      </c>
      <c r="J185" s="9" t="s">
        <v>8729</v>
      </c>
      <c r="S185" s="9" t="s">
        <v>8739</v>
      </c>
      <c r="T185" s="9" t="str">
        <f t="shared" ca="1" si="6"/>
        <v/>
      </c>
      <c r="U185" s="9" t="str">
        <f t="shared" ca="1" si="7"/>
        <v/>
      </c>
      <c r="Z185" s="9" t="s">
        <v>8747</v>
      </c>
      <c r="AA185" s="9" t="s">
        <v>3884</v>
      </c>
      <c r="AB185" s="9" t="s">
        <v>8697</v>
      </c>
    </row>
    <row r="186" spans="1:28" ht="43.5">
      <c r="A186" s="3" t="s">
        <v>99</v>
      </c>
      <c r="D186" s="12" t="s">
        <v>8825</v>
      </c>
      <c r="E186" s="12" t="s">
        <v>8826</v>
      </c>
      <c r="H186" t="s">
        <v>3884</v>
      </c>
      <c r="J186" s="9" t="s">
        <v>8729</v>
      </c>
      <c r="S186" s="9">
        <v>0</v>
      </c>
      <c r="T186" s="9" t="e">
        <f t="shared" ca="1" si="6"/>
        <v>#N/A</v>
      </c>
      <c r="U186" s="9" t="e">
        <f t="shared" ca="1" si="7"/>
        <v>#N/A</v>
      </c>
      <c r="AB186" s="9" t="s">
        <v>8694</v>
      </c>
    </row>
    <row r="187" spans="1:28">
      <c r="A187" s="3" t="s">
        <v>100</v>
      </c>
      <c r="D187" s="3" t="s">
        <v>2126</v>
      </c>
      <c r="E187" s="3" t="s">
        <v>2127</v>
      </c>
      <c r="J187" s="9" t="s">
        <v>8731</v>
      </c>
      <c r="T187" s="9" t="str">
        <f t="shared" ca="1" si="6"/>
        <v/>
      </c>
      <c r="U187" s="9" t="str">
        <f t="shared" ca="1" si="7"/>
        <v/>
      </c>
      <c r="Z187" s="9" t="s">
        <v>8757</v>
      </c>
      <c r="AA187" s="9" t="s">
        <v>3884</v>
      </c>
      <c r="AB187" s="9" t="s">
        <v>8697</v>
      </c>
    </row>
    <row r="188" spans="1:28">
      <c r="A188" s="3" t="s">
        <v>100</v>
      </c>
      <c r="D188" s="3" t="s">
        <v>2128</v>
      </c>
      <c r="E188" s="3" t="s">
        <v>3998</v>
      </c>
      <c r="F188" t="s">
        <v>3932</v>
      </c>
      <c r="I188" t="s">
        <v>3999</v>
      </c>
      <c r="T188" s="9" t="str">
        <f t="shared" ca="1" si="6"/>
        <v/>
      </c>
      <c r="U188" s="9" t="str">
        <f t="shared" ca="1" si="7"/>
        <v/>
      </c>
    </row>
    <row r="189" spans="1:28">
      <c r="A189" s="3" t="s">
        <v>100</v>
      </c>
      <c r="D189" s="3" t="s">
        <v>4000</v>
      </c>
      <c r="E189" s="3" t="s">
        <v>4001</v>
      </c>
      <c r="J189" s="9" t="s">
        <v>8731</v>
      </c>
      <c r="T189" s="9" t="str">
        <f t="shared" ca="1" si="6"/>
        <v/>
      </c>
      <c r="U189" s="9" t="str">
        <f t="shared" ca="1" si="7"/>
        <v/>
      </c>
    </row>
    <row r="190" spans="1:28">
      <c r="A190" s="3" t="s">
        <v>100</v>
      </c>
      <c r="D190" s="4" t="s">
        <v>8827</v>
      </c>
      <c r="E190" s="3" t="s">
        <v>8828</v>
      </c>
      <c r="F190" t="s">
        <v>3883</v>
      </c>
      <c r="J190" s="9" t="s">
        <v>3889</v>
      </c>
      <c r="K190" s="9">
        <v>1</v>
      </c>
      <c r="L190" s="9">
        <v>3</v>
      </c>
      <c r="M190" s="9" t="s">
        <v>8707</v>
      </c>
      <c r="N190" s="9" t="s">
        <v>8690</v>
      </c>
      <c r="R190" s="9">
        <v>329</v>
      </c>
      <c r="T190" s="9" t="str">
        <f t="shared" ca="1" si="6"/>
        <v/>
      </c>
      <c r="U190" s="9" t="str">
        <f t="shared" ca="1" si="7"/>
        <v/>
      </c>
    </row>
    <row r="191" spans="1:28">
      <c r="A191" s="3" t="s">
        <v>101</v>
      </c>
      <c r="D191" s="3" t="s">
        <v>2130</v>
      </c>
      <c r="E191" s="3" t="s">
        <v>2131</v>
      </c>
      <c r="J191" s="9" t="s">
        <v>8731</v>
      </c>
      <c r="T191" s="9" t="str">
        <f t="shared" ca="1" si="6"/>
        <v/>
      </c>
      <c r="U191" s="9" t="str">
        <f t="shared" ca="1" si="7"/>
        <v/>
      </c>
      <c r="Z191" s="9" t="s">
        <v>9279</v>
      </c>
      <c r="AA191" s="9" t="s">
        <v>3884</v>
      </c>
    </row>
    <row r="192" spans="1:28">
      <c r="A192" s="3" t="s">
        <v>101</v>
      </c>
      <c r="D192" s="3" t="s">
        <v>8829</v>
      </c>
      <c r="E192" s="3" t="s">
        <v>8829</v>
      </c>
      <c r="F192" t="s">
        <v>3932</v>
      </c>
      <c r="I192" t="s">
        <v>4002</v>
      </c>
      <c r="T192" s="9" t="str">
        <f t="shared" ca="1" si="6"/>
        <v/>
      </c>
      <c r="U192" s="9" t="str">
        <f t="shared" ca="1" si="7"/>
        <v/>
      </c>
    </row>
    <row r="193" spans="1:28">
      <c r="A193" s="3" t="s">
        <v>101</v>
      </c>
      <c r="D193" s="3" t="s">
        <v>9410</v>
      </c>
      <c r="E193" s="3" t="s">
        <v>9411</v>
      </c>
      <c r="J193" s="9" t="s">
        <v>8731</v>
      </c>
      <c r="T193" s="9" t="str">
        <f t="shared" ca="1" si="6"/>
        <v/>
      </c>
      <c r="U193" s="9" t="str">
        <f t="shared" ca="1" si="7"/>
        <v/>
      </c>
      <c r="Z193" s="9" t="s">
        <v>8757</v>
      </c>
      <c r="AA193" s="9" t="s">
        <v>3884</v>
      </c>
      <c r="AB193" s="9" t="s">
        <v>8700</v>
      </c>
    </row>
    <row r="194" spans="1:28">
      <c r="A194" s="3" t="s">
        <v>101</v>
      </c>
      <c r="D194" s="3" t="s">
        <v>2132</v>
      </c>
      <c r="E194" s="3" t="s">
        <v>2133</v>
      </c>
      <c r="J194" s="9" t="s">
        <v>8731</v>
      </c>
      <c r="T194" s="9" t="str">
        <f t="shared" ca="1" si="6"/>
        <v/>
      </c>
      <c r="U194" s="9" t="str">
        <f t="shared" ca="1" si="7"/>
        <v/>
      </c>
      <c r="AB194" s="9" t="s">
        <v>8688</v>
      </c>
    </row>
    <row r="195" spans="1:28">
      <c r="A195" s="3" t="s">
        <v>102</v>
      </c>
      <c r="D195" s="3" t="s">
        <v>9412</v>
      </c>
      <c r="E195" s="3" t="s">
        <v>9413</v>
      </c>
      <c r="F195" t="s">
        <v>3893</v>
      </c>
      <c r="T195" s="9" t="str">
        <f t="shared" ref="T195:T258" ca="1" si="10">IF(ISNUMBER(S195),VALUE(MID(_xlfn.FORMULATEXT(S195),SEARCH("-",_xlfn.FORMULATEXT(S195))+1,LEN(_xlfn.FORMULATEXT(S195))-SEARCH("-",_xlfn.FORMULATEXT(S195)))), "")</f>
        <v/>
      </c>
      <c r="U195" s="9" t="str">
        <f t="shared" ref="U195:U258" ca="1" si="11">IF(ISNUMBER(S195), VALUE(MID(_xlfn.FORMULATEXT(S195), 2, SEARCH("-", _xlfn.FORMULATEXT(S195)) - 2)), "")</f>
        <v/>
      </c>
    </row>
    <row r="196" spans="1:28">
      <c r="A196" s="3" t="s">
        <v>102</v>
      </c>
      <c r="D196" s="3" t="s">
        <v>9414</v>
      </c>
      <c r="E196" s="3" t="s">
        <v>9415</v>
      </c>
      <c r="J196" s="9" t="s">
        <v>8729</v>
      </c>
      <c r="Q196" s="9" t="s">
        <v>8685</v>
      </c>
      <c r="S196" s="9">
        <f>159-991</f>
        <v>-832</v>
      </c>
      <c r="T196" s="9">
        <f t="shared" ca="1" si="10"/>
        <v>991</v>
      </c>
      <c r="U196" s="9">
        <f t="shared" ca="1" si="11"/>
        <v>159</v>
      </c>
      <c r="AB196" s="9" t="s">
        <v>8700</v>
      </c>
    </row>
    <row r="197" spans="1:28">
      <c r="A197" s="3" t="s">
        <v>102</v>
      </c>
      <c r="D197" s="3" t="s">
        <v>2141</v>
      </c>
      <c r="E197" s="3" t="s">
        <v>2136</v>
      </c>
      <c r="J197" s="9" t="s">
        <v>8729</v>
      </c>
      <c r="S197" s="9" t="s">
        <v>8739</v>
      </c>
      <c r="T197" s="9" t="str">
        <f t="shared" ca="1" si="10"/>
        <v/>
      </c>
      <c r="U197" s="9" t="str">
        <f t="shared" ca="1" si="11"/>
        <v/>
      </c>
      <c r="Y197" s="9" t="s">
        <v>8735</v>
      </c>
      <c r="AA197" s="9" t="s">
        <v>3884</v>
      </c>
    </row>
    <row r="198" spans="1:28">
      <c r="A198" s="3" t="s">
        <v>103</v>
      </c>
      <c r="D198" s="3" t="s">
        <v>2137</v>
      </c>
      <c r="E198" s="3" t="s">
        <v>2138</v>
      </c>
      <c r="J198" s="9" t="s">
        <v>8729</v>
      </c>
      <c r="S198" s="9" t="s">
        <v>8739</v>
      </c>
      <c r="T198" s="9" t="str">
        <f t="shared" ca="1" si="10"/>
        <v/>
      </c>
      <c r="U198" s="9" t="str">
        <f t="shared" ca="1" si="11"/>
        <v/>
      </c>
      <c r="AB198" s="9" t="s">
        <v>8688</v>
      </c>
    </row>
    <row r="199" spans="1:28">
      <c r="A199" s="3" t="s">
        <v>104</v>
      </c>
      <c r="D199" s="3" t="s">
        <v>8830</v>
      </c>
      <c r="E199" s="3" t="s">
        <v>8831</v>
      </c>
      <c r="H199" t="s">
        <v>3892</v>
      </c>
      <c r="I199" t="s">
        <v>4003</v>
      </c>
      <c r="J199" s="9" t="s">
        <v>8731</v>
      </c>
      <c r="T199" s="9" t="str">
        <f t="shared" ca="1" si="10"/>
        <v/>
      </c>
      <c r="U199" s="9" t="str">
        <f t="shared" ca="1" si="11"/>
        <v/>
      </c>
      <c r="AB199" s="9" t="s">
        <v>8688</v>
      </c>
    </row>
    <row r="200" spans="1:28">
      <c r="A200" s="3" t="s">
        <v>105</v>
      </c>
      <c r="D200" s="3" t="s">
        <v>4004</v>
      </c>
      <c r="E200" s="3" t="s">
        <v>4005</v>
      </c>
      <c r="H200" t="s">
        <v>3884</v>
      </c>
      <c r="J200" s="9" t="s">
        <v>3889</v>
      </c>
      <c r="K200" s="9">
        <v>1</v>
      </c>
      <c r="L200" s="9">
        <v>2</v>
      </c>
      <c r="M200" s="9" t="s">
        <v>8689</v>
      </c>
      <c r="N200" s="9" t="s">
        <v>8730</v>
      </c>
      <c r="R200" s="9">
        <v>10929</v>
      </c>
      <c r="T200" s="9" t="str">
        <f t="shared" ca="1" si="10"/>
        <v/>
      </c>
      <c r="U200" s="9" t="str">
        <f t="shared" ca="1" si="11"/>
        <v/>
      </c>
    </row>
    <row r="201" spans="1:28">
      <c r="A201" s="3" t="s">
        <v>105</v>
      </c>
      <c r="D201" s="3" t="s">
        <v>4006</v>
      </c>
      <c r="E201" s="3" t="s">
        <v>4006</v>
      </c>
      <c r="F201" t="s">
        <v>3932</v>
      </c>
      <c r="I201" t="s">
        <v>4007</v>
      </c>
      <c r="T201" s="9" t="str">
        <f t="shared" ca="1" si="10"/>
        <v/>
      </c>
      <c r="U201" s="9" t="str">
        <f t="shared" ca="1" si="11"/>
        <v/>
      </c>
    </row>
    <row r="202" spans="1:28">
      <c r="A202" s="3" t="s">
        <v>105</v>
      </c>
      <c r="D202" s="3" t="s">
        <v>2139</v>
      </c>
      <c r="E202" s="3" t="s">
        <v>2140</v>
      </c>
      <c r="H202" t="s">
        <v>3891</v>
      </c>
      <c r="J202" s="9" t="s">
        <v>8729</v>
      </c>
      <c r="S202" s="9" t="s">
        <v>8739</v>
      </c>
      <c r="T202" s="9" t="str">
        <f t="shared" ca="1" si="10"/>
        <v/>
      </c>
      <c r="U202" s="9" t="str">
        <f t="shared" ca="1" si="11"/>
        <v/>
      </c>
      <c r="Z202" s="9" t="s">
        <v>8832</v>
      </c>
      <c r="AA202" s="9" t="s">
        <v>3884</v>
      </c>
      <c r="AB202" s="9" t="s">
        <v>8688</v>
      </c>
    </row>
    <row r="203" spans="1:28">
      <c r="A203" s="3" t="s">
        <v>105</v>
      </c>
      <c r="D203" s="3" t="s">
        <v>4008</v>
      </c>
      <c r="E203" s="3" t="s">
        <v>4009</v>
      </c>
      <c r="J203" s="9" t="s">
        <v>8729</v>
      </c>
      <c r="S203" s="9" t="s">
        <v>8739</v>
      </c>
      <c r="T203" s="9" t="str">
        <f t="shared" ca="1" si="10"/>
        <v/>
      </c>
      <c r="U203" s="9" t="str">
        <f t="shared" ca="1" si="11"/>
        <v/>
      </c>
      <c r="Y203" s="9" t="s">
        <v>8735</v>
      </c>
      <c r="AA203" s="9" t="s">
        <v>3884</v>
      </c>
    </row>
    <row r="204" spans="1:28">
      <c r="A204" s="3" t="s">
        <v>106</v>
      </c>
      <c r="D204" s="3" t="s">
        <v>4010</v>
      </c>
      <c r="E204" s="3" t="s">
        <v>4011</v>
      </c>
      <c r="J204" s="9" t="s">
        <v>8729</v>
      </c>
      <c r="S204" s="9" t="s">
        <v>8739</v>
      </c>
      <c r="T204" s="9" t="str">
        <f t="shared" ca="1" si="10"/>
        <v/>
      </c>
      <c r="U204" s="9" t="str">
        <f t="shared" ca="1" si="11"/>
        <v/>
      </c>
      <c r="Y204" s="9" t="s">
        <v>8735</v>
      </c>
      <c r="AA204" s="9" t="s">
        <v>3884</v>
      </c>
    </row>
    <row r="205" spans="1:28">
      <c r="A205" s="3" t="s">
        <v>106</v>
      </c>
      <c r="D205" s="3" t="s">
        <v>2081</v>
      </c>
      <c r="E205" s="3" t="s">
        <v>2082</v>
      </c>
      <c r="H205" t="s">
        <v>3892</v>
      </c>
      <c r="I205" t="s">
        <v>9671</v>
      </c>
      <c r="J205" s="9" t="s">
        <v>8731</v>
      </c>
      <c r="T205" s="9" t="str">
        <f t="shared" ca="1" si="10"/>
        <v/>
      </c>
      <c r="U205" s="9" t="str">
        <f t="shared" ca="1" si="11"/>
        <v/>
      </c>
      <c r="Z205" s="9" t="s">
        <v>8741</v>
      </c>
      <c r="AA205" s="9" t="s">
        <v>3884</v>
      </c>
    </row>
    <row r="206" spans="1:28">
      <c r="A206" s="3" t="s">
        <v>107</v>
      </c>
      <c r="D206" s="3" t="s">
        <v>2142</v>
      </c>
      <c r="E206" s="3" t="s">
        <v>2143</v>
      </c>
      <c r="J206" s="9" t="s">
        <v>8731</v>
      </c>
      <c r="T206" s="9" t="str">
        <f t="shared" ca="1" si="10"/>
        <v/>
      </c>
      <c r="U206" s="9" t="str">
        <f t="shared" ca="1" si="11"/>
        <v/>
      </c>
      <c r="AB206" s="9" t="s">
        <v>8694</v>
      </c>
    </row>
    <row r="207" spans="1:28">
      <c r="A207" s="3" t="s">
        <v>107</v>
      </c>
      <c r="D207" s="3" t="s">
        <v>2144</v>
      </c>
      <c r="E207" s="3" t="s">
        <v>2145</v>
      </c>
      <c r="J207" s="9" t="s">
        <v>8729</v>
      </c>
      <c r="S207" s="9">
        <f>24-0</f>
        <v>24</v>
      </c>
      <c r="T207" s="9">
        <f t="shared" ca="1" si="10"/>
        <v>0</v>
      </c>
      <c r="U207" s="9">
        <f t="shared" ca="1" si="11"/>
        <v>24</v>
      </c>
    </row>
    <row r="208" spans="1:28">
      <c r="A208" s="3" t="s">
        <v>108</v>
      </c>
      <c r="D208" s="3" t="s">
        <v>2146</v>
      </c>
      <c r="E208" s="3" t="s">
        <v>2147</v>
      </c>
      <c r="J208" s="9" t="s">
        <v>8729</v>
      </c>
      <c r="S208" s="9" t="s">
        <v>8739</v>
      </c>
      <c r="T208" s="9" t="str">
        <f t="shared" ca="1" si="10"/>
        <v/>
      </c>
      <c r="U208" s="9" t="str">
        <f t="shared" ca="1" si="11"/>
        <v/>
      </c>
      <c r="Y208" s="9" t="s">
        <v>8735</v>
      </c>
      <c r="Z208" s="9" t="s">
        <v>8742</v>
      </c>
      <c r="AA208" s="9" t="s">
        <v>3884</v>
      </c>
    </row>
    <row r="209" spans="1:28">
      <c r="A209" s="3" t="s">
        <v>108</v>
      </c>
      <c r="D209" s="3" t="s">
        <v>2110</v>
      </c>
      <c r="E209" s="3" t="s">
        <v>2111</v>
      </c>
      <c r="J209" s="9" t="s">
        <v>8729</v>
      </c>
      <c r="S209" s="9" t="s">
        <v>8739</v>
      </c>
      <c r="T209" s="9" t="str">
        <f t="shared" ca="1" si="10"/>
        <v/>
      </c>
      <c r="U209" s="9" t="str">
        <f t="shared" ca="1" si="11"/>
        <v/>
      </c>
      <c r="Z209" s="9" t="s">
        <v>8742</v>
      </c>
      <c r="AA209" s="9" t="s">
        <v>3884</v>
      </c>
    </row>
    <row r="210" spans="1:28">
      <c r="A210" s="3" t="s">
        <v>108</v>
      </c>
      <c r="D210" s="3" t="s">
        <v>2141</v>
      </c>
      <c r="E210" s="3" t="s">
        <v>2136</v>
      </c>
      <c r="J210" s="9" t="s">
        <v>8729</v>
      </c>
      <c r="S210" s="9" t="s">
        <v>8739</v>
      </c>
      <c r="T210" s="9" t="str">
        <f t="shared" ca="1" si="10"/>
        <v/>
      </c>
      <c r="U210" s="9" t="str">
        <f t="shared" ca="1" si="11"/>
        <v/>
      </c>
      <c r="Y210" s="9" t="s">
        <v>8735</v>
      </c>
      <c r="AA210" s="9" t="s">
        <v>3884</v>
      </c>
    </row>
    <row r="211" spans="1:28">
      <c r="A211" s="3" t="s">
        <v>109</v>
      </c>
      <c r="D211" s="3" t="s">
        <v>4012</v>
      </c>
      <c r="E211" s="3" t="s">
        <v>4013</v>
      </c>
      <c r="J211" s="9" t="s">
        <v>3885</v>
      </c>
      <c r="K211" s="9">
        <v>1</v>
      </c>
      <c r="L211" s="9">
        <v>3</v>
      </c>
      <c r="M211" s="9" t="s">
        <v>8705</v>
      </c>
      <c r="N211" s="9" t="s">
        <v>8684</v>
      </c>
      <c r="O211" s="9" t="s">
        <v>8777</v>
      </c>
      <c r="P211" s="10" t="s">
        <v>8778</v>
      </c>
      <c r="Q211" s="9" t="s">
        <v>8685</v>
      </c>
      <c r="R211" s="9">
        <v>991</v>
      </c>
      <c r="T211" s="9" t="str">
        <f t="shared" ca="1" si="10"/>
        <v/>
      </c>
      <c r="U211" s="9" t="str">
        <f t="shared" ca="1" si="11"/>
        <v/>
      </c>
      <c r="AB211" s="9" t="s">
        <v>8694</v>
      </c>
    </row>
    <row r="212" spans="1:28">
      <c r="A212" s="3" t="s">
        <v>110</v>
      </c>
      <c r="D212" s="3" t="s">
        <v>4014</v>
      </c>
      <c r="E212" s="3" t="s">
        <v>4015</v>
      </c>
      <c r="J212" s="9" t="s">
        <v>3889</v>
      </c>
      <c r="K212" s="9">
        <v>1</v>
      </c>
      <c r="L212" s="9">
        <v>2</v>
      </c>
      <c r="M212" s="9" t="s">
        <v>8689</v>
      </c>
      <c r="N212" s="9" t="s">
        <v>8730</v>
      </c>
      <c r="R212" s="9">
        <v>10929</v>
      </c>
      <c r="T212" s="9" t="str">
        <f t="shared" ca="1" si="10"/>
        <v/>
      </c>
      <c r="U212" s="9" t="str">
        <f t="shared" ca="1" si="11"/>
        <v/>
      </c>
      <c r="AB212" s="9" t="s">
        <v>8700</v>
      </c>
    </row>
    <row r="213" spans="1:28">
      <c r="A213" s="3" t="s">
        <v>110</v>
      </c>
      <c r="D213" s="3" t="s">
        <v>2148</v>
      </c>
      <c r="E213" s="3" t="s">
        <v>2149</v>
      </c>
      <c r="J213" s="9" t="s">
        <v>8731</v>
      </c>
      <c r="T213" s="9" t="str">
        <f t="shared" ca="1" si="10"/>
        <v/>
      </c>
      <c r="U213" s="9" t="str">
        <f t="shared" ca="1" si="11"/>
        <v/>
      </c>
      <c r="Y213" s="9" t="s">
        <v>8735</v>
      </c>
      <c r="AA213" s="9" t="s">
        <v>3884</v>
      </c>
    </row>
    <row r="214" spans="1:28">
      <c r="A214" s="3" t="s">
        <v>111</v>
      </c>
      <c r="D214" s="3" t="s">
        <v>4016</v>
      </c>
      <c r="E214" s="3" t="s">
        <v>2150</v>
      </c>
      <c r="H214" t="s">
        <v>3892</v>
      </c>
      <c r="I214" t="s">
        <v>4017</v>
      </c>
      <c r="J214" s="9" t="s">
        <v>8729</v>
      </c>
      <c r="S214" s="9">
        <f>0-6</f>
        <v>-6</v>
      </c>
      <c r="T214" s="9">
        <f t="shared" ca="1" si="10"/>
        <v>6</v>
      </c>
      <c r="U214" s="9">
        <f t="shared" ca="1" si="11"/>
        <v>0</v>
      </c>
      <c r="AB214" s="9" t="s">
        <v>8694</v>
      </c>
    </row>
    <row r="215" spans="1:28">
      <c r="A215" s="3" t="s">
        <v>111</v>
      </c>
      <c r="D215" s="3" t="s">
        <v>2151</v>
      </c>
      <c r="E215" s="3" t="s">
        <v>2152</v>
      </c>
      <c r="J215" s="9" t="s">
        <v>8729</v>
      </c>
      <c r="S215" s="9" t="s">
        <v>8739</v>
      </c>
      <c r="T215" s="9" t="str">
        <f t="shared" ca="1" si="10"/>
        <v/>
      </c>
      <c r="U215" s="9" t="str">
        <f t="shared" ca="1" si="11"/>
        <v/>
      </c>
      <c r="Z215" s="9" t="s">
        <v>8741</v>
      </c>
      <c r="AA215" s="9" t="s">
        <v>3884</v>
      </c>
      <c r="AB215" s="9" t="s">
        <v>8697</v>
      </c>
    </row>
    <row r="216" spans="1:28">
      <c r="A216" s="3" t="s">
        <v>111</v>
      </c>
      <c r="D216" s="3" t="s">
        <v>2153</v>
      </c>
      <c r="E216" s="3" t="s">
        <v>2154</v>
      </c>
      <c r="J216" s="9" t="s">
        <v>8729</v>
      </c>
      <c r="S216" s="9" t="s">
        <v>8739</v>
      </c>
      <c r="T216" s="9" t="str">
        <f t="shared" ca="1" si="10"/>
        <v/>
      </c>
      <c r="U216" s="9" t="str">
        <f t="shared" ca="1" si="11"/>
        <v/>
      </c>
      <c r="Y216" s="9" t="s">
        <v>8735</v>
      </c>
      <c r="Z216" s="9" t="s">
        <v>8747</v>
      </c>
      <c r="AA216" s="9" t="s">
        <v>3884</v>
      </c>
    </row>
    <row r="217" spans="1:28">
      <c r="A217" s="3" t="s">
        <v>111</v>
      </c>
      <c r="D217" s="4" t="s">
        <v>2155</v>
      </c>
      <c r="E217" s="3" t="s">
        <v>4018</v>
      </c>
      <c r="F217" t="s">
        <v>3883</v>
      </c>
      <c r="H217" t="s">
        <v>3892</v>
      </c>
      <c r="I217" t="s">
        <v>4019</v>
      </c>
      <c r="J217" s="9" t="s">
        <v>8731</v>
      </c>
      <c r="T217" s="9" t="str">
        <f t="shared" ca="1" si="10"/>
        <v/>
      </c>
      <c r="U217" s="9" t="str">
        <f t="shared" ca="1" si="11"/>
        <v/>
      </c>
      <c r="Z217" s="9" t="s">
        <v>8833</v>
      </c>
      <c r="AA217" s="9" t="s">
        <v>3884</v>
      </c>
      <c r="AB217" s="9" t="s">
        <v>8697</v>
      </c>
    </row>
    <row r="218" spans="1:28">
      <c r="A218" s="3" t="s">
        <v>111</v>
      </c>
      <c r="D218" s="3" t="s">
        <v>2110</v>
      </c>
      <c r="E218" s="3" t="s">
        <v>2111</v>
      </c>
      <c r="J218" s="9" t="s">
        <v>8729</v>
      </c>
      <c r="S218" s="9" t="s">
        <v>8739</v>
      </c>
      <c r="T218" s="9" t="str">
        <f t="shared" ca="1" si="10"/>
        <v/>
      </c>
      <c r="U218" s="9" t="str">
        <f t="shared" ca="1" si="11"/>
        <v/>
      </c>
      <c r="Z218" s="9" t="s">
        <v>8742</v>
      </c>
      <c r="AA218" s="9" t="s">
        <v>3884</v>
      </c>
      <c r="AB218" s="9" t="s">
        <v>8697</v>
      </c>
    </row>
    <row r="219" spans="1:28">
      <c r="A219" s="3" t="s">
        <v>111</v>
      </c>
      <c r="D219" s="3" t="s">
        <v>2156</v>
      </c>
      <c r="E219" s="3" t="s">
        <v>2157</v>
      </c>
      <c r="J219" s="9" t="s">
        <v>8729</v>
      </c>
      <c r="S219" s="9" t="s">
        <v>8739</v>
      </c>
      <c r="T219" s="9" t="str">
        <f t="shared" ca="1" si="10"/>
        <v/>
      </c>
      <c r="U219" s="9" t="str">
        <f t="shared" ca="1" si="11"/>
        <v/>
      </c>
      <c r="Y219" s="9" t="s">
        <v>8735</v>
      </c>
      <c r="AA219" s="9" t="s">
        <v>3884</v>
      </c>
    </row>
    <row r="220" spans="1:28">
      <c r="A220" s="3" t="s">
        <v>112</v>
      </c>
      <c r="D220" s="3" t="s">
        <v>2158</v>
      </c>
      <c r="E220" s="3" t="s">
        <v>2158</v>
      </c>
      <c r="F220" t="s">
        <v>3932</v>
      </c>
      <c r="I220" t="s">
        <v>4020</v>
      </c>
      <c r="T220" s="9" t="str">
        <f t="shared" ca="1" si="10"/>
        <v/>
      </c>
      <c r="U220" s="9" t="str">
        <f t="shared" ca="1" si="11"/>
        <v/>
      </c>
    </row>
    <row r="221" spans="1:28">
      <c r="A221" s="3" t="s">
        <v>112</v>
      </c>
      <c r="D221" s="3" t="s">
        <v>2141</v>
      </c>
      <c r="E221" s="3" t="s">
        <v>2136</v>
      </c>
      <c r="J221" s="9" t="s">
        <v>8729</v>
      </c>
      <c r="S221" s="9" t="s">
        <v>8739</v>
      </c>
      <c r="T221" s="9" t="str">
        <f t="shared" ca="1" si="10"/>
        <v/>
      </c>
      <c r="U221" s="9" t="str">
        <f t="shared" ca="1" si="11"/>
        <v/>
      </c>
      <c r="Y221" s="9" t="s">
        <v>8735</v>
      </c>
      <c r="AA221" s="9" t="s">
        <v>3884</v>
      </c>
    </row>
    <row r="222" spans="1:28">
      <c r="A222" s="3" t="s">
        <v>113</v>
      </c>
      <c r="D222" s="3" t="s">
        <v>2159</v>
      </c>
      <c r="E222" s="3" t="s">
        <v>2159</v>
      </c>
      <c r="F222" t="s">
        <v>3932</v>
      </c>
      <c r="I222" t="s">
        <v>4021</v>
      </c>
      <c r="T222" s="9" t="str">
        <f t="shared" ca="1" si="10"/>
        <v/>
      </c>
      <c r="U222" s="9" t="str">
        <f t="shared" ca="1" si="11"/>
        <v/>
      </c>
    </row>
    <row r="223" spans="1:28">
      <c r="A223" s="3" t="s">
        <v>113</v>
      </c>
      <c r="D223" s="3" t="s">
        <v>2026</v>
      </c>
      <c r="E223" s="3" t="s">
        <v>2027</v>
      </c>
      <c r="J223" s="9" t="s">
        <v>8729</v>
      </c>
      <c r="S223" s="9" t="s">
        <v>8739</v>
      </c>
      <c r="T223" s="9" t="str">
        <f t="shared" ca="1" si="10"/>
        <v/>
      </c>
      <c r="U223" s="9" t="str">
        <f t="shared" ca="1" si="11"/>
        <v/>
      </c>
      <c r="Z223" s="9" t="s">
        <v>8742</v>
      </c>
      <c r="AA223" s="9" t="s">
        <v>3884</v>
      </c>
      <c r="AB223" s="9" t="s">
        <v>8697</v>
      </c>
    </row>
    <row r="224" spans="1:28">
      <c r="A224" s="3" t="s">
        <v>114</v>
      </c>
      <c r="D224" s="3" t="s">
        <v>2160</v>
      </c>
      <c r="E224" s="3" t="s">
        <v>4022</v>
      </c>
      <c r="F224" t="s">
        <v>3893</v>
      </c>
      <c r="T224" s="9" t="str">
        <f t="shared" ca="1" si="10"/>
        <v/>
      </c>
      <c r="U224" s="9" t="str">
        <f t="shared" ca="1" si="11"/>
        <v/>
      </c>
    </row>
    <row r="225" spans="1:28">
      <c r="A225" s="3" t="s">
        <v>114</v>
      </c>
      <c r="D225" s="3" t="s">
        <v>2161</v>
      </c>
      <c r="E225" s="3" t="s">
        <v>4023</v>
      </c>
      <c r="J225" s="9" t="s">
        <v>8729</v>
      </c>
      <c r="S225" s="9" t="s">
        <v>8739</v>
      </c>
      <c r="T225" s="9" t="str">
        <f t="shared" ca="1" si="10"/>
        <v/>
      </c>
      <c r="U225" s="9" t="str">
        <f t="shared" ca="1" si="11"/>
        <v/>
      </c>
      <c r="Y225" s="9" t="s">
        <v>8735</v>
      </c>
      <c r="Z225" s="9" t="s">
        <v>8742</v>
      </c>
      <c r="AA225" s="9" t="s">
        <v>3884</v>
      </c>
    </row>
    <row r="226" spans="1:28">
      <c r="A226" s="3" t="s">
        <v>114</v>
      </c>
      <c r="D226" s="3" t="s">
        <v>2110</v>
      </c>
      <c r="E226" s="3" t="s">
        <v>2111</v>
      </c>
      <c r="J226" s="9" t="s">
        <v>8729</v>
      </c>
      <c r="S226" s="9" t="s">
        <v>8739</v>
      </c>
      <c r="T226" s="9" t="str">
        <f t="shared" ca="1" si="10"/>
        <v/>
      </c>
      <c r="U226" s="9" t="str">
        <f t="shared" ca="1" si="11"/>
        <v/>
      </c>
      <c r="Z226" s="9" t="s">
        <v>8742</v>
      </c>
      <c r="AA226" s="9" t="s">
        <v>3884</v>
      </c>
      <c r="AB226" s="9" t="s">
        <v>8697</v>
      </c>
    </row>
    <row r="227" spans="1:28">
      <c r="A227" s="3" t="s">
        <v>114</v>
      </c>
      <c r="D227" s="3" t="s">
        <v>2162</v>
      </c>
      <c r="E227" s="3" t="s">
        <v>2163</v>
      </c>
      <c r="J227" s="9" t="s">
        <v>8731</v>
      </c>
      <c r="T227" s="9" t="str">
        <f t="shared" ca="1" si="10"/>
        <v/>
      </c>
      <c r="U227" s="9" t="str">
        <f t="shared" ca="1" si="11"/>
        <v/>
      </c>
      <c r="Z227" s="9" t="s">
        <v>8757</v>
      </c>
      <c r="AA227" s="9" t="s">
        <v>3884</v>
      </c>
    </row>
    <row r="228" spans="1:28">
      <c r="A228" s="3" t="s">
        <v>115</v>
      </c>
      <c r="D228" s="3" t="s">
        <v>2164</v>
      </c>
      <c r="E228" s="3" t="s">
        <v>2165</v>
      </c>
      <c r="H228" t="s">
        <v>3892</v>
      </c>
      <c r="I228" t="s">
        <v>4024</v>
      </c>
      <c r="J228" s="9" t="s">
        <v>8729</v>
      </c>
      <c r="S228" s="9" t="s">
        <v>8739</v>
      </c>
      <c r="T228" s="9" t="str">
        <f t="shared" ca="1" si="10"/>
        <v/>
      </c>
      <c r="U228" s="9" t="str">
        <f t="shared" ca="1" si="11"/>
        <v/>
      </c>
      <c r="Y228" s="9" t="s">
        <v>8735</v>
      </c>
      <c r="AA228" s="9" t="s">
        <v>3884</v>
      </c>
    </row>
    <row r="229" spans="1:28">
      <c r="A229" s="3" t="s">
        <v>116</v>
      </c>
      <c r="D229" s="3" t="s">
        <v>2166</v>
      </c>
      <c r="E229" s="3" t="s">
        <v>2164</v>
      </c>
      <c r="J229" s="9" t="s">
        <v>8729</v>
      </c>
      <c r="S229" s="9" t="s">
        <v>8739</v>
      </c>
      <c r="T229" s="9" t="str">
        <f t="shared" ca="1" si="10"/>
        <v/>
      </c>
      <c r="U229" s="9" t="str">
        <f t="shared" ca="1" si="11"/>
        <v/>
      </c>
      <c r="Y229" s="9" t="s">
        <v>8735</v>
      </c>
      <c r="Z229" s="9" t="s">
        <v>8742</v>
      </c>
      <c r="AA229" s="9" t="s">
        <v>3884</v>
      </c>
    </row>
    <row r="230" spans="1:28">
      <c r="A230" s="3" t="s">
        <v>117</v>
      </c>
      <c r="D230" s="3" t="s">
        <v>2167</v>
      </c>
      <c r="E230" s="3" t="s">
        <v>2168</v>
      </c>
      <c r="J230" s="9" t="s">
        <v>8729</v>
      </c>
      <c r="S230" s="9" t="s">
        <v>8739</v>
      </c>
      <c r="T230" s="9" t="str">
        <f t="shared" ca="1" si="10"/>
        <v/>
      </c>
      <c r="U230" s="9" t="str">
        <f t="shared" ca="1" si="11"/>
        <v/>
      </c>
      <c r="Z230" s="9" t="s">
        <v>8757</v>
      </c>
      <c r="AA230" s="9" t="s">
        <v>3884</v>
      </c>
      <c r="AB230" s="9" t="s">
        <v>8697</v>
      </c>
    </row>
    <row r="231" spans="1:28">
      <c r="A231" s="3" t="s">
        <v>117</v>
      </c>
      <c r="D231" s="3" t="s">
        <v>4025</v>
      </c>
      <c r="E231" s="3" t="s">
        <v>4026</v>
      </c>
      <c r="H231" t="s">
        <v>3884</v>
      </c>
      <c r="J231" s="9" t="s">
        <v>8729</v>
      </c>
      <c r="S231" s="9">
        <f>79-3678</f>
        <v>-3599</v>
      </c>
      <c r="T231" s="9">
        <f t="shared" ca="1" si="10"/>
        <v>3678</v>
      </c>
      <c r="U231" s="9">
        <f t="shared" ca="1" si="11"/>
        <v>79</v>
      </c>
    </row>
    <row r="232" spans="1:28">
      <c r="A232" s="3" t="s">
        <v>118</v>
      </c>
      <c r="D232" s="3" t="s">
        <v>2169</v>
      </c>
      <c r="E232" s="3" t="s">
        <v>2170</v>
      </c>
      <c r="J232" s="9" t="s">
        <v>8729</v>
      </c>
      <c r="S232" s="9" t="s">
        <v>8739</v>
      </c>
      <c r="T232" s="9" t="str">
        <f t="shared" ca="1" si="10"/>
        <v/>
      </c>
      <c r="U232" s="9" t="str">
        <f t="shared" ca="1" si="11"/>
        <v/>
      </c>
      <c r="Z232" s="9" t="s">
        <v>8741</v>
      </c>
      <c r="AA232" s="9" t="s">
        <v>3884</v>
      </c>
      <c r="AB232" s="9" t="s">
        <v>8697</v>
      </c>
    </row>
    <row r="233" spans="1:28" ht="29">
      <c r="A233" s="3" t="s">
        <v>118</v>
      </c>
      <c r="D233" s="3" t="s">
        <v>9557</v>
      </c>
      <c r="E233" s="4" t="s">
        <v>9558</v>
      </c>
      <c r="F233" t="s">
        <v>3897</v>
      </c>
      <c r="T233" s="9" t="str">
        <f t="shared" ca="1" si="10"/>
        <v/>
      </c>
      <c r="U233" s="9" t="str">
        <f t="shared" ca="1" si="11"/>
        <v/>
      </c>
    </row>
    <row r="234" spans="1:28">
      <c r="A234" s="3" t="s">
        <v>119</v>
      </c>
      <c r="D234" s="3" t="s">
        <v>2171</v>
      </c>
      <c r="E234" s="3" t="s">
        <v>2172</v>
      </c>
      <c r="F234" t="s">
        <v>3881</v>
      </c>
      <c r="T234" s="9" t="str">
        <f t="shared" ca="1" si="10"/>
        <v/>
      </c>
      <c r="U234" s="9" t="str">
        <f t="shared" ca="1" si="11"/>
        <v/>
      </c>
    </row>
    <row r="235" spans="1:28">
      <c r="A235" s="3" t="s">
        <v>120</v>
      </c>
      <c r="D235" s="3" t="s">
        <v>2173</v>
      </c>
      <c r="E235" s="3" t="s">
        <v>2174</v>
      </c>
      <c r="J235" s="9" t="s">
        <v>8731</v>
      </c>
      <c r="T235" s="9" t="str">
        <f t="shared" ca="1" si="10"/>
        <v/>
      </c>
      <c r="U235" s="9" t="str">
        <f t="shared" ca="1" si="11"/>
        <v/>
      </c>
      <c r="AB235" s="9" t="s">
        <v>8700</v>
      </c>
    </row>
    <row r="236" spans="1:28">
      <c r="A236" s="3" t="s">
        <v>120</v>
      </c>
      <c r="D236" s="3" t="s">
        <v>2159</v>
      </c>
      <c r="E236" s="3" t="s">
        <v>2159</v>
      </c>
      <c r="F236" t="s">
        <v>3932</v>
      </c>
      <c r="I236" t="s">
        <v>4021</v>
      </c>
      <c r="T236" s="9" t="str">
        <f t="shared" ca="1" si="10"/>
        <v/>
      </c>
      <c r="U236" s="9" t="str">
        <f t="shared" ca="1" si="11"/>
        <v/>
      </c>
    </row>
    <row r="237" spans="1:28">
      <c r="A237" s="3" t="s">
        <v>121</v>
      </c>
      <c r="D237" s="3" t="s">
        <v>2354</v>
      </c>
      <c r="E237" s="3" t="s">
        <v>4027</v>
      </c>
      <c r="J237" s="9" t="s">
        <v>8731</v>
      </c>
      <c r="T237" s="9" t="str">
        <f t="shared" ca="1" si="10"/>
        <v/>
      </c>
      <c r="U237" s="9" t="str">
        <f t="shared" ca="1" si="11"/>
        <v/>
      </c>
    </row>
    <row r="238" spans="1:28">
      <c r="A238" s="3" t="s">
        <v>121</v>
      </c>
      <c r="D238" s="3" t="s">
        <v>2331</v>
      </c>
      <c r="E238" s="3" t="s">
        <v>3949</v>
      </c>
      <c r="J238" s="9" t="s">
        <v>3885</v>
      </c>
      <c r="K238" s="9">
        <v>1</v>
      </c>
      <c r="L238" s="9">
        <v>2</v>
      </c>
      <c r="M238" s="9" t="s">
        <v>8689</v>
      </c>
      <c r="N238" s="9" t="s">
        <v>8730</v>
      </c>
      <c r="R238" s="9">
        <v>10929</v>
      </c>
      <c r="T238" s="9" t="str">
        <f t="shared" ca="1" si="10"/>
        <v/>
      </c>
      <c r="U238" s="9" t="str">
        <f t="shared" ca="1" si="11"/>
        <v/>
      </c>
    </row>
    <row r="239" spans="1:28" ht="43.5">
      <c r="A239" s="3" t="s">
        <v>121</v>
      </c>
      <c r="D239" s="3" t="s">
        <v>9189</v>
      </c>
      <c r="E239" s="3" t="s">
        <v>9190</v>
      </c>
      <c r="I239" t="s">
        <v>9193</v>
      </c>
      <c r="J239" s="9" t="s">
        <v>3885</v>
      </c>
      <c r="K239" s="9">
        <v>1</v>
      </c>
      <c r="L239" s="9">
        <v>2</v>
      </c>
      <c r="M239" s="9" t="s">
        <v>8689</v>
      </c>
      <c r="N239" s="9" t="s">
        <v>8730</v>
      </c>
      <c r="R239" s="9">
        <v>10929</v>
      </c>
      <c r="T239" s="9" t="str">
        <f t="shared" ca="1" si="10"/>
        <v/>
      </c>
      <c r="U239" s="9" t="str">
        <f t="shared" ca="1" si="11"/>
        <v/>
      </c>
      <c r="V239" s="9" t="s">
        <v>4</v>
      </c>
    </row>
    <row r="240" spans="1:28" ht="43.5">
      <c r="A240" s="3" t="s">
        <v>121</v>
      </c>
      <c r="D240" s="3" t="s">
        <v>9189</v>
      </c>
      <c r="E240" s="3" t="s">
        <v>9191</v>
      </c>
      <c r="H240" t="s">
        <v>3884</v>
      </c>
      <c r="I240" t="s">
        <v>9193</v>
      </c>
      <c r="J240" s="9" t="s">
        <v>3885</v>
      </c>
      <c r="K240" s="9">
        <v>1</v>
      </c>
      <c r="L240" s="9">
        <v>3</v>
      </c>
      <c r="M240" s="9" t="s">
        <v>8689</v>
      </c>
      <c r="N240" s="9" t="s">
        <v>8690</v>
      </c>
      <c r="R240" s="9">
        <v>10929</v>
      </c>
      <c r="T240" s="9" t="str">
        <f t="shared" ca="1" si="10"/>
        <v/>
      </c>
      <c r="U240" s="9" t="str">
        <f t="shared" ca="1" si="11"/>
        <v/>
      </c>
      <c r="V240" s="9" t="s">
        <v>4</v>
      </c>
    </row>
    <row r="241" spans="1:28" ht="43.5">
      <c r="A241" s="3" t="s">
        <v>121</v>
      </c>
      <c r="D241" s="3" t="s">
        <v>9189</v>
      </c>
      <c r="E241" s="3" t="s">
        <v>9192</v>
      </c>
      <c r="H241" t="s">
        <v>3884</v>
      </c>
      <c r="J241" s="9" t="s">
        <v>3885</v>
      </c>
      <c r="K241" s="9">
        <v>2</v>
      </c>
      <c r="L241" s="9">
        <v>10</v>
      </c>
      <c r="N241" s="9" t="s">
        <v>8690</v>
      </c>
      <c r="Q241" s="9" t="s">
        <v>8691</v>
      </c>
      <c r="R241" s="9">
        <v>9</v>
      </c>
      <c r="T241" s="9" t="str">
        <f t="shared" ca="1" si="10"/>
        <v/>
      </c>
      <c r="U241" s="9" t="str">
        <f t="shared" ca="1" si="11"/>
        <v/>
      </c>
    </row>
    <row r="242" spans="1:28">
      <c r="A242" s="3" t="s">
        <v>121</v>
      </c>
      <c r="D242" s="3" t="s">
        <v>4028</v>
      </c>
      <c r="E242" s="3" t="s">
        <v>9559</v>
      </c>
      <c r="F242" t="s">
        <v>3932</v>
      </c>
      <c r="I242" s="5" t="s">
        <v>9560</v>
      </c>
      <c r="T242" s="9" t="str">
        <f t="shared" ca="1" si="10"/>
        <v/>
      </c>
      <c r="U242" s="9" t="str">
        <f t="shared" ca="1" si="11"/>
        <v/>
      </c>
    </row>
    <row r="243" spans="1:28">
      <c r="A243" s="3" t="s">
        <v>122</v>
      </c>
      <c r="D243" s="3" t="s">
        <v>2159</v>
      </c>
      <c r="E243" s="3" t="s">
        <v>2159</v>
      </c>
      <c r="F243" t="s">
        <v>3932</v>
      </c>
      <c r="I243" t="s">
        <v>4021</v>
      </c>
      <c r="T243" s="9" t="str">
        <f t="shared" ca="1" si="10"/>
        <v/>
      </c>
      <c r="U243" s="9" t="str">
        <f t="shared" ca="1" si="11"/>
        <v/>
      </c>
    </row>
    <row r="244" spans="1:28">
      <c r="A244" s="3" t="s">
        <v>123</v>
      </c>
      <c r="D244" s="3" t="s">
        <v>2176</v>
      </c>
      <c r="E244" s="3" t="s">
        <v>2177</v>
      </c>
      <c r="J244" s="9" t="s">
        <v>8729</v>
      </c>
      <c r="S244" s="9" t="s">
        <v>8739</v>
      </c>
      <c r="T244" s="9" t="str">
        <f t="shared" ca="1" si="10"/>
        <v/>
      </c>
      <c r="U244" s="9" t="str">
        <f t="shared" ca="1" si="11"/>
        <v/>
      </c>
      <c r="AB244" s="9" t="s">
        <v>8688</v>
      </c>
    </row>
    <row r="245" spans="1:28">
      <c r="A245" s="3" t="s">
        <v>124</v>
      </c>
      <c r="D245" s="3" t="s">
        <v>2125</v>
      </c>
      <c r="E245" s="3" t="s">
        <v>2178</v>
      </c>
      <c r="J245" s="9" t="s">
        <v>8731</v>
      </c>
      <c r="T245" s="9" t="str">
        <f t="shared" ca="1" si="10"/>
        <v/>
      </c>
      <c r="U245" s="9" t="str">
        <f t="shared" ca="1" si="11"/>
        <v/>
      </c>
      <c r="AB245" s="9" t="s">
        <v>8700</v>
      </c>
    </row>
    <row r="246" spans="1:28">
      <c r="A246" s="3" t="s">
        <v>124</v>
      </c>
      <c r="D246" s="3" t="s">
        <v>2179</v>
      </c>
      <c r="E246" s="3" t="s">
        <v>2180</v>
      </c>
      <c r="J246" s="9" t="s">
        <v>8729</v>
      </c>
      <c r="S246" s="9" t="s">
        <v>8739</v>
      </c>
      <c r="T246" s="9" t="str">
        <f t="shared" ca="1" si="10"/>
        <v/>
      </c>
      <c r="U246" s="9" t="str">
        <f t="shared" ca="1" si="11"/>
        <v/>
      </c>
      <c r="AB246" s="9" t="s">
        <v>8697</v>
      </c>
    </row>
    <row r="247" spans="1:28">
      <c r="A247" s="3" t="s">
        <v>124</v>
      </c>
      <c r="D247" s="3" t="s">
        <v>2181</v>
      </c>
      <c r="E247" s="3" t="s">
        <v>2172</v>
      </c>
      <c r="J247" s="9" t="s">
        <v>8729</v>
      </c>
      <c r="S247" s="9" t="s">
        <v>8739</v>
      </c>
      <c r="T247" s="9" t="str">
        <f t="shared" ca="1" si="10"/>
        <v/>
      </c>
      <c r="U247" s="9" t="str">
        <f t="shared" ca="1" si="11"/>
        <v/>
      </c>
      <c r="Y247" s="9" t="s">
        <v>8735</v>
      </c>
      <c r="AA247" s="9" t="s">
        <v>3884</v>
      </c>
    </row>
    <row r="248" spans="1:28">
      <c r="A248" s="3" t="s">
        <v>125</v>
      </c>
      <c r="D248" s="3" t="s">
        <v>9417</v>
      </c>
      <c r="E248" s="3" t="s">
        <v>9416</v>
      </c>
      <c r="J248" s="9" t="s">
        <v>8729</v>
      </c>
      <c r="S248" s="9" t="s">
        <v>8739</v>
      </c>
      <c r="T248" s="9" t="str">
        <f t="shared" ca="1" si="10"/>
        <v/>
      </c>
      <c r="U248" s="9" t="str">
        <f t="shared" ca="1" si="11"/>
        <v/>
      </c>
      <c r="Z248" s="9" t="s">
        <v>8741</v>
      </c>
      <c r="AA248" s="9" t="s">
        <v>3884</v>
      </c>
      <c r="AB248" s="9" t="s">
        <v>8697</v>
      </c>
    </row>
    <row r="249" spans="1:28">
      <c r="A249" s="3" t="s">
        <v>125</v>
      </c>
      <c r="D249" s="3" t="s">
        <v>9194</v>
      </c>
      <c r="E249" s="3" t="s">
        <v>9195</v>
      </c>
      <c r="H249" t="s">
        <v>3884</v>
      </c>
      <c r="J249" s="9" t="s">
        <v>3885</v>
      </c>
      <c r="K249" s="9">
        <v>1</v>
      </c>
      <c r="L249" s="9">
        <v>1</v>
      </c>
      <c r="M249" s="9" t="s">
        <v>8689</v>
      </c>
      <c r="N249" s="9" t="s">
        <v>8730</v>
      </c>
      <c r="R249" s="9">
        <v>10929</v>
      </c>
      <c r="T249" s="9" t="str">
        <f t="shared" ca="1" si="10"/>
        <v/>
      </c>
      <c r="U249" s="9" t="str">
        <f t="shared" ca="1" si="11"/>
        <v/>
      </c>
    </row>
    <row r="250" spans="1:28">
      <c r="A250" s="3" t="s">
        <v>125</v>
      </c>
      <c r="D250" s="3" t="s">
        <v>4030</v>
      </c>
      <c r="E250" s="3" t="s">
        <v>4031</v>
      </c>
      <c r="H250" t="s">
        <v>3884</v>
      </c>
      <c r="I250" t="s">
        <v>9196</v>
      </c>
      <c r="J250" s="9" t="s">
        <v>8729</v>
      </c>
      <c r="S250" s="9">
        <f>26-51</f>
        <v>-25</v>
      </c>
      <c r="T250" s="9">
        <f t="shared" ca="1" si="10"/>
        <v>51</v>
      </c>
      <c r="U250" s="9">
        <f t="shared" ca="1" si="11"/>
        <v>26</v>
      </c>
    </row>
    <row r="251" spans="1:28">
      <c r="A251" s="3" t="s">
        <v>125</v>
      </c>
      <c r="D251" s="3" t="s">
        <v>2182</v>
      </c>
      <c r="E251" s="3" t="s">
        <v>2182</v>
      </c>
      <c r="F251" t="s">
        <v>3932</v>
      </c>
      <c r="I251" t="s">
        <v>4032</v>
      </c>
      <c r="T251" s="9" t="str">
        <f t="shared" ca="1" si="10"/>
        <v/>
      </c>
      <c r="U251" s="9" t="str">
        <f t="shared" ca="1" si="11"/>
        <v/>
      </c>
    </row>
    <row r="252" spans="1:28">
      <c r="A252" s="3" t="s">
        <v>126</v>
      </c>
      <c r="D252" s="3" t="s">
        <v>9418</v>
      </c>
      <c r="E252" s="3" t="s">
        <v>9419</v>
      </c>
      <c r="J252" s="9" t="s">
        <v>8731</v>
      </c>
      <c r="T252" s="9" t="str">
        <f t="shared" ca="1" si="10"/>
        <v/>
      </c>
      <c r="U252" s="9" t="str">
        <f t="shared" ca="1" si="11"/>
        <v/>
      </c>
      <c r="AB252" s="9" t="s">
        <v>8700</v>
      </c>
    </row>
    <row r="253" spans="1:28">
      <c r="A253" s="3" t="s">
        <v>126</v>
      </c>
      <c r="D253" s="3" t="s">
        <v>9420</v>
      </c>
      <c r="E253" s="3" t="s">
        <v>9561</v>
      </c>
      <c r="J253" s="9" t="s">
        <v>8732</v>
      </c>
      <c r="S253" s="9">
        <f>886-10929</f>
        <v>-10043</v>
      </c>
      <c r="T253" s="9">
        <f t="shared" ca="1" si="10"/>
        <v>10929</v>
      </c>
      <c r="U253" s="9">
        <f t="shared" ca="1" si="11"/>
        <v>886</v>
      </c>
    </row>
    <row r="254" spans="1:28" ht="29">
      <c r="A254" s="3" t="s">
        <v>126</v>
      </c>
      <c r="D254" s="3" t="s">
        <v>4033</v>
      </c>
      <c r="E254" s="3" t="s">
        <v>4036</v>
      </c>
      <c r="H254" t="s">
        <v>3884</v>
      </c>
      <c r="J254" s="9" t="s">
        <v>3885</v>
      </c>
      <c r="K254" s="9">
        <v>2</v>
      </c>
      <c r="L254" s="9">
        <v>5</v>
      </c>
      <c r="N254" s="9" t="s">
        <v>8690</v>
      </c>
      <c r="R254" s="9" t="s">
        <v>8739</v>
      </c>
      <c r="T254" s="9" t="str">
        <f t="shared" ca="1" si="10"/>
        <v/>
      </c>
      <c r="U254" s="9" t="str">
        <f t="shared" ca="1" si="11"/>
        <v/>
      </c>
      <c r="AB254" s="9" t="s">
        <v>8688</v>
      </c>
    </row>
    <row r="255" spans="1:28" ht="29">
      <c r="A255" s="3" t="s">
        <v>126</v>
      </c>
      <c r="D255" s="3" t="s">
        <v>4035</v>
      </c>
      <c r="E255" s="3" t="s">
        <v>4034</v>
      </c>
      <c r="J255" s="9" t="s">
        <v>8729</v>
      </c>
      <c r="S255" s="9" t="s">
        <v>8739</v>
      </c>
      <c r="T255" s="9" t="str">
        <f t="shared" ca="1" si="10"/>
        <v/>
      </c>
      <c r="U255" s="9" t="str">
        <f t="shared" ca="1" si="11"/>
        <v/>
      </c>
      <c r="Y255" s="9" t="s">
        <v>8735</v>
      </c>
      <c r="Z255" s="9" t="s">
        <v>9280</v>
      </c>
      <c r="AA255" s="9" t="s">
        <v>3884</v>
      </c>
    </row>
    <row r="256" spans="1:28">
      <c r="A256" s="3" t="s">
        <v>127</v>
      </c>
      <c r="D256" s="3" t="s">
        <v>5620</v>
      </c>
      <c r="E256" s="3" t="s">
        <v>8834</v>
      </c>
      <c r="J256" s="9" t="s">
        <v>8731</v>
      </c>
      <c r="T256" s="9" t="str">
        <f t="shared" ca="1" si="10"/>
        <v/>
      </c>
      <c r="U256" s="9" t="str">
        <f t="shared" ca="1" si="11"/>
        <v/>
      </c>
      <c r="AB256" s="9" t="s">
        <v>8694</v>
      </c>
    </row>
    <row r="257" spans="1:28">
      <c r="A257" s="3" t="s">
        <v>128</v>
      </c>
      <c r="D257" s="3" t="s">
        <v>2184</v>
      </c>
      <c r="E257" s="3" t="s">
        <v>2185</v>
      </c>
      <c r="J257" s="9" t="s">
        <v>8731</v>
      </c>
      <c r="T257" s="9" t="str">
        <f t="shared" ca="1" si="10"/>
        <v/>
      </c>
      <c r="U257" s="9" t="str">
        <f t="shared" ca="1" si="11"/>
        <v/>
      </c>
    </row>
    <row r="258" spans="1:28">
      <c r="A258" s="3" t="s">
        <v>128</v>
      </c>
      <c r="D258" s="3" t="s">
        <v>2186</v>
      </c>
      <c r="E258" s="3" t="s">
        <v>2187</v>
      </c>
      <c r="J258" s="9" t="s">
        <v>8729</v>
      </c>
      <c r="S258" s="9" t="s">
        <v>8739</v>
      </c>
      <c r="T258" s="9" t="str">
        <f t="shared" ca="1" si="10"/>
        <v/>
      </c>
      <c r="U258" s="9" t="str">
        <f t="shared" ca="1" si="11"/>
        <v/>
      </c>
      <c r="Y258" s="9" t="s">
        <v>8735</v>
      </c>
      <c r="Z258" s="9" t="s">
        <v>8757</v>
      </c>
      <c r="AA258" s="9" t="s">
        <v>3884</v>
      </c>
    </row>
    <row r="259" spans="1:28">
      <c r="A259" s="3" t="s">
        <v>128</v>
      </c>
      <c r="D259" s="3" t="s">
        <v>2188</v>
      </c>
      <c r="E259" s="3" t="s">
        <v>2189</v>
      </c>
      <c r="J259" s="9" t="s">
        <v>8729</v>
      </c>
      <c r="S259" s="9">
        <f>21-18</f>
        <v>3</v>
      </c>
      <c r="T259" s="9">
        <f t="shared" ref="T259:T323" ca="1" si="12">IF(ISNUMBER(S259),VALUE(MID(_xlfn.FORMULATEXT(S259),SEARCH("-",_xlfn.FORMULATEXT(S259))+1,LEN(_xlfn.FORMULATEXT(S259))-SEARCH("-",_xlfn.FORMULATEXT(S259)))), "")</f>
        <v>18</v>
      </c>
      <c r="U259" s="9">
        <f t="shared" ref="U259:U323" ca="1" si="13">IF(ISNUMBER(S259), VALUE(MID(_xlfn.FORMULATEXT(S259), 2, SEARCH("-", _xlfn.FORMULATEXT(S259)) - 2)), "")</f>
        <v>21</v>
      </c>
    </row>
    <row r="260" spans="1:28">
      <c r="A260" s="3" t="s">
        <v>128</v>
      </c>
      <c r="D260" s="3" t="s">
        <v>2190</v>
      </c>
      <c r="E260" s="3" t="s">
        <v>2191</v>
      </c>
      <c r="J260" s="9" t="s">
        <v>8729</v>
      </c>
      <c r="S260" s="9">
        <f>4-781</f>
        <v>-777</v>
      </c>
      <c r="T260" s="9">
        <f t="shared" ca="1" si="12"/>
        <v>781</v>
      </c>
      <c r="U260" s="9">
        <f t="shared" ca="1" si="13"/>
        <v>4</v>
      </c>
    </row>
    <row r="261" spans="1:28" ht="29">
      <c r="A261" s="3" t="s">
        <v>129</v>
      </c>
      <c r="D261" s="3" t="s">
        <v>9422</v>
      </c>
      <c r="E261" s="3" t="s">
        <v>9421</v>
      </c>
      <c r="J261" s="9" t="s">
        <v>3889</v>
      </c>
      <c r="K261" s="9">
        <v>1</v>
      </c>
      <c r="L261" s="9">
        <v>5</v>
      </c>
      <c r="M261" s="9" t="s">
        <v>8705</v>
      </c>
      <c r="N261" s="9" t="s">
        <v>8684</v>
      </c>
      <c r="O261" s="9" t="s">
        <v>8777</v>
      </c>
      <c r="P261" s="10" t="s">
        <v>8778</v>
      </c>
      <c r="R261" s="9">
        <v>3678</v>
      </c>
      <c r="T261" s="9" t="str">
        <f t="shared" ca="1" si="12"/>
        <v/>
      </c>
      <c r="U261" s="9" t="str">
        <f t="shared" ca="1" si="13"/>
        <v/>
      </c>
    </row>
    <row r="262" spans="1:28" ht="29">
      <c r="A262" s="3" t="s">
        <v>129</v>
      </c>
      <c r="D262" s="3" t="s">
        <v>9423</v>
      </c>
      <c r="E262" s="3" t="s">
        <v>9424</v>
      </c>
      <c r="J262" s="9" t="s">
        <v>8729</v>
      </c>
      <c r="S262" s="9" t="s">
        <v>8739</v>
      </c>
      <c r="T262" s="9" t="str">
        <f t="shared" ca="1" si="12"/>
        <v/>
      </c>
      <c r="U262" s="9" t="str">
        <f t="shared" ca="1" si="13"/>
        <v/>
      </c>
      <c r="Y262" s="9" t="s">
        <v>8735</v>
      </c>
      <c r="AA262" s="9" t="s">
        <v>3884</v>
      </c>
    </row>
    <row r="263" spans="1:28">
      <c r="A263" s="3" t="s">
        <v>130</v>
      </c>
      <c r="D263" s="3" t="s">
        <v>2193</v>
      </c>
      <c r="E263" s="3" t="s">
        <v>2194</v>
      </c>
      <c r="J263" s="9" t="s">
        <v>8731</v>
      </c>
      <c r="T263" s="9" t="str">
        <f t="shared" ca="1" si="12"/>
        <v/>
      </c>
      <c r="U263" s="9" t="str">
        <f t="shared" ca="1" si="13"/>
        <v/>
      </c>
      <c r="AB263" s="9" t="s">
        <v>8697</v>
      </c>
    </row>
    <row r="264" spans="1:28">
      <c r="A264" s="3" t="s">
        <v>131</v>
      </c>
      <c r="D264" s="3" t="s">
        <v>1936</v>
      </c>
      <c r="E264" s="3" t="s">
        <v>2192</v>
      </c>
      <c r="J264" s="9" t="s">
        <v>8729</v>
      </c>
      <c r="S264" s="9" t="s">
        <v>8739</v>
      </c>
      <c r="T264" s="9" t="str">
        <f t="shared" ca="1" si="12"/>
        <v/>
      </c>
      <c r="U264" s="9" t="str">
        <f t="shared" ca="1" si="13"/>
        <v/>
      </c>
      <c r="Y264" s="9" t="s">
        <v>8735</v>
      </c>
      <c r="AA264" s="9" t="s">
        <v>3884</v>
      </c>
    </row>
    <row r="265" spans="1:28">
      <c r="A265" s="3" t="s">
        <v>132</v>
      </c>
      <c r="D265" s="3" t="s">
        <v>2159</v>
      </c>
      <c r="E265" s="3" t="s">
        <v>2159</v>
      </c>
      <c r="F265" t="s">
        <v>3932</v>
      </c>
      <c r="I265" t="s">
        <v>4021</v>
      </c>
      <c r="T265" s="9" t="str">
        <f t="shared" ca="1" si="12"/>
        <v/>
      </c>
      <c r="U265" s="9" t="str">
        <f t="shared" ca="1" si="13"/>
        <v/>
      </c>
    </row>
    <row r="266" spans="1:28">
      <c r="A266" s="3" t="s">
        <v>133</v>
      </c>
      <c r="D266" s="3" t="s">
        <v>2159</v>
      </c>
      <c r="E266" s="3" t="s">
        <v>2159</v>
      </c>
      <c r="F266" t="s">
        <v>3932</v>
      </c>
      <c r="I266" t="s">
        <v>4021</v>
      </c>
      <c r="T266" s="9" t="str">
        <f t="shared" ca="1" si="12"/>
        <v/>
      </c>
      <c r="U266" s="9" t="str">
        <f t="shared" ca="1" si="13"/>
        <v/>
      </c>
    </row>
    <row r="267" spans="1:28">
      <c r="A267" s="3" t="s">
        <v>134</v>
      </c>
      <c r="D267" s="3" t="s">
        <v>4037</v>
      </c>
      <c r="E267" s="3" t="s">
        <v>4038</v>
      </c>
      <c r="J267" s="9" t="s">
        <v>3889</v>
      </c>
      <c r="K267" s="9">
        <v>1</v>
      </c>
      <c r="L267" s="9">
        <v>1</v>
      </c>
      <c r="M267" s="9" t="s">
        <v>8698</v>
      </c>
      <c r="N267" s="9" t="s">
        <v>8730</v>
      </c>
      <c r="R267" s="9">
        <v>73</v>
      </c>
      <c r="T267" s="9" t="str">
        <f t="shared" ca="1" si="12"/>
        <v/>
      </c>
      <c r="U267" s="9" t="str">
        <f t="shared" ca="1" si="13"/>
        <v/>
      </c>
    </row>
    <row r="268" spans="1:28">
      <c r="A268" s="3" t="s">
        <v>135</v>
      </c>
      <c r="D268" s="3" t="s">
        <v>2195</v>
      </c>
      <c r="E268" s="3" t="s">
        <v>2196</v>
      </c>
      <c r="J268" s="9" t="s">
        <v>8729</v>
      </c>
      <c r="S268" s="9">
        <f>20-23</f>
        <v>-3</v>
      </c>
      <c r="T268" s="9">
        <f t="shared" ca="1" si="12"/>
        <v>23</v>
      </c>
      <c r="U268" s="9">
        <f t="shared" ca="1" si="13"/>
        <v>20</v>
      </c>
    </row>
    <row r="269" spans="1:28">
      <c r="A269" s="3" t="s">
        <v>135</v>
      </c>
      <c r="D269" s="4" t="s">
        <v>4039</v>
      </c>
      <c r="E269" s="3" t="s">
        <v>4040</v>
      </c>
      <c r="F269" t="s">
        <v>3932</v>
      </c>
      <c r="T269" s="9" t="str">
        <f t="shared" ca="1" si="12"/>
        <v/>
      </c>
      <c r="U269" s="9" t="str">
        <f t="shared" ca="1" si="13"/>
        <v/>
      </c>
    </row>
    <row r="270" spans="1:28">
      <c r="A270" s="3" t="s">
        <v>135</v>
      </c>
      <c r="D270" s="3" t="s">
        <v>2197</v>
      </c>
      <c r="E270" s="3" t="s">
        <v>2198</v>
      </c>
      <c r="J270" s="9" t="s">
        <v>8731</v>
      </c>
      <c r="T270" s="9" t="str">
        <f t="shared" ca="1" si="12"/>
        <v/>
      </c>
      <c r="U270" s="9" t="str">
        <f t="shared" ca="1" si="13"/>
        <v/>
      </c>
      <c r="Z270" s="9" t="s">
        <v>8742</v>
      </c>
      <c r="AA270" s="9" t="s">
        <v>3884</v>
      </c>
    </row>
    <row r="271" spans="1:28" ht="29">
      <c r="A271" s="3" t="s">
        <v>136</v>
      </c>
      <c r="D271" s="3" t="s">
        <v>4041</v>
      </c>
      <c r="E271" s="3" t="s">
        <v>4042</v>
      </c>
      <c r="J271" s="9" t="s">
        <v>3889</v>
      </c>
      <c r="K271" s="9">
        <v>1</v>
      </c>
      <c r="L271" s="9">
        <v>6</v>
      </c>
      <c r="M271" s="9" t="s">
        <v>8705</v>
      </c>
      <c r="N271" s="9" t="s">
        <v>8684</v>
      </c>
      <c r="O271" s="9" t="s">
        <v>8777</v>
      </c>
      <c r="P271" s="10" t="s">
        <v>8778</v>
      </c>
      <c r="R271" s="9">
        <v>3678</v>
      </c>
      <c r="T271" s="9" t="str">
        <f t="shared" ca="1" si="12"/>
        <v/>
      </c>
      <c r="U271" s="9" t="str">
        <f t="shared" ca="1" si="13"/>
        <v/>
      </c>
    </row>
    <row r="272" spans="1:28">
      <c r="A272" s="3" t="s">
        <v>136</v>
      </c>
      <c r="D272" s="4" t="s">
        <v>2200</v>
      </c>
      <c r="E272" s="3" t="s">
        <v>2200</v>
      </c>
      <c r="F272" t="s">
        <v>4197</v>
      </c>
      <c r="I272" t="s">
        <v>9672</v>
      </c>
      <c r="J272" s="9" t="s">
        <v>8731</v>
      </c>
      <c r="T272" s="9" t="str">
        <f t="shared" ca="1" si="12"/>
        <v/>
      </c>
      <c r="U272" s="9" t="str">
        <f t="shared" ca="1" si="13"/>
        <v/>
      </c>
      <c r="V272" s="9" t="s">
        <v>8728</v>
      </c>
    </row>
    <row r="273" spans="1:29">
      <c r="A273" s="3" t="s">
        <v>137</v>
      </c>
      <c r="D273" s="3" t="s">
        <v>2201</v>
      </c>
      <c r="E273" s="3" t="s">
        <v>2202</v>
      </c>
      <c r="F273" t="s">
        <v>3893</v>
      </c>
      <c r="T273" s="9" t="str">
        <f t="shared" ca="1" si="12"/>
        <v/>
      </c>
      <c r="U273" s="9" t="str">
        <f t="shared" ca="1" si="13"/>
        <v/>
      </c>
    </row>
    <row r="274" spans="1:29">
      <c r="A274" s="3" t="s">
        <v>138</v>
      </c>
      <c r="D274" s="3" t="s">
        <v>2203</v>
      </c>
      <c r="E274" s="3" t="s">
        <v>2204</v>
      </c>
      <c r="J274" s="9" t="s">
        <v>8731</v>
      </c>
      <c r="T274" s="9" t="str">
        <f t="shared" ca="1" si="12"/>
        <v/>
      </c>
      <c r="U274" s="9" t="str">
        <f t="shared" ca="1" si="13"/>
        <v/>
      </c>
      <c r="Z274" s="9" t="s">
        <v>9279</v>
      </c>
      <c r="AA274" s="9" t="s">
        <v>3884</v>
      </c>
    </row>
    <row r="275" spans="1:29">
      <c r="A275" s="3" t="s">
        <v>139</v>
      </c>
      <c r="D275" s="3" t="s">
        <v>2205</v>
      </c>
      <c r="E275" s="3" t="s">
        <v>2206</v>
      </c>
      <c r="J275" s="9" t="s">
        <v>8729</v>
      </c>
      <c r="S275" s="9" t="s">
        <v>8739</v>
      </c>
      <c r="T275" s="9" t="str">
        <f t="shared" ca="1" si="12"/>
        <v/>
      </c>
      <c r="U275" s="9" t="str">
        <f t="shared" ca="1" si="13"/>
        <v/>
      </c>
      <c r="AB275" s="9" t="s">
        <v>8688</v>
      </c>
    </row>
    <row r="276" spans="1:29" ht="29">
      <c r="A276" s="3" t="s">
        <v>4043</v>
      </c>
      <c r="D276" s="3" t="s">
        <v>4044</v>
      </c>
      <c r="E276" s="3"/>
      <c r="F276" t="s">
        <v>8675</v>
      </c>
      <c r="I276" t="s">
        <v>9289</v>
      </c>
      <c r="T276" s="9" t="str">
        <f t="shared" ca="1" si="12"/>
        <v/>
      </c>
      <c r="U276" s="9" t="str">
        <f t="shared" ca="1" si="13"/>
        <v/>
      </c>
      <c r="AC276" s="9" t="s">
        <v>3884</v>
      </c>
    </row>
    <row r="277" spans="1:29">
      <c r="A277" s="3" t="s">
        <v>140</v>
      </c>
      <c r="D277" s="3" t="s">
        <v>4045</v>
      </c>
      <c r="E277" s="3" t="s">
        <v>4046</v>
      </c>
      <c r="J277" s="9" t="s">
        <v>8731</v>
      </c>
      <c r="T277" s="9" t="str">
        <f t="shared" ca="1" si="12"/>
        <v/>
      </c>
      <c r="U277" s="9" t="str">
        <f t="shared" ca="1" si="13"/>
        <v/>
      </c>
    </row>
    <row r="278" spans="1:29" ht="29">
      <c r="A278" s="3" t="s">
        <v>141</v>
      </c>
      <c r="D278" s="3" t="s">
        <v>9565</v>
      </c>
      <c r="E278" s="3" t="s">
        <v>9566</v>
      </c>
      <c r="F278" t="s">
        <v>4197</v>
      </c>
      <c r="H278" t="s">
        <v>3884</v>
      </c>
      <c r="I278" t="s">
        <v>9562</v>
      </c>
      <c r="J278" s="9" t="s">
        <v>8729</v>
      </c>
      <c r="S278" s="9">
        <f>79-3678</f>
        <v>-3599</v>
      </c>
      <c r="T278" s="9">
        <f t="shared" ca="1" si="12"/>
        <v>3678</v>
      </c>
      <c r="U278" s="9">
        <f t="shared" ca="1" si="13"/>
        <v>79</v>
      </c>
      <c r="Z278" s="9" t="s">
        <v>8804</v>
      </c>
      <c r="AA278" s="9" t="s">
        <v>3884</v>
      </c>
    </row>
    <row r="279" spans="1:29" ht="29">
      <c r="A279" s="3" t="s">
        <v>141</v>
      </c>
      <c r="D279" s="3" t="s">
        <v>9563</v>
      </c>
      <c r="E279" s="3" t="s">
        <v>9564</v>
      </c>
      <c r="H279" t="s">
        <v>3884</v>
      </c>
      <c r="J279" s="9" t="s">
        <v>8729</v>
      </c>
      <c r="S279" s="9">
        <f>79-3678</f>
        <v>-3599</v>
      </c>
      <c r="T279" s="9">
        <f t="shared" ref="T279" ca="1" si="14">IF(ISNUMBER(S279),VALUE(MID(_xlfn.FORMULATEXT(S279),SEARCH("-",_xlfn.FORMULATEXT(S279))+1,LEN(_xlfn.FORMULATEXT(S279))-SEARCH("-",_xlfn.FORMULATEXT(S279)))), "")</f>
        <v>3678</v>
      </c>
      <c r="U279" s="9">
        <f t="shared" ref="U279" ca="1" si="15">IF(ISNUMBER(S279), VALUE(MID(_xlfn.FORMULATEXT(S279), 2, SEARCH("-", _xlfn.FORMULATEXT(S279)) - 2)), "")</f>
        <v>79</v>
      </c>
    </row>
    <row r="280" spans="1:29">
      <c r="A280" s="3" t="s">
        <v>141</v>
      </c>
      <c r="D280" s="3" t="s">
        <v>4047</v>
      </c>
      <c r="E280" s="3" t="s">
        <v>4048</v>
      </c>
      <c r="H280" t="s">
        <v>3884</v>
      </c>
      <c r="J280" s="9" t="s">
        <v>3885</v>
      </c>
      <c r="K280" s="9">
        <v>1</v>
      </c>
      <c r="L280" s="9">
        <v>3</v>
      </c>
      <c r="M280" s="9" t="s">
        <v>8707</v>
      </c>
      <c r="N280" s="9" t="s">
        <v>8690</v>
      </c>
      <c r="R280" s="9" t="s">
        <v>8739</v>
      </c>
      <c r="T280" s="9" t="str">
        <f t="shared" ca="1" si="12"/>
        <v/>
      </c>
      <c r="U280" s="9" t="str">
        <f t="shared" ca="1" si="13"/>
        <v/>
      </c>
      <c r="AB280" s="9" t="s">
        <v>8688</v>
      </c>
    </row>
    <row r="281" spans="1:29">
      <c r="A281" s="3" t="s">
        <v>141</v>
      </c>
      <c r="D281" s="3" t="s">
        <v>2238</v>
      </c>
      <c r="E281" s="3" t="s">
        <v>2239</v>
      </c>
      <c r="J281" s="9" t="s">
        <v>8729</v>
      </c>
      <c r="S281" s="9" t="s">
        <v>8739</v>
      </c>
      <c r="T281" s="9" t="str">
        <f t="shared" ca="1" si="12"/>
        <v/>
      </c>
      <c r="U281" s="9" t="str">
        <f t="shared" ca="1" si="13"/>
        <v/>
      </c>
      <c r="Y281" s="9" t="s">
        <v>8735</v>
      </c>
      <c r="AA281" s="9" t="s">
        <v>3884</v>
      </c>
    </row>
    <row r="282" spans="1:29">
      <c r="A282" s="3" t="s">
        <v>141</v>
      </c>
      <c r="D282" s="3" t="s">
        <v>4049</v>
      </c>
      <c r="E282" s="3" t="s">
        <v>4050</v>
      </c>
      <c r="H282" t="s">
        <v>3884</v>
      </c>
      <c r="J282" s="9" t="s">
        <v>3885</v>
      </c>
      <c r="K282" s="9">
        <v>1</v>
      </c>
      <c r="L282" s="9">
        <v>1</v>
      </c>
      <c r="M282" s="9" t="s">
        <v>8683</v>
      </c>
      <c r="N282" s="9" t="s">
        <v>8730</v>
      </c>
      <c r="R282" s="9">
        <v>6</v>
      </c>
      <c r="T282" s="9" t="str">
        <f t="shared" ca="1" si="12"/>
        <v/>
      </c>
      <c r="U282" s="9" t="str">
        <f t="shared" ca="1" si="13"/>
        <v/>
      </c>
      <c r="AB282" s="9" t="s">
        <v>8694</v>
      </c>
    </row>
    <row r="283" spans="1:29">
      <c r="A283" s="3" t="s">
        <v>141</v>
      </c>
      <c r="D283" s="3" t="s">
        <v>2240</v>
      </c>
      <c r="E283" s="3" t="s">
        <v>2241</v>
      </c>
      <c r="J283" s="9" t="s">
        <v>8731</v>
      </c>
      <c r="T283" s="9" t="str">
        <f t="shared" ca="1" si="12"/>
        <v/>
      </c>
      <c r="U283" s="9" t="str">
        <f t="shared" ca="1" si="13"/>
        <v/>
      </c>
      <c r="Z283" s="9" t="s">
        <v>8757</v>
      </c>
      <c r="AA283" s="9" t="s">
        <v>3884</v>
      </c>
    </row>
    <row r="284" spans="1:29">
      <c r="A284" s="3" t="s">
        <v>141</v>
      </c>
      <c r="D284" s="3" t="s">
        <v>9567</v>
      </c>
      <c r="E284" s="3" t="s">
        <v>9568</v>
      </c>
      <c r="H284" t="s">
        <v>3888</v>
      </c>
      <c r="I284" t="s">
        <v>4051</v>
      </c>
      <c r="J284" s="9" t="s">
        <v>8731</v>
      </c>
      <c r="T284" s="9" t="str">
        <f t="shared" ca="1" si="12"/>
        <v/>
      </c>
      <c r="U284" s="9" t="str">
        <f t="shared" ca="1" si="13"/>
        <v/>
      </c>
      <c r="Z284" s="9" t="s">
        <v>8835</v>
      </c>
      <c r="AA284" s="9" t="s">
        <v>3884</v>
      </c>
      <c r="AB284" s="9" t="s">
        <v>8688</v>
      </c>
    </row>
    <row r="285" spans="1:29">
      <c r="A285" s="3" t="s">
        <v>142</v>
      </c>
      <c r="D285" s="3" t="s">
        <v>4053</v>
      </c>
      <c r="E285" s="3" t="s">
        <v>4052</v>
      </c>
      <c r="J285" s="9" t="s">
        <v>3885</v>
      </c>
      <c r="K285" s="9">
        <v>1</v>
      </c>
      <c r="L285" s="9">
        <v>3</v>
      </c>
      <c r="M285" s="9" t="s">
        <v>8698</v>
      </c>
      <c r="N285" s="9" t="s">
        <v>8684</v>
      </c>
      <c r="O285" s="9" t="s">
        <v>8777</v>
      </c>
      <c r="P285" s="10" t="s">
        <v>8778</v>
      </c>
      <c r="Q285" s="9" t="s">
        <v>8685</v>
      </c>
      <c r="R285" s="9">
        <v>9418</v>
      </c>
      <c r="T285" s="9" t="str">
        <f t="shared" ca="1" si="12"/>
        <v/>
      </c>
      <c r="U285" s="9" t="str">
        <f t="shared" ca="1" si="13"/>
        <v/>
      </c>
      <c r="AB285" s="9" t="s">
        <v>8694</v>
      </c>
    </row>
    <row r="286" spans="1:29">
      <c r="A286" s="3" t="s">
        <v>142</v>
      </c>
      <c r="D286" s="3" t="s">
        <v>4054</v>
      </c>
      <c r="E286" s="3" t="s">
        <v>4055</v>
      </c>
      <c r="J286" s="9" t="s">
        <v>3889</v>
      </c>
      <c r="K286" s="9">
        <v>1</v>
      </c>
      <c r="L286" s="9">
        <v>3</v>
      </c>
      <c r="M286" s="9" t="s">
        <v>8689</v>
      </c>
      <c r="N286" s="9" t="s">
        <v>8684</v>
      </c>
      <c r="O286" s="9" t="s">
        <v>8771</v>
      </c>
      <c r="P286" s="10" t="s">
        <v>8778</v>
      </c>
      <c r="R286" s="9">
        <v>10929</v>
      </c>
      <c r="T286" s="9" t="str">
        <f t="shared" ca="1" si="12"/>
        <v/>
      </c>
      <c r="U286" s="9" t="str">
        <f t="shared" ca="1" si="13"/>
        <v/>
      </c>
    </row>
    <row r="287" spans="1:29">
      <c r="A287" s="3" t="s">
        <v>143</v>
      </c>
      <c r="D287" s="3" t="s">
        <v>4056</v>
      </c>
      <c r="E287" s="3" t="s">
        <v>4057</v>
      </c>
      <c r="H287" t="s">
        <v>3884</v>
      </c>
      <c r="J287" s="9" t="s">
        <v>3889</v>
      </c>
      <c r="K287" s="9">
        <v>1</v>
      </c>
      <c r="L287" s="9">
        <v>3</v>
      </c>
      <c r="M287" s="9" t="s">
        <v>8689</v>
      </c>
      <c r="N287" s="9" t="s">
        <v>8690</v>
      </c>
      <c r="R287" s="9">
        <v>10929</v>
      </c>
      <c r="T287" s="9" t="str">
        <f t="shared" ca="1" si="12"/>
        <v/>
      </c>
      <c r="U287" s="9" t="str">
        <f t="shared" ca="1" si="13"/>
        <v/>
      </c>
    </row>
    <row r="288" spans="1:29" ht="29">
      <c r="A288" s="3" t="s">
        <v>144</v>
      </c>
      <c r="D288" s="3" t="s">
        <v>4058</v>
      </c>
      <c r="E288" s="3" t="s">
        <v>4058</v>
      </c>
      <c r="F288" t="s">
        <v>3932</v>
      </c>
      <c r="I288" t="s">
        <v>9673</v>
      </c>
      <c r="T288" s="9" t="str">
        <f t="shared" ca="1" si="12"/>
        <v/>
      </c>
      <c r="U288" s="9" t="str">
        <f t="shared" ca="1" si="13"/>
        <v/>
      </c>
    </row>
    <row r="289" spans="1:28">
      <c r="A289" s="3" t="s">
        <v>144</v>
      </c>
      <c r="D289" s="3" t="s">
        <v>1952</v>
      </c>
      <c r="E289" s="3" t="s">
        <v>1953</v>
      </c>
      <c r="J289" s="9" t="s">
        <v>8729</v>
      </c>
      <c r="S289" s="9" t="s">
        <v>8730</v>
      </c>
      <c r="T289" s="9" t="str">
        <f t="shared" ca="1" si="12"/>
        <v/>
      </c>
      <c r="U289" s="9" t="str">
        <f t="shared" ca="1" si="13"/>
        <v/>
      </c>
      <c r="Z289" s="9" t="s">
        <v>8741</v>
      </c>
      <c r="AA289" s="9" t="s">
        <v>3884</v>
      </c>
      <c r="AB289" s="9" t="s">
        <v>8697</v>
      </c>
    </row>
    <row r="290" spans="1:28">
      <c r="A290" s="3" t="s">
        <v>145</v>
      </c>
      <c r="D290" s="4" t="s">
        <v>4059</v>
      </c>
      <c r="E290" s="3" t="s">
        <v>4060</v>
      </c>
      <c r="F290" t="s">
        <v>3883</v>
      </c>
      <c r="T290" s="9" t="str">
        <f t="shared" ca="1" si="12"/>
        <v/>
      </c>
      <c r="U290" s="9" t="str">
        <f t="shared" ca="1" si="13"/>
        <v/>
      </c>
    </row>
    <row r="291" spans="1:28">
      <c r="A291" s="3" t="s">
        <v>146</v>
      </c>
      <c r="D291" s="3" t="s">
        <v>4061</v>
      </c>
      <c r="E291" s="3" t="s">
        <v>4062</v>
      </c>
      <c r="J291" s="9" t="s">
        <v>8731</v>
      </c>
      <c r="T291" s="9" t="str">
        <f t="shared" ca="1" si="12"/>
        <v/>
      </c>
      <c r="U291" s="9" t="str">
        <f t="shared" ca="1" si="13"/>
        <v/>
      </c>
    </row>
    <row r="292" spans="1:28">
      <c r="A292" s="3" t="s">
        <v>147</v>
      </c>
      <c r="D292" s="3" t="s">
        <v>2244</v>
      </c>
      <c r="E292" s="3" t="s">
        <v>2245</v>
      </c>
      <c r="J292" s="9" t="s">
        <v>8729</v>
      </c>
      <c r="S292" s="9" t="s">
        <v>8739</v>
      </c>
      <c r="T292" s="9" t="str">
        <f t="shared" ca="1" si="12"/>
        <v/>
      </c>
      <c r="U292" s="9" t="str">
        <f t="shared" ca="1" si="13"/>
        <v/>
      </c>
      <c r="Z292" s="9" t="s">
        <v>8742</v>
      </c>
      <c r="AA292" s="9" t="s">
        <v>3884</v>
      </c>
      <c r="AB292" s="9" t="s">
        <v>8697</v>
      </c>
    </row>
    <row r="293" spans="1:28">
      <c r="A293" s="3" t="s">
        <v>147</v>
      </c>
      <c r="D293" s="3" t="s">
        <v>2246</v>
      </c>
      <c r="E293" s="3" t="s">
        <v>2247</v>
      </c>
      <c r="J293" s="9" t="s">
        <v>8731</v>
      </c>
      <c r="T293" s="9" t="str">
        <f t="shared" ca="1" si="12"/>
        <v/>
      </c>
      <c r="U293" s="9" t="str">
        <f t="shared" ca="1" si="13"/>
        <v/>
      </c>
    </row>
    <row r="294" spans="1:28">
      <c r="A294" s="3" t="s">
        <v>147</v>
      </c>
      <c r="D294" s="3" t="s">
        <v>9425</v>
      </c>
      <c r="E294" s="3" t="s">
        <v>9426</v>
      </c>
      <c r="J294" s="9" t="s">
        <v>8731</v>
      </c>
      <c r="T294" s="9" t="str">
        <f t="shared" ca="1" si="12"/>
        <v/>
      </c>
      <c r="U294" s="9" t="str">
        <f t="shared" ca="1" si="13"/>
        <v/>
      </c>
      <c r="Y294" s="9" t="s">
        <v>9282</v>
      </c>
      <c r="AA294" s="9" t="s">
        <v>3884</v>
      </c>
    </row>
    <row r="295" spans="1:28">
      <c r="A295" s="3" t="s">
        <v>147</v>
      </c>
      <c r="D295" s="3" t="s">
        <v>4063</v>
      </c>
      <c r="E295" s="3" t="s">
        <v>4064</v>
      </c>
      <c r="H295" t="s">
        <v>3884</v>
      </c>
      <c r="J295" s="9" t="s">
        <v>3885</v>
      </c>
      <c r="K295" s="9">
        <v>1</v>
      </c>
      <c r="L295" s="9">
        <v>1</v>
      </c>
      <c r="M295" s="9" t="s">
        <v>8689</v>
      </c>
      <c r="N295" s="9" t="s">
        <v>8730</v>
      </c>
      <c r="R295" s="9">
        <v>10929</v>
      </c>
      <c r="T295" s="9" t="str">
        <f t="shared" ca="1" si="12"/>
        <v/>
      </c>
      <c r="U295" s="9" t="str">
        <f t="shared" ca="1" si="13"/>
        <v/>
      </c>
    </row>
    <row r="296" spans="1:28">
      <c r="A296" s="3" t="s">
        <v>148</v>
      </c>
      <c r="D296" s="3" t="s">
        <v>2248</v>
      </c>
      <c r="E296" s="3" t="s">
        <v>2224</v>
      </c>
      <c r="J296" s="9" t="s">
        <v>8729</v>
      </c>
      <c r="S296" s="9" t="s">
        <v>8739</v>
      </c>
      <c r="T296" s="9" t="str">
        <f t="shared" ca="1" si="12"/>
        <v/>
      </c>
      <c r="U296" s="9" t="str">
        <f t="shared" ca="1" si="13"/>
        <v/>
      </c>
      <c r="Y296" s="9" t="s">
        <v>8735</v>
      </c>
      <c r="Z296" s="9" t="s">
        <v>8742</v>
      </c>
      <c r="AA296" s="9" t="s">
        <v>3884</v>
      </c>
    </row>
    <row r="297" spans="1:28">
      <c r="A297" s="3" t="s">
        <v>149</v>
      </c>
      <c r="D297" s="3" t="s">
        <v>4065</v>
      </c>
      <c r="E297" s="3" t="s">
        <v>2249</v>
      </c>
      <c r="F297" t="s">
        <v>3893</v>
      </c>
      <c r="H297" t="s">
        <v>3884</v>
      </c>
      <c r="T297" s="9" t="str">
        <f t="shared" ca="1" si="12"/>
        <v/>
      </c>
      <c r="U297" s="9" t="str">
        <f t="shared" ca="1" si="13"/>
        <v/>
      </c>
    </row>
    <row r="298" spans="1:28">
      <c r="A298" s="3" t="s">
        <v>150</v>
      </c>
      <c r="D298" s="4" t="s">
        <v>2250</v>
      </c>
      <c r="E298" s="3" t="s">
        <v>2251</v>
      </c>
      <c r="F298" t="s">
        <v>3883</v>
      </c>
      <c r="T298" s="9" t="str">
        <f t="shared" ca="1" si="12"/>
        <v/>
      </c>
      <c r="U298" s="9" t="str">
        <f t="shared" ca="1" si="13"/>
        <v/>
      </c>
    </row>
    <row r="299" spans="1:28">
      <c r="A299" s="3" t="s">
        <v>150</v>
      </c>
      <c r="D299" t="s">
        <v>8837</v>
      </c>
      <c r="E299" t="s">
        <v>8836</v>
      </c>
      <c r="J299" s="9" t="s">
        <v>3889</v>
      </c>
      <c r="K299" s="9">
        <v>1</v>
      </c>
      <c r="L299" s="9">
        <v>4</v>
      </c>
      <c r="M299" s="9" t="s">
        <v>8710</v>
      </c>
      <c r="N299" s="9" t="s">
        <v>8690</v>
      </c>
      <c r="R299" s="9">
        <v>266</v>
      </c>
      <c r="T299" s="9" t="str">
        <f t="shared" ca="1" si="12"/>
        <v/>
      </c>
      <c r="U299" s="9" t="str">
        <f t="shared" ca="1" si="13"/>
        <v/>
      </c>
    </row>
    <row r="300" spans="1:28" ht="101.5">
      <c r="A300" s="3" t="s">
        <v>4066</v>
      </c>
      <c r="D300" s="3" t="s">
        <v>8839</v>
      </c>
      <c r="E300" s="3" t="s">
        <v>8840</v>
      </c>
      <c r="H300" t="s">
        <v>3884</v>
      </c>
      <c r="I300" t="s">
        <v>9674</v>
      </c>
      <c r="J300" s="9" t="s">
        <v>3889</v>
      </c>
      <c r="K300" s="9">
        <v>16</v>
      </c>
      <c r="L300" s="9">
        <v>75</v>
      </c>
      <c r="N300" s="9" t="s">
        <v>8684</v>
      </c>
      <c r="O300" s="9" t="s">
        <v>8740</v>
      </c>
      <c r="P300" s="10" t="s">
        <v>8838</v>
      </c>
      <c r="R300" s="9">
        <v>1</v>
      </c>
      <c r="T300" s="9" t="str">
        <f t="shared" ca="1" si="12"/>
        <v/>
      </c>
      <c r="U300" s="9" t="str">
        <f t="shared" ca="1" si="13"/>
        <v/>
      </c>
      <c r="AB300" s="9" t="s">
        <v>8694</v>
      </c>
    </row>
    <row r="301" spans="1:28" ht="29">
      <c r="A301" s="3" t="s">
        <v>151</v>
      </c>
      <c r="D301" s="3" t="s">
        <v>4067</v>
      </c>
      <c r="E301" s="3" t="s">
        <v>4068</v>
      </c>
      <c r="J301" s="9" t="s">
        <v>3889</v>
      </c>
      <c r="K301" s="9">
        <v>2</v>
      </c>
      <c r="L301" s="9">
        <v>10</v>
      </c>
      <c r="N301" s="9" t="s">
        <v>8684</v>
      </c>
      <c r="O301" s="9" t="s">
        <v>8740</v>
      </c>
      <c r="P301" s="10" t="s">
        <v>8813</v>
      </c>
      <c r="T301" s="9" t="str">
        <f t="shared" ca="1" si="12"/>
        <v/>
      </c>
      <c r="U301" s="9" t="str">
        <f t="shared" ca="1" si="13"/>
        <v/>
      </c>
    </row>
    <row r="302" spans="1:28">
      <c r="A302" s="3" t="s">
        <v>151</v>
      </c>
      <c r="D302" s="3" t="s">
        <v>2256</v>
      </c>
      <c r="E302" s="3" t="s">
        <v>2255</v>
      </c>
      <c r="J302" s="9" t="s">
        <v>8729</v>
      </c>
      <c r="S302" s="9" t="s">
        <v>8730</v>
      </c>
      <c r="T302" s="9" t="str">
        <f t="shared" ca="1" si="12"/>
        <v/>
      </c>
      <c r="U302" s="9" t="str">
        <f t="shared" ca="1" si="13"/>
        <v/>
      </c>
      <c r="Z302" s="9" t="s">
        <v>9280</v>
      </c>
      <c r="AA302" s="9" t="s">
        <v>3884</v>
      </c>
      <c r="AB302" s="9" t="s">
        <v>8697</v>
      </c>
    </row>
    <row r="303" spans="1:28">
      <c r="A303" s="3" t="s">
        <v>152</v>
      </c>
      <c r="D303" s="3" t="s">
        <v>4069</v>
      </c>
      <c r="E303" s="3" t="s">
        <v>4070</v>
      </c>
      <c r="H303" t="s">
        <v>3888</v>
      </c>
      <c r="I303" t="s">
        <v>4071</v>
      </c>
      <c r="J303" s="9" t="s">
        <v>8732</v>
      </c>
      <c r="T303" s="9" t="str">
        <f t="shared" ca="1" si="12"/>
        <v/>
      </c>
      <c r="U303" s="9" t="str">
        <f t="shared" ca="1" si="13"/>
        <v/>
      </c>
      <c r="Z303" s="9" t="s">
        <v>8742</v>
      </c>
      <c r="AA303" s="9" t="s">
        <v>3884</v>
      </c>
      <c r="AB303" s="9" t="s">
        <v>8697</v>
      </c>
    </row>
    <row r="304" spans="1:28">
      <c r="A304" s="3" t="s">
        <v>152</v>
      </c>
      <c r="D304" s="3" t="s">
        <v>4072</v>
      </c>
      <c r="E304" s="3" t="s">
        <v>4073</v>
      </c>
      <c r="H304" t="s">
        <v>3884</v>
      </c>
      <c r="J304" s="9" t="s">
        <v>3889</v>
      </c>
      <c r="K304" s="9">
        <v>1</v>
      </c>
      <c r="L304" s="9">
        <v>6</v>
      </c>
      <c r="M304" s="9" t="s">
        <v>8703</v>
      </c>
      <c r="N304" s="9" t="s">
        <v>8684</v>
      </c>
      <c r="O304" s="9" t="s">
        <v>8777</v>
      </c>
      <c r="P304" s="10" t="s">
        <v>8813</v>
      </c>
      <c r="R304" s="9">
        <v>50</v>
      </c>
      <c r="T304" s="9" t="str">
        <f t="shared" ca="1" si="12"/>
        <v/>
      </c>
      <c r="U304" s="9" t="str">
        <f t="shared" ca="1" si="13"/>
        <v/>
      </c>
    </row>
    <row r="305" spans="1:28" ht="29">
      <c r="A305" s="3" t="s">
        <v>152</v>
      </c>
      <c r="D305" s="3" t="s">
        <v>8841</v>
      </c>
      <c r="E305" s="3" t="s">
        <v>8842</v>
      </c>
      <c r="H305" t="s">
        <v>3884</v>
      </c>
      <c r="J305" s="9" t="s">
        <v>8732</v>
      </c>
      <c r="S305" s="9">
        <f>29-520</f>
        <v>-491</v>
      </c>
      <c r="T305" s="9">
        <f t="shared" ca="1" si="12"/>
        <v>520</v>
      </c>
      <c r="U305" s="9">
        <f t="shared" ca="1" si="13"/>
        <v>29</v>
      </c>
    </row>
    <row r="306" spans="1:28" ht="29">
      <c r="A306" s="3" t="s">
        <v>152</v>
      </c>
      <c r="D306" s="3" t="s">
        <v>8843</v>
      </c>
      <c r="E306" s="3" t="s">
        <v>4074</v>
      </c>
      <c r="J306" s="9" t="s">
        <v>3889</v>
      </c>
      <c r="K306" s="9">
        <v>1</v>
      </c>
      <c r="L306" s="9">
        <v>3</v>
      </c>
      <c r="M306" s="9" t="s">
        <v>8705</v>
      </c>
      <c r="N306" s="9" t="s">
        <v>8690</v>
      </c>
      <c r="R306" s="9">
        <v>1485</v>
      </c>
      <c r="T306" s="9" t="str">
        <f t="shared" ca="1" si="12"/>
        <v/>
      </c>
      <c r="U306" s="9" t="str">
        <f t="shared" ca="1" si="13"/>
        <v/>
      </c>
    </row>
    <row r="307" spans="1:28" ht="29">
      <c r="A307" s="3" t="s">
        <v>152</v>
      </c>
      <c r="D307" s="3" t="s">
        <v>4075</v>
      </c>
      <c r="E307" s="3" t="s">
        <v>4076</v>
      </c>
      <c r="H307" t="s">
        <v>3884</v>
      </c>
      <c r="I307" t="s">
        <v>8844</v>
      </c>
      <c r="J307" s="9" t="s">
        <v>3885</v>
      </c>
      <c r="K307" s="9">
        <v>2</v>
      </c>
      <c r="L307" s="9">
        <v>9</v>
      </c>
      <c r="N307" s="9" t="s">
        <v>8690</v>
      </c>
      <c r="R307" s="9">
        <v>627</v>
      </c>
      <c r="T307" s="9" t="str">
        <f t="shared" ca="1" si="12"/>
        <v/>
      </c>
      <c r="U307" s="9" t="str">
        <f t="shared" ca="1" si="13"/>
        <v/>
      </c>
    </row>
    <row r="308" spans="1:28">
      <c r="A308" s="3" t="s">
        <v>153</v>
      </c>
      <c r="D308" s="3" t="s">
        <v>4077</v>
      </c>
      <c r="E308" s="3" t="s">
        <v>4078</v>
      </c>
      <c r="H308" t="s">
        <v>3884</v>
      </c>
      <c r="J308" s="9" t="s">
        <v>3885</v>
      </c>
      <c r="K308" s="9">
        <v>1</v>
      </c>
      <c r="L308" s="9">
        <v>3</v>
      </c>
      <c r="M308" s="9" t="s">
        <v>8689</v>
      </c>
      <c r="N308" s="9" t="s">
        <v>8690</v>
      </c>
      <c r="R308" s="9">
        <v>10929</v>
      </c>
      <c r="T308" s="9" t="str">
        <f t="shared" ca="1" si="12"/>
        <v/>
      </c>
      <c r="U308" s="9" t="str">
        <f t="shared" ca="1" si="13"/>
        <v/>
      </c>
      <c r="AB308" s="9" t="s">
        <v>8694</v>
      </c>
    </row>
    <row r="309" spans="1:28" ht="29">
      <c r="A309" s="3" t="s">
        <v>153</v>
      </c>
      <c r="D309" s="3" t="s">
        <v>4079</v>
      </c>
      <c r="E309" s="3" t="s">
        <v>4080</v>
      </c>
      <c r="H309" t="s">
        <v>3892</v>
      </c>
      <c r="I309" t="s">
        <v>4081</v>
      </c>
      <c r="J309" s="9" t="s">
        <v>3889</v>
      </c>
      <c r="K309" s="9">
        <v>1</v>
      </c>
      <c r="L309" s="9">
        <v>2</v>
      </c>
      <c r="M309" s="9" t="s">
        <v>8689</v>
      </c>
      <c r="N309" s="9" t="s">
        <v>8730</v>
      </c>
      <c r="R309" s="9">
        <v>10929</v>
      </c>
      <c r="T309" s="9" t="str">
        <f t="shared" ca="1" si="12"/>
        <v/>
      </c>
      <c r="U309" s="9" t="str">
        <f t="shared" ca="1" si="13"/>
        <v/>
      </c>
    </row>
    <row r="310" spans="1:28">
      <c r="A310" s="3" t="s">
        <v>153</v>
      </c>
      <c r="D310" s="3" t="s">
        <v>8845</v>
      </c>
      <c r="E310" s="3" t="s">
        <v>8846</v>
      </c>
      <c r="J310" s="9" t="s">
        <v>8729</v>
      </c>
      <c r="S310" s="9">
        <f>70-146</f>
        <v>-76</v>
      </c>
      <c r="T310" s="9">
        <f t="shared" ca="1" si="12"/>
        <v>146</v>
      </c>
      <c r="U310" s="9">
        <f t="shared" ca="1" si="13"/>
        <v>70</v>
      </c>
    </row>
    <row r="311" spans="1:28">
      <c r="A311" s="3" t="s">
        <v>153</v>
      </c>
      <c r="D311" s="3" t="s">
        <v>2260</v>
      </c>
      <c r="E311" s="3" t="s">
        <v>9569</v>
      </c>
      <c r="F311" t="s">
        <v>3886</v>
      </c>
      <c r="J311" s="9" t="s">
        <v>8729</v>
      </c>
      <c r="S311" s="9" t="s">
        <v>8739</v>
      </c>
      <c r="T311" s="9" t="str">
        <f t="shared" ca="1" si="12"/>
        <v/>
      </c>
      <c r="U311" s="9" t="str">
        <f t="shared" ca="1" si="13"/>
        <v/>
      </c>
      <c r="AB311" s="9" t="s">
        <v>8688</v>
      </c>
    </row>
    <row r="312" spans="1:28">
      <c r="A312" s="3" t="s">
        <v>153</v>
      </c>
      <c r="D312" s="3" t="s">
        <v>4082</v>
      </c>
      <c r="E312" s="3" t="s">
        <v>4083</v>
      </c>
      <c r="H312" t="s">
        <v>3892</v>
      </c>
      <c r="I312" t="s">
        <v>4084</v>
      </c>
      <c r="J312" s="9" t="s">
        <v>8729</v>
      </c>
      <c r="S312" s="9">
        <f>70-88</f>
        <v>-18</v>
      </c>
      <c r="T312" s="9">
        <f t="shared" ca="1" si="12"/>
        <v>88</v>
      </c>
      <c r="U312" s="9">
        <f t="shared" ca="1" si="13"/>
        <v>70</v>
      </c>
    </row>
    <row r="313" spans="1:28">
      <c r="A313" s="3" t="s">
        <v>154</v>
      </c>
      <c r="D313" s="3" t="s">
        <v>4085</v>
      </c>
      <c r="E313" s="3" t="s">
        <v>4087</v>
      </c>
      <c r="F313" t="s">
        <v>3893</v>
      </c>
      <c r="H313" t="s">
        <v>3884</v>
      </c>
      <c r="T313" s="9" t="str">
        <f t="shared" ca="1" si="12"/>
        <v/>
      </c>
      <c r="U313" s="9" t="str">
        <f t="shared" ca="1" si="13"/>
        <v/>
      </c>
    </row>
    <row r="314" spans="1:28">
      <c r="A314" s="3" t="s">
        <v>154</v>
      </c>
      <c r="D314" s="3" t="s">
        <v>4088</v>
      </c>
      <c r="E314" s="3" t="s">
        <v>4086</v>
      </c>
      <c r="H314" t="s">
        <v>3884</v>
      </c>
      <c r="J314" s="9" t="s">
        <v>3889</v>
      </c>
      <c r="K314" s="9">
        <v>1</v>
      </c>
      <c r="L314" s="9">
        <v>3</v>
      </c>
      <c r="M314" s="9" t="s">
        <v>8689</v>
      </c>
      <c r="N314" s="9" t="s">
        <v>8690</v>
      </c>
      <c r="R314" s="9">
        <v>10929</v>
      </c>
      <c r="T314" s="9" t="str">
        <f t="shared" ca="1" si="12"/>
        <v/>
      </c>
      <c r="U314" s="9" t="str">
        <f t="shared" ca="1" si="13"/>
        <v/>
      </c>
    </row>
    <row r="315" spans="1:28">
      <c r="A315" s="3" t="s">
        <v>154</v>
      </c>
      <c r="D315" s="3" t="s">
        <v>2261</v>
      </c>
      <c r="E315" s="3" t="s">
        <v>2262</v>
      </c>
      <c r="J315" s="9" t="s">
        <v>8729</v>
      </c>
      <c r="S315" s="9">
        <f>68-4</f>
        <v>64</v>
      </c>
      <c r="T315" s="9">
        <f t="shared" ca="1" si="12"/>
        <v>4</v>
      </c>
      <c r="U315" s="9">
        <f t="shared" ca="1" si="13"/>
        <v>68</v>
      </c>
      <c r="Z315" s="9" t="s">
        <v>8741</v>
      </c>
      <c r="AA315" s="9" t="s">
        <v>3884</v>
      </c>
      <c r="AB315" s="9" t="s">
        <v>8700</v>
      </c>
    </row>
    <row r="316" spans="1:28">
      <c r="A316" s="3" t="s">
        <v>154</v>
      </c>
      <c r="D316" s="3" t="s">
        <v>4089</v>
      </c>
      <c r="E316" s="3" t="s">
        <v>4090</v>
      </c>
      <c r="J316" s="9" t="s">
        <v>8729</v>
      </c>
      <c r="S316" s="9" t="s">
        <v>8739</v>
      </c>
      <c r="T316" s="9" t="str">
        <f t="shared" ca="1" si="12"/>
        <v/>
      </c>
      <c r="U316" s="9" t="str">
        <f t="shared" ca="1" si="13"/>
        <v/>
      </c>
      <c r="Z316" s="9" t="s">
        <v>8757</v>
      </c>
      <c r="AA316" s="9" t="s">
        <v>3884</v>
      </c>
    </row>
    <row r="317" spans="1:28">
      <c r="A317" s="3" t="s">
        <v>154</v>
      </c>
      <c r="D317" s="3" t="s">
        <v>2263</v>
      </c>
      <c r="E317" s="3" t="s">
        <v>2264</v>
      </c>
      <c r="J317" s="9" t="s">
        <v>8731</v>
      </c>
      <c r="T317" s="9" t="str">
        <f t="shared" ca="1" si="12"/>
        <v/>
      </c>
      <c r="U317" s="9" t="str">
        <f t="shared" ca="1" si="13"/>
        <v/>
      </c>
      <c r="Z317" s="9" t="s">
        <v>8741</v>
      </c>
      <c r="AA317" s="9" t="s">
        <v>3884</v>
      </c>
    </row>
    <row r="318" spans="1:28">
      <c r="A318" s="3" t="s">
        <v>155</v>
      </c>
      <c r="D318" s="3" t="s">
        <v>2265</v>
      </c>
      <c r="E318" s="3" t="s">
        <v>2266</v>
      </c>
      <c r="J318" s="9" t="s">
        <v>8731</v>
      </c>
      <c r="T318" s="9" t="str">
        <f t="shared" ca="1" si="12"/>
        <v/>
      </c>
      <c r="U318" s="9" t="str">
        <f t="shared" ca="1" si="13"/>
        <v/>
      </c>
      <c r="Z318" s="9" t="s">
        <v>9279</v>
      </c>
      <c r="AA318" s="9" t="s">
        <v>3884</v>
      </c>
    </row>
    <row r="319" spans="1:28">
      <c r="A319" s="3" t="s">
        <v>156</v>
      </c>
      <c r="D319" s="3" t="s">
        <v>2267</v>
      </c>
      <c r="E319" s="3" t="s">
        <v>2268</v>
      </c>
      <c r="J319" s="9" t="s">
        <v>8731</v>
      </c>
      <c r="T319" s="9" t="str">
        <f t="shared" ca="1" si="12"/>
        <v/>
      </c>
      <c r="U319" s="9" t="str">
        <f t="shared" ca="1" si="13"/>
        <v/>
      </c>
      <c r="Z319" s="9" t="s">
        <v>8747</v>
      </c>
      <c r="AA319" s="9" t="s">
        <v>3884</v>
      </c>
      <c r="AB319" s="9" t="s">
        <v>8700</v>
      </c>
    </row>
    <row r="320" spans="1:28">
      <c r="A320" s="3" t="s">
        <v>156</v>
      </c>
      <c r="D320" s="3" t="s">
        <v>2269</v>
      </c>
      <c r="E320" s="3" t="s">
        <v>2270</v>
      </c>
      <c r="H320" t="s">
        <v>3892</v>
      </c>
      <c r="I320" t="s">
        <v>4091</v>
      </c>
      <c r="J320" s="9" t="s">
        <v>8731</v>
      </c>
      <c r="T320" s="9" t="str">
        <f t="shared" ca="1" si="12"/>
        <v/>
      </c>
      <c r="U320" s="9" t="str">
        <f t="shared" ca="1" si="13"/>
        <v/>
      </c>
    </row>
    <row r="321" spans="1:28" ht="29">
      <c r="A321" s="3" t="s">
        <v>157</v>
      </c>
      <c r="D321" s="3" t="s">
        <v>4092</v>
      </c>
      <c r="E321" s="3" t="s">
        <v>4093</v>
      </c>
      <c r="H321" t="s">
        <v>3884</v>
      </c>
      <c r="J321" s="9" t="s">
        <v>3885</v>
      </c>
      <c r="K321" s="9">
        <v>1</v>
      </c>
      <c r="L321" s="9">
        <v>6</v>
      </c>
      <c r="M321" s="9" t="s">
        <v>8703</v>
      </c>
      <c r="N321" s="9" t="s">
        <v>8690</v>
      </c>
      <c r="R321" s="9">
        <v>21</v>
      </c>
      <c r="T321" s="9" t="str">
        <f t="shared" ca="1" si="12"/>
        <v/>
      </c>
      <c r="U321" s="9" t="str">
        <f t="shared" ca="1" si="13"/>
        <v/>
      </c>
      <c r="AB321" s="9" t="s">
        <v>8694</v>
      </c>
    </row>
    <row r="322" spans="1:28">
      <c r="A322" s="3" t="s">
        <v>157</v>
      </c>
      <c r="D322" s="3" t="s">
        <v>2271</v>
      </c>
      <c r="E322" s="3" t="s">
        <v>2272</v>
      </c>
      <c r="F322" t="s">
        <v>3886</v>
      </c>
      <c r="J322" s="9" t="s">
        <v>8729</v>
      </c>
      <c r="S322" s="9" t="s">
        <v>8739</v>
      </c>
      <c r="T322" s="9" t="str">
        <f t="shared" ca="1" si="12"/>
        <v/>
      </c>
      <c r="U322" s="9" t="str">
        <f t="shared" ca="1" si="13"/>
        <v/>
      </c>
      <c r="AB322" s="9" t="s">
        <v>8697</v>
      </c>
    </row>
    <row r="323" spans="1:28">
      <c r="A323" s="3" t="s">
        <v>157</v>
      </c>
      <c r="D323" s="4" t="s">
        <v>2273</v>
      </c>
      <c r="E323" s="3" t="s">
        <v>2237</v>
      </c>
      <c r="F323" t="s">
        <v>3883</v>
      </c>
      <c r="T323" s="9" t="str">
        <f t="shared" ca="1" si="12"/>
        <v/>
      </c>
      <c r="U323" s="9" t="str">
        <f t="shared" ca="1" si="13"/>
        <v/>
      </c>
    </row>
    <row r="324" spans="1:28">
      <c r="A324" s="3" t="s">
        <v>157</v>
      </c>
      <c r="D324" s="3" t="s">
        <v>2274</v>
      </c>
      <c r="E324" s="3" t="s">
        <v>2275</v>
      </c>
      <c r="J324" s="9" t="s">
        <v>8729</v>
      </c>
      <c r="S324" s="9" t="s">
        <v>8739</v>
      </c>
      <c r="T324" s="9" t="str">
        <f t="shared" ref="T324:T387" ca="1" si="16">IF(ISNUMBER(S324),VALUE(MID(_xlfn.FORMULATEXT(S324),SEARCH("-",_xlfn.FORMULATEXT(S324))+1,LEN(_xlfn.FORMULATEXT(S324))-SEARCH("-",_xlfn.FORMULATEXT(S324)))), "")</f>
        <v/>
      </c>
      <c r="U324" s="9" t="str">
        <f t="shared" ref="U324:U387" ca="1" si="17">IF(ISNUMBER(S324), VALUE(MID(_xlfn.FORMULATEXT(S324), 2, SEARCH("-", _xlfn.FORMULATEXT(S324)) - 2)), "")</f>
        <v/>
      </c>
      <c r="Z324" s="9" t="s">
        <v>8742</v>
      </c>
      <c r="AA324" s="9" t="s">
        <v>3884</v>
      </c>
      <c r="AB324" s="9" t="s">
        <v>8697</v>
      </c>
    </row>
    <row r="325" spans="1:28">
      <c r="A325" s="3" t="s">
        <v>157</v>
      </c>
      <c r="D325" s="3" t="s">
        <v>2276</v>
      </c>
      <c r="E325" s="3" t="s">
        <v>2277</v>
      </c>
      <c r="J325" s="9" t="s">
        <v>8729</v>
      </c>
      <c r="S325" s="9" t="s">
        <v>8739</v>
      </c>
      <c r="T325" s="9" t="str">
        <f t="shared" ca="1" si="16"/>
        <v/>
      </c>
      <c r="U325" s="9" t="str">
        <f t="shared" ca="1" si="17"/>
        <v/>
      </c>
      <c r="Z325" s="9" t="s">
        <v>8741</v>
      </c>
      <c r="AA325" s="9" t="s">
        <v>3884</v>
      </c>
    </row>
    <row r="326" spans="1:28">
      <c r="A326" s="3" t="s">
        <v>158</v>
      </c>
      <c r="D326" s="3" t="s">
        <v>3948</v>
      </c>
      <c r="E326" s="3" t="s">
        <v>3947</v>
      </c>
      <c r="J326" s="9" t="s">
        <v>8731</v>
      </c>
      <c r="T326" s="9" t="str">
        <f t="shared" ca="1" si="16"/>
        <v/>
      </c>
      <c r="U326" s="9" t="str">
        <f t="shared" ca="1" si="17"/>
        <v/>
      </c>
      <c r="Z326" s="9" t="s">
        <v>9285</v>
      </c>
      <c r="AA326" s="9" t="s">
        <v>3884</v>
      </c>
    </row>
    <row r="327" spans="1:28">
      <c r="A327" s="3" t="s">
        <v>159</v>
      </c>
      <c r="D327" s="3" t="s">
        <v>4094</v>
      </c>
      <c r="E327" s="3" t="s">
        <v>4095</v>
      </c>
      <c r="H327" t="s">
        <v>3884</v>
      </c>
      <c r="J327" s="9" t="s">
        <v>3889</v>
      </c>
      <c r="K327" s="9">
        <v>1</v>
      </c>
      <c r="L327" s="9">
        <v>2</v>
      </c>
      <c r="M327" s="9" t="s">
        <v>8689</v>
      </c>
      <c r="N327" s="9" t="s">
        <v>8730</v>
      </c>
      <c r="R327" s="9">
        <v>10929</v>
      </c>
      <c r="T327" s="9" t="str">
        <f t="shared" ca="1" si="16"/>
        <v/>
      </c>
      <c r="U327" s="9" t="str">
        <f t="shared" ca="1" si="17"/>
        <v/>
      </c>
    </row>
    <row r="328" spans="1:28">
      <c r="A328" s="3" t="s">
        <v>159</v>
      </c>
      <c r="D328" s="3" t="s">
        <v>2098</v>
      </c>
      <c r="E328" s="3" t="s">
        <v>2099</v>
      </c>
      <c r="J328" s="9" t="s">
        <v>8731</v>
      </c>
      <c r="T328" s="9" t="str">
        <f t="shared" ca="1" si="16"/>
        <v/>
      </c>
      <c r="U328" s="9" t="str">
        <f t="shared" ca="1" si="17"/>
        <v/>
      </c>
      <c r="Z328" s="9" t="s">
        <v>8741</v>
      </c>
      <c r="AA328" s="9" t="s">
        <v>3884</v>
      </c>
    </row>
    <row r="329" spans="1:28">
      <c r="A329" s="3" t="s">
        <v>159</v>
      </c>
      <c r="D329" s="3" t="s">
        <v>3948</v>
      </c>
      <c r="E329" s="3" t="s">
        <v>3947</v>
      </c>
      <c r="J329" s="9" t="s">
        <v>8731</v>
      </c>
      <c r="T329" s="9" t="str">
        <f t="shared" ca="1" si="16"/>
        <v/>
      </c>
      <c r="U329" s="9" t="str">
        <f t="shared" ca="1" si="17"/>
        <v/>
      </c>
      <c r="Z329" s="9" t="s">
        <v>9285</v>
      </c>
      <c r="AA329" s="9" t="s">
        <v>3884</v>
      </c>
    </row>
    <row r="330" spans="1:28">
      <c r="A330" s="3" t="s">
        <v>159</v>
      </c>
      <c r="D330" s="3" t="s">
        <v>2159</v>
      </c>
      <c r="E330" s="3" t="s">
        <v>1995</v>
      </c>
      <c r="H330" t="s">
        <v>3892</v>
      </c>
      <c r="I330" t="s">
        <v>4021</v>
      </c>
      <c r="J330" s="9" t="s">
        <v>8731</v>
      </c>
      <c r="T330" s="9" t="str">
        <f t="shared" ca="1" si="16"/>
        <v/>
      </c>
      <c r="U330" s="9" t="str">
        <f t="shared" ca="1" si="17"/>
        <v/>
      </c>
      <c r="AB330" s="9" t="s">
        <v>8700</v>
      </c>
    </row>
    <row r="331" spans="1:28">
      <c r="A331" s="3" t="s">
        <v>160</v>
      </c>
      <c r="D331" s="3" t="s">
        <v>9570</v>
      </c>
      <c r="E331" s="3" t="s">
        <v>9571</v>
      </c>
      <c r="F331" t="s">
        <v>3881</v>
      </c>
      <c r="T331" s="9" t="str">
        <f t="shared" ca="1" si="16"/>
        <v/>
      </c>
      <c r="U331" s="9" t="str">
        <f t="shared" ca="1" si="17"/>
        <v/>
      </c>
    </row>
    <row r="332" spans="1:28">
      <c r="A332" s="3" t="s">
        <v>161</v>
      </c>
      <c r="D332" s="3" t="s">
        <v>2279</v>
      </c>
      <c r="E332" s="3" t="s">
        <v>2280</v>
      </c>
      <c r="J332" s="9" t="s">
        <v>8729</v>
      </c>
      <c r="S332" s="9" t="s">
        <v>8739</v>
      </c>
      <c r="T332" s="9" t="str">
        <f t="shared" ca="1" si="16"/>
        <v/>
      </c>
      <c r="U332" s="9" t="str">
        <f t="shared" ca="1" si="17"/>
        <v/>
      </c>
      <c r="Z332" s="9" t="s">
        <v>8741</v>
      </c>
      <c r="AA332" s="9" t="s">
        <v>3884</v>
      </c>
      <c r="AB332" s="9" t="s">
        <v>8697</v>
      </c>
    </row>
    <row r="333" spans="1:28">
      <c r="A333" s="3" t="s">
        <v>161</v>
      </c>
      <c r="D333" s="3" t="s">
        <v>9573</v>
      </c>
      <c r="E333" s="3" t="s">
        <v>9572</v>
      </c>
      <c r="J333" s="9" t="s">
        <v>8731</v>
      </c>
      <c r="T333" s="9" t="str">
        <f t="shared" ca="1" si="16"/>
        <v/>
      </c>
      <c r="U333" s="9" t="str">
        <f t="shared" ca="1" si="17"/>
        <v/>
      </c>
      <c r="AB333" s="9" t="s">
        <v>8700</v>
      </c>
    </row>
    <row r="334" spans="1:28">
      <c r="A334" s="3" t="s">
        <v>162</v>
      </c>
      <c r="D334" s="3" t="s">
        <v>2281</v>
      </c>
      <c r="E334" s="3" t="s">
        <v>2282</v>
      </c>
      <c r="J334" s="9" t="s">
        <v>8729</v>
      </c>
      <c r="S334" s="9" t="s">
        <v>8739</v>
      </c>
      <c r="T334" s="9" t="str">
        <f t="shared" ca="1" si="16"/>
        <v/>
      </c>
      <c r="U334" s="9" t="str">
        <f t="shared" ca="1" si="17"/>
        <v/>
      </c>
      <c r="Z334" s="9" t="s">
        <v>8741</v>
      </c>
      <c r="AA334" s="9" t="s">
        <v>3884</v>
      </c>
      <c r="AB334" s="9" t="s">
        <v>8697</v>
      </c>
    </row>
    <row r="335" spans="1:28">
      <c r="A335" s="3" t="s">
        <v>162</v>
      </c>
      <c r="D335" s="3" t="s">
        <v>4096</v>
      </c>
      <c r="E335" s="3" t="s">
        <v>4097</v>
      </c>
      <c r="J335" s="9" t="s">
        <v>8731</v>
      </c>
      <c r="T335" s="9" t="str">
        <f t="shared" ca="1" si="16"/>
        <v/>
      </c>
      <c r="U335" s="9" t="str">
        <f t="shared" ca="1" si="17"/>
        <v/>
      </c>
      <c r="AB335" s="9" t="s">
        <v>8688</v>
      </c>
    </row>
    <row r="336" spans="1:28">
      <c r="A336" s="3" t="s">
        <v>163</v>
      </c>
      <c r="D336" s="3" t="s">
        <v>4098</v>
      </c>
      <c r="E336" s="3" t="s">
        <v>4099</v>
      </c>
      <c r="H336" t="s">
        <v>3884</v>
      </c>
      <c r="J336" s="9" t="s">
        <v>3885</v>
      </c>
      <c r="K336" s="9">
        <v>1</v>
      </c>
      <c r="L336" s="9">
        <v>5</v>
      </c>
      <c r="M336" s="9" t="s">
        <v>8736</v>
      </c>
      <c r="N336" s="9" t="s">
        <v>8690</v>
      </c>
      <c r="R336" s="9">
        <v>340</v>
      </c>
      <c r="T336" s="9" t="str">
        <f t="shared" ca="1" si="16"/>
        <v/>
      </c>
      <c r="U336" s="9" t="str">
        <f t="shared" ca="1" si="17"/>
        <v/>
      </c>
    </row>
    <row r="337" spans="1:28">
      <c r="A337" s="3" t="s">
        <v>163</v>
      </c>
      <c r="D337" s="3" t="s">
        <v>2283</v>
      </c>
      <c r="E337" s="3" t="s">
        <v>2284</v>
      </c>
      <c r="F337" t="s">
        <v>3886</v>
      </c>
      <c r="J337" s="9" t="s">
        <v>8729</v>
      </c>
      <c r="S337" s="9" t="s">
        <v>8739</v>
      </c>
      <c r="T337" s="9" t="str">
        <f t="shared" ca="1" si="16"/>
        <v/>
      </c>
      <c r="U337" s="9" t="str">
        <f t="shared" ca="1" si="17"/>
        <v/>
      </c>
      <c r="Z337" s="9" t="s">
        <v>8741</v>
      </c>
      <c r="AA337" s="9" t="s">
        <v>3884</v>
      </c>
    </row>
    <row r="338" spans="1:28">
      <c r="A338" s="3" t="s">
        <v>164</v>
      </c>
      <c r="D338" s="3" t="s">
        <v>9427</v>
      </c>
      <c r="E338" s="3" t="s">
        <v>9428</v>
      </c>
      <c r="F338" t="s">
        <v>3886</v>
      </c>
      <c r="J338" s="9" t="s">
        <v>8731</v>
      </c>
      <c r="T338" s="9" t="str">
        <f t="shared" ca="1" si="16"/>
        <v/>
      </c>
      <c r="U338" s="9" t="str">
        <f t="shared" ca="1" si="17"/>
        <v/>
      </c>
      <c r="Y338" s="9" t="s">
        <v>9282</v>
      </c>
      <c r="AA338" s="9" t="s">
        <v>3884</v>
      </c>
    </row>
    <row r="339" spans="1:28">
      <c r="A339" s="3" t="s">
        <v>164</v>
      </c>
      <c r="D339" s="3" t="s">
        <v>9429</v>
      </c>
      <c r="E339" s="3" t="s">
        <v>9430</v>
      </c>
      <c r="F339" t="s">
        <v>3886</v>
      </c>
      <c r="J339" s="9" t="s">
        <v>8731</v>
      </c>
      <c r="T339" s="9" t="str">
        <f t="shared" ca="1" si="16"/>
        <v/>
      </c>
      <c r="U339" s="9" t="str">
        <f t="shared" ca="1" si="17"/>
        <v/>
      </c>
      <c r="Y339" s="9" t="s">
        <v>9282</v>
      </c>
      <c r="AA339" s="9" t="s">
        <v>3884</v>
      </c>
    </row>
    <row r="340" spans="1:28">
      <c r="A340" s="3" t="s">
        <v>165</v>
      </c>
      <c r="D340" s="4" t="s">
        <v>9432</v>
      </c>
      <c r="E340" s="3" t="s">
        <v>9574</v>
      </c>
      <c r="F340" t="s">
        <v>3883</v>
      </c>
      <c r="T340" s="9" t="str">
        <f t="shared" ca="1" si="16"/>
        <v/>
      </c>
      <c r="U340" s="9" t="str">
        <f t="shared" ca="1" si="17"/>
        <v/>
      </c>
    </row>
    <row r="341" spans="1:28">
      <c r="A341" s="3" t="s">
        <v>165</v>
      </c>
      <c r="D341" s="3" t="s">
        <v>9431</v>
      </c>
      <c r="E341" s="3" t="s">
        <v>9575</v>
      </c>
      <c r="F341" t="s">
        <v>3893</v>
      </c>
      <c r="H341" t="s">
        <v>3884</v>
      </c>
      <c r="T341" s="9" t="str">
        <f t="shared" ca="1" si="16"/>
        <v/>
      </c>
      <c r="U341" s="9" t="str">
        <f t="shared" ca="1" si="17"/>
        <v/>
      </c>
    </row>
    <row r="342" spans="1:28" ht="43.5">
      <c r="A342" s="3" t="s">
        <v>165</v>
      </c>
      <c r="D342" s="3" t="s">
        <v>4100</v>
      </c>
      <c r="E342" s="3" t="s">
        <v>4101</v>
      </c>
      <c r="F342" t="s">
        <v>3881</v>
      </c>
      <c r="H342" t="s">
        <v>3884</v>
      </c>
      <c r="J342" s="9" t="s">
        <v>3889</v>
      </c>
      <c r="K342" s="9">
        <v>3</v>
      </c>
      <c r="L342" s="9">
        <v>14</v>
      </c>
      <c r="N342" s="9" t="s">
        <v>8684</v>
      </c>
      <c r="O342" s="9" t="s">
        <v>8847</v>
      </c>
      <c r="P342" s="10" t="s">
        <v>8813</v>
      </c>
      <c r="R342" s="9">
        <v>52</v>
      </c>
      <c r="T342" s="9" t="str">
        <f t="shared" ca="1" si="16"/>
        <v/>
      </c>
      <c r="U342" s="9" t="str">
        <f t="shared" ca="1" si="17"/>
        <v/>
      </c>
    </row>
    <row r="343" spans="1:28">
      <c r="A343" s="3" t="s">
        <v>166</v>
      </c>
      <c r="D343" s="3" t="s">
        <v>4102</v>
      </c>
      <c r="E343" s="3" t="s">
        <v>4103</v>
      </c>
      <c r="J343" s="9" t="s">
        <v>8729</v>
      </c>
      <c r="S343" s="9">
        <f>78-653</f>
        <v>-575</v>
      </c>
      <c r="T343" s="9">
        <f t="shared" ca="1" si="16"/>
        <v>653</v>
      </c>
      <c r="U343" s="9">
        <f t="shared" ca="1" si="17"/>
        <v>78</v>
      </c>
    </row>
    <row r="344" spans="1:28">
      <c r="A344" s="3" t="s">
        <v>166</v>
      </c>
      <c r="D344" s="3" t="s">
        <v>2285</v>
      </c>
      <c r="E344" s="3" t="s">
        <v>2286</v>
      </c>
      <c r="F344" t="s">
        <v>3893</v>
      </c>
      <c r="H344" t="s">
        <v>3884</v>
      </c>
      <c r="T344" s="9" t="str">
        <f t="shared" ca="1" si="16"/>
        <v/>
      </c>
      <c r="U344" s="9" t="str">
        <f t="shared" ca="1" si="17"/>
        <v/>
      </c>
    </row>
    <row r="345" spans="1:28">
      <c r="A345" s="3" t="s">
        <v>166</v>
      </c>
      <c r="D345" s="3" t="s">
        <v>2287</v>
      </c>
      <c r="E345" s="3" t="s">
        <v>2288</v>
      </c>
      <c r="F345" t="s">
        <v>3897</v>
      </c>
      <c r="T345" s="9" t="str">
        <f t="shared" ca="1" si="16"/>
        <v/>
      </c>
      <c r="U345" s="9" t="str">
        <f t="shared" ca="1" si="17"/>
        <v/>
      </c>
    </row>
    <row r="346" spans="1:28">
      <c r="A346" s="3" t="s">
        <v>167</v>
      </c>
      <c r="D346" s="3" t="s">
        <v>2289</v>
      </c>
      <c r="E346" s="3" t="s">
        <v>4104</v>
      </c>
      <c r="H346" t="s">
        <v>3888</v>
      </c>
      <c r="J346" s="9" t="s">
        <v>8731</v>
      </c>
      <c r="T346" s="9" t="str">
        <f t="shared" ca="1" si="16"/>
        <v/>
      </c>
      <c r="U346" s="9" t="str">
        <f t="shared" ca="1" si="17"/>
        <v/>
      </c>
      <c r="AB346" s="9" t="s">
        <v>8697</v>
      </c>
    </row>
    <row r="347" spans="1:28">
      <c r="A347" s="3" t="s">
        <v>168</v>
      </c>
      <c r="D347" s="3" t="s">
        <v>4105</v>
      </c>
      <c r="E347" s="3" t="s">
        <v>4106</v>
      </c>
      <c r="H347" t="s">
        <v>3884</v>
      </c>
      <c r="I347" t="s">
        <v>9197</v>
      </c>
      <c r="J347" s="9" t="s">
        <v>8729</v>
      </c>
      <c r="S347" s="9">
        <v>-881</v>
      </c>
      <c r="T347" s="9">
        <v>886</v>
      </c>
      <c r="U347" s="9">
        <v>5</v>
      </c>
      <c r="V347" s="9" t="s">
        <v>8728</v>
      </c>
    </row>
    <row r="348" spans="1:28">
      <c r="A348" s="3" t="s">
        <v>169</v>
      </c>
      <c r="D348" s="3" t="s">
        <v>8848</v>
      </c>
      <c r="E348" s="3" t="s">
        <v>8849</v>
      </c>
      <c r="H348" t="s">
        <v>3884</v>
      </c>
      <c r="J348" s="9" t="s">
        <v>8731</v>
      </c>
      <c r="T348" s="9" t="str">
        <f t="shared" ca="1" si="16"/>
        <v/>
      </c>
      <c r="U348" s="9" t="str">
        <f t="shared" ca="1" si="17"/>
        <v/>
      </c>
      <c r="AB348" s="9" t="s">
        <v>8694</v>
      </c>
    </row>
    <row r="349" spans="1:28">
      <c r="A349" s="3" t="s">
        <v>169</v>
      </c>
      <c r="D349" s="3" t="s">
        <v>4107</v>
      </c>
      <c r="E349" s="3" t="s">
        <v>4108</v>
      </c>
      <c r="H349" t="s">
        <v>3884</v>
      </c>
      <c r="J349" s="9" t="s">
        <v>3889</v>
      </c>
      <c r="K349" s="9">
        <v>1</v>
      </c>
      <c r="L349" s="9">
        <v>3</v>
      </c>
      <c r="M349" s="9" t="s">
        <v>8709</v>
      </c>
      <c r="N349" s="9" t="s">
        <v>8690</v>
      </c>
      <c r="R349" s="9">
        <v>698</v>
      </c>
      <c r="T349" s="9" t="str">
        <f t="shared" ca="1" si="16"/>
        <v/>
      </c>
      <c r="U349" s="9" t="str">
        <f t="shared" ca="1" si="17"/>
        <v/>
      </c>
    </row>
    <row r="350" spans="1:28" ht="58">
      <c r="A350" s="3" t="s">
        <v>169</v>
      </c>
      <c r="D350" s="3" t="s">
        <v>8850</v>
      </c>
      <c r="E350" s="3" t="s">
        <v>8851</v>
      </c>
      <c r="I350" t="s">
        <v>9675</v>
      </c>
      <c r="J350" s="9" t="s">
        <v>3885</v>
      </c>
      <c r="K350" s="9">
        <v>4</v>
      </c>
      <c r="L350" s="9">
        <v>19</v>
      </c>
      <c r="N350" s="9" t="s">
        <v>8684</v>
      </c>
      <c r="O350" s="9" t="s">
        <v>8847</v>
      </c>
      <c r="P350" s="10" t="s">
        <v>8852</v>
      </c>
      <c r="R350" s="9">
        <v>3</v>
      </c>
      <c r="T350" s="9" t="str">
        <f t="shared" ca="1" si="16"/>
        <v/>
      </c>
      <c r="U350" s="9" t="str">
        <f t="shared" ca="1" si="17"/>
        <v/>
      </c>
    </row>
    <row r="351" spans="1:28">
      <c r="A351" s="3" t="s">
        <v>170</v>
      </c>
      <c r="D351" s="3" t="s">
        <v>2291</v>
      </c>
      <c r="E351" s="3" t="s">
        <v>2292</v>
      </c>
      <c r="J351" s="9" t="s">
        <v>8731</v>
      </c>
      <c r="T351" s="9" t="str">
        <f t="shared" ca="1" si="16"/>
        <v/>
      </c>
      <c r="U351" s="9" t="str">
        <f t="shared" ca="1" si="17"/>
        <v/>
      </c>
      <c r="Z351" s="9" t="s">
        <v>9280</v>
      </c>
      <c r="AA351" s="9" t="s">
        <v>3884</v>
      </c>
    </row>
    <row r="352" spans="1:28">
      <c r="A352" s="3" t="s">
        <v>170</v>
      </c>
      <c r="D352" s="4" t="s">
        <v>4109</v>
      </c>
      <c r="E352" s="3" t="s">
        <v>4110</v>
      </c>
      <c r="F352" t="s">
        <v>3883</v>
      </c>
      <c r="T352" s="9" t="str">
        <f t="shared" ca="1" si="16"/>
        <v/>
      </c>
      <c r="U352" s="9" t="str">
        <f t="shared" ca="1" si="17"/>
        <v/>
      </c>
    </row>
    <row r="353" spans="1:28">
      <c r="A353" s="3" t="s">
        <v>171</v>
      </c>
      <c r="D353" s="3" t="s">
        <v>4111</v>
      </c>
      <c r="E353" s="3" t="s">
        <v>4112</v>
      </c>
      <c r="J353" s="9" t="s">
        <v>3889</v>
      </c>
      <c r="K353" s="9">
        <v>1</v>
      </c>
      <c r="L353" s="9">
        <v>2</v>
      </c>
      <c r="M353" s="9" t="s">
        <v>8689</v>
      </c>
      <c r="N353" s="9" t="s">
        <v>8690</v>
      </c>
      <c r="Q353" s="9" t="s">
        <v>8685</v>
      </c>
      <c r="R353" s="9">
        <v>10929</v>
      </c>
      <c r="T353" s="9" t="str">
        <f t="shared" ca="1" si="16"/>
        <v/>
      </c>
      <c r="U353" s="9" t="str">
        <f t="shared" ca="1" si="17"/>
        <v/>
      </c>
    </row>
    <row r="354" spans="1:28">
      <c r="A354" s="3" t="s">
        <v>171</v>
      </c>
      <c r="D354" s="3" t="s">
        <v>2293</v>
      </c>
      <c r="E354" s="3" t="s">
        <v>2294</v>
      </c>
      <c r="J354" s="9" t="s">
        <v>8729</v>
      </c>
      <c r="S354" s="9" t="s">
        <v>8730</v>
      </c>
      <c r="T354" s="9" t="str">
        <f t="shared" ca="1" si="16"/>
        <v/>
      </c>
      <c r="U354" s="9" t="str">
        <f t="shared" ca="1" si="17"/>
        <v/>
      </c>
      <c r="Z354" s="9" t="s">
        <v>8741</v>
      </c>
      <c r="AA354" s="9" t="s">
        <v>3884</v>
      </c>
    </row>
    <row r="355" spans="1:28">
      <c r="A355" s="3" t="s">
        <v>172</v>
      </c>
      <c r="D355" s="3" t="s">
        <v>2295</v>
      </c>
      <c r="E355" s="3" t="s">
        <v>2296</v>
      </c>
      <c r="J355" s="9" t="s">
        <v>8729</v>
      </c>
      <c r="S355" s="9" t="s">
        <v>8739</v>
      </c>
      <c r="T355" s="9" t="str">
        <f t="shared" ca="1" si="16"/>
        <v/>
      </c>
      <c r="U355" s="9" t="str">
        <f t="shared" ca="1" si="17"/>
        <v/>
      </c>
      <c r="Y355" s="9" t="s">
        <v>8735</v>
      </c>
      <c r="Z355" s="9" t="s">
        <v>8742</v>
      </c>
      <c r="AA355" s="9" t="s">
        <v>3884</v>
      </c>
    </row>
    <row r="356" spans="1:28">
      <c r="A356" s="3" t="s">
        <v>172</v>
      </c>
      <c r="D356" s="3" t="s">
        <v>2108</v>
      </c>
      <c r="E356" s="3" t="s">
        <v>2109</v>
      </c>
      <c r="J356" s="9" t="s">
        <v>8731</v>
      </c>
      <c r="T356" s="9" t="str">
        <f t="shared" ca="1" si="16"/>
        <v/>
      </c>
      <c r="U356" s="9" t="str">
        <f t="shared" ca="1" si="17"/>
        <v/>
      </c>
      <c r="Z356" s="9" t="s">
        <v>9280</v>
      </c>
      <c r="AA356" s="9" t="s">
        <v>3884</v>
      </c>
      <c r="AB356" s="9" t="s">
        <v>8697</v>
      </c>
    </row>
    <row r="357" spans="1:28">
      <c r="A357" s="3" t="s">
        <v>172</v>
      </c>
      <c r="D357" s="3" t="s">
        <v>4113</v>
      </c>
      <c r="E357" s="3" t="s">
        <v>4114</v>
      </c>
      <c r="J357" s="9" t="s">
        <v>8729</v>
      </c>
      <c r="S357" s="9">
        <f>872-991</f>
        <v>-119</v>
      </c>
      <c r="T357" s="9">
        <f t="shared" ca="1" si="16"/>
        <v>991</v>
      </c>
      <c r="U357" s="9">
        <f t="shared" ca="1" si="17"/>
        <v>872</v>
      </c>
    </row>
    <row r="358" spans="1:28">
      <c r="A358" s="3" t="s">
        <v>173</v>
      </c>
      <c r="D358" s="3" t="s">
        <v>4115</v>
      </c>
      <c r="E358" s="3" t="s">
        <v>2297</v>
      </c>
      <c r="H358" t="s">
        <v>3884</v>
      </c>
      <c r="J358" s="9" t="s">
        <v>8729</v>
      </c>
      <c r="Q358" s="9" t="s">
        <v>8685</v>
      </c>
      <c r="S358" s="9" t="s">
        <v>8739</v>
      </c>
      <c r="T358" s="9" t="str">
        <f t="shared" ca="1" si="16"/>
        <v/>
      </c>
      <c r="U358" s="9" t="str">
        <f t="shared" ca="1" si="17"/>
        <v/>
      </c>
      <c r="AB358" s="9" t="s">
        <v>8688</v>
      </c>
    </row>
    <row r="359" spans="1:28">
      <c r="A359" s="3" t="s">
        <v>174</v>
      </c>
      <c r="D359" s="3" t="s">
        <v>8853</v>
      </c>
      <c r="E359" s="3" t="s">
        <v>8854</v>
      </c>
      <c r="J359" s="9" t="s">
        <v>3889</v>
      </c>
      <c r="K359" s="9">
        <v>1</v>
      </c>
      <c r="L359" s="9">
        <v>1</v>
      </c>
      <c r="M359" s="9" t="s">
        <v>8689</v>
      </c>
      <c r="N359" s="9" t="s">
        <v>8730</v>
      </c>
      <c r="R359" s="9">
        <v>10929</v>
      </c>
      <c r="T359" s="9" t="str">
        <f t="shared" ca="1" si="16"/>
        <v/>
      </c>
      <c r="U359" s="9" t="str">
        <f t="shared" ca="1" si="17"/>
        <v/>
      </c>
    </row>
    <row r="360" spans="1:28">
      <c r="A360" s="3" t="s">
        <v>174</v>
      </c>
      <c r="D360" s="3" t="s">
        <v>2298</v>
      </c>
      <c r="E360" s="4" t="s">
        <v>2299</v>
      </c>
      <c r="F360" t="s">
        <v>3897</v>
      </c>
      <c r="T360" s="9" t="str">
        <f t="shared" ca="1" si="16"/>
        <v/>
      </c>
      <c r="U360" s="9" t="str">
        <f t="shared" ca="1" si="17"/>
        <v/>
      </c>
    </row>
    <row r="361" spans="1:28">
      <c r="A361" s="3" t="s">
        <v>175</v>
      </c>
      <c r="D361" s="3" t="s">
        <v>2159</v>
      </c>
      <c r="E361" s="3" t="s">
        <v>2175</v>
      </c>
      <c r="I361" t="s">
        <v>9198</v>
      </c>
      <c r="J361" s="9" t="s">
        <v>8731</v>
      </c>
      <c r="T361" s="9" t="str">
        <f t="shared" ca="1" si="16"/>
        <v/>
      </c>
      <c r="U361" s="9" t="str">
        <f t="shared" ca="1" si="17"/>
        <v/>
      </c>
      <c r="V361" s="9" t="s">
        <v>8728</v>
      </c>
    </row>
    <row r="362" spans="1:28">
      <c r="A362" s="3" t="s">
        <v>175</v>
      </c>
      <c r="D362" s="3" t="s">
        <v>2116</v>
      </c>
      <c r="E362" s="3" t="s">
        <v>2117</v>
      </c>
      <c r="J362" s="9" t="s">
        <v>8731</v>
      </c>
      <c r="T362" s="9" t="str">
        <f t="shared" ca="1" si="16"/>
        <v/>
      </c>
      <c r="U362" s="9" t="str">
        <f t="shared" ca="1" si="17"/>
        <v/>
      </c>
      <c r="Z362" s="9" t="s">
        <v>8757</v>
      </c>
      <c r="AA362" s="9" t="s">
        <v>3884</v>
      </c>
    </row>
    <row r="363" spans="1:28">
      <c r="A363" s="3" t="s">
        <v>176</v>
      </c>
      <c r="D363" s="3" t="s">
        <v>2300</v>
      </c>
      <c r="E363" s="3" t="s">
        <v>2301</v>
      </c>
      <c r="J363" s="9" t="s">
        <v>8729</v>
      </c>
      <c r="S363" s="9" t="s">
        <v>8739</v>
      </c>
      <c r="T363" s="9" t="str">
        <f t="shared" ca="1" si="16"/>
        <v/>
      </c>
      <c r="U363" s="9" t="str">
        <f t="shared" ca="1" si="17"/>
        <v/>
      </c>
      <c r="Z363" s="9" t="s">
        <v>8742</v>
      </c>
      <c r="AA363" s="9" t="s">
        <v>3884</v>
      </c>
      <c r="AB363" s="9" t="s">
        <v>8697</v>
      </c>
    </row>
    <row r="364" spans="1:28">
      <c r="A364" s="3" t="s">
        <v>176</v>
      </c>
      <c r="D364" s="3" t="s">
        <v>8855</v>
      </c>
      <c r="E364" s="3" t="s">
        <v>8856</v>
      </c>
      <c r="J364" s="9" t="s">
        <v>8729</v>
      </c>
      <c r="S364" s="9">
        <f>797-10929</f>
        <v>-10132</v>
      </c>
      <c r="T364" s="9">
        <f t="shared" ca="1" si="16"/>
        <v>10929</v>
      </c>
      <c r="U364" s="9">
        <f t="shared" ca="1" si="17"/>
        <v>797</v>
      </c>
      <c r="AB364" s="9" t="s">
        <v>8700</v>
      </c>
    </row>
    <row r="365" spans="1:28">
      <c r="A365" s="3" t="s">
        <v>176</v>
      </c>
      <c r="D365" s="3" t="s">
        <v>8858</v>
      </c>
      <c r="E365" s="3" t="s">
        <v>8857</v>
      </c>
      <c r="J365" s="9" t="s">
        <v>8731</v>
      </c>
      <c r="T365" s="9" t="str">
        <f t="shared" ca="1" si="16"/>
        <v/>
      </c>
      <c r="U365" s="9" t="str">
        <f t="shared" ca="1" si="17"/>
        <v/>
      </c>
      <c r="Z365" s="9" t="s">
        <v>8741</v>
      </c>
      <c r="AA365" s="9" t="s">
        <v>3884</v>
      </c>
    </row>
    <row r="366" spans="1:28">
      <c r="A366" s="3" t="s">
        <v>176</v>
      </c>
      <c r="D366" s="3" t="s">
        <v>2302</v>
      </c>
      <c r="E366" s="3" t="s">
        <v>2303</v>
      </c>
      <c r="H366" t="s">
        <v>3888</v>
      </c>
      <c r="I366" t="s">
        <v>4116</v>
      </c>
      <c r="J366" s="9" t="s">
        <v>8732</v>
      </c>
      <c r="S366" s="9" t="s">
        <v>8739</v>
      </c>
      <c r="T366" s="9" t="str">
        <f t="shared" ca="1" si="16"/>
        <v/>
      </c>
      <c r="U366" s="9" t="str">
        <f t="shared" ca="1" si="17"/>
        <v/>
      </c>
      <c r="AB366" s="9" t="s">
        <v>8688</v>
      </c>
    </row>
    <row r="367" spans="1:28">
      <c r="A367" s="3" t="s">
        <v>177</v>
      </c>
      <c r="D367" s="3" t="s">
        <v>2304</v>
      </c>
      <c r="E367" s="3" t="s">
        <v>2305</v>
      </c>
      <c r="H367" t="s">
        <v>3888</v>
      </c>
      <c r="I367" t="s">
        <v>2230</v>
      </c>
      <c r="J367" s="9" t="s">
        <v>8731</v>
      </c>
      <c r="T367" s="9" t="str">
        <f t="shared" ca="1" si="16"/>
        <v/>
      </c>
      <c r="U367" s="9" t="str">
        <f t="shared" ca="1" si="17"/>
        <v/>
      </c>
    </row>
    <row r="368" spans="1:28">
      <c r="A368" s="3" t="s">
        <v>177</v>
      </c>
      <c r="D368" s="3" t="s">
        <v>2188</v>
      </c>
      <c r="E368" s="3" t="s">
        <v>2189</v>
      </c>
      <c r="H368" t="s">
        <v>3884</v>
      </c>
      <c r="J368" s="9" t="s">
        <v>8729</v>
      </c>
      <c r="S368" s="9">
        <f>21-18</f>
        <v>3</v>
      </c>
      <c r="T368" s="9">
        <f t="shared" ca="1" si="16"/>
        <v>18</v>
      </c>
      <c r="U368" s="9">
        <f t="shared" ca="1" si="17"/>
        <v>21</v>
      </c>
    </row>
    <row r="369" spans="1:28">
      <c r="A369" s="3" t="s">
        <v>177</v>
      </c>
      <c r="D369" s="3" t="s">
        <v>2306</v>
      </c>
      <c r="E369" s="3" t="s">
        <v>2307</v>
      </c>
      <c r="J369" s="9" t="s">
        <v>8729</v>
      </c>
      <c r="S369" s="9" t="s">
        <v>8739</v>
      </c>
      <c r="T369" s="9" t="str">
        <f t="shared" ca="1" si="16"/>
        <v/>
      </c>
      <c r="U369" s="9" t="str">
        <f t="shared" ca="1" si="17"/>
        <v/>
      </c>
      <c r="Z369" s="9" t="s">
        <v>8747</v>
      </c>
      <c r="AA369" s="9" t="s">
        <v>3884</v>
      </c>
      <c r="AB369" s="9" t="s">
        <v>8697</v>
      </c>
    </row>
    <row r="370" spans="1:28">
      <c r="A370" s="3" t="s">
        <v>178</v>
      </c>
      <c r="D370" s="3" t="s">
        <v>2188</v>
      </c>
      <c r="E370" s="3" t="s">
        <v>2189</v>
      </c>
      <c r="H370" t="s">
        <v>3884</v>
      </c>
      <c r="J370" s="9" t="s">
        <v>8729</v>
      </c>
      <c r="S370" s="9">
        <f>21-18</f>
        <v>3</v>
      </c>
      <c r="T370" s="9">
        <f t="shared" ca="1" si="16"/>
        <v>18</v>
      </c>
      <c r="U370" s="9">
        <f t="shared" ca="1" si="17"/>
        <v>21</v>
      </c>
    </row>
    <row r="371" spans="1:28">
      <c r="A371" s="3" t="s">
        <v>178</v>
      </c>
      <c r="D371" s="3" t="s">
        <v>2274</v>
      </c>
      <c r="E371" s="3" t="s">
        <v>2275</v>
      </c>
      <c r="J371" s="9" t="s">
        <v>8729</v>
      </c>
      <c r="S371" s="9" t="s">
        <v>8739</v>
      </c>
      <c r="T371" s="9" t="str">
        <f t="shared" ca="1" si="16"/>
        <v/>
      </c>
      <c r="U371" s="9" t="str">
        <f t="shared" ca="1" si="17"/>
        <v/>
      </c>
      <c r="Z371" s="9" t="s">
        <v>8742</v>
      </c>
      <c r="AA371" s="9" t="s">
        <v>3884</v>
      </c>
      <c r="AB371" s="9" t="s">
        <v>8697</v>
      </c>
    </row>
    <row r="372" spans="1:28">
      <c r="A372" s="3" t="s">
        <v>179</v>
      </c>
      <c r="D372" s="3" t="s">
        <v>2309</v>
      </c>
      <c r="E372" s="3" t="s">
        <v>2310</v>
      </c>
      <c r="G372" t="s">
        <v>3884</v>
      </c>
      <c r="J372" s="9" t="s">
        <v>8729</v>
      </c>
      <c r="S372" s="9">
        <f>58-83</f>
        <v>-25</v>
      </c>
      <c r="T372" s="9">
        <f t="shared" ca="1" si="16"/>
        <v>83</v>
      </c>
      <c r="U372" s="9">
        <f t="shared" ca="1" si="17"/>
        <v>58</v>
      </c>
    </row>
    <row r="373" spans="1:28">
      <c r="A373" s="3" t="s">
        <v>180</v>
      </c>
      <c r="D373" s="3" t="s">
        <v>2311</v>
      </c>
      <c r="E373" s="3" t="s">
        <v>2312</v>
      </c>
      <c r="J373" s="9" t="s">
        <v>8731</v>
      </c>
      <c r="T373" s="9" t="str">
        <f t="shared" ca="1" si="16"/>
        <v/>
      </c>
      <c r="U373" s="9" t="str">
        <f t="shared" ca="1" si="17"/>
        <v/>
      </c>
      <c r="AB373" s="9" t="s">
        <v>8688</v>
      </c>
    </row>
    <row r="374" spans="1:28" ht="29">
      <c r="A374" s="3" t="s">
        <v>180</v>
      </c>
      <c r="D374" s="3" t="s">
        <v>8859</v>
      </c>
      <c r="E374" s="4" t="s">
        <v>8860</v>
      </c>
      <c r="F374" t="s">
        <v>3897</v>
      </c>
      <c r="J374" s="9" t="s">
        <v>3889</v>
      </c>
      <c r="K374" s="9">
        <v>1</v>
      </c>
      <c r="L374" s="9">
        <v>1</v>
      </c>
      <c r="M374" s="9" t="s">
        <v>8698</v>
      </c>
      <c r="N374" s="9" t="s">
        <v>8730</v>
      </c>
      <c r="R374" s="9">
        <v>73</v>
      </c>
      <c r="T374" s="9" t="str">
        <f t="shared" ca="1" si="16"/>
        <v/>
      </c>
      <c r="U374" s="9" t="str">
        <f t="shared" ca="1" si="17"/>
        <v/>
      </c>
    </row>
    <row r="375" spans="1:28">
      <c r="A375" s="3" t="s">
        <v>180</v>
      </c>
      <c r="D375" s="3" t="s">
        <v>4117</v>
      </c>
      <c r="E375" s="3" t="s">
        <v>2313</v>
      </c>
      <c r="H375" t="s">
        <v>3892</v>
      </c>
      <c r="I375" t="s">
        <v>4118</v>
      </c>
      <c r="J375" s="9" t="s">
        <v>8729</v>
      </c>
      <c r="S375" s="9" t="s">
        <v>8739</v>
      </c>
      <c r="T375" s="9" t="str">
        <f t="shared" ca="1" si="16"/>
        <v/>
      </c>
      <c r="U375" s="9" t="str">
        <f t="shared" ca="1" si="17"/>
        <v/>
      </c>
      <c r="AB375" s="9" t="s">
        <v>8688</v>
      </c>
    </row>
    <row r="376" spans="1:28">
      <c r="A376" s="3" t="s">
        <v>180</v>
      </c>
      <c r="D376" s="3" t="s">
        <v>4119</v>
      </c>
      <c r="E376" s="4" t="s">
        <v>4120</v>
      </c>
      <c r="F376" t="s">
        <v>3897</v>
      </c>
      <c r="T376" s="9" t="str">
        <f t="shared" ca="1" si="16"/>
        <v/>
      </c>
      <c r="U376" s="9" t="str">
        <f t="shared" ca="1" si="17"/>
        <v/>
      </c>
    </row>
    <row r="377" spans="1:28">
      <c r="A377" s="3" t="s">
        <v>181</v>
      </c>
      <c r="D377" s="3" t="s">
        <v>2314</v>
      </c>
      <c r="E377" s="3" t="s">
        <v>2315</v>
      </c>
      <c r="J377" s="9" t="s">
        <v>8729</v>
      </c>
      <c r="S377" s="9" t="s">
        <v>8739</v>
      </c>
      <c r="T377" s="9" t="str">
        <f t="shared" ca="1" si="16"/>
        <v/>
      </c>
      <c r="U377" s="9" t="str">
        <f t="shared" ca="1" si="17"/>
        <v/>
      </c>
      <c r="Z377" s="9" t="s">
        <v>8742</v>
      </c>
      <c r="AA377" s="9" t="s">
        <v>3884</v>
      </c>
      <c r="AB377" s="9" t="s">
        <v>8697</v>
      </c>
    </row>
    <row r="378" spans="1:28" ht="29">
      <c r="A378" s="3" t="s">
        <v>182</v>
      </c>
      <c r="D378" s="3" t="s">
        <v>9433</v>
      </c>
      <c r="E378" s="3" t="s">
        <v>9434</v>
      </c>
      <c r="J378" s="9" t="s">
        <v>8729</v>
      </c>
      <c r="Q378" s="9" t="s">
        <v>8685</v>
      </c>
      <c r="S378" s="9" t="s">
        <v>8739</v>
      </c>
      <c r="T378" s="9" t="str">
        <f t="shared" ca="1" si="16"/>
        <v/>
      </c>
      <c r="U378" s="9" t="str">
        <f t="shared" ca="1" si="17"/>
        <v/>
      </c>
      <c r="Y378" s="9" t="s">
        <v>8735</v>
      </c>
      <c r="AA378" s="9" t="s">
        <v>3884</v>
      </c>
      <c r="AB378" s="9" t="s">
        <v>8688</v>
      </c>
    </row>
    <row r="379" spans="1:28" ht="29">
      <c r="A379" s="3" t="s">
        <v>182</v>
      </c>
      <c r="D379" s="4" t="s">
        <v>4121</v>
      </c>
      <c r="E379" s="3" t="s">
        <v>9435</v>
      </c>
      <c r="F379" t="s">
        <v>3883</v>
      </c>
      <c r="J379" s="9" t="s">
        <v>3885</v>
      </c>
      <c r="K379" s="9">
        <v>1</v>
      </c>
      <c r="L379" s="9">
        <v>3</v>
      </c>
      <c r="M379" s="9" t="s">
        <v>8698</v>
      </c>
      <c r="N379" s="9" t="s">
        <v>8690</v>
      </c>
      <c r="R379" s="9">
        <v>9418</v>
      </c>
      <c r="T379" s="9" t="str">
        <f t="shared" ca="1" si="16"/>
        <v/>
      </c>
      <c r="U379" s="9" t="str">
        <f t="shared" ca="1" si="17"/>
        <v/>
      </c>
    </row>
    <row r="380" spans="1:28">
      <c r="A380" s="3" t="s">
        <v>183</v>
      </c>
      <c r="D380" s="3" t="s">
        <v>2316</v>
      </c>
      <c r="E380" s="3" t="s">
        <v>2317</v>
      </c>
      <c r="J380" s="9" t="s">
        <v>8729</v>
      </c>
      <c r="S380" s="9" t="s">
        <v>8739</v>
      </c>
      <c r="T380" s="9" t="str">
        <f t="shared" ca="1" si="16"/>
        <v/>
      </c>
      <c r="U380" s="9" t="str">
        <f t="shared" ca="1" si="17"/>
        <v/>
      </c>
      <c r="Z380" s="9" t="s">
        <v>8861</v>
      </c>
      <c r="AA380" s="9" t="s">
        <v>3884</v>
      </c>
      <c r="AB380" s="9" t="s">
        <v>8697</v>
      </c>
    </row>
    <row r="381" spans="1:28">
      <c r="A381" s="3" t="s">
        <v>183</v>
      </c>
      <c r="D381" s="3" t="s">
        <v>4122</v>
      </c>
      <c r="E381" s="3" t="s">
        <v>4123</v>
      </c>
      <c r="J381" s="9" t="s">
        <v>3885</v>
      </c>
      <c r="K381" s="9">
        <v>1</v>
      </c>
      <c r="L381" s="9">
        <v>2</v>
      </c>
      <c r="M381" s="9" t="s">
        <v>8707</v>
      </c>
      <c r="N381" s="9" t="s">
        <v>8730</v>
      </c>
      <c r="R381" s="9">
        <v>1942</v>
      </c>
      <c r="T381" s="9" t="str">
        <f t="shared" ca="1" si="16"/>
        <v/>
      </c>
      <c r="U381" s="9" t="str">
        <f t="shared" ca="1" si="17"/>
        <v/>
      </c>
    </row>
    <row r="382" spans="1:28">
      <c r="A382" s="3" t="s">
        <v>184</v>
      </c>
      <c r="D382" s="3" t="s">
        <v>3729</v>
      </c>
      <c r="E382" s="3" t="s">
        <v>2318</v>
      </c>
      <c r="H382" t="s">
        <v>3884</v>
      </c>
      <c r="J382" s="9" t="s">
        <v>8731</v>
      </c>
      <c r="T382" s="9" t="str">
        <f t="shared" ca="1" si="16"/>
        <v/>
      </c>
      <c r="U382" s="9" t="str">
        <f t="shared" ca="1" si="17"/>
        <v/>
      </c>
    </row>
    <row r="383" spans="1:28" ht="29">
      <c r="A383" s="3" t="s">
        <v>185</v>
      </c>
      <c r="D383" s="3" t="s">
        <v>4124</v>
      </c>
      <c r="E383" s="3" t="s">
        <v>4125</v>
      </c>
      <c r="J383" s="9" t="s">
        <v>3889</v>
      </c>
      <c r="K383" s="9">
        <v>1</v>
      </c>
      <c r="L383" s="9">
        <v>7</v>
      </c>
      <c r="M383" s="9" t="s">
        <v>8703</v>
      </c>
      <c r="N383" s="9" t="s">
        <v>8684</v>
      </c>
      <c r="O383" s="9" t="s">
        <v>8771</v>
      </c>
      <c r="P383" s="10" t="s">
        <v>8778</v>
      </c>
      <c r="R383" s="9">
        <v>16</v>
      </c>
      <c r="T383" s="9" t="str">
        <f t="shared" ca="1" si="16"/>
        <v/>
      </c>
      <c r="U383" s="9" t="str">
        <f t="shared" ca="1" si="17"/>
        <v/>
      </c>
    </row>
    <row r="384" spans="1:28">
      <c r="A384" s="3" t="s">
        <v>185</v>
      </c>
      <c r="D384" s="3" t="s">
        <v>2319</v>
      </c>
      <c r="E384" s="3" t="s">
        <v>2320</v>
      </c>
      <c r="J384" s="9" t="s">
        <v>8729</v>
      </c>
      <c r="S384" s="9" t="s">
        <v>8730</v>
      </c>
      <c r="T384" s="9" t="str">
        <f t="shared" ca="1" si="16"/>
        <v/>
      </c>
      <c r="U384" s="9" t="str">
        <f t="shared" ca="1" si="17"/>
        <v/>
      </c>
      <c r="Z384" s="9" t="s">
        <v>8804</v>
      </c>
      <c r="AA384" s="9" t="s">
        <v>3884</v>
      </c>
      <c r="AB384" s="9" t="s">
        <v>8688</v>
      </c>
    </row>
    <row r="385" spans="1:29">
      <c r="A385" s="3" t="s">
        <v>186</v>
      </c>
      <c r="D385" s="3" t="s">
        <v>3729</v>
      </c>
      <c r="E385" s="3" t="s">
        <v>2318</v>
      </c>
      <c r="H385" t="s">
        <v>3884</v>
      </c>
      <c r="J385" s="9" t="s">
        <v>8731</v>
      </c>
      <c r="T385" s="9" t="str">
        <f t="shared" ca="1" si="16"/>
        <v/>
      </c>
      <c r="U385" s="9" t="str">
        <f t="shared" ca="1" si="17"/>
        <v/>
      </c>
    </row>
    <row r="386" spans="1:29">
      <c r="A386" s="3" t="s">
        <v>186</v>
      </c>
      <c r="D386" s="3" t="s">
        <v>2321</v>
      </c>
      <c r="E386" s="3" t="s">
        <v>2322</v>
      </c>
      <c r="F386" t="s">
        <v>3881</v>
      </c>
      <c r="J386" s="9" t="s">
        <v>8729</v>
      </c>
      <c r="S386" s="9" t="s">
        <v>8739</v>
      </c>
      <c r="T386" s="9" t="str">
        <f t="shared" ca="1" si="16"/>
        <v/>
      </c>
      <c r="U386" s="9" t="str">
        <f t="shared" ca="1" si="17"/>
        <v/>
      </c>
      <c r="Z386" s="9" t="s">
        <v>8742</v>
      </c>
      <c r="AA386" s="9" t="s">
        <v>3884</v>
      </c>
      <c r="AB386" s="9" t="s">
        <v>8697</v>
      </c>
    </row>
    <row r="387" spans="1:29">
      <c r="A387" s="3" t="s">
        <v>187</v>
      </c>
      <c r="D387" s="3" t="s">
        <v>2258</v>
      </c>
      <c r="E387" s="3" t="s">
        <v>2323</v>
      </c>
      <c r="J387" s="9" t="s">
        <v>8729</v>
      </c>
      <c r="S387" s="9" t="s">
        <v>8739</v>
      </c>
      <c r="T387" s="9" t="str">
        <f t="shared" ca="1" si="16"/>
        <v/>
      </c>
      <c r="U387" s="9" t="str">
        <f t="shared" ca="1" si="17"/>
        <v/>
      </c>
      <c r="Z387" s="9" t="s">
        <v>8832</v>
      </c>
      <c r="AA387" s="9" t="s">
        <v>3884</v>
      </c>
      <c r="AB387" s="9" t="s">
        <v>8688</v>
      </c>
    </row>
    <row r="388" spans="1:29">
      <c r="A388" s="3" t="s">
        <v>188</v>
      </c>
      <c r="D388" s="3" t="s">
        <v>2324</v>
      </c>
      <c r="E388" s="3" t="s">
        <v>2325</v>
      </c>
      <c r="J388" s="9" t="s">
        <v>8729</v>
      </c>
      <c r="S388" s="9" t="s">
        <v>8739</v>
      </c>
      <c r="T388" s="9" t="str">
        <f t="shared" ref="T388:T452" ca="1" si="18">IF(ISNUMBER(S388),VALUE(MID(_xlfn.FORMULATEXT(S388),SEARCH("-",_xlfn.FORMULATEXT(S388))+1,LEN(_xlfn.FORMULATEXT(S388))-SEARCH("-",_xlfn.FORMULATEXT(S388)))), "")</f>
        <v/>
      </c>
      <c r="U388" s="9" t="str">
        <f t="shared" ref="U388:U452" ca="1" si="19">IF(ISNUMBER(S388), VALUE(MID(_xlfn.FORMULATEXT(S388), 2, SEARCH("-", _xlfn.FORMULATEXT(S388)) - 2)), "")</f>
        <v/>
      </c>
      <c r="AB388" s="9" t="s">
        <v>8688</v>
      </c>
    </row>
    <row r="389" spans="1:29">
      <c r="A389" s="3" t="s">
        <v>188</v>
      </c>
      <c r="D389" s="3" t="s">
        <v>2326</v>
      </c>
      <c r="E389" s="3" t="s">
        <v>2327</v>
      </c>
      <c r="H389" t="s">
        <v>3884</v>
      </c>
      <c r="J389" s="9" t="s">
        <v>8731</v>
      </c>
      <c r="T389" s="9" t="str">
        <f t="shared" ca="1" si="18"/>
        <v/>
      </c>
      <c r="U389" s="9" t="str">
        <f t="shared" ca="1" si="19"/>
        <v/>
      </c>
      <c r="Z389" s="9" t="s">
        <v>8757</v>
      </c>
      <c r="AA389" s="9" t="s">
        <v>3891</v>
      </c>
      <c r="AB389" s="9" t="s">
        <v>8688</v>
      </c>
    </row>
    <row r="390" spans="1:29">
      <c r="A390" s="3" t="s">
        <v>189</v>
      </c>
      <c r="D390" s="3" t="s">
        <v>4126</v>
      </c>
      <c r="E390" s="3" t="s">
        <v>4127</v>
      </c>
      <c r="J390" s="9" t="s">
        <v>8729</v>
      </c>
      <c r="S390" s="9">
        <f>872-991</f>
        <v>-119</v>
      </c>
      <c r="T390" s="9">
        <f t="shared" ca="1" si="18"/>
        <v>991</v>
      </c>
      <c r="U390" s="9">
        <f t="shared" ca="1" si="19"/>
        <v>872</v>
      </c>
    </row>
    <row r="391" spans="1:29">
      <c r="A391" s="3" t="s">
        <v>190</v>
      </c>
      <c r="D391" s="3" t="s">
        <v>4128</v>
      </c>
      <c r="E391" s="3" t="s">
        <v>4029</v>
      </c>
      <c r="J391" s="9" t="s">
        <v>3889</v>
      </c>
      <c r="K391" s="9">
        <v>1</v>
      </c>
      <c r="L391" s="9">
        <v>1</v>
      </c>
      <c r="M391" s="9" t="s">
        <v>8689</v>
      </c>
      <c r="N391" s="9" t="s">
        <v>8730</v>
      </c>
      <c r="Q391" s="9" t="s">
        <v>8685</v>
      </c>
      <c r="R391" s="9">
        <v>10929</v>
      </c>
      <c r="T391" s="9" t="str">
        <f t="shared" ca="1" si="18"/>
        <v/>
      </c>
      <c r="U391" s="9" t="str">
        <f t="shared" ca="1" si="19"/>
        <v/>
      </c>
      <c r="AB391" s="9" t="s">
        <v>8700</v>
      </c>
    </row>
    <row r="392" spans="1:29" ht="29">
      <c r="A392" s="3" t="s">
        <v>191</v>
      </c>
      <c r="D392" s="3" t="s">
        <v>4129</v>
      </c>
      <c r="E392" s="3" t="s">
        <v>2214</v>
      </c>
      <c r="F392" t="s">
        <v>8733</v>
      </c>
      <c r="T392" s="9" t="str">
        <f t="shared" ca="1" si="18"/>
        <v/>
      </c>
      <c r="U392" s="9" t="str">
        <f t="shared" ca="1" si="19"/>
        <v/>
      </c>
      <c r="AC392" s="9" t="s">
        <v>3884</v>
      </c>
    </row>
    <row r="393" spans="1:29">
      <c r="A393" s="3" t="s">
        <v>192</v>
      </c>
      <c r="D393" s="4" t="s">
        <v>2671</v>
      </c>
      <c r="E393" s="3" t="s">
        <v>2334</v>
      </c>
      <c r="F393" t="s">
        <v>3883</v>
      </c>
      <c r="T393" s="9" t="str">
        <f t="shared" ca="1" si="18"/>
        <v/>
      </c>
      <c r="U393" s="9" t="str">
        <f t="shared" ca="1" si="19"/>
        <v/>
      </c>
    </row>
    <row r="394" spans="1:29" ht="29">
      <c r="A394" s="3" t="s">
        <v>192</v>
      </c>
      <c r="D394" s="3" t="s">
        <v>4130</v>
      </c>
      <c r="E394" s="3" t="s">
        <v>8863</v>
      </c>
      <c r="H394" t="s">
        <v>3888</v>
      </c>
      <c r="I394" t="s">
        <v>9676</v>
      </c>
      <c r="J394" s="9" t="s">
        <v>3885</v>
      </c>
      <c r="K394" s="9">
        <v>1</v>
      </c>
      <c r="L394" s="9">
        <v>1</v>
      </c>
      <c r="M394" s="9" t="s">
        <v>8689</v>
      </c>
      <c r="N394" s="9" t="s">
        <v>8730</v>
      </c>
      <c r="R394" s="9">
        <v>10929</v>
      </c>
      <c r="T394" s="9" t="str">
        <f t="shared" ca="1" si="18"/>
        <v/>
      </c>
      <c r="U394" s="9" t="str">
        <f t="shared" ca="1" si="19"/>
        <v/>
      </c>
      <c r="V394" s="9" t="s">
        <v>8728</v>
      </c>
    </row>
    <row r="395" spans="1:29" ht="29">
      <c r="A395" s="3" t="s">
        <v>192</v>
      </c>
      <c r="D395" s="3" t="s">
        <v>8862</v>
      </c>
      <c r="E395" s="3" t="s">
        <v>8864</v>
      </c>
      <c r="I395" t="s">
        <v>9199</v>
      </c>
      <c r="J395" s="9" t="s">
        <v>3894</v>
      </c>
      <c r="T395" s="9" t="str">
        <f t="shared" ca="1" si="18"/>
        <v/>
      </c>
      <c r="U395" s="9" t="str">
        <f t="shared" ca="1" si="19"/>
        <v/>
      </c>
      <c r="V395" s="9" t="s">
        <v>8728</v>
      </c>
    </row>
    <row r="396" spans="1:29">
      <c r="A396" s="3" t="s">
        <v>193</v>
      </c>
      <c r="D396" s="3" t="s">
        <v>4131</v>
      </c>
      <c r="E396" s="4" t="s">
        <v>4132</v>
      </c>
      <c r="F396" t="s">
        <v>3897</v>
      </c>
      <c r="J396" s="9" t="s">
        <v>8731</v>
      </c>
      <c r="T396" s="9" t="str">
        <f t="shared" ca="1" si="18"/>
        <v/>
      </c>
      <c r="U396" s="9" t="str">
        <f t="shared" ca="1" si="19"/>
        <v/>
      </c>
    </row>
    <row r="397" spans="1:29">
      <c r="A397" s="3" t="s">
        <v>193</v>
      </c>
      <c r="D397" s="3" t="s">
        <v>4133</v>
      </c>
      <c r="E397" s="3" t="s">
        <v>2339</v>
      </c>
      <c r="J397" s="9" t="s">
        <v>8729</v>
      </c>
      <c r="S397" s="9">
        <f xml:space="preserve"> 6-10</f>
        <v>-4</v>
      </c>
      <c r="T397" s="9">
        <f t="shared" ca="1" si="18"/>
        <v>10</v>
      </c>
      <c r="U397" s="9">
        <f t="shared" ca="1" si="19"/>
        <v>6</v>
      </c>
      <c r="Z397" s="9" t="s">
        <v>8757</v>
      </c>
      <c r="AA397" s="9" t="s">
        <v>3884</v>
      </c>
    </row>
    <row r="398" spans="1:29">
      <c r="A398" s="3" t="s">
        <v>194</v>
      </c>
      <c r="D398" s="3" t="s">
        <v>8866</v>
      </c>
      <c r="E398" s="3" t="s">
        <v>8867</v>
      </c>
      <c r="J398" s="9" t="s">
        <v>8731</v>
      </c>
      <c r="T398" s="9" t="str">
        <f t="shared" ca="1" si="18"/>
        <v/>
      </c>
      <c r="U398" s="9" t="str">
        <f t="shared" ca="1" si="19"/>
        <v/>
      </c>
      <c r="Z398" s="9" t="s">
        <v>8742</v>
      </c>
      <c r="AA398" s="9" t="s">
        <v>3884</v>
      </c>
      <c r="AB398" s="9" t="s">
        <v>8700</v>
      </c>
    </row>
    <row r="399" spans="1:29">
      <c r="A399" s="3" t="s">
        <v>194</v>
      </c>
      <c r="D399" s="3" t="s">
        <v>4134</v>
      </c>
      <c r="E399" s="4" t="s">
        <v>2340</v>
      </c>
      <c r="F399" t="s">
        <v>3897</v>
      </c>
      <c r="T399" s="9" t="str">
        <f t="shared" ca="1" si="18"/>
        <v/>
      </c>
      <c r="U399" s="9" t="str">
        <f t="shared" ca="1" si="19"/>
        <v/>
      </c>
    </row>
    <row r="400" spans="1:29">
      <c r="A400" s="3" t="s">
        <v>195</v>
      </c>
      <c r="D400" s="3" t="s">
        <v>2098</v>
      </c>
      <c r="E400" s="3" t="s">
        <v>2099</v>
      </c>
      <c r="J400" s="9" t="s">
        <v>8731</v>
      </c>
      <c r="T400" s="9" t="str">
        <f t="shared" ca="1" si="18"/>
        <v/>
      </c>
      <c r="U400" s="9" t="str">
        <f t="shared" ca="1" si="19"/>
        <v/>
      </c>
      <c r="Z400" s="9" t="s">
        <v>8741</v>
      </c>
      <c r="AA400" s="9" t="s">
        <v>3884</v>
      </c>
    </row>
    <row r="401" spans="1:28">
      <c r="A401" s="3" t="s">
        <v>195</v>
      </c>
      <c r="D401" s="3" t="s">
        <v>4135</v>
      </c>
      <c r="E401" s="3" t="s">
        <v>2225</v>
      </c>
      <c r="J401" s="9" t="s">
        <v>8729</v>
      </c>
      <c r="S401" s="9" t="s">
        <v>8739</v>
      </c>
      <c r="T401" s="9" t="str">
        <f t="shared" ca="1" si="18"/>
        <v/>
      </c>
      <c r="U401" s="9" t="str">
        <f t="shared" ca="1" si="19"/>
        <v/>
      </c>
      <c r="AB401" s="9" t="s">
        <v>8697</v>
      </c>
    </row>
    <row r="402" spans="1:28">
      <c r="A402" s="3" t="s">
        <v>195</v>
      </c>
      <c r="D402" s="3" t="s">
        <v>8868</v>
      </c>
      <c r="E402" s="3" t="s">
        <v>8869</v>
      </c>
      <c r="J402" s="9" t="s">
        <v>3889</v>
      </c>
      <c r="K402" s="9">
        <v>1</v>
      </c>
      <c r="L402" s="9">
        <v>1</v>
      </c>
      <c r="M402" s="9" t="s">
        <v>8689</v>
      </c>
      <c r="N402" s="9" t="s">
        <v>8730</v>
      </c>
      <c r="R402" s="9">
        <v>10929</v>
      </c>
      <c r="T402" s="9" t="str">
        <f t="shared" ca="1" si="18"/>
        <v/>
      </c>
      <c r="U402" s="9" t="str">
        <f t="shared" ca="1" si="19"/>
        <v/>
      </c>
    </row>
    <row r="403" spans="1:28">
      <c r="A403" s="3" t="s">
        <v>196</v>
      </c>
      <c r="D403" s="3" t="s">
        <v>3803</v>
      </c>
      <c r="E403" s="3" t="s">
        <v>2341</v>
      </c>
      <c r="J403" s="9" t="s">
        <v>8731</v>
      </c>
      <c r="T403" s="9" t="str">
        <f t="shared" ca="1" si="18"/>
        <v/>
      </c>
      <c r="U403" s="9" t="str">
        <f t="shared" ca="1" si="19"/>
        <v/>
      </c>
      <c r="Z403" s="9" t="s">
        <v>8757</v>
      </c>
      <c r="AA403" s="9" t="s">
        <v>3884</v>
      </c>
    </row>
    <row r="404" spans="1:28">
      <c r="A404" s="3" t="s">
        <v>196</v>
      </c>
      <c r="D404" s="3" t="s">
        <v>4136</v>
      </c>
      <c r="E404" s="3" t="s">
        <v>2343</v>
      </c>
      <c r="F404" t="s">
        <v>3881</v>
      </c>
      <c r="T404" s="9" t="str">
        <f t="shared" ca="1" si="18"/>
        <v/>
      </c>
      <c r="U404" s="9" t="str">
        <f t="shared" ca="1" si="19"/>
        <v/>
      </c>
    </row>
    <row r="405" spans="1:28">
      <c r="A405" s="3" t="s">
        <v>197</v>
      </c>
      <c r="D405" s="3" t="s">
        <v>2026</v>
      </c>
      <c r="E405" s="3" t="s">
        <v>2027</v>
      </c>
      <c r="J405" s="9" t="s">
        <v>8729</v>
      </c>
      <c r="S405" s="9" t="s">
        <v>8739</v>
      </c>
      <c r="T405" s="9" t="str">
        <f t="shared" ca="1" si="18"/>
        <v/>
      </c>
      <c r="U405" s="9" t="str">
        <f t="shared" ca="1" si="19"/>
        <v/>
      </c>
      <c r="Z405" s="9" t="s">
        <v>8742</v>
      </c>
      <c r="AA405" s="9" t="s">
        <v>3884</v>
      </c>
      <c r="AB405" s="9" t="s">
        <v>8697</v>
      </c>
    </row>
    <row r="406" spans="1:28">
      <c r="A406" s="3" t="s">
        <v>198</v>
      </c>
      <c r="D406" s="3" t="s">
        <v>4137</v>
      </c>
      <c r="E406" s="3" t="s">
        <v>4138</v>
      </c>
      <c r="H406" t="s">
        <v>3884</v>
      </c>
      <c r="J406" s="9" t="s">
        <v>3885</v>
      </c>
      <c r="K406" s="9">
        <v>1</v>
      </c>
      <c r="L406" s="9">
        <v>4</v>
      </c>
      <c r="M406" s="9" t="s">
        <v>8683</v>
      </c>
      <c r="N406" s="9" t="s">
        <v>8690</v>
      </c>
      <c r="R406" s="9" t="s">
        <v>8739</v>
      </c>
      <c r="T406" s="9" t="str">
        <f t="shared" ca="1" si="18"/>
        <v/>
      </c>
      <c r="U406" s="9" t="str">
        <f t="shared" ca="1" si="19"/>
        <v/>
      </c>
      <c r="AB406" s="9" t="s">
        <v>8688</v>
      </c>
    </row>
    <row r="407" spans="1:28" ht="29">
      <c r="A407" s="3" t="s">
        <v>198</v>
      </c>
      <c r="D407" s="4" t="s">
        <v>9436</v>
      </c>
      <c r="E407" s="3" t="s">
        <v>9437</v>
      </c>
      <c r="F407" t="s">
        <v>3883</v>
      </c>
      <c r="T407" s="9" t="str">
        <f t="shared" ca="1" si="18"/>
        <v/>
      </c>
      <c r="U407" s="9" t="str">
        <f t="shared" ca="1" si="19"/>
        <v/>
      </c>
    </row>
    <row r="408" spans="1:28">
      <c r="A408" s="3" t="s">
        <v>199</v>
      </c>
      <c r="D408" s="3" t="s">
        <v>4139</v>
      </c>
      <c r="E408" s="3" t="s">
        <v>4140</v>
      </c>
      <c r="J408" s="9" t="s">
        <v>3889</v>
      </c>
      <c r="K408" s="9">
        <v>1</v>
      </c>
      <c r="L408" s="9">
        <v>7</v>
      </c>
      <c r="M408" s="9" t="s">
        <v>8736</v>
      </c>
      <c r="N408" s="9" t="s">
        <v>8690</v>
      </c>
      <c r="R408" s="9">
        <v>319</v>
      </c>
      <c r="T408" s="9" t="str">
        <f t="shared" ca="1" si="18"/>
        <v/>
      </c>
      <c r="U408" s="9" t="str">
        <f t="shared" ca="1" si="19"/>
        <v/>
      </c>
    </row>
    <row r="409" spans="1:28">
      <c r="A409" s="3" t="s">
        <v>200</v>
      </c>
      <c r="D409" s="3" t="s">
        <v>4141</v>
      </c>
      <c r="E409" s="3" t="s">
        <v>2330</v>
      </c>
      <c r="J409" s="9" t="s">
        <v>8729</v>
      </c>
      <c r="Q409" s="9" t="s">
        <v>8685</v>
      </c>
      <c r="S409" s="9" t="s">
        <v>8739</v>
      </c>
      <c r="T409" s="9" t="str">
        <f t="shared" ca="1" si="18"/>
        <v/>
      </c>
      <c r="U409" s="9" t="str">
        <f t="shared" ca="1" si="19"/>
        <v/>
      </c>
      <c r="AB409" s="9" t="s">
        <v>8697</v>
      </c>
    </row>
    <row r="410" spans="1:28">
      <c r="A410" s="3" t="s">
        <v>200</v>
      </c>
      <c r="D410" s="3" t="s">
        <v>2514</v>
      </c>
      <c r="E410" s="3" t="s">
        <v>2350</v>
      </c>
      <c r="J410" s="9" t="s">
        <v>8729</v>
      </c>
      <c r="S410" s="9">
        <f>12-0</f>
        <v>12</v>
      </c>
      <c r="T410" s="9">
        <f t="shared" ca="1" si="18"/>
        <v>0</v>
      </c>
      <c r="U410" s="9">
        <f t="shared" ca="1" si="19"/>
        <v>12</v>
      </c>
      <c r="AB410" s="9" t="s">
        <v>8700</v>
      </c>
    </row>
    <row r="411" spans="1:28">
      <c r="A411" s="3" t="s">
        <v>200</v>
      </c>
      <c r="D411" s="4" t="s">
        <v>4142</v>
      </c>
      <c r="E411" s="3" t="s">
        <v>2352</v>
      </c>
      <c r="F411" t="s">
        <v>3883</v>
      </c>
      <c r="T411" s="9" t="str">
        <f t="shared" ca="1" si="18"/>
        <v/>
      </c>
      <c r="U411" s="9" t="str">
        <f t="shared" ca="1" si="19"/>
        <v/>
      </c>
    </row>
    <row r="412" spans="1:28">
      <c r="A412" s="3" t="s">
        <v>201</v>
      </c>
      <c r="D412" s="3" t="s">
        <v>4143</v>
      </c>
      <c r="E412" s="3" t="s">
        <v>4144</v>
      </c>
      <c r="I412" t="s">
        <v>9677</v>
      </c>
      <c r="J412" s="9" t="s">
        <v>3889</v>
      </c>
      <c r="K412" s="9">
        <v>1</v>
      </c>
      <c r="L412" s="9">
        <v>2</v>
      </c>
      <c r="M412" s="9" t="s">
        <v>8689</v>
      </c>
      <c r="N412" s="9" t="s">
        <v>8730</v>
      </c>
      <c r="R412" s="9">
        <v>10929</v>
      </c>
      <c r="T412" s="9" t="str">
        <f t="shared" ca="1" si="18"/>
        <v/>
      </c>
      <c r="U412" s="9" t="str">
        <f t="shared" ca="1" si="19"/>
        <v/>
      </c>
      <c r="V412" s="9" t="s">
        <v>8728</v>
      </c>
    </row>
    <row r="413" spans="1:28" ht="29">
      <c r="A413" s="3" t="s">
        <v>201</v>
      </c>
      <c r="D413" s="3" t="s">
        <v>9576</v>
      </c>
      <c r="E413" s="4" t="s">
        <v>9577</v>
      </c>
      <c r="F413" t="s">
        <v>4197</v>
      </c>
      <c r="I413" t="s">
        <v>9579</v>
      </c>
      <c r="J413" s="9" t="s">
        <v>3889</v>
      </c>
      <c r="K413" s="9">
        <v>1</v>
      </c>
      <c r="L413" s="9">
        <v>2</v>
      </c>
      <c r="M413" s="9" t="s">
        <v>8689</v>
      </c>
      <c r="N413" s="9" t="s">
        <v>8730</v>
      </c>
      <c r="R413" s="9">
        <v>10929</v>
      </c>
      <c r="T413" s="9" t="str">
        <f t="shared" ref="T413" ca="1" si="20">IF(ISNUMBER(S413),VALUE(MID(_xlfn.FORMULATEXT(S413),SEARCH("-",_xlfn.FORMULATEXT(S413))+1,LEN(_xlfn.FORMULATEXT(S413))-SEARCH("-",_xlfn.FORMULATEXT(S413)))), "")</f>
        <v/>
      </c>
      <c r="U413" s="9" t="str">
        <f t="shared" ref="U413" ca="1" si="21">IF(ISNUMBER(S413), VALUE(MID(_xlfn.FORMULATEXT(S413), 2, SEARCH("-", _xlfn.FORMULATEXT(S413)) - 2)), "")</f>
        <v/>
      </c>
    </row>
    <row r="414" spans="1:28" ht="29">
      <c r="A414" s="3" t="s">
        <v>201</v>
      </c>
      <c r="D414" s="3" t="s">
        <v>9578</v>
      </c>
      <c r="E414" s="3" t="s">
        <v>8870</v>
      </c>
      <c r="J414" s="9" t="s">
        <v>3889</v>
      </c>
      <c r="K414" s="9">
        <v>1</v>
      </c>
      <c r="L414" s="9">
        <v>2</v>
      </c>
      <c r="M414" s="9" t="s">
        <v>8689</v>
      </c>
      <c r="N414" s="9" t="s">
        <v>8730</v>
      </c>
      <c r="R414" s="9">
        <v>10929</v>
      </c>
      <c r="T414" s="9" t="str">
        <f t="shared" ca="1" si="18"/>
        <v/>
      </c>
      <c r="U414" s="9" t="str">
        <f t="shared" ca="1" si="19"/>
        <v/>
      </c>
    </row>
    <row r="415" spans="1:28">
      <c r="A415" s="3" t="s">
        <v>202</v>
      </c>
      <c r="D415" s="3" t="s">
        <v>4143</v>
      </c>
      <c r="E415" s="3" t="s">
        <v>4144</v>
      </c>
      <c r="I415" t="s">
        <v>9678</v>
      </c>
      <c r="J415" s="9" t="s">
        <v>3889</v>
      </c>
      <c r="K415" s="9">
        <v>1</v>
      </c>
      <c r="L415" s="9">
        <v>2</v>
      </c>
      <c r="M415" s="9" t="s">
        <v>8689</v>
      </c>
      <c r="N415" s="9" t="s">
        <v>8730</v>
      </c>
      <c r="R415" s="9">
        <v>10929</v>
      </c>
      <c r="T415" s="9" t="str">
        <f t="shared" ca="1" si="18"/>
        <v/>
      </c>
      <c r="U415" s="9" t="str">
        <f t="shared" ca="1" si="19"/>
        <v/>
      </c>
      <c r="V415" s="9" t="s">
        <v>8728</v>
      </c>
    </row>
    <row r="416" spans="1:28">
      <c r="A416" s="3" t="s">
        <v>203</v>
      </c>
      <c r="D416" s="3" t="s">
        <v>8872</v>
      </c>
      <c r="E416" s="3" t="s">
        <v>8871</v>
      </c>
      <c r="H416" t="s">
        <v>3884</v>
      </c>
      <c r="J416" s="9" t="s">
        <v>3885</v>
      </c>
      <c r="K416" s="9">
        <v>1</v>
      </c>
      <c r="L416" s="9">
        <v>1</v>
      </c>
      <c r="M416" s="9" t="s">
        <v>8689</v>
      </c>
      <c r="N416" s="9" t="s">
        <v>8730</v>
      </c>
      <c r="R416" s="9">
        <v>10929</v>
      </c>
      <c r="T416" s="9" t="str">
        <f t="shared" ca="1" si="18"/>
        <v/>
      </c>
      <c r="U416" s="9" t="str">
        <f t="shared" ca="1" si="19"/>
        <v/>
      </c>
    </row>
    <row r="417" spans="1:28">
      <c r="A417" s="3" t="s">
        <v>203</v>
      </c>
      <c r="D417" s="3" t="s">
        <v>4145</v>
      </c>
      <c r="E417" s="3" t="s">
        <v>2356</v>
      </c>
      <c r="H417" t="s">
        <v>3884</v>
      </c>
      <c r="J417" s="9" t="s">
        <v>8731</v>
      </c>
      <c r="T417" s="9" t="str">
        <f t="shared" ca="1" si="18"/>
        <v/>
      </c>
      <c r="U417" s="9" t="str">
        <f t="shared" ca="1" si="19"/>
        <v/>
      </c>
      <c r="AB417" s="9" t="s">
        <v>8688</v>
      </c>
    </row>
    <row r="418" spans="1:28">
      <c r="A418" s="3" t="s">
        <v>204</v>
      </c>
      <c r="D418" s="3" t="s">
        <v>8873</v>
      </c>
      <c r="E418" s="3" t="s">
        <v>8874</v>
      </c>
      <c r="H418" t="s">
        <v>3892</v>
      </c>
      <c r="I418" t="s">
        <v>4146</v>
      </c>
      <c r="J418" s="9" t="s">
        <v>8729</v>
      </c>
      <c r="S418" s="9">
        <f>6-1</f>
        <v>5</v>
      </c>
      <c r="T418" s="9">
        <f t="shared" ca="1" si="18"/>
        <v>1</v>
      </c>
      <c r="U418" s="9">
        <f t="shared" ca="1" si="19"/>
        <v>6</v>
      </c>
    </row>
    <row r="419" spans="1:28">
      <c r="A419" s="3" t="s">
        <v>205</v>
      </c>
      <c r="D419" s="3" t="s">
        <v>2943</v>
      </c>
      <c r="E419" s="3" t="s">
        <v>2358</v>
      </c>
      <c r="J419" s="9" t="s">
        <v>8731</v>
      </c>
      <c r="T419" s="9" t="str">
        <f t="shared" ca="1" si="18"/>
        <v/>
      </c>
      <c r="U419" s="9" t="str">
        <f t="shared" ca="1" si="19"/>
        <v/>
      </c>
      <c r="Y419" s="9" t="s">
        <v>8693</v>
      </c>
      <c r="AA419" s="9" t="s">
        <v>3884</v>
      </c>
    </row>
    <row r="420" spans="1:28">
      <c r="A420" s="3" t="s">
        <v>206</v>
      </c>
      <c r="D420" s="3" t="s">
        <v>8875</v>
      </c>
      <c r="E420" s="3" t="s">
        <v>8876</v>
      </c>
      <c r="J420" s="9" t="s">
        <v>8731</v>
      </c>
      <c r="T420" s="9" t="str">
        <f t="shared" ca="1" si="18"/>
        <v/>
      </c>
      <c r="U420" s="9" t="str">
        <f t="shared" ca="1" si="19"/>
        <v/>
      </c>
      <c r="Z420" s="9" t="s">
        <v>8747</v>
      </c>
      <c r="AA420" s="9" t="s">
        <v>3884</v>
      </c>
      <c r="AB420" s="9" t="s">
        <v>8700</v>
      </c>
    </row>
    <row r="421" spans="1:28">
      <c r="A421" s="3" t="s">
        <v>206</v>
      </c>
      <c r="D421" s="3" t="s">
        <v>8877</v>
      </c>
      <c r="E421" s="3" t="s">
        <v>8878</v>
      </c>
      <c r="H421" t="s">
        <v>3884</v>
      </c>
      <c r="J421" s="9" t="s">
        <v>3889</v>
      </c>
      <c r="K421" s="9">
        <v>1</v>
      </c>
      <c r="L421" s="9">
        <v>1</v>
      </c>
      <c r="M421" s="9" t="s">
        <v>8689</v>
      </c>
      <c r="N421" s="9" t="s">
        <v>8730</v>
      </c>
      <c r="R421" s="9">
        <v>10929</v>
      </c>
      <c r="T421" s="9" t="str">
        <f t="shared" ca="1" si="18"/>
        <v/>
      </c>
      <c r="U421" s="9" t="str">
        <f t="shared" ca="1" si="19"/>
        <v/>
      </c>
    </row>
    <row r="422" spans="1:28">
      <c r="A422" s="3" t="s">
        <v>207</v>
      </c>
      <c r="D422" s="3" t="s">
        <v>2098</v>
      </c>
      <c r="E422" s="3" t="s">
        <v>2099</v>
      </c>
      <c r="J422" s="9" t="s">
        <v>8731</v>
      </c>
      <c r="T422" s="9" t="str">
        <f t="shared" ca="1" si="18"/>
        <v/>
      </c>
      <c r="U422" s="9" t="str">
        <f t="shared" ca="1" si="19"/>
        <v/>
      </c>
      <c r="Z422" s="9" t="s">
        <v>8741</v>
      </c>
      <c r="AA422" s="9" t="s">
        <v>3884</v>
      </c>
    </row>
    <row r="423" spans="1:28" ht="29">
      <c r="A423" s="3" t="s">
        <v>207</v>
      </c>
      <c r="D423" s="3" t="s">
        <v>8879</v>
      </c>
      <c r="E423" s="3" t="s">
        <v>8880</v>
      </c>
      <c r="J423" s="9" t="s">
        <v>3889</v>
      </c>
      <c r="K423" s="9">
        <v>1</v>
      </c>
      <c r="L423" s="9">
        <v>6</v>
      </c>
      <c r="M423" s="9" t="s">
        <v>8683</v>
      </c>
      <c r="N423" s="9" t="s">
        <v>8690</v>
      </c>
      <c r="R423" s="9">
        <v>520</v>
      </c>
      <c r="T423" s="9" t="str">
        <f t="shared" ca="1" si="18"/>
        <v/>
      </c>
      <c r="U423" s="9" t="str">
        <f t="shared" ca="1" si="19"/>
        <v/>
      </c>
    </row>
    <row r="424" spans="1:28">
      <c r="A424" s="3" t="s">
        <v>208</v>
      </c>
      <c r="D424" s="3" t="s">
        <v>2361</v>
      </c>
      <c r="E424" s="3" t="s">
        <v>2362</v>
      </c>
      <c r="J424" s="9" t="s">
        <v>8731</v>
      </c>
      <c r="T424" s="9" t="str">
        <f t="shared" ca="1" si="18"/>
        <v/>
      </c>
      <c r="U424" s="9" t="str">
        <f t="shared" ca="1" si="19"/>
        <v/>
      </c>
    </row>
    <row r="425" spans="1:28">
      <c r="A425" s="3" t="s">
        <v>209</v>
      </c>
      <c r="D425" s="3" t="s">
        <v>2363</v>
      </c>
      <c r="E425" s="3" t="s">
        <v>2364</v>
      </c>
      <c r="H425" t="s">
        <v>3884</v>
      </c>
      <c r="J425" s="9" t="s">
        <v>8731</v>
      </c>
      <c r="T425" s="9" t="str">
        <f t="shared" ca="1" si="18"/>
        <v/>
      </c>
      <c r="U425" s="9" t="str">
        <f t="shared" ca="1" si="19"/>
        <v/>
      </c>
      <c r="AB425" s="9" t="s">
        <v>8697</v>
      </c>
    </row>
    <row r="426" spans="1:28" ht="29">
      <c r="A426" s="3" t="s">
        <v>209</v>
      </c>
      <c r="D426" s="3" t="s">
        <v>8881</v>
      </c>
      <c r="E426" s="3" t="s">
        <v>8882</v>
      </c>
      <c r="J426" s="9" t="s">
        <v>3889</v>
      </c>
      <c r="K426" s="9">
        <v>1</v>
      </c>
      <c r="L426" s="9">
        <v>7</v>
      </c>
      <c r="M426" s="9" t="s">
        <v>8695</v>
      </c>
      <c r="N426" s="9" t="s">
        <v>8690</v>
      </c>
      <c r="R426" s="9">
        <v>17</v>
      </c>
      <c r="T426" s="9" t="str">
        <f t="shared" ca="1" si="18"/>
        <v/>
      </c>
      <c r="U426" s="9" t="str">
        <f t="shared" ca="1" si="19"/>
        <v/>
      </c>
    </row>
    <row r="427" spans="1:28">
      <c r="A427" s="3" t="s">
        <v>210</v>
      </c>
      <c r="D427" s="3" t="s">
        <v>2199</v>
      </c>
      <c r="E427" s="3" t="s">
        <v>2102</v>
      </c>
      <c r="H427" t="s">
        <v>3884</v>
      </c>
      <c r="J427" s="9" t="s">
        <v>8729</v>
      </c>
      <c r="S427" s="9">
        <f>79-3678</f>
        <v>-3599</v>
      </c>
      <c r="T427" s="9">
        <f t="shared" ca="1" si="18"/>
        <v>3678</v>
      </c>
      <c r="U427" s="9">
        <f t="shared" ca="1" si="19"/>
        <v>79</v>
      </c>
    </row>
    <row r="428" spans="1:28">
      <c r="A428" s="3" t="s">
        <v>210</v>
      </c>
      <c r="D428" s="3" t="s">
        <v>4147</v>
      </c>
      <c r="E428" s="3" t="s">
        <v>2365</v>
      </c>
      <c r="H428" t="s">
        <v>3884</v>
      </c>
      <c r="J428" s="9" t="s">
        <v>8729</v>
      </c>
      <c r="S428" s="9" t="s">
        <v>8739</v>
      </c>
      <c r="T428" s="9" t="str">
        <f t="shared" ca="1" si="18"/>
        <v/>
      </c>
      <c r="U428" s="9" t="str">
        <f t="shared" ca="1" si="19"/>
        <v/>
      </c>
      <c r="AB428" s="9" t="s">
        <v>8688</v>
      </c>
    </row>
    <row r="429" spans="1:28">
      <c r="A429" s="3" t="s">
        <v>210</v>
      </c>
      <c r="D429" s="3" t="s">
        <v>4148</v>
      </c>
      <c r="E429" s="3" t="s">
        <v>4149</v>
      </c>
      <c r="H429" t="s">
        <v>3884</v>
      </c>
      <c r="J429" s="9" t="s">
        <v>3889</v>
      </c>
      <c r="K429" s="9">
        <v>1</v>
      </c>
      <c r="L429" s="9">
        <v>2</v>
      </c>
      <c r="M429" s="9" t="s">
        <v>8689</v>
      </c>
      <c r="N429" s="9" t="s">
        <v>8730</v>
      </c>
      <c r="R429" s="9">
        <v>10929</v>
      </c>
      <c r="T429" s="9" t="str">
        <f t="shared" ca="1" si="18"/>
        <v/>
      </c>
      <c r="U429" s="9" t="str">
        <f t="shared" ca="1" si="19"/>
        <v/>
      </c>
    </row>
    <row r="430" spans="1:28">
      <c r="A430" s="3" t="s">
        <v>210</v>
      </c>
      <c r="D430" s="3" t="s">
        <v>4150</v>
      </c>
      <c r="E430" s="3" t="s">
        <v>4151</v>
      </c>
      <c r="F430" t="s">
        <v>3893</v>
      </c>
      <c r="H430" t="s">
        <v>3892</v>
      </c>
      <c r="I430" t="s">
        <v>4152</v>
      </c>
      <c r="T430" s="9" t="str">
        <f t="shared" ca="1" si="18"/>
        <v/>
      </c>
      <c r="U430" s="9" t="str">
        <f t="shared" ca="1" si="19"/>
        <v/>
      </c>
    </row>
    <row r="431" spans="1:28">
      <c r="A431" s="3" t="s">
        <v>211</v>
      </c>
      <c r="D431" s="3" t="s">
        <v>9580</v>
      </c>
      <c r="E431" s="3" t="s">
        <v>9581</v>
      </c>
      <c r="H431" t="s">
        <v>3884</v>
      </c>
      <c r="J431" s="9" t="s">
        <v>3885</v>
      </c>
      <c r="K431" s="9">
        <v>1</v>
      </c>
      <c r="L431" s="9">
        <v>1</v>
      </c>
      <c r="M431" s="9" t="s">
        <v>8698</v>
      </c>
      <c r="N431" s="9" t="s">
        <v>8730</v>
      </c>
      <c r="R431" s="9">
        <v>55</v>
      </c>
      <c r="T431" s="9" t="str">
        <f t="shared" ca="1" si="18"/>
        <v/>
      </c>
      <c r="U431" s="9" t="str">
        <f t="shared" ca="1" si="19"/>
        <v/>
      </c>
    </row>
    <row r="432" spans="1:28">
      <c r="A432" s="3" t="s">
        <v>212</v>
      </c>
      <c r="D432" t="s">
        <v>8883</v>
      </c>
      <c r="E432" t="s">
        <v>8884</v>
      </c>
      <c r="H432" t="s">
        <v>3884</v>
      </c>
      <c r="J432" s="9" t="s">
        <v>8731</v>
      </c>
      <c r="T432" s="9" t="str">
        <f t="shared" ca="1" si="18"/>
        <v/>
      </c>
      <c r="U432" s="9" t="str">
        <f t="shared" ca="1" si="19"/>
        <v/>
      </c>
    </row>
    <row r="433" spans="1:28">
      <c r="A433" s="3" t="s">
        <v>213</v>
      </c>
      <c r="D433" s="3" t="s">
        <v>4153</v>
      </c>
      <c r="E433" s="3" t="s">
        <v>4154</v>
      </c>
      <c r="H433" t="s">
        <v>3884</v>
      </c>
      <c r="J433" s="9" t="s">
        <v>3885</v>
      </c>
      <c r="K433" s="9">
        <v>1</v>
      </c>
      <c r="L433" s="9">
        <v>3</v>
      </c>
      <c r="M433" s="9" t="s">
        <v>8703</v>
      </c>
      <c r="N433" s="9" t="s">
        <v>8690</v>
      </c>
      <c r="R433" s="9" t="s">
        <v>8739</v>
      </c>
      <c r="T433" s="9" t="str">
        <f t="shared" ca="1" si="18"/>
        <v/>
      </c>
      <c r="U433" s="9" t="str">
        <f t="shared" ca="1" si="19"/>
        <v/>
      </c>
      <c r="AB433" s="9" t="s">
        <v>8688</v>
      </c>
    </row>
    <row r="434" spans="1:28">
      <c r="A434" s="3" t="s">
        <v>214</v>
      </c>
      <c r="D434" s="3" t="s">
        <v>2054</v>
      </c>
      <c r="E434" s="3" t="s">
        <v>2210</v>
      </c>
      <c r="J434" s="9" t="s">
        <v>8731</v>
      </c>
      <c r="T434" s="9" t="str">
        <f t="shared" ca="1" si="18"/>
        <v/>
      </c>
      <c r="U434" s="9" t="str">
        <f t="shared" ca="1" si="19"/>
        <v/>
      </c>
      <c r="Z434" s="9" t="s">
        <v>8757</v>
      </c>
      <c r="AA434" s="9" t="s">
        <v>3884</v>
      </c>
    </row>
    <row r="435" spans="1:28">
      <c r="A435" s="3" t="s">
        <v>214</v>
      </c>
      <c r="D435" s="3" t="s">
        <v>9438</v>
      </c>
      <c r="E435" s="3" t="s">
        <v>9439</v>
      </c>
      <c r="J435" s="9" t="s">
        <v>8731</v>
      </c>
      <c r="T435" s="9" t="str">
        <f t="shared" ca="1" si="18"/>
        <v/>
      </c>
      <c r="U435" s="9" t="str">
        <f t="shared" ca="1" si="19"/>
        <v/>
      </c>
      <c r="Z435" s="9" t="s">
        <v>8741</v>
      </c>
      <c r="AA435" s="9" t="s">
        <v>3884</v>
      </c>
    </row>
    <row r="436" spans="1:28">
      <c r="A436" s="3" t="s">
        <v>214</v>
      </c>
      <c r="D436" s="3" t="s">
        <v>9440</v>
      </c>
      <c r="E436" s="3" t="s">
        <v>9441</v>
      </c>
      <c r="J436" s="9" t="s">
        <v>8731</v>
      </c>
      <c r="T436" s="9" t="str">
        <f t="shared" ca="1" si="18"/>
        <v/>
      </c>
      <c r="U436" s="9" t="str">
        <f t="shared" ca="1" si="19"/>
        <v/>
      </c>
      <c r="Z436" s="9" t="s">
        <v>8741</v>
      </c>
      <c r="AA436" s="9" t="s">
        <v>3884</v>
      </c>
    </row>
    <row r="437" spans="1:28">
      <c r="A437" s="3" t="s">
        <v>215</v>
      </c>
      <c r="D437" s="3" t="s">
        <v>2360</v>
      </c>
      <c r="E437" s="3" t="s">
        <v>2367</v>
      </c>
      <c r="J437" s="9" t="s">
        <v>8731</v>
      </c>
      <c r="T437" s="9" t="str">
        <f t="shared" ca="1" si="18"/>
        <v/>
      </c>
      <c r="U437" s="9" t="str">
        <f t="shared" ca="1" si="19"/>
        <v/>
      </c>
    </row>
    <row r="438" spans="1:28">
      <c r="A438" s="3" t="s">
        <v>216</v>
      </c>
      <c r="D438" s="3" t="s">
        <v>8886</v>
      </c>
      <c r="E438" s="3" t="s">
        <v>8887</v>
      </c>
      <c r="J438" s="9" t="s">
        <v>8731</v>
      </c>
      <c r="T438" s="9" t="str">
        <f t="shared" ca="1" si="18"/>
        <v/>
      </c>
      <c r="U438" s="9" t="str">
        <f t="shared" ca="1" si="19"/>
        <v/>
      </c>
      <c r="Z438" s="9" t="s">
        <v>8747</v>
      </c>
      <c r="AA438" s="9" t="s">
        <v>3884</v>
      </c>
      <c r="AB438" s="9" t="s">
        <v>8700</v>
      </c>
    </row>
    <row r="439" spans="1:28">
      <c r="A439" s="3" t="s">
        <v>217</v>
      </c>
      <c r="D439" s="3" t="s">
        <v>4155</v>
      </c>
      <c r="E439" s="3" t="s">
        <v>4156</v>
      </c>
      <c r="J439" s="9" t="s">
        <v>3885</v>
      </c>
      <c r="K439" s="9">
        <v>1</v>
      </c>
      <c r="L439" s="9">
        <v>3</v>
      </c>
      <c r="M439" s="9" t="s">
        <v>8689</v>
      </c>
      <c r="N439" s="9" t="s">
        <v>8690</v>
      </c>
      <c r="R439" s="9">
        <v>10929</v>
      </c>
      <c r="T439" s="9" t="str">
        <f t="shared" ca="1" si="18"/>
        <v/>
      </c>
      <c r="U439" s="9" t="str">
        <f t="shared" ca="1" si="19"/>
        <v/>
      </c>
    </row>
    <row r="440" spans="1:28">
      <c r="A440" s="3" t="s">
        <v>218</v>
      </c>
      <c r="D440" s="3" t="s">
        <v>2371</v>
      </c>
      <c r="E440" s="3" t="s">
        <v>2372</v>
      </c>
      <c r="J440" s="9" t="s">
        <v>8729</v>
      </c>
      <c r="S440" s="9" t="s">
        <v>8739</v>
      </c>
      <c r="T440" s="9" t="str">
        <f t="shared" ca="1" si="18"/>
        <v/>
      </c>
      <c r="U440" s="9" t="str">
        <f t="shared" ca="1" si="19"/>
        <v/>
      </c>
      <c r="Z440" s="9" t="s">
        <v>8741</v>
      </c>
      <c r="AA440" s="9" t="s">
        <v>3884</v>
      </c>
      <c r="AB440" s="9" t="s">
        <v>8697</v>
      </c>
    </row>
    <row r="441" spans="1:28" ht="29">
      <c r="A441" s="3" t="s">
        <v>218</v>
      </c>
      <c r="D441" s="3" t="s">
        <v>4157</v>
      </c>
      <c r="E441" s="3" t="s">
        <v>4158</v>
      </c>
      <c r="H441" t="s">
        <v>3884</v>
      </c>
      <c r="J441" s="9" t="s">
        <v>8729</v>
      </c>
      <c r="S441" s="9">
        <f>781-10929</f>
        <v>-10148</v>
      </c>
      <c r="T441" s="9">
        <f t="shared" ca="1" si="18"/>
        <v>10929</v>
      </c>
      <c r="U441" s="9">
        <f t="shared" ca="1" si="19"/>
        <v>781</v>
      </c>
    </row>
    <row r="442" spans="1:28">
      <c r="A442" s="3" t="s">
        <v>219</v>
      </c>
      <c r="D442" s="3" t="s">
        <v>2373</v>
      </c>
      <c r="E442" s="3" t="s">
        <v>2374</v>
      </c>
      <c r="H442" t="s">
        <v>3892</v>
      </c>
      <c r="I442" t="s">
        <v>2374</v>
      </c>
      <c r="J442" s="9" t="s">
        <v>8729</v>
      </c>
      <c r="S442" s="9" t="s">
        <v>8739</v>
      </c>
      <c r="T442" s="9" t="str">
        <f t="shared" ca="1" si="18"/>
        <v/>
      </c>
      <c r="U442" s="9" t="str">
        <f t="shared" ca="1" si="19"/>
        <v/>
      </c>
      <c r="Y442" s="9" t="s">
        <v>8735</v>
      </c>
      <c r="Z442" s="9" t="s">
        <v>8742</v>
      </c>
      <c r="AA442" s="9" t="s">
        <v>3884</v>
      </c>
    </row>
    <row r="443" spans="1:28">
      <c r="A443" s="3" t="s">
        <v>220</v>
      </c>
      <c r="D443" s="3" t="s">
        <v>4161</v>
      </c>
      <c r="E443" s="3" t="s">
        <v>4160</v>
      </c>
      <c r="H443" t="s">
        <v>3884</v>
      </c>
      <c r="J443" s="9" t="s">
        <v>3889</v>
      </c>
      <c r="K443" s="9">
        <v>2</v>
      </c>
      <c r="L443" s="9">
        <v>6</v>
      </c>
      <c r="N443" s="9" t="s">
        <v>8684</v>
      </c>
      <c r="O443" s="9" t="s">
        <v>8847</v>
      </c>
      <c r="P443" s="10" t="s">
        <v>8813</v>
      </c>
      <c r="R443" s="9">
        <v>12</v>
      </c>
      <c r="T443" s="9" t="str">
        <f t="shared" ca="1" si="18"/>
        <v/>
      </c>
      <c r="U443" s="9" t="str">
        <f t="shared" ca="1" si="19"/>
        <v/>
      </c>
    </row>
    <row r="444" spans="1:28">
      <c r="A444" s="3" t="s">
        <v>220</v>
      </c>
      <c r="D444" s="3" t="s">
        <v>4159</v>
      </c>
      <c r="E444" s="3" t="s">
        <v>4162</v>
      </c>
      <c r="J444" s="9" t="s">
        <v>8729</v>
      </c>
      <c r="S444" s="9" t="s">
        <v>8730</v>
      </c>
      <c r="T444" s="9" t="str">
        <f t="shared" ca="1" si="18"/>
        <v/>
      </c>
      <c r="U444" s="9" t="str">
        <f t="shared" ca="1" si="19"/>
        <v/>
      </c>
      <c r="Y444" s="9" t="s">
        <v>8735</v>
      </c>
      <c r="Z444" s="9" t="s">
        <v>8757</v>
      </c>
      <c r="AA444" s="9" t="s">
        <v>3884</v>
      </c>
    </row>
    <row r="445" spans="1:28">
      <c r="A445" s="3" t="s">
        <v>221</v>
      </c>
      <c r="D445" s="3" t="s">
        <v>8888</v>
      </c>
      <c r="E445" s="3" t="s">
        <v>8889</v>
      </c>
      <c r="J445" s="9" t="s">
        <v>8729</v>
      </c>
      <c r="S445" s="9">
        <f>28-28</f>
        <v>0</v>
      </c>
      <c r="T445" s="9">
        <f t="shared" ca="1" si="18"/>
        <v>28</v>
      </c>
      <c r="U445" s="9">
        <f t="shared" ca="1" si="19"/>
        <v>28</v>
      </c>
      <c r="Z445" s="9" t="s">
        <v>9286</v>
      </c>
      <c r="AA445" s="9" t="s">
        <v>3884</v>
      </c>
      <c r="AB445" s="9" t="s">
        <v>8697</v>
      </c>
    </row>
    <row r="446" spans="1:28">
      <c r="A446" s="3" t="s">
        <v>222</v>
      </c>
      <c r="D446" s="3" t="s">
        <v>8890</v>
      </c>
      <c r="E446" s="3" t="s">
        <v>8891</v>
      </c>
      <c r="I446" t="s">
        <v>9200</v>
      </c>
      <c r="J446" s="9" t="s">
        <v>3889</v>
      </c>
      <c r="K446" s="9">
        <v>1</v>
      </c>
      <c r="L446" s="9">
        <v>3</v>
      </c>
      <c r="M446" s="9" t="s">
        <v>8689</v>
      </c>
      <c r="N446" s="9" t="s">
        <v>8690</v>
      </c>
      <c r="R446" s="9">
        <v>10929</v>
      </c>
      <c r="T446" s="9" t="str">
        <f t="shared" ca="1" si="18"/>
        <v/>
      </c>
      <c r="U446" s="9" t="str">
        <f t="shared" ca="1" si="19"/>
        <v/>
      </c>
      <c r="V446" s="9" t="s">
        <v>8728</v>
      </c>
    </row>
    <row r="447" spans="1:28">
      <c r="A447" s="3" t="s">
        <v>222</v>
      </c>
      <c r="D447" s="3" t="s">
        <v>2377</v>
      </c>
      <c r="E447" s="3" t="s">
        <v>2378</v>
      </c>
      <c r="J447" s="9" t="s">
        <v>8731</v>
      </c>
      <c r="T447" s="9" t="str">
        <f t="shared" ca="1" si="18"/>
        <v/>
      </c>
      <c r="U447" s="9" t="str">
        <f t="shared" ca="1" si="19"/>
        <v/>
      </c>
    </row>
    <row r="448" spans="1:28">
      <c r="A448" s="3" t="s">
        <v>222</v>
      </c>
      <c r="D448" s="3" t="s">
        <v>2379</v>
      </c>
      <c r="E448" s="4" t="s">
        <v>2380</v>
      </c>
      <c r="F448" t="s">
        <v>3897</v>
      </c>
      <c r="T448" s="9" t="str">
        <f t="shared" ca="1" si="18"/>
        <v/>
      </c>
      <c r="U448" s="9" t="str">
        <f t="shared" ca="1" si="19"/>
        <v/>
      </c>
    </row>
    <row r="449" spans="1:28">
      <c r="A449" s="3" t="s">
        <v>222</v>
      </c>
      <c r="D449" s="3" t="s">
        <v>2381</v>
      </c>
      <c r="E449" s="3" t="s">
        <v>2382</v>
      </c>
      <c r="J449" s="9" t="s">
        <v>8729</v>
      </c>
      <c r="S449" s="9" t="s">
        <v>8739</v>
      </c>
      <c r="T449" s="9" t="str">
        <f t="shared" ca="1" si="18"/>
        <v/>
      </c>
      <c r="U449" s="9" t="str">
        <f t="shared" ca="1" si="19"/>
        <v/>
      </c>
      <c r="Z449" s="9" t="s">
        <v>8741</v>
      </c>
      <c r="AA449" s="9" t="s">
        <v>3884</v>
      </c>
      <c r="AB449" s="9" t="s">
        <v>8697</v>
      </c>
    </row>
    <row r="450" spans="1:28">
      <c r="A450" s="3" t="s">
        <v>223</v>
      </c>
      <c r="D450" s="4" t="s">
        <v>2504</v>
      </c>
      <c r="E450" s="3" t="s">
        <v>2383</v>
      </c>
      <c r="F450" t="s">
        <v>3883</v>
      </c>
      <c r="T450" s="9" t="str">
        <f t="shared" ca="1" si="18"/>
        <v/>
      </c>
      <c r="U450" s="9" t="str">
        <f t="shared" ca="1" si="19"/>
        <v/>
      </c>
    </row>
    <row r="451" spans="1:28">
      <c r="A451" s="3" t="s">
        <v>223</v>
      </c>
      <c r="D451" s="3" t="s">
        <v>2384</v>
      </c>
      <c r="E451" s="3" t="s">
        <v>2385</v>
      </c>
      <c r="J451" s="9" t="s">
        <v>8731</v>
      </c>
      <c r="T451" s="9" t="str">
        <f t="shared" ca="1" si="18"/>
        <v/>
      </c>
      <c r="U451" s="9" t="str">
        <f t="shared" ca="1" si="19"/>
        <v/>
      </c>
      <c r="Z451" s="9" t="s">
        <v>8804</v>
      </c>
      <c r="AA451" s="9" t="s">
        <v>3884</v>
      </c>
      <c r="AB451" s="9" t="s">
        <v>8697</v>
      </c>
    </row>
    <row r="452" spans="1:28">
      <c r="A452" s="3" t="s">
        <v>224</v>
      </c>
      <c r="D452" s="3" t="s">
        <v>2386</v>
      </c>
      <c r="E452" s="3" t="s">
        <v>2387</v>
      </c>
      <c r="J452" s="9" t="s">
        <v>8729</v>
      </c>
      <c r="S452" s="9">
        <f>21-19</f>
        <v>2</v>
      </c>
      <c r="T452" s="9">
        <f t="shared" ca="1" si="18"/>
        <v>19</v>
      </c>
      <c r="U452" s="9">
        <f t="shared" ca="1" si="19"/>
        <v>21</v>
      </c>
      <c r="Z452" s="9" t="s">
        <v>8757</v>
      </c>
      <c r="AA452" s="9" t="s">
        <v>3884</v>
      </c>
      <c r="AB452" s="9" t="s">
        <v>8697</v>
      </c>
    </row>
    <row r="453" spans="1:28">
      <c r="A453" s="3" t="s">
        <v>225</v>
      </c>
      <c r="D453" s="3" t="s">
        <v>2388</v>
      </c>
      <c r="E453" s="3" t="s">
        <v>2389</v>
      </c>
      <c r="J453" s="9" t="s">
        <v>8729</v>
      </c>
      <c r="S453" s="9" t="s">
        <v>8730</v>
      </c>
      <c r="T453" s="9" t="str">
        <f t="shared" ref="T453:T516" ca="1" si="22">IF(ISNUMBER(S453),VALUE(MID(_xlfn.FORMULATEXT(S453),SEARCH("-",_xlfn.FORMULATEXT(S453))+1,LEN(_xlfn.FORMULATEXT(S453))-SEARCH("-",_xlfn.FORMULATEXT(S453)))), "")</f>
        <v/>
      </c>
      <c r="U453" s="9" t="str">
        <f t="shared" ref="U453:U516" ca="1" si="23">IF(ISNUMBER(S453), VALUE(MID(_xlfn.FORMULATEXT(S453), 2, SEARCH("-", _xlfn.FORMULATEXT(S453)) - 2)), "")</f>
        <v/>
      </c>
      <c r="Y453" s="9" t="s">
        <v>8735</v>
      </c>
      <c r="AA453" s="9" t="s">
        <v>3884</v>
      </c>
    </row>
    <row r="454" spans="1:28">
      <c r="A454" s="3" t="s">
        <v>226</v>
      </c>
      <c r="D454" s="3" t="s">
        <v>2390</v>
      </c>
      <c r="E454" s="3" t="s">
        <v>2391</v>
      </c>
      <c r="J454" s="9" t="s">
        <v>8731</v>
      </c>
      <c r="T454" s="9" t="str">
        <f t="shared" ca="1" si="22"/>
        <v/>
      </c>
      <c r="U454" s="9" t="str">
        <f t="shared" ca="1" si="23"/>
        <v/>
      </c>
      <c r="Z454" s="9" t="s">
        <v>8832</v>
      </c>
      <c r="AA454" s="9" t="s">
        <v>3884</v>
      </c>
      <c r="AB454" s="9" t="s">
        <v>8688</v>
      </c>
    </row>
    <row r="455" spans="1:28">
      <c r="A455" s="3" t="s">
        <v>227</v>
      </c>
      <c r="D455" s="3" t="s">
        <v>4163</v>
      </c>
      <c r="E455" s="3" t="s">
        <v>4164</v>
      </c>
      <c r="F455" t="s">
        <v>3893</v>
      </c>
      <c r="H455" t="s">
        <v>3884</v>
      </c>
      <c r="T455" s="9" t="str">
        <f t="shared" ca="1" si="22"/>
        <v/>
      </c>
      <c r="U455" s="9" t="str">
        <f t="shared" ca="1" si="23"/>
        <v/>
      </c>
    </row>
    <row r="456" spans="1:28">
      <c r="A456" s="3" t="s">
        <v>227</v>
      </c>
      <c r="D456" s="3" t="s">
        <v>2392</v>
      </c>
      <c r="E456" s="3" t="s">
        <v>2393</v>
      </c>
      <c r="J456" s="9" t="s">
        <v>8731</v>
      </c>
      <c r="T456" s="9" t="str">
        <f t="shared" ca="1" si="22"/>
        <v/>
      </c>
      <c r="U456" s="9" t="str">
        <f t="shared" ca="1" si="23"/>
        <v/>
      </c>
      <c r="Z456" s="9" t="s">
        <v>8833</v>
      </c>
      <c r="AA456" s="9" t="s">
        <v>3884</v>
      </c>
      <c r="AB456" s="9" t="s">
        <v>8688</v>
      </c>
    </row>
    <row r="457" spans="1:28">
      <c r="A457" s="3" t="s">
        <v>228</v>
      </c>
      <c r="D457" s="3" t="s">
        <v>2394</v>
      </c>
      <c r="E457" s="3" t="s">
        <v>2346</v>
      </c>
      <c r="J457" s="9" t="s">
        <v>8731</v>
      </c>
      <c r="T457" s="9" t="str">
        <f t="shared" ca="1" si="22"/>
        <v/>
      </c>
      <c r="U457" s="9" t="str">
        <f t="shared" ca="1" si="23"/>
        <v/>
      </c>
    </row>
    <row r="458" spans="1:28">
      <c r="A458" s="3" t="s">
        <v>228</v>
      </c>
      <c r="D458" s="3" t="s">
        <v>4165</v>
      </c>
      <c r="E458" s="3" t="s">
        <v>4166</v>
      </c>
      <c r="H458" t="s">
        <v>3884</v>
      </c>
      <c r="J458" s="9" t="s">
        <v>3889</v>
      </c>
      <c r="K458" s="9">
        <v>1</v>
      </c>
      <c r="L458" s="9">
        <v>2</v>
      </c>
      <c r="M458" s="9" t="s">
        <v>8689</v>
      </c>
      <c r="N458" s="9" t="s">
        <v>8730</v>
      </c>
      <c r="R458" s="9">
        <v>10929</v>
      </c>
      <c r="T458" s="9" t="str">
        <f t="shared" ca="1" si="22"/>
        <v/>
      </c>
      <c r="U458" s="9" t="str">
        <f t="shared" ca="1" si="23"/>
        <v/>
      </c>
    </row>
    <row r="459" spans="1:28">
      <c r="A459" s="3" t="s">
        <v>228</v>
      </c>
      <c r="D459" s="3" t="s">
        <v>2396</v>
      </c>
      <c r="E459" s="3" t="s">
        <v>2359</v>
      </c>
      <c r="J459" s="9" t="s">
        <v>8731</v>
      </c>
      <c r="T459" s="9" t="str">
        <f t="shared" ca="1" si="22"/>
        <v/>
      </c>
      <c r="U459" s="9" t="str">
        <f t="shared" ca="1" si="23"/>
        <v/>
      </c>
    </row>
    <row r="460" spans="1:28">
      <c r="A460" s="3" t="s">
        <v>229</v>
      </c>
      <c r="D460" s="3" t="s">
        <v>2397</v>
      </c>
      <c r="E460" s="3" t="s">
        <v>2398</v>
      </c>
      <c r="J460" s="9" t="s">
        <v>8731</v>
      </c>
      <c r="T460" s="9" t="str">
        <f t="shared" ca="1" si="22"/>
        <v/>
      </c>
      <c r="U460" s="9" t="str">
        <f t="shared" ca="1" si="23"/>
        <v/>
      </c>
      <c r="AB460" s="9" t="s">
        <v>8688</v>
      </c>
    </row>
    <row r="461" spans="1:28" ht="43.5">
      <c r="A461" s="3" t="s">
        <v>230</v>
      </c>
      <c r="D461" s="3" t="s">
        <v>4167</v>
      </c>
      <c r="E461" s="3" t="s">
        <v>4168</v>
      </c>
      <c r="H461" t="s">
        <v>3884</v>
      </c>
      <c r="J461" s="9" t="s">
        <v>3889</v>
      </c>
      <c r="K461" s="9">
        <v>2</v>
      </c>
      <c r="L461" s="9">
        <v>11</v>
      </c>
      <c r="N461" s="9" t="s">
        <v>8684</v>
      </c>
      <c r="O461" s="9" t="s">
        <v>8740</v>
      </c>
      <c r="P461" s="10" t="s">
        <v>8892</v>
      </c>
      <c r="R461" s="9">
        <v>132</v>
      </c>
      <c r="T461" s="9" t="str">
        <f t="shared" ca="1" si="22"/>
        <v/>
      </c>
      <c r="U461" s="9" t="str">
        <f t="shared" ca="1" si="23"/>
        <v/>
      </c>
    </row>
    <row r="462" spans="1:28">
      <c r="A462" s="3" t="s">
        <v>230</v>
      </c>
      <c r="D462" s="3" t="s">
        <v>2394</v>
      </c>
      <c r="E462" s="3" t="s">
        <v>2399</v>
      </c>
      <c r="G462" t="s">
        <v>3884</v>
      </c>
      <c r="J462" s="9" t="s">
        <v>8731</v>
      </c>
      <c r="T462" s="9" t="str">
        <f t="shared" ca="1" si="22"/>
        <v/>
      </c>
      <c r="U462" s="9" t="str">
        <f t="shared" ca="1" si="23"/>
        <v/>
      </c>
    </row>
    <row r="463" spans="1:28">
      <c r="A463" s="3" t="s">
        <v>231</v>
      </c>
      <c r="D463" s="3" t="s">
        <v>4169</v>
      </c>
      <c r="E463" s="3" t="s">
        <v>4170</v>
      </c>
      <c r="H463" t="s">
        <v>3884</v>
      </c>
      <c r="J463" s="9" t="s">
        <v>3885</v>
      </c>
      <c r="K463" s="9">
        <v>1</v>
      </c>
      <c r="L463" s="9">
        <v>3</v>
      </c>
      <c r="M463" s="9" t="s">
        <v>8689</v>
      </c>
      <c r="N463" s="9" t="s">
        <v>8690</v>
      </c>
      <c r="R463" s="9">
        <v>10929</v>
      </c>
      <c r="T463" s="9" t="str">
        <f t="shared" ca="1" si="22"/>
        <v/>
      </c>
      <c r="U463" s="9" t="str">
        <f t="shared" ca="1" si="23"/>
        <v/>
      </c>
    </row>
    <row r="464" spans="1:28">
      <c r="A464" s="3" t="s">
        <v>232</v>
      </c>
      <c r="D464" s="4" t="s">
        <v>2400</v>
      </c>
      <c r="E464" s="3" t="s">
        <v>2401</v>
      </c>
      <c r="F464" t="s">
        <v>3883</v>
      </c>
      <c r="T464" s="9" t="str">
        <f t="shared" ca="1" si="22"/>
        <v/>
      </c>
      <c r="U464" s="9" t="str">
        <f t="shared" ca="1" si="23"/>
        <v/>
      </c>
    </row>
    <row r="465" spans="1:28" ht="29">
      <c r="A465" s="3" t="s">
        <v>233</v>
      </c>
      <c r="D465" s="3" t="s">
        <v>8893</v>
      </c>
      <c r="E465" s="3" t="s">
        <v>8894</v>
      </c>
      <c r="J465" s="9" t="s">
        <v>8731</v>
      </c>
      <c r="T465" s="9" t="str">
        <f t="shared" ca="1" si="22"/>
        <v/>
      </c>
      <c r="U465" s="9" t="str">
        <f t="shared" ca="1" si="23"/>
        <v/>
      </c>
      <c r="AB465" s="9" t="s">
        <v>8700</v>
      </c>
    </row>
    <row r="466" spans="1:28" ht="29">
      <c r="A466" s="3" t="s">
        <v>233</v>
      </c>
      <c r="D466" s="3" t="s">
        <v>8896</v>
      </c>
      <c r="E466" s="3" t="s">
        <v>8895</v>
      </c>
      <c r="J466" s="9" t="s">
        <v>8731</v>
      </c>
      <c r="T466" s="9" t="str">
        <f t="shared" ca="1" si="22"/>
        <v/>
      </c>
      <c r="U466" s="9" t="str">
        <f t="shared" ca="1" si="23"/>
        <v/>
      </c>
    </row>
    <row r="467" spans="1:28" ht="29">
      <c r="A467" s="3" t="s">
        <v>233</v>
      </c>
      <c r="D467" s="3" t="s">
        <v>8897</v>
      </c>
      <c r="E467" s="3" t="s">
        <v>8898</v>
      </c>
      <c r="J467" s="9" t="s">
        <v>8731</v>
      </c>
      <c r="T467" s="9" t="str">
        <f t="shared" ca="1" si="22"/>
        <v/>
      </c>
      <c r="U467" s="9" t="str">
        <f t="shared" ca="1" si="23"/>
        <v/>
      </c>
      <c r="Z467" s="9" t="s">
        <v>8742</v>
      </c>
      <c r="AA467" s="9" t="s">
        <v>3884</v>
      </c>
    </row>
    <row r="468" spans="1:28">
      <c r="A468" s="3" t="s">
        <v>233</v>
      </c>
      <c r="D468" s="3" t="s">
        <v>2402</v>
      </c>
      <c r="E468" s="3" t="s">
        <v>2403</v>
      </c>
      <c r="J468" s="9" t="s">
        <v>8731</v>
      </c>
      <c r="T468" s="9" t="str">
        <f t="shared" ca="1" si="22"/>
        <v/>
      </c>
      <c r="U468" s="9" t="str">
        <f t="shared" ca="1" si="23"/>
        <v/>
      </c>
    </row>
    <row r="469" spans="1:28">
      <c r="A469" s="3" t="s">
        <v>234</v>
      </c>
      <c r="D469" s="3" t="s">
        <v>2404</v>
      </c>
      <c r="E469" s="3" t="s">
        <v>2405</v>
      </c>
      <c r="J469" s="9" t="s">
        <v>8729</v>
      </c>
      <c r="S469" s="9" t="s">
        <v>8739</v>
      </c>
      <c r="T469" s="9" t="str">
        <f t="shared" ca="1" si="22"/>
        <v/>
      </c>
      <c r="U469" s="9" t="str">
        <f t="shared" ca="1" si="23"/>
        <v/>
      </c>
      <c r="AB469" s="9" t="s">
        <v>8688</v>
      </c>
    </row>
    <row r="470" spans="1:28" ht="29">
      <c r="A470" s="3" t="s">
        <v>235</v>
      </c>
      <c r="D470" s="3" t="s">
        <v>4171</v>
      </c>
      <c r="E470" s="3" t="s">
        <v>4172</v>
      </c>
      <c r="J470" s="9" t="s">
        <v>3889</v>
      </c>
      <c r="K470" s="9">
        <v>1</v>
      </c>
      <c r="L470" s="9">
        <v>5</v>
      </c>
      <c r="M470" s="9" t="s">
        <v>8703</v>
      </c>
      <c r="N470" s="9" t="s">
        <v>8690</v>
      </c>
      <c r="R470" s="9">
        <v>336</v>
      </c>
      <c r="T470" s="9" t="str">
        <f t="shared" ca="1" si="22"/>
        <v/>
      </c>
      <c r="U470" s="9" t="str">
        <f t="shared" ca="1" si="23"/>
        <v/>
      </c>
    </row>
    <row r="471" spans="1:28">
      <c r="A471" s="3" t="s">
        <v>235</v>
      </c>
      <c r="D471" s="3" t="s">
        <v>2406</v>
      </c>
      <c r="E471" s="3" t="s">
        <v>2407</v>
      </c>
      <c r="J471" s="9" t="s">
        <v>8729</v>
      </c>
      <c r="S471" s="9" t="s">
        <v>8739</v>
      </c>
      <c r="T471" s="9" t="str">
        <f t="shared" ca="1" si="22"/>
        <v/>
      </c>
      <c r="U471" s="9" t="str">
        <f t="shared" ca="1" si="23"/>
        <v/>
      </c>
      <c r="Z471" s="9" t="s">
        <v>8742</v>
      </c>
      <c r="AA471" s="9" t="s">
        <v>3884</v>
      </c>
      <c r="AB471" s="9" t="s">
        <v>8697</v>
      </c>
    </row>
    <row r="472" spans="1:28" ht="29">
      <c r="A472" s="3" t="s">
        <v>236</v>
      </c>
      <c r="D472" s="3" t="s">
        <v>4173</v>
      </c>
      <c r="E472" s="3" t="s">
        <v>4174</v>
      </c>
      <c r="J472" s="9" t="s">
        <v>3889</v>
      </c>
      <c r="K472" s="9">
        <v>1</v>
      </c>
      <c r="L472" s="9">
        <v>5</v>
      </c>
      <c r="M472" s="9" t="s">
        <v>8705</v>
      </c>
      <c r="N472" s="9" t="s">
        <v>8690</v>
      </c>
      <c r="R472" s="9">
        <v>3678</v>
      </c>
      <c r="T472" s="9" t="str">
        <f t="shared" ca="1" si="22"/>
        <v/>
      </c>
      <c r="U472" s="9" t="str">
        <f t="shared" ca="1" si="23"/>
        <v/>
      </c>
    </row>
    <row r="473" spans="1:28">
      <c r="A473" s="3" t="s">
        <v>237</v>
      </c>
      <c r="D473" s="4" t="s">
        <v>4175</v>
      </c>
      <c r="E473" s="3" t="s">
        <v>4176</v>
      </c>
      <c r="F473" t="s">
        <v>3883</v>
      </c>
      <c r="T473" s="9" t="str">
        <f t="shared" ca="1" si="22"/>
        <v/>
      </c>
      <c r="U473" s="9" t="str">
        <f t="shared" ca="1" si="23"/>
        <v/>
      </c>
    </row>
    <row r="474" spans="1:28" ht="29">
      <c r="A474" s="3" t="s">
        <v>237</v>
      </c>
      <c r="D474" s="3" t="s">
        <v>8899</v>
      </c>
      <c r="E474" s="3" t="s">
        <v>9582</v>
      </c>
      <c r="J474" s="9" t="s">
        <v>3889</v>
      </c>
      <c r="K474" s="9">
        <v>1</v>
      </c>
      <c r="L474" s="9">
        <v>5</v>
      </c>
      <c r="M474" s="9" t="s">
        <v>8736</v>
      </c>
      <c r="N474" s="9" t="s">
        <v>8690</v>
      </c>
      <c r="R474" s="9">
        <v>645</v>
      </c>
      <c r="T474" s="9" t="str">
        <f t="shared" ca="1" si="22"/>
        <v/>
      </c>
      <c r="U474" s="9" t="str">
        <f t="shared" ca="1" si="23"/>
        <v/>
      </c>
    </row>
    <row r="475" spans="1:28" ht="43.5">
      <c r="A475" s="3" t="s">
        <v>238</v>
      </c>
      <c r="D475" s="3" t="s">
        <v>4177</v>
      </c>
      <c r="E475" s="3" t="s">
        <v>4178</v>
      </c>
      <c r="H475" t="s">
        <v>3888</v>
      </c>
      <c r="I475" t="s">
        <v>9679</v>
      </c>
      <c r="J475" s="9" t="s">
        <v>3885</v>
      </c>
      <c r="K475" s="9">
        <v>3</v>
      </c>
      <c r="L475" s="9">
        <v>18</v>
      </c>
      <c r="N475" s="9" t="s">
        <v>8690</v>
      </c>
      <c r="R475" s="9">
        <v>7</v>
      </c>
      <c r="T475" s="9" t="str">
        <f t="shared" ca="1" si="22"/>
        <v/>
      </c>
      <c r="U475" s="9" t="str">
        <f t="shared" ca="1" si="23"/>
        <v/>
      </c>
      <c r="V475" s="9" t="s">
        <v>4</v>
      </c>
    </row>
    <row r="476" spans="1:28">
      <c r="A476" s="3" t="s">
        <v>238</v>
      </c>
      <c r="D476" s="3" t="s">
        <v>4179</v>
      </c>
      <c r="E476" s="3" t="s">
        <v>4180</v>
      </c>
      <c r="F476" t="s">
        <v>3881</v>
      </c>
      <c r="T476" s="9" t="str">
        <f t="shared" ca="1" si="22"/>
        <v/>
      </c>
      <c r="U476" s="9" t="str">
        <f t="shared" ca="1" si="23"/>
        <v/>
      </c>
    </row>
    <row r="477" spans="1:28">
      <c r="A477" s="3" t="s">
        <v>239</v>
      </c>
      <c r="D477" s="3" t="s">
        <v>2408</v>
      </c>
      <c r="E477" s="3" t="s">
        <v>2409</v>
      </c>
      <c r="J477" s="9" t="s">
        <v>8731</v>
      </c>
      <c r="T477" s="9" t="str">
        <f t="shared" ca="1" si="22"/>
        <v/>
      </c>
      <c r="U477" s="9" t="str">
        <f t="shared" ca="1" si="23"/>
        <v/>
      </c>
      <c r="Z477" s="9" t="s">
        <v>8757</v>
      </c>
      <c r="AA477" s="9" t="s">
        <v>3884</v>
      </c>
      <c r="AB477" s="9" t="s">
        <v>8697</v>
      </c>
    </row>
    <row r="478" spans="1:28">
      <c r="A478" s="3" t="s">
        <v>239</v>
      </c>
      <c r="D478" s="3" t="s">
        <v>8900</v>
      </c>
      <c r="E478" s="3" t="s">
        <v>8901</v>
      </c>
      <c r="F478" t="s">
        <v>3881</v>
      </c>
      <c r="J478" s="9" t="s">
        <v>8729</v>
      </c>
      <c r="S478" s="9">
        <f>0-11</f>
        <v>-11</v>
      </c>
      <c r="T478" s="9">
        <f t="shared" ca="1" si="22"/>
        <v>11</v>
      </c>
      <c r="U478" s="9">
        <f t="shared" ca="1" si="23"/>
        <v>0</v>
      </c>
    </row>
    <row r="479" spans="1:28">
      <c r="A479" s="3" t="s">
        <v>239</v>
      </c>
      <c r="D479" s="3" t="s">
        <v>4181</v>
      </c>
      <c r="E479" s="3" t="s">
        <v>4182</v>
      </c>
      <c r="F479" t="s">
        <v>3886</v>
      </c>
      <c r="H479" t="s">
        <v>3892</v>
      </c>
      <c r="I479" t="s">
        <v>4183</v>
      </c>
      <c r="J479" s="9" t="s">
        <v>8729</v>
      </c>
      <c r="S479" s="9" t="s">
        <v>8739</v>
      </c>
      <c r="T479" s="9" t="str">
        <f t="shared" ca="1" si="22"/>
        <v/>
      </c>
      <c r="U479" s="9" t="str">
        <f t="shared" ca="1" si="23"/>
        <v/>
      </c>
      <c r="AB479" s="9" t="s">
        <v>8688</v>
      </c>
    </row>
    <row r="480" spans="1:28">
      <c r="A480" s="3" t="s">
        <v>240</v>
      </c>
      <c r="D480" s="3" t="s">
        <v>2410</v>
      </c>
      <c r="E480" s="3" t="s">
        <v>2411</v>
      </c>
      <c r="F480" t="s">
        <v>3886</v>
      </c>
      <c r="J480" s="9" t="s">
        <v>8731</v>
      </c>
      <c r="T480" s="9" t="str">
        <f t="shared" ca="1" si="22"/>
        <v/>
      </c>
      <c r="U480" s="9" t="str">
        <f t="shared" ca="1" si="23"/>
        <v/>
      </c>
    </row>
    <row r="481" spans="1:28">
      <c r="A481" s="3" t="s">
        <v>240</v>
      </c>
      <c r="D481" s="3" t="s">
        <v>8902</v>
      </c>
      <c r="E481" s="3" t="s">
        <v>8903</v>
      </c>
      <c r="F481" t="s">
        <v>3881</v>
      </c>
      <c r="H481" t="s">
        <v>3892</v>
      </c>
      <c r="I481" t="s">
        <v>8904</v>
      </c>
      <c r="J481" s="9" t="s">
        <v>8731</v>
      </c>
      <c r="S481" s="9">
        <f>0-19</f>
        <v>-19</v>
      </c>
      <c r="T481" s="9">
        <f t="shared" ca="1" si="22"/>
        <v>19</v>
      </c>
      <c r="U481" s="9">
        <f t="shared" ca="1" si="23"/>
        <v>0</v>
      </c>
    </row>
    <row r="482" spans="1:28">
      <c r="A482" s="3" t="s">
        <v>241</v>
      </c>
      <c r="D482" s="3" t="s">
        <v>2412</v>
      </c>
      <c r="E482" s="3" t="s">
        <v>1936</v>
      </c>
      <c r="F482" t="s">
        <v>3881</v>
      </c>
      <c r="J482" s="9" t="s">
        <v>8729</v>
      </c>
      <c r="S482" s="9" t="s">
        <v>8739</v>
      </c>
      <c r="T482" s="9" t="str">
        <f t="shared" ca="1" si="22"/>
        <v/>
      </c>
      <c r="U482" s="9" t="str">
        <f t="shared" ca="1" si="23"/>
        <v/>
      </c>
      <c r="Y482" s="9" t="s">
        <v>8735</v>
      </c>
      <c r="AA482" s="9" t="s">
        <v>3884</v>
      </c>
    </row>
    <row r="483" spans="1:28">
      <c r="A483" s="3" t="s">
        <v>242</v>
      </c>
      <c r="D483" s="3" t="s">
        <v>4184</v>
      </c>
      <c r="E483" s="3" t="s">
        <v>4185</v>
      </c>
      <c r="J483" s="9" t="s">
        <v>3885</v>
      </c>
      <c r="K483" s="9">
        <v>1</v>
      </c>
      <c r="L483" s="9">
        <v>3</v>
      </c>
      <c r="M483" s="9" t="s">
        <v>8689</v>
      </c>
      <c r="N483" s="9" t="s">
        <v>8690</v>
      </c>
      <c r="R483" s="9">
        <v>10929</v>
      </c>
      <c r="T483" s="9" t="str">
        <f t="shared" ca="1" si="22"/>
        <v/>
      </c>
      <c r="U483" s="9" t="str">
        <f t="shared" ca="1" si="23"/>
        <v/>
      </c>
    </row>
    <row r="484" spans="1:28">
      <c r="A484" s="3" t="s">
        <v>243</v>
      </c>
      <c r="D484" s="3" t="s">
        <v>9442</v>
      </c>
      <c r="E484" s="4" t="s">
        <v>9443</v>
      </c>
      <c r="F484" t="s">
        <v>3897</v>
      </c>
      <c r="T484" s="9" t="str">
        <f t="shared" ca="1" si="22"/>
        <v/>
      </c>
      <c r="U484" s="9" t="str">
        <f t="shared" ca="1" si="23"/>
        <v/>
      </c>
    </row>
    <row r="485" spans="1:28">
      <c r="A485" s="3" t="s">
        <v>243</v>
      </c>
      <c r="D485" s="3" t="s">
        <v>4186</v>
      </c>
      <c r="E485" s="3" t="s">
        <v>2413</v>
      </c>
      <c r="H485" t="s">
        <v>3884</v>
      </c>
      <c r="J485" s="9" t="s">
        <v>8729</v>
      </c>
      <c r="S485" s="9" t="s">
        <v>8739</v>
      </c>
      <c r="T485" s="9" t="str">
        <f t="shared" ca="1" si="22"/>
        <v/>
      </c>
      <c r="U485" s="9" t="str">
        <f t="shared" ca="1" si="23"/>
        <v/>
      </c>
      <c r="AB485" s="9" t="s">
        <v>8688</v>
      </c>
    </row>
    <row r="486" spans="1:28">
      <c r="A486" s="3" t="s">
        <v>243</v>
      </c>
      <c r="D486" s="3" t="s">
        <v>2414</v>
      </c>
      <c r="E486" s="3" t="s">
        <v>2415</v>
      </c>
      <c r="J486" s="9" t="s">
        <v>8731</v>
      </c>
      <c r="T486" s="9" t="str">
        <f t="shared" ca="1" si="22"/>
        <v/>
      </c>
      <c r="U486" s="9" t="str">
        <f t="shared" ca="1" si="23"/>
        <v/>
      </c>
      <c r="Z486" s="9" t="s">
        <v>8832</v>
      </c>
      <c r="AA486" s="9" t="s">
        <v>3884</v>
      </c>
    </row>
    <row r="487" spans="1:28">
      <c r="A487" s="3" t="s">
        <v>244</v>
      </c>
      <c r="D487" s="3" t="s">
        <v>2416</v>
      </c>
      <c r="E487" s="3" t="s">
        <v>2417</v>
      </c>
      <c r="J487" s="9" t="s">
        <v>8731</v>
      </c>
      <c r="T487" s="9" t="str">
        <f t="shared" ca="1" si="22"/>
        <v/>
      </c>
      <c r="U487" s="9" t="str">
        <f t="shared" ca="1" si="23"/>
        <v/>
      </c>
    </row>
    <row r="488" spans="1:28">
      <c r="A488" s="3" t="s">
        <v>245</v>
      </c>
      <c r="D488" s="3" t="s">
        <v>4188</v>
      </c>
      <c r="E488" s="3" t="s">
        <v>4189</v>
      </c>
      <c r="J488" s="9" t="s">
        <v>8729</v>
      </c>
      <c r="S488" s="9">
        <f>36-111</f>
        <v>-75</v>
      </c>
      <c r="T488" s="9">
        <f t="shared" ca="1" si="22"/>
        <v>111</v>
      </c>
      <c r="U488" s="9">
        <f t="shared" ca="1" si="23"/>
        <v>36</v>
      </c>
    </row>
    <row r="489" spans="1:28">
      <c r="A489" s="3" t="s">
        <v>245</v>
      </c>
      <c r="D489" s="3" t="s">
        <v>4190</v>
      </c>
      <c r="E489" s="3" t="s">
        <v>4191</v>
      </c>
      <c r="H489" t="s">
        <v>3884</v>
      </c>
      <c r="J489" s="9" t="s">
        <v>3885</v>
      </c>
      <c r="K489" s="9">
        <v>1</v>
      </c>
      <c r="L489" s="9">
        <v>3</v>
      </c>
      <c r="M489" s="9" t="s">
        <v>8705</v>
      </c>
      <c r="N489" s="9" t="s">
        <v>8690</v>
      </c>
      <c r="R489" s="9">
        <v>1485</v>
      </c>
      <c r="T489" s="9" t="str">
        <f t="shared" ca="1" si="22"/>
        <v/>
      </c>
      <c r="U489" s="9" t="str">
        <f t="shared" ca="1" si="23"/>
        <v/>
      </c>
    </row>
    <row r="490" spans="1:28">
      <c r="A490" s="3" t="s">
        <v>246</v>
      </c>
      <c r="D490" s="3" t="s">
        <v>2159</v>
      </c>
      <c r="E490" s="3" t="s">
        <v>2159</v>
      </c>
      <c r="F490" t="s">
        <v>3932</v>
      </c>
      <c r="H490" t="s">
        <v>3892</v>
      </c>
      <c r="T490" s="9" t="str">
        <f t="shared" ca="1" si="22"/>
        <v/>
      </c>
      <c r="U490" s="9" t="str">
        <f t="shared" ca="1" si="23"/>
        <v/>
      </c>
    </row>
    <row r="491" spans="1:28">
      <c r="A491" s="3" t="s">
        <v>247</v>
      </c>
      <c r="D491" s="4" t="s">
        <v>2418</v>
      </c>
      <c r="E491" s="3" t="s">
        <v>2419</v>
      </c>
      <c r="F491" t="s">
        <v>3883</v>
      </c>
      <c r="T491" s="9" t="str">
        <f t="shared" ca="1" si="22"/>
        <v/>
      </c>
      <c r="U491" s="9" t="str">
        <f t="shared" ca="1" si="23"/>
        <v/>
      </c>
    </row>
    <row r="492" spans="1:28">
      <c r="A492" s="3" t="s">
        <v>247</v>
      </c>
      <c r="D492" s="3" t="s">
        <v>4192</v>
      </c>
      <c r="E492" s="3" t="s">
        <v>4193</v>
      </c>
      <c r="J492" s="9" t="s">
        <v>8731</v>
      </c>
      <c r="T492" s="9" t="str">
        <f t="shared" ca="1" si="22"/>
        <v/>
      </c>
      <c r="U492" s="9" t="str">
        <f t="shared" ca="1" si="23"/>
        <v/>
      </c>
      <c r="Z492" s="9" t="s">
        <v>8741</v>
      </c>
      <c r="AA492" s="9" t="s">
        <v>3884</v>
      </c>
    </row>
    <row r="493" spans="1:28" ht="29">
      <c r="A493" s="3" t="s">
        <v>247</v>
      </c>
      <c r="D493" s="3" t="s">
        <v>8905</v>
      </c>
      <c r="E493" s="3" t="s">
        <v>8906</v>
      </c>
      <c r="F493" t="s">
        <v>10</v>
      </c>
      <c r="H493" t="s">
        <v>3892</v>
      </c>
      <c r="J493" s="9" t="s">
        <v>3885</v>
      </c>
      <c r="K493" s="9">
        <v>1</v>
      </c>
      <c r="L493" s="9">
        <v>1</v>
      </c>
      <c r="M493" s="9" t="s">
        <v>8683</v>
      </c>
      <c r="N493" s="9" t="s">
        <v>8730</v>
      </c>
      <c r="R493" s="9">
        <v>10</v>
      </c>
      <c r="T493" s="9" t="str">
        <f t="shared" ca="1" si="22"/>
        <v/>
      </c>
      <c r="U493" s="9" t="str">
        <f t="shared" ca="1" si="23"/>
        <v/>
      </c>
      <c r="AB493" s="9" t="s">
        <v>8694</v>
      </c>
    </row>
    <row r="494" spans="1:28">
      <c r="A494" s="3" t="s">
        <v>248</v>
      </c>
      <c r="D494" s="3" t="s">
        <v>8907</v>
      </c>
      <c r="E494" s="3" t="s">
        <v>8908</v>
      </c>
      <c r="J494" s="9" t="s">
        <v>3885</v>
      </c>
      <c r="K494" s="9">
        <v>1</v>
      </c>
      <c r="L494" s="9">
        <v>4</v>
      </c>
      <c r="M494" s="9" t="s">
        <v>8703</v>
      </c>
      <c r="N494" s="9" t="s">
        <v>8684</v>
      </c>
      <c r="O494" s="9" t="s">
        <v>8777</v>
      </c>
      <c r="P494" s="10" t="s">
        <v>8778</v>
      </c>
      <c r="Q494" s="9" t="s">
        <v>8685</v>
      </c>
      <c r="R494" s="9">
        <v>1</v>
      </c>
      <c r="T494" s="9" t="str">
        <f t="shared" ca="1" si="22"/>
        <v/>
      </c>
      <c r="U494" s="9" t="str">
        <f t="shared" ca="1" si="23"/>
        <v/>
      </c>
      <c r="AB494" s="9" t="s">
        <v>8694</v>
      </c>
    </row>
    <row r="495" spans="1:28">
      <c r="A495" s="3" t="s">
        <v>249</v>
      </c>
      <c r="D495" s="3" t="s">
        <v>3043</v>
      </c>
      <c r="E495" s="3" t="s">
        <v>2422</v>
      </c>
      <c r="H495" t="s">
        <v>3884</v>
      </c>
      <c r="J495" s="9" t="s">
        <v>8731</v>
      </c>
      <c r="T495" s="9" t="str">
        <f t="shared" ca="1" si="22"/>
        <v/>
      </c>
      <c r="U495" s="9" t="str">
        <f t="shared" ca="1" si="23"/>
        <v/>
      </c>
      <c r="AB495" s="9" t="s">
        <v>8688</v>
      </c>
    </row>
    <row r="496" spans="1:28">
      <c r="A496" s="3" t="s">
        <v>250</v>
      </c>
      <c r="D496" s="3" t="s">
        <v>2423</v>
      </c>
      <c r="E496" s="3" t="s">
        <v>2424</v>
      </c>
      <c r="J496" s="9" t="s">
        <v>8729</v>
      </c>
      <c r="S496" s="9" t="s">
        <v>8739</v>
      </c>
      <c r="T496" s="9" t="str">
        <f t="shared" ca="1" si="22"/>
        <v/>
      </c>
      <c r="U496" s="9" t="str">
        <f t="shared" ca="1" si="23"/>
        <v/>
      </c>
      <c r="AB496" s="9" t="s">
        <v>8697</v>
      </c>
    </row>
    <row r="497" spans="1:28">
      <c r="A497" s="3" t="s">
        <v>251</v>
      </c>
      <c r="D497" s="3" t="s">
        <v>4194</v>
      </c>
      <c r="E497" s="3" t="s">
        <v>4195</v>
      </c>
      <c r="J497" s="9" t="s">
        <v>8729</v>
      </c>
      <c r="S497" s="9">
        <f>0-70</f>
        <v>-70</v>
      </c>
      <c r="T497" s="9">
        <f t="shared" ca="1" si="22"/>
        <v>70</v>
      </c>
      <c r="U497" s="9">
        <f t="shared" ca="1" si="23"/>
        <v>0</v>
      </c>
    </row>
    <row r="498" spans="1:28">
      <c r="A498" s="3" t="s">
        <v>252</v>
      </c>
      <c r="D498" s="4" t="s">
        <v>2426</v>
      </c>
      <c r="E498" s="3" t="s">
        <v>2427</v>
      </c>
      <c r="F498" t="s">
        <v>4196</v>
      </c>
      <c r="H498" t="s">
        <v>3892</v>
      </c>
      <c r="I498" t="s">
        <v>9680</v>
      </c>
      <c r="J498" s="9" t="s">
        <v>8729</v>
      </c>
      <c r="S498" s="9">
        <f>43-187</f>
        <v>-144</v>
      </c>
      <c r="T498" s="9">
        <f t="shared" ca="1" si="22"/>
        <v>187</v>
      </c>
      <c r="U498" s="9">
        <f t="shared" ca="1" si="23"/>
        <v>43</v>
      </c>
      <c r="Z498" s="9" t="s">
        <v>8741</v>
      </c>
      <c r="AA498" s="9" t="s">
        <v>3891</v>
      </c>
      <c r="AB498" s="9" t="s">
        <v>8688</v>
      </c>
    </row>
    <row r="499" spans="1:28">
      <c r="A499" s="3" t="s">
        <v>253</v>
      </c>
      <c r="D499" s="3" t="s">
        <v>4198</v>
      </c>
      <c r="E499" s="3" t="s">
        <v>4199</v>
      </c>
      <c r="H499" t="s">
        <v>3884</v>
      </c>
      <c r="J499" s="9" t="s">
        <v>8729</v>
      </c>
      <c r="S499" s="9">
        <f>202-106</f>
        <v>96</v>
      </c>
      <c r="T499" s="9">
        <f t="shared" ca="1" si="22"/>
        <v>106</v>
      </c>
      <c r="U499" s="9">
        <f t="shared" ca="1" si="23"/>
        <v>202</v>
      </c>
    </row>
    <row r="500" spans="1:28">
      <c r="A500" s="3" t="s">
        <v>254</v>
      </c>
      <c r="D500" s="3" t="s">
        <v>2414</v>
      </c>
      <c r="E500" s="3" t="s">
        <v>2415</v>
      </c>
      <c r="J500" s="9" t="s">
        <v>8731</v>
      </c>
      <c r="T500" s="9" t="str">
        <f t="shared" ca="1" si="22"/>
        <v/>
      </c>
      <c r="U500" s="9" t="str">
        <f t="shared" ca="1" si="23"/>
        <v/>
      </c>
      <c r="Z500" s="9" t="s">
        <v>8832</v>
      </c>
      <c r="AA500" s="9" t="s">
        <v>3884</v>
      </c>
    </row>
    <row r="501" spans="1:28">
      <c r="A501" s="3" t="s">
        <v>254</v>
      </c>
      <c r="D501" s="3" t="s">
        <v>2428</v>
      </c>
      <c r="E501" s="3" t="s">
        <v>2429</v>
      </c>
      <c r="J501" s="9" t="s">
        <v>8729</v>
      </c>
      <c r="S501" s="9" t="s">
        <v>8739</v>
      </c>
      <c r="T501" s="9" t="str">
        <f t="shared" ca="1" si="22"/>
        <v/>
      </c>
      <c r="U501" s="9" t="str">
        <f t="shared" ca="1" si="23"/>
        <v/>
      </c>
      <c r="Z501" s="9" t="s">
        <v>8742</v>
      </c>
      <c r="AA501" s="9" t="s">
        <v>3884</v>
      </c>
    </row>
    <row r="502" spans="1:28">
      <c r="A502" s="3" t="s">
        <v>255</v>
      </c>
      <c r="D502" s="3" t="s">
        <v>2430</v>
      </c>
      <c r="E502" s="3" t="s">
        <v>2431</v>
      </c>
      <c r="J502" s="9" t="s">
        <v>8729</v>
      </c>
      <c r="S502" s="9" t="s">
        <v>8739</v>
      </c>
      <c r="T502" s="9" t="str">
        <f t="shared" ca="1" si="22"/>
        <v/>
      </c>
      <c r="U502" s="9" t="str">
        <f t="shared" ca="1" si="23"/>
        <v/>
      </c>
      <c r="Y502" s="9" t="s">
        <v>8735</v>
      </c>
      <c r="AA502" s="9" t="s">
        <v>3884</v>
      </c>
    </row>
    <row r="503" spans="1:28">
      <c r="A503" s="3" t="s">
        <v>255</v>
      </c>
      <c r="D503" s="3" t="s">
        <v>4200</v>
      </c>
      <c r="E503" s="3" t="s">
        <v>4201</v>
      </c>
      <c r="J503" s="9" t="s">
        <v>8729</v>
      </c>
      <c r="S503" s="9">
        <f>162-0</f>
        <v>162</v>
      </c>
      <c r="T503" s="9">
        <f t="shared" ca="1" si="22"/>
        <v>0</v>
      </c>
      <c r="U503" s="9">
        <f t="shared" ca="1" si="23"/>
        <v>162</v>
      </c>
      <c r="Z503" s="9" t="s">
        <v>8757</v>
      </c>
      <c r="AA503" s="9" t="s">
        <v>3884</v>
      </c>
      <c r="AB503" s="9" t="s">
        <v>8700</v>
      </c>
    </row>
    <row r="504" spans="1:28">
      <c r="A504" s="3" t="s">
        <v>256</v>
      </c>
      <c r="D504" s="3" t="s">
        <v>4202</v>
      </c>
      <c r="E504" s="3" t="s">
        <v>4203</v>
      </c>
      <c r="J504" s="9" t="s">
        <v>3885</v>
      </c>
      <c r="K504" s="9">
        <v>1</v>
      </c>
      <c r="L504" s="9">
        <v>2</v>
      </c>
      <c r="M504" s="9" t="s">
        <v>8689</v>
      </c>
      <c r="N504" s="9" t="s">
        <v>8730</v>
      </c>
      <c r="R504" s="9">
        <v>10929</v>
      </c>
      <c r="T504" s="9" t="str">
        <f t="shared" ca="1" si="22"/>
        <v/>
      </c>
      <c r="U504" s="9" t="str">
        <f t="shared" ca="1" si="23"/>
        <v/>
      </c>
    </row>
    <row r="505" spans="1:28">
      <c r="A505" s="3" t="s">
        <v>257</v>
      </c>
      <c r="D505" s="4" t="s">
        <v>4204</v>
      </c>
      <c r="E505" s="3" t="s">
        <v>4205</v>
      </c>
      <c r="F505" t="s">
        <v>4196</v>
      </c>
      <c r="I505" t="s">
        <v>9444</v>
      </c>
      <c r="J505" s="9" t="s">
        <v>8729</v>
      </c>
      <c r="S505" s="9" t="s">
        <v>8739</v>
      </c>
      <c r="T505" s="9" t="str">
        <f t="shared" ca="1" si="22"/>
        <v/>
      </c>
      <c r="U505" s="9" t="str">
        <f t="shared" ca="1" si="23"/>
        <v/>
      </c>
      <c r="Y505" s="9" t="s">
        <v>8735</v>
      </c>
      <c r="AA505" s="9" t="s">
        <v>3884</v>
      </c>
    </row>
    <row r="506" spans="1:28">
      <c r="A506" s="3" t="s">
        <v>257</v>
      </c>
      <c r="D506" s="3" t="s">
        <v>4207</v>
      </c>
      <c r="E506" s="3" t="s">
        <v>4206</v>
      </c>
      <c r="J506" s="9" t="s">
        <v>8729</v>
      </c>
      <c r="S506" s="9" t="s">
        <v>8739</v>
      </c>
      <c r="T506" s="9" t="str">
        <f t="shared" ca="1" si="22"/>
        <v/>
      </c>
      <c r="U506" s="9" t="str">
        <f t="shared" ca="1" si="23"/>
        <v/>
      </c>
      <c r="Y506" s="9" t="s">
        <v>8735</v>
      </c>
      <c r="AA506" s="9" t="s">
        <v>3884</v>
      </c>
    </row>
    <row r="507" spans="1:28">
      <c r="A507" s="3" t="s">
        <v>257</v>
      </c>
      <c r="D507" s="3" t="s">
        <v>4208</v>
      </c>
      <c r="E507" s="3" t="s">
        <v>4209</v>
      </c>
      <c r="H507" t="s">
        <v>3884</v>
      </c>
      <c r="J507" s="9" t="s">
        <v>8729</v>
      </c>
      <c r="S507" s="9" t="s">
        <v>8730</v>
      </c>
      <c r="T507" s="9" t="str">
        <f t="shared" ca="1" si="22"/>
        <v/>
      </c>
      <c r="U507" s="9" t="str">
        <f t="shared" ca="1" si="23"/>
        <v/>
      </c>
      <c r="AB507" s="9" t="s">
        <v>8688</v>
      </c>
    </row>
    <row r="508" spans="1:28">
      <c r="A508" s="3" t="s">
        <v>258</v>
      </c>
      <c r="D508" s="3" t="s">
        <v>4210</v>
      </c>
      <c r="E508" s="3" t="s">
        <v>4211</v>
      </c>
      <c r="H508" t="s">
        <v>3884</v>
      </c>
      <c r="J508" s="9" t="s">
        <v>3885</v>
      </c>
      <c r="K508" s="9">
        <v>1</v>
      </c>
      <c r="L508" s="9">
        <v>4</v>
      </c>
      <c r="M508" s="9" t="s">
        <v>8703</v>
      </c>
      <c r="N508" s="9" t="s">
        <v>8684</v>
      </c>
      <c r="O508" s="9" t="s">
        <v>8771</v>
      </c>
      <c r="P508" s="10" t="s">
        <v>8772</v>
      </c>
      <c r="Q508" s="9" t="s">
        <v>8685</v>
      </c>
      <c r="R508" s="9" t="s">
        <v>8730</v>
      </c>
      <c r="T508" s="9" t="str">
        <f t="shared" ca="1" si="22"/>
        <v/>
      </c>
      <c r="U508" s="9" t="str">
        <f t="shared" ca="1" si="23"/>
        <v/>
      </c>
      <c r="AB508" s="9" t="s">
        <v>8688</v>
      </c>
    </row>
    <row r="509" spans="1:28">
      <c r="A509" s="3" t="s">
        <v>259</v>
      </c>
      <c r="D509" s="3" t="s">
        <v>4212</v>
      </c>
      <c r="E509" s="3" t="s">
        <v>4212</v>
      </c>
      <c r="F509" t="s">
        <v>3932</v>
      </c>
      <c r="H509" t="s">
        <v>3892</v>
      </c>
      <c r="T509" s="9" t="str">
        <f t="shared" ca="1" si="22"/>
        <v/>
      </c>
      <c r="U509" s="9" t="str">
        <f t="shared" ca="1" si="23"/>
        <v/>
      </c>
    </row>
    <row r="510" spans="1:28">
      <c r="A510" s="3" t="s">
        <v>260</v>
      </c>
      <c r="D510" s="3" t="s">
        <v>4213</v>
      </c>
      <c r="E510" s="3" t="s">
        <v>4214</v>
      </c>
      <c r="J510" s="9" t="s">
        <v>8731</v>
      </c>
      <c r="T510" s="9" t="str">
        <f t="shared" ca="1" si="22"/>
        <v/>
      </c>
      <c r="U510" s="9" t="str">
        <f t="shared" ca="1" si="23"/>
        <v/>
      </c>
      <c r="Z510" s="9" t="s">
        <v>8747</v>
      </c>
      <c r="AA510" s="9" t="s">
        <v>3884</v>
      </c>
      <c r="AB510" s="9" t="s">
        <v>8694</v>
      </c>
    </row>
    <row r="511" spans="1:28">
      <c r="A511" s="3" t="s">
        <v>260</v>
      </c>
      <c r="D511" s="3" t="s">
        <v>4215</v>
      </c>
      <c r="E511" s="3" t="s">
        <v>4216</v>
      </c>
      <c r="H511" t="s">
        <v>3884</v>
      </c>
      <c r="J511" s="9" t="s">
        <v>8729</v>
      </c>
      <c r="S511" s="9">
        <f>0-14</f>
        <v>-14</v>
      </c>
      <c r="T511" s="9">
        <f t="shared" ca="1" si="22"/>
        <v>14</v>
      </c>
      <c r="U511" s="9">
        <f t="shared" ca="1" si="23"/>
        <v>0</v>
      </c>
      <c r="AB511" s="9" t="s">
        <v>8694</v>
      </c>
    </row>
    <row r="512" spans="1:28">
      <c r="A512" s="3" t="s">
        <v>261</v>
      </c>
      <c r="D512" s="3" t="s">
        <v>4217</v>
      </c>
      <c r="E512" s="3" t="s">
        <v>4218</v>
      </c>
      <c r="J512" s="9" t="s">
        <v>8731</v>
      </c>
      <c r="T512" s="9" t="str">
        <f t="shared" ca="1" si="22"/>
        <v/>
      </c>
      <c r="U512" s="9" t="str">
        <f t="shared" ca="1" si="23"/>
        <v/>
      </c>
    </row>
    <row r="513" spans="1:28">
      <c r="A513" s="3" t="s">
        <v>261</v>
      </c>
      <c r="D513" s="3" t="s">
        <v>4219</v>
      </c>
      <c r="E513" s="3" t="s">
        <v>2432</v>
      </c>
      <c r="H513" t="s">
        <v>3884</v>
      </c>
      <c r="J513" s="9" t="s">
        <v>8731</v>
      </c>
      <c r="T513" s="9" t="str">
        <f t="shared" ca="1" si="22"/>
        <v/>
      </c>
      <c r="U513" s="9" t="str">
        <f t="shared" ca="1" si="23"/>
        <v/>
      </c>
      <c r="AB513" s="9" t="s">
        <v>8688</v>
      </c>
    </row>
    <row r="514" spans="1:28">
      <c r="A514" s="3" t="s">
        <v>262</v>
      </c>
      <c r="D514" s="3" t="s">
        <v>4220</v>
      </c>
      <c r="E514" s="3" t="s">
        <v>4221</v>
      </c>
      <c r="F514" t="s">
        <v>3932</v>
      </c>
      <c r="H514" t="s">
        <v>3892</v>
      </c>
      <c r="I514" t="s">
        <v>4228</v>
      </c>
      <c r="T514" s="9" t="str">
        <f t="shared" ca="1" si="22"/>
        <v/>
      </c>
      <c r="U514" s="9" t="str">
        <f t="shared" ca="1" si="23"/>
        <v/>
      </c>
    </row>
    <row r="515" spans="1:28">
      <c r="A515" s="3" t="s">
        <v>262</v>
      </c>
      <c r="D515" s="3" t="s">
        <v>4222</v>
      </c>
      <c r="E515" s="3" t="s">
        <v>4223</v>
      </c>
      <c r="J515" s="9" t="s">
        <v>8731</v>
      </c>
      <c r="T515" s="9" t="str">
        <f t="shared" ca="1" si="22"/>
        <v/>
      </c>
      <c r="U515" s="9" t="str">
        <f t="shared" ca="1" si="23"/>
        <v/>
      </c>
      <c r="Z515" s="9" t="s">
        <v>8757</v>
      </c>
      <c r="AA515" s="9" t="s">
        <v>3884</v>
      </c>
    </row>
    <row r="516" spans="1:28">
      <c r="A516" s="3" t="s">
        <v>262</v>
      </c>
      <c r="D516" s="3" t="s">
        <v>2278</v>
      </c>
      <c r="E516" s="3" t="s">
        <v>2433</v>
      </c>
      <c r="H516" t="s">
        <v>3884</v>
      </c>
      <c r="J516" s="9" t="s">
        <v>8729</v>
      </c>
      <c r="S516" s="9" t="s">
        <v>8739</v>
      </c>
      <c r="T516" s="9" t="str">
        <f t="shared" ca="1" si="22"/>
        <v/>
      </c>
      <c r="U516" s="9" t="str">
        <f t="shared" ca="1" si="23"/>
        <v/>
      </c>
      <c r="AB516" s="9" t="s">
        <v>8688</v>
      </c>
    </row>
    <row r="517" spans="1:28">
      <c r="A517" s="3" t="s">
        <v>262</v>
      </c>
      <c r="D517" s="3" t="s">
        <v>4224</v>
      </c>
      <c r="E517" s="3" t="s">
        <v>4225</v>
      </c>
      <c r="J517" s="9" t="s">
        <v>8731</v>
      </c>
      <c r="T517" s="9" t="str">
        <f t="shared" ref="T517:T580" ca="1" si="24">IF(ISNUMBER(S517),VALUE(MID(_xlfn.FORMULATEXT(S517),SEARCH("-",_xlfn.FORMULATEXT(S517))+1,LEN(_xlfn.FORMULATEXT(S517))-SEARCH("-",_xlfn.FORMULATEXT(S517)))), "")</f>
        <v/>
      </c>
      <c r="U517" s="9" t="str">
        <f t="shared" ref="U517:U580" ca="1" si="25">IF(ISNUMBER(S517), VALUE(MID(_xlfn.FORMULATEXT(S517), 2, SEARCH("-", _xlfn.FORMULATEXT(S517)) - 2)), "")</f>
        <v/>
      </c>
      <c r="Z517" s="9" t="s">
        <v>8757</v>
      </c>
      <c r="AA517" s="9" t="s">
        <v>3884</v>
      </c>
    </row>
    <row r="518" spans="1:28">
      <c r="A518" s="3" t="s">
        <v>262</v>
      </c>
      <c r="D518" s="3" t="s">
        <v>4226</v>
      </c>
      <c r="E518" s="3" t="s">
        <v>4227</v>
      </c>
      <c r="J518" s="9" t="s">
        <v>8729</v>
      </c>
      <c r="S518" s="9">
        <f>79-3678</f>
        <v>-3599</v>
      </c>
      <c r="T518" s="9">
        <f t="shared" ca="1" si="24"/>
        <v>3678</v>
      </c>
      <c r="U518" s="9">
        <f t="shared" ca="1" si="25"/>
        <v>79</v>
      </c>
    </row>
    <row r="519" spans="1:28">
      <c r="A519" s="3" t="s">
        <v>263</v>
      </c>
      <c r="D519" s="3" t="s">
        <v>2436</v>
      </c>
      <c r="E519" s="3" t="s">
        <v>2217</v>
      </c>
      <c r="J519" s="9" t="s">
        <v>8731</v>
      </c>
      <c r="T519" s="9" t="str">
        <f t="shared" ca="1" si="24"/>
        <v/>
      </c>
      <c r="U519" s="9" t="str">
        <f t="shared" ca="1" si="25"/>
        <v/>
      </c>
      <c r="Z519" s="9" t="s">
        <v>8757</v>
      </c>
      <c r="AA519" s="9" t="s">
        <v>3884</v>
      </c>
      <c r="AB519" s="9" t="s">
        <v>8697</v>
      </c>
    </row>
    <row r="520" spans="1:28">
      <c r="A520" s="3" t="s">
        <v>263</v>
      </c>
      <c r="D520" s="3" t="s">
        <v>2054</v>
      </c>
      <c r="E520" s="3" t="s">
        <v>2210</v>
      </c>
      <c r="J520" s="9" t="s">
        <v>8731</v>
      </c>
      <c r="T520" s="9" t="str">
        <f t="shared" ca="1" si="24"/>
        <v/>
      </c>
      <c r="U520" s="9" t="str">
        <f t="shared" ca="1" si="25"/>
        <v/>
      </c>
      <c r="Z520" s="9" t="s">
        <v>8757</v>
      </c>
      <c r="AA520" s="9" t="s">
        <v>3884</v>
      </c>
    </row>
    <row r="521" spans="1:28">
      <c r="A521" s="3" t="s">
        <v>263</v>
      </c>
      <c r="D521" s="3" t="s">
        <v>2437</v>
      </c>
      <c r="E521" s="3" t="s">
        <v>2437</v>
      </c>
      <c r="F521" t="s">
        <v>3932</v>
      </c>
      <c r="H521" t="s">
        <v>3892</v>
      </c>
      <c r="I521" t="s">
        <v>4229</v>
      </c>
      <c r="T521" s="9" t="str">
        <f t="shared" ca="1" si="24"/>
        <v/>
      </c>
      <c r="U521" s="9" t="str">
        <f t="shared" ca="1" si="25"/>
        <v/>
      </c>
    </row>
    <row r="522" spans="1:28">
      <c r="A522" s="3" t="s">
        <v>264</v>
      </c>
      <c r="D522" s="3" t="s">
        <v>2438</v>
      </c>
      <c r="E522" s="3" t="s">
        <v>2439</v>
      </c>
      <c r="J522" s="9" t="s">
        <v>8729</v>
      </c>
      <c r="S522" s="9" t="s">
        <v>8739</v>
      </c>
      <c r="T522" s="9" t="str">
        <f t="shared" ca="1" si="24"/>
        <v/>
      </c>
      <c r="U522" s="9" t="str">
        <f t="shared" ca="1" si="25"/>
        <v/>
      </c>
      <c r="Z522" s="9" t="s">
        <v>8741</v>
      </c>
      <c r="AA522" s="9" t="s">
        <v>3884</v>
      </c>
    </row>
    <row r="523" spans="1:28">
      <c r="A523" s="3" t="s">
        <v>265</v>
      </c>
      <c r="D523" s="3" t="s">
        <v>4230</v>
      </c>
      <c r="E523" s="3" t="s">
        <v>4230</v>
      </c>
      <c r="F523" t="s">
        <v>3932</v>
      </c>
      <c r="H523" t="s">
        <v>3892</v>
      </c>
      <c r="I523" t="s">
        <v>4231</v>
      </c>
      <c r="T523" s="9" t="str">
        <f t="shared" ca="1" si="24"/>
        <v/>
      </c>
      <c r="U523" s="9" t="str">
        <f t="shared" ca="1" si="25"/>
        <v/>
      </c>
    </row>
    <row r="524" spans="1:28">
      <c r="A524" s="3" t="s">
        <v>266</v>
      </c>
      <c r="D524" s="3" t="s">
        <v>4232</v>
      </c>
      <c r="E524" s="3" t="s">
        <v>4233</v>
      </c>
      <c r="F524" t="s">
        <v>3932</v>
      </c>
      <c r="H524" t="s">
        <v>3892</v>
      </c>
      <c r="I524" t="s">
        <v>4234</v>
      </c>
      <c r="T524" s="9" t="str">
        <f t="shared" ca="1" si="24"/>
        <v/>
      </c>
      <c r="U524" s="9" t="str">
        <f t="shared" ca="1" si="25"/>
        <v/>
      </c>
    </row>
    <row r="525" spans="1:28">
      <c r="A525" s="3" t="s">
        <v>266</v>
      </c>
      <c r="D525" s="3" t="s">
        <v>4235</v>
      </c>
      <c r="E525" s="3" t="s">
        <v>4236</v>
      </c>
      <c r="H525" t="s">
        <v>3884</v>
      </c>
      <c r="J525" s="9" t="s">
        <v>3885</v>
      </c>
      <c r="K525" s="9">
        <v>1</v>
      </c>
      <c r="L525" s="9">
        <v>2</v>
      </c>
      <c r="M525" s="9" t="s">
        <v>8734</v>
      </c>
      <c r="N525" s="9" t="s">
        <v>8730</v>
      </c>
      <c r="R525" s="9">
        <v>698</v>
      </c>
      <c r="T525" s="9" t="str">
        <f t="shared" ca="1" si="24"/>
        <v/>
      </c>
      <c r="U525" s="9" t="str">
        <f t="shared" ca="1" si="25"/>
        <v/>
      </c>
    </row>
    <row r="526" spans="1:28">
      <c r="A526" s="3" t="s">
        <v>267</v>
      </c>
      <c r="D526" s="3" t="s">
        <v>4237</v>
      </c>
      <c r="E526" s="3" t="s">
        <v>3909</v>
      </c>
      <c r="J526" s="9" t="s">
        <v>3889</v>
      </c>
      <c r="K526" s="9">
        <v>1</v>
      </c>
      <c r="L526" s="9">
        <v>5</v>
      </c>
      <c r="M526" s="9" t="s">
        <v>8683</v>
      </c>
      <c r="N526" s="9" t="s">
        <v>8690</v>
      </c>
      <c r="R526" s="9">
        <v>68</v>
      </c>
      <c r="T526" s="9" t="str">
        <f t="shared" ca="1" si="24"/>
        <v/>
      </c>
      <c r="U526" s="9" t="str">
        <f t="shared" ca="1" si="25"/>
        <v/>
      </c>
    </row>
    <row r="527" spans="1:28">
      <c r="A527" s="3" t="s">
        <v>267</v>
      </c>
      <c r="D527" s="3" t="s">
        <v>9445</v>
      </c>
      <c r="E527" s="3" t="s">
        <v>9446</v>
      </c>
      <c r="I527" t="s">
        <v>9201</v>
      </c>
      <c r="J527" s="9" t="s">
        <v>3889</v>
      </c>
      <c r="K527" s="9">
        <v>1</v>
      </c>
      <c r="L527" s="9">
        <v>3</v>
      </c>
      <c r="M527" s="9" t="s">
        <v>8689</v>
      </c>
      <c r="N527" s="9" t="s">
        <v>8690</v>
      </c>
      <c r="R527" s="9">
        <v>10929</v>
      </c>
      <c r="T527" s="9" t="str">
        <f t="shared" ca="1" si="24"/>
        <v/>
      </c>
      <c r="U527" s="9" t="str">
        <f t="shared" ca="1" si="25"/>
        <v/>
      </c>
      <c r="V527" s="9" t="s">
        <v>4</v>
      </c>
    </row>
    <row r="528" spans="1:28">
      <c r="A528" s="3" t="s">
        <v>267</v>
      </c>
      <c r="D528" s="3" t="s">
        <v>4240</v>
      </c>
      <c r="E528" s="3" t="s">
        <v>4240</v>
      </c>
      <c r="F528" t="s">
        <v>3932</v>
      </c>
      <c r="I528" t="s">
        <v>4231</v>
      </c>
      <c r="T528" s="9" t="str">
        <f t="shared" ca="1" si="24"/>
        <v/>
      </c>
      <c r="U528" s="9" t="str">
        <f t="shared" ca="1" si="25"/>
        <v/>
      </c>
    </row>
    <row r="529" spans="1:28">
      <c r="A529" s="3" t="s">
        <v>267</v>
      </c>
      <c r="D529" s="3" t="s">
        <v>4241</v>
      </c>
      <c r="E529" s="3" t="s">
        <v>4241</v>
      </c>
      <c r="F529" t="s">
        <v>3932</v>
      </c>
      <c r="I529" t="s">
        <v>4231</v>
      </c>
      <c r="T529" s="9" t="str">
        <f t="shared" ca="1" si="24"/>
        <v/>
      </c>
      <c r="U529" s="9" t="str">
        <f t="shared" ca="1" si="25"/>
        <v/>
      </c>
    </row>
    <row r="530" spans="1:28">
      <c r="A530" s="3" t="s">
        <v>268</v>
      </c>
      <c r="D530" s="3" t="s">
        <v>2440</v>
      </c>
      <c r="E530" s="3" t="s">
        <v>2441</v>
      </c>
      <c r="J530" s="9" t="s">
        <v>8729</v>
      </c>
      <c r="S530" s="9" t="s">
        <v>8739</v>
      </c>
      <c r="T530" s="9" t="str">
        <f t="shared" ca="1" si="24"/>
        <v/>
      </c>
      <c r="U530" s="9" t="str">
        <f t="shared" ca="1" si="25"/>
        <v/>
      </c>
      <c r="Z530" s="9" t="s">
        <v>8741</v>
      </c>
      <c r="AA530" s="9" t="s">
        <v>3884</v>
      </c>
      <c r="AB530" s="9" t="s">
        <v>8697</v>
      </c>
    </row>
    <row r="531" spans="1:28">
      <c r="A531" s="3" t="s">
        <v>269</v>
      </c>
      <c r="D531" s="3" t="s">
        <v>4242</v>
      </c>
      <c r="E531" s="3" t="s">
        <v>4242</v>
      </c>
      <c r="F531" t="s">
        <v>3932</v>
      </c>
      <c r="I531" t="s">
        <v>4243</v>
      </c>
      <c r="T531" s="9" t="str">
        <f t="shared" ca="1" si="24"/>
        <v/>
      </c>
      <c r="U531" s="9" t="str">
        <f t="shared" ca="1" si="25"/>
        <v/>
      </c>
    </row>
    <row r="532" spans="1:28">
      <c r="A532" s="3" t="s">
        <v>270</v>
      </c>
      <c r="D532" s="3" t="s">
        <v>4244</v>
      </c>
      <c r="E532" s="3" t="s">
        <v>4245</v>
      </c>
      <c r="H532" t="s">
        <v>3884</v>
      </c>
      <c r="J532" s="9" t="s">
        <v>8731</v>
      </c>
      <c r="T532" s="9" t="str">
        <f t="shared" ca="1" si="24"/>
        <v/>
      </c>
      <c r="U532" s="9" t="str">
        <f t="shared" ca="1" si="25"/>
        <v/>
      </c>
    </row>
    <row r="533" spans="1:28">
      <c r="A533" s="3" t="s">
        <v>270</v>
      </c>
      <c r="D533" s="3" t="s">
        <v>2443</v>
      </c>
      <c r="E533" s="3" t="s">
        <v>9583</v>
      </c>
      <c r="G533" t="s">
        <v>3884</v>
      </c>
      <c r="J533" s="9" t="s">
        <v>8729</v>
      </c>
      <c r="S533" s="9" t="s">
        <v>8739</v>
      </c>
      <c r="T533" s="9" t="str">
        <f t="shared" ca="1" si="24"/>
        <v/>
      </c>
      <c r="U533" s="9" t="str">
        <f t="shared" ca="1" si="25"/>
        <v/>
      </c>
      <c r="AB533" s="9" t="s">
        <v>8688</v>
      </c>
    </row>
    <row r="534" spans="1:28">
      <c r="A534" s="3" t="s">
        <v>270</v>
      </c>
      <c r="D534" s="3" t="s">
        <v>2444</v>
      </c>
      <c r="E534" s="3" t="s">
        <v>2445</v>
      </c>
      <c r="J534" s="9" t="s">
        <v>8729</v>
      </c>
      <c r="S534" s="9" t="s">
        <v>8739</v>
      </c>
      <c r="T534" s="9" t="str">
        <f t="shared" ca="1" si="24"/>
        <v/>
      </c>
      <c r="U534" s="9" t="str">
        <f t="shared" ca="1" si="25"/>
        <v/>
      </c>
      <c r="Z534" s="9" t="s">
        <v>8758</v>
      </c>
      <c r="AA534" s="9" t="s">
        <v>3891</v>
      </c>
      <c r="AB534" s="9" t="s">
        <v>8697</v>
      </c>
    </row>
    <row r="535" spans="1:28">
      <c r="A535" s="3" t="s">
        <v>271</v>
      </c>
      <c r="D535" s="3" t="s">
        <v>4246</v>
      </c>
      <c r="E535" s="3" t="s">
        <v>4246</v>
      </c>
      <c r="F535" t="s">
        <v>3932</v>
      </c>
      <c r="I535" t="s">
        <v>4247</v>
      </c>
      <c r="T535" s="9" t="str">
        <f t="shared" ca="1" si="24"/>
        <v/>
      </c>
      <c r="U535" s="9" t="str">
        <f t="shared" ca="1" si="25"/>
        <v/>
      </c>
    </row>
    <row r="536" spans="1:28">
      <c r="A536" s="3" t="s">
        <v>271</v>
      </c>
      <c r="D536" s="3" t="s">
        <v>4248</v>
      </c>
      <c r="E536" s="3" t="s">
        <v>4249</v>
      </c>
      <c r="J536" s="9" t="s">
        <v>3889</v>
      </c>
      <c r="K536" s="9">
        <v>1</v>
      </c>
      <c r="L536" s="9">
        <v>3</v>
      </c>
      <c r="M536" s="9" t="s">
        <v>8689</v>
      </c>
      <c r="N536" s="9" t="s">
        <v>8690</v>
      </c>
      <c r="R536" s="9">
        <v>10929</v>
      </c>
      <c r="T536" s="9" t="str">
        <f t="shared" ca="1" si="24"/>
        <v/>
      </c>
      <c r="U536" s="9" t="str">
        <f t="shared" ca="1" si="25"/>
        <v/>
      </c>
    </row>
    <row r="537" spans="1:28">
      <c r="A537" s="3" t="s">
        <v>271</v>
      </c>
      <c r="D537" s="3" t="s">
        <v>4250</v>
      </c>
      <c r="E537" s="3" t="s">
        <v>2446</v>
      </c>
      <c r="H537" t="s">
        <v>3884</v>
      </c>
      <c r="J537" s="9" t="s">
        <v>8731</v>
      </c>
      <c r="T537" s="9" t="str">
        <f t="shared" ca="1" si="24"/>
        <v/>
      </c>
      <c r="U537" s="9" t="str">
        <f t="shared" ca="1" si="25"/>
        <v/>
      </c>
    </row>
    <row r="538" spans="1:28">
      <c r="A538" s="3" t="s">
        <v>272</v>
      </c>
      <c r="D538" s="3" t="s">
        <v>4251</v>
      </c>
      <c r="E538" s="3" t="s">
        <v>9584</v>
      </c>
      <c r="I538" t="s">
        <v>4252</v>
      </c>
      <c r="J538" s="9" t="s">
        <v>8729</v>
      </c>
      <c r="Q538" s="9" t="s">
        <v>8685</v>
      </c>
      <c r="S538" s="9" t="s">
        <v>8739</v>
      </c>
      <c r="T538" s="9" t="str">
        <f t="shared" ca="1" si="24"/>
        <v/>
      </c>
      <c r="U538" s="9" t="str">
        <f t="shared" ca="1" si="25"/>
        <v/>
      </c>
      <c r="AB538" s="9" t="s">
        <v>8688</v>
      </c>
    </row>
    <row r="539" spans="1:28" ht="29">
      <c r="A539" s="3" t="s">
        <v>273</v>
      </c>
      <c r="D539" s="3" t="s">
        <v>4253</v>
      </c>
      <c r="E539" s="3" t="s">
        <v>4254</v>
      </c>
      <c r="I539" t="s">
        <v>8909</v>
      </c>
      <c r="J539" s="9" t="s">
        <v>3889</v>
      </c>
      <c r="K539" s="9">
        <v>3</v>
      </c>
      <c r="L539" s="9">
        <v>15</v>
      </c>
      <c r="N539" s="9" t="s">
        <v>8690</v>
      </c>
      <c r="R539" s="9">
        <v>4</v>
      </c>
      <c r="T539" s="9" t="str">
        <f t="shared" ca="1" si="24"/>
        <v/>
      </c>
      <c r="U539" s="9" t="str">
        <f t="shared" ca="1" si="25"/>
        <v/>
      </c>
    </row>
    <row r="540" spans="1:28">
      <c r="A540" s="3" t="s">
        <v>273</v>
      </c>
      <c r="D540" s="3" t="s">
        <v>4255</v>
      </c>
      <c r="E540" s="3" t="s">
        <v>2447</v>
      </c>
      <c r="H540" t="s">
        <v>3884</v>
      </c>
      <c r="J540" s="9" t="s">
        <v>8729</v>
      </c>
      <c r="Q540" s="9" t="s">
        <v>8685</v>
      </c>
      <c r="S540" s="9" t="s">
        <v>8739</v>
      </c>
      <c r="T540" s="9" t="str">
        <f t="shared" ca="1" si="24"/>
        <v/>
      </c>
      <c r="U540" s="9" t="str">
        <f t="shared" ca="1" si="25"/>
        <v/>
      </c>
      <c r="AB540" s="9" t="s">
        <v>8688</v>
      </c>
    </row>
    <row r="541" spans="1:28">
      <c r="A541" s="3" t="s">
        <v>274</v>
      </c>
      <c r="D541" s="3" t="s">
        <v>2252</v>
      </c>
      <c r="E541" s="3" t="s">
        <v>1934</v>
      </c>
      <c r="J541" s="9" t="s">
        <v>8729</v>
      </c>
      <c r="S541" s="9" t="s">
        <v>8739</v>
      </c>
      <c r="T541" s="9" t="str">
        <f t="shared" ca="1" si="24"/>
        <v/>
      </c>
      <c r="U541" s="9" t="str">
        <f t="shared" ca="1" si="25"/>
        <v/>
      </c>
      <c r="Z541" s="9" t="s">
        <v>8747</v>
      </c>
      <c r="AA541" s="9" t="s">
        <v>3884</v>
      </c>
      <c r="AB541" s="9" t="s">
        <v>8697</v>
      </c>
    </row>
    <row r="542" spans="1:28">
      <c r="A542" s="3" t="s">
        <v>274</v>
      </c>
      <c r="D542" s="3" t="s">
        <v>2448</v>
      </c>
      <c r="E542" s="3" t="s">
        <v>2449</v>
      </c>
      <c r="J542" s="9" t="s">
        <v>8729</v>
      </c>
      <c r="S542" s="9" t="s">
        <v>8739</v>
      </c>
      <c r="T542" s="9" t="str">
        <f t="shared" ca="1" si="24"/>
        <v/>
      </c>
      <c r="U542" s="9" t="str">
        <f t="shared" ca="1" si="25"/>
        <v/>
      </c>
      <c r="Y542" s="9" t="s">
        <v>8735</v>
      </c>
      <c r="AA542" s="9" t="s">
        <v>3884</v>
      </c>
    </row>
    <row r="543" spans="1:28">
      <c r="A543" s="3" t="s">
        <v>274</v>
      </c>
      <c r="D543" s="3" t="s">
        <v>4256</v>
      </c>
      <c r="E543" s="3" t="s">
        <v>4257</v>
      </c>
      <c r="I543" t="s">
        <v>9202</v>
      </c>
      <c r="J543" s="9" t="s">
        <v>3885</v>
      </c>
      <c r="K543" s="9">
        <v>1</v>
      </c>
      <c r="L543" s="9">
        <v>2</v>
      </c>
      <c r="M543" s="9" t="s">
        <v>8689</v>
      </c>
      <c r="N543" s="9" t="s">
        <v>8730</v>
      </c>
      <c r="Q543" s="9" t="s">
        <v>8685</v>
      </c>
      <c r="R543" s="9">
        <v>10929</v>
      </c>
      <c r="T543" s="9" t="str">
        <f t="shared" ca="1" si="24"/>
        <v/>
      </c>
      <c r="U543" s="9" t="str">
        <f t="shared" ca="1" si="25"/>
        <v/>
      </c>
      <c r="V543" s="9" t="s">
        <v>4</v>
      </c>
    </row>
    <row r="544" spans="1:28">
      <c r="A544" s="3" t="s">
        <v>274</v>
      </c>
      <c r="D544" s="3" t="s">
        <v>4259</v>
      </c>
      <c r="E544" s="3" t="s">
        <v>4258</v>
      </c>
      <c r="J544" s="9" t="s">
        <v>8729</v>
      </c>
      <c r="S544" s="9" t="s">
        <v>8739</v>
      </c>
      <c r="T544" s="9" t="str">
        <f t="shared" ca="1" si="24"/>
        <v/>
      </c>
      <c r="U544" s="9" t="str">
        <f t="shared" ca="1" si="25"/>
        <v/>
      </c>
      <c r="AB544" s="9" t="s">
        <v>8697</v>
      </c>
    </row>
    <row r="545" spans="1:28">
      <c r="A545" s="3" t="s">
        <v>275</v>
      </c>
      <c r="D545" s="3" t="s">
        <v>2450</v>
      </c>
      <c r="E545" s="3" t="s">
        <v>2451</v>
      </c>
      <c r="J545" s="9" t="s">
        <v>8729</v>
      </c>
      <c r="S545" s="9" t="s">
        <v>8739</v>
      </c>
      <c r="T545" s="9" t="str">
        <f t="shared" ca="1" si="24"/>
        <v/>
      </c>
      <c r="U545" s="9" t="str">
        <f t="shared" ca="1" si="25"/>
        <v/>
      </c>
      <c r="Z545" s="9" t="s">
        <v>8741</v>
      </c>
      <c r="AA545" s="9" t="s">
        <v>3884</v>
      </c>
      <c r="AB545" s="9" t="s">
        <v>8697</v>
      </c>
    </row>
    <row r="546" spans="1:28">
      <c r="A546" s="3" t="s">
        <v>275</v>
      </c>
      <c r="D546" s="3" t="s">
        <v>4260</v>
      </c>
      <c r="E546" s="3" t="s">
        <v>4261</v>
      </c>
      <c r="H546" t="s">
        <v>3884</v>
      </c>
      <c r="J546" s="9" t="s">
        <v>3889</v>
      </c>
      <c r="K546" s="9">
        <v>1</v>
      </c>
      <c r="L546" s="9">
        <v>2</v>
      </c>
      <c r="M546" s="9" t="s">
        <v>8689</v>
      </c>
      <c r="N546" s="9" t="s">
        <v>8730</v>
      </c>
      <c r="R546" s="9">
        <v>10929</v>
      </c>
      <c r="T546" s="9" t="str">
        <f t="shared" ca="1" si="24"/>
        <v/>
      </c>
      <c r="U546" s="9" t="str">
        <f t="shared" ca="1" si="25"/>
        <v/>
      </c>
    </row>
    <row r="547" spans="1:28">
      <c r="A547" s="3" t="s">
        <v>276</v>
      </c>
      <c r="D547" s="3" t="s">
        <v>2452</v>
      </c>
      <c r="E547" s="3" t="s">
        <v>2452</v>
      </c>
      <c r="F547" t="s">
        <v>3932</v>
      </c>
      <c r="I547" t="s">
        <v>4262</v>
      </c>
      <c r="T547" s="9" t="str">
        <f t="shared" ca="1" si="24"/>
        <v/>
      </c>
      <c r="U547" s="9" t="str">
        <f t="shared" ca="1" si="25"/>
        <v/>
      </c>
    </row>
    <row r="548" spans="1:28" ht="29">
      <c r="A548" s="3" t="s">
        <v>276</v>
      </c>
      <c r="D548" s="3" t="s">
        <v>8911</v>
      </c>
      <c r="E548" s="3" t="s">
        <v>8910</v>
      </c>
      <c r="J548" s="9" t="s">
        <v>3889</v>
      </c>
      <c r="K548" s="9">
        <v>1</v>
      </c>
      <c r="L548" s="9">
        <v>7</v>
      </c>
      <c r="M548" s="9" t="s">
        <v>8683</v>
      </c>
      <c r="N548" s="9" t="s">
        <v>8690</v>
      </c>
      <c r="R548" s="9">
        <v>89</v>
      </c>
      <c r="T548" s="9" t="str">
        <f t="shared" ca="1" si="24"/>
        <v/>
      </c>
      <c r="U548" s="9" t="str">
        <f t="shared" ca="1" si="25"/>
        <v/>
      </c>
    </row>
    <row r="549" spans="1:28">
      <c r="A549" s="3" t="s">
        <v>276</v>
      </c>
      <c r="D549" s="3" t="s">
        <v>2453</v>
      </c>
      <c r="E549" s="3" t="s">
        <v>2453</v>
      </c>
      <c r="F549" t="s">
        <v>3932</v>
      </c>
      <c r="I549" t="s">
        <v>4263</v>
      </c>
      <c r="T549" s="9" t="str">
        <f t="shared" ca="1" si="24"/>
        <v/>
      </c>
      <c r="U549" s="9" t="str">
        <f t="shared" ca="1" si="25"/>
        <v/>
      </c>
    </row>
    <row r="550" spans="1:28">
      <c r="A550" s="3" t="s">
        <v>276</v>
      </c>
      <c r="D550" s="3" t="s">
        <v>2454</v>
      </c>
      <c r="E550" s="3" t="s">
        <v>2455</v>
      </c>
      <c r="J550" s="9" t="s">
        <v>8729</v>
      </c>
      <c r="S550" s="9" t="s">
        <v>8739</v>
      </c>
      <c r="T550" s="9" t="str">
        <f t="shared" ca="1" si="24"/>
        <v/>
      </c>
      <c r="U550" s="9" t="str">
        <f t="shared" ca="1" si="25"/>
        <v/>
      </c>
      <c r="Z550" s="9" t="s">
        <v>8741</v>
      </c>
      <c r="AA550" s="9" t="s">
        <v>3884</v>
      </c>
      <c r="AB550" s="9" t="s">
        <v>8697</v>
      </c>
    </row>
    <row r="551" spans="1:28">
      <c r="A551" s="3" t="s">
        <v>276</v>
      </c>
      <c r="D551" s="3" t="s">
        <v>4264</v>
      </c>
      <c r="E551" s="3" t="s">
        <v>4265</v>
      </c>
      <c r="J551" s="9" t="s">
        <v>8729</v>
      </c>
      <c r="S551" s="9" t="s">
        <v>8739</v>
      </c>
      <c r="T551" s="9" t="str">
        <f t="shared" ca="1" si="24"/>
        <v/>
      </c>
      <c r="U551" s="9" t="str">
        <f t="shared" ca="1" si="25"/>
        <v/>
      </c>
      <c r="AB551" s="9" t="s">
        <v>8697</v>
      </c>
    </row>
    <row r="552" spans="1:28">
      <c r="A552" s="3" t="s">
        <v>276</v>
      </c>
      <c r="D552" s="3" t="s">
        <v>4266</v>
      </c>
      <c r="E552" s="3" t="s">
        <v>4267</v>
      </c>
      <c r="F552" t="s">
        <v>3932</v>
      </c>
      <c r="I552" t="s">
        <v>4268</v>
      </c>
      <c r="T552" s="9" t="str">
        <f t="shared" ca="1" si="24"/>
        <v/>
      </c>
      <c r="U552" s="9" t="str">
        <f t="shared" ca="1" si="25"/>
        <v/>
      </c>
    </row>
    <row r="553" spans="1:28">
      <c r="A553" s="3" t="s">
        <v>276</v>
      </c>
      <c r="D553" s="3" t="s">
        <v>2456</v>
      </c>
      <c r="E553" s="3" t="s">
        <v>2457</v>
      </c>
      <c r="F553" t="s">
        <v>3886</v>
      </c>
      <c r="J553" s="9" t="s">
        <v>8729</v>
      </c>
      <c r="S553" s="9" t="s">
        <v>8739</v>
      </c>
      <c r="T553" s="9" t="str">
        <f t="shared" ca="1" si="24"/>
        <v/>
      </c>
      <c r="U553" s="9" t="str">
        <f t="shared" ca="1" si="25"/>
        <v/>
      </c>
      <c r="Z553" s="9" t="s">
        <v>8741</v>
      </c>
      <c r="AA553" s="9" t="s">
        <v>3884</v>
      </c>
      <c r="AB553" s="9" t="s">
        <v>8697</v>
      </c>
    </row>
    <row r="554" spans="1:28">
      <c r="A554" s="3" t="s">
        <v>277</v>
      </c>
      <c r="D554" s="3" t="s">
        <v>2458</v>
      </c>
      <c r="E554" s="3" t="s">
        <v>2452</v>
      </c>
      <c r="H554" t="s">
        <v>3892</v>
      </c>
      <c r="I554" t="s">
        <v>4262</v>
      </c>
      <c r="J554" s="9" t="s">
        <v>8731</v>
      </c>
      <c r="T554" s="9" t="str">
        <f t="shared" ca="1" si="24"/>
        <v/>
      </c>
      <c r="U554" s="9" t="str">
        <f t="shared" ca="1" si="25"/>
        <v/>
      </c>
      <c r="Z554" s="9" t="s">
        <v>8741</v>
      </c>
      <c r="AA554" s="9" t="s">
        <v>3884</v>
      </c>
      <c r="AB554" s="9" t="s">
        <v>8697</v>
      </c>
    </row>
    <row r="555" spans="1:28">
      <c r="A555" s="3" t="s">
        <v>278</v>
      </c>
      <c r="D555" s="3" t="s">
        <v>8913</v>
      </c>
      <c r="E555" s="3" t="s">
        <v>8912</v>
      </c>
      <c r="H555" t="s">
        <v>3884</v>
      </c>
      <c r="J555" s="9" t="s">
        <v>3889</v>
      </c>
      <c r="K555" s="9">
        <v>1</v>
      </c>
      <c r="L555" s="9">
        <v>5</v>
      </c>
      <c r="M555" s="9" t="s">
        <v>8705</v>
      </c>
      <c r="N555" s="9" t="s">
        <v>8690</v>
      </c>
      <c r="R555" s="9">
        <v>3678</v>
      </c>
      <c r="T555" s="9" t="str">
        <f t="shared" ca="1" si="24"/>
        <v/>
      </c>
      <c r="U555" s="9" t="str">
        <f t="shared" ca="1" si="25"/>
        <v/>
      </c>
    </row>
    <row r="556" spans="1:28">
      <c r="A556" s="3" t="s">
        <v>278</v>
      </c>
      <c r="D556" s="3" t="s">
        <v>8915</v>
      </c>
      <c r="E556" s="3" t="s">
        <v>8914</v>
      </c>
      <c r="J556" s="9" t="s">
        <v>8729</v>
      </c>
      <c r="S556" s="9" t="s">
        <v>8739</v>
      </c>
      <c r="T556" s="9" t="str">
        <f t="shared" ca="1" si="24"/>
        <v/>
      </c>
      <c r="U556" s="9" t="str">
        <f t="shared" ca="1" si="25"/>
        <v/>
      </c>
      <c r="Z556" s="9" t="s">
        <v>8741</v>
      </c>
      <c r="AA556" s="9" t="s">
        <v>3884</v>
      </c>
      <c r="AB556" s="9" t="s">
        <v>8697</v>
      </c>
    </row>
    <row r="557" spans="1:28">
      <c r="A557" s="3" t="s">
        <v>279</v>
      </c>
      <c r="D557" s="3" t="s">
        <v>2459</v>
      </c>
      <c r="E557" s="3" t="s">
        <v>2460</v>
      </c>
      <c r="J557" s="9" t="s">
        <v>8729</v>
      </c>
      <c r="S557" s="9" t="s">
        <v>8739</v>
      </c>
      <c r="T557" s="9" t="str">
        <f t="shared" ca="1" si="24"/>
        <v/>
      </c>
      <c r="U557" s="9" t="str">
        <f t="shared" ca="1" si="25"/>
        <v/>
      </c>
      <c r="Z557" s="9" t="s">
        <v>8757</v>
      </c>
      <c r="AA557" s="9" t="s">
        <v>3884</v>
      </c>
      <c r="AB557" s="9" t="s">
        <v>8697</v>
      </c>
    </row>
    <row r="558" spans="1:28">
      <c r="A558" s="3" t="s">
        <v>279</v>
      </c>
      <c r="D558" s="3" t="s">
        <v>4269</v>
      </c>
      <c r="E558" s="3" t="s">
        <v>4270</v>
      </c>
      <c r="H558" t="s">
        <v>3884</v>
      </c>
      <c r="J558" s="9" t="s">
        <v>8731</v>
      </c>
      <c r="T558" s="9" t="str">
        <f t="shared" ca="1" si="24"/>
        <v/>
      </c>
      <c r="U558" s="9" t="str">
        <f t="shared" ca="1" si="25"/>
        <v/>
      </c>
      <c r="AB558" s="9" t="s">
        <v>8688</v>
      </c>
    </row>
    <row r="559" spans="1:28" ht="29">
      <c r="A559" s="3" t="s">
        <v>280</v>
      </c>
      <c r="D559" s="3" t="s">
        <v>4271</v>
      </c>
      <c r="E559" s="3" t="s">
        <v>4271</v>
      </c>
      <c r="F559" t="s">
        <v>3932</v>
      </c>
      <c r="I559" t="s">
        <v>4272</v>
      </c>
      <c r="T559" s="9" t="str">
        <f t="shared" ca="1" si="24"/>
        <v/>
      </c>
      <c r="U559" s="9" t="str">
        <f t="shared" ca="1" si="25"/>
        <v/>
      </c>
    </row>
    <row r="560" spans="1:28">
      <c r="A560" s="3" t="s">
        <v>280</v>
      </c>
      <c r="D560" s="3" t="s">
        <v>2892</v>
      </c>
      <c r="E560" s="3" t="s">
        <v>2461</v>
      </c>
      <c r="H560" t="s">
        <v>3884</v>
      </c>
      <c r="J560" s="9" t="s">
        <v>8731</v>
      </c>
      <c r="T560" s="9" t="str">
        <f t="shared" ca="1" si="24"/>
        <v/>
      </c>
      <c r="U560" s="9" t="str">
        <f t="shared" ca="1" si="25"/>
        <v/>
      </c>
    </row>
    <row r="561" spans="1:28">
      <c r="A561" s="3" t="s">
        <v>281</v>
      </c>
      <c r="D561" s="3" t="s">
        <v>2462</v>
      </c>
      <c r="E561" s="3" t="s">
        <v>2463</v>
      </c>
      <c r="J561" s="9" t="s">
        <v>8731</v>
      </c>
      <c r="T561" s="9" t="str">
        <f t="shared" ca="1" si="24"/>
        <v/>
      </c>
      <c r="U561" s="9" t="str">
        <f t="shared" ca="1" si="25"/>
        <v/>
      </c>
      <c r="Z561" s="9" t="s">
        <v>9285</v>
      </c>
      <c r="AA561" s="9" t="s">
        <v>3884</v>
      </c>
    </row>
    <row r="562" spans="1:28">
      <c r="A562" s="3" t="s">
        <v>282</v>
      </c>
      <c r="D562" s="3" t="s">
        <v>9585</v>
      </c>
      <c r="E562" s="4" t="s">
        <v>9586</v>
      </c>
      <c r="F562" t="s">
        <v>3897</v>
      </c>
      <c r="T562" s="9" t="str">
        <f t="shared" ca="1" si="24"/>
        <v/>
      </c>
      <c r="U562" s="9" t="str">
        <f t="shared" ca="1" si="25"/>
        <v/>
      </c>
    </row>
    <row r="563" spans="1:28">
      <c r="A563" s="3" t="s">
        <v>283</v>
      </c>
      <c r="D563" s="3" t="s">
        <v>2464</v>
      </c>
      <c r="E563" s="3" t="s">
        <v>2465</v>
      </c>
      <c r="J563" s="9" t="s">
        <v>8731</v>
      </c>
      <c r="T563" s="9" t="str">
        <f t="shared" ca="1" si="24"/>
        <v/>
      </c>
      <c r="U563" s="9" t="str">
        <f t="shared" ca="1" si="25"/>
        <v/>
      </c>
      <c r="AB563" s="9" t="s">
        <v>8697</v>
      </c>
    </row>
    <row r="564" spans="1:28">
      <c r="A564" s="3" t="s">
        <v>284</v>
      </c>
      <c r="D564" s="3" t="s">
        <v>2466</v>
      </c>
      <c r="E564" s="3" t="s">
        <v>2467</v>
      </c>
      <c r="J564" s="9" t="s">
        <v>8731</v>
      </c>
      <c r="T564" s="9" t="str">
        <f t="shared" ca="1" si="24"/>
        <v/>
      </c>
      <c r="U564" s="9" t="str">
        <f t="shared" ca="1" si="25"/>
        <v/>
      </c>
      <c r="AB564" s="9" t="s">
        <v>8697</v>
      </c>
    </row>
    <row r="565" spans="1:28">
      <c r="A565" s="3" t="s">
        <v>284</v>
      </c>
      <c r="D565" s="3" t="s">
        <v>2468</v>
      </c>
      <c r="E565" s="3" t="s">
        <v>1996</v>
      </c>
      <c r="J565" s="9" t="s">
        <v>8729</v>
      </c>
      <c r="S565" s="9" t="s">
        <v>8739</v>
      </c>
      <c r="T565" s="9" t="str">
        <f t="shared" ca="1" si="24"/>
        <v/>
      </c>
      <c r="U565" s="9" t="str">
        <f t="shared" ca="1" si="25"/>
        <v/>
      </c>
      <c r="Z565" s="9" t="s">
        <v>8742</v>
      </c>
      <c r="AA565" s="9" t="s">
        <v>3884</v>
      </c>
      <c r="AB565" s="9" t="s">
        <v>8697</v>
      </c>
    </row>
    <row r="566" spans="1:28">
      <c r="A566" s="3" t="s">
        <v>284</v>
      </c>
      <c r="D566" s="3" t="s">
        <v>2293</v>
      </c>
      <c r="E566" s="3" t="s">
        <v>2294</v>
      </c>
      <c r="J566" s="9" t="s">
        <v>8729</v>
      </c>
      <c r="S566" s="9" t="s">
        <v>8739</v>
      </c>
      <c r="T566" s="9" t="str">
        <f t="shared" ca="1" si="24"/>
        <v/>
      </c>
      <c r="U566" s="9" t="str">
        <f t="shared" ca="1" si="25"/>
        <v/>
      </c>
      <c r="Z566" s="9" t="s">
        <v>8741</v>
      </c>
      <c r="AA566" s="9" t="s">
        <v>3884</v>
      </c>
      <c r="AB566" s="9" t="s">
        <v>8697</v>
      </c>
    </row>
    <row r="567" spans="1:28">
      <c r="A567" s="3" t="s">
        <v>284</v>
      </c>
      <c r="D567" s="3" t="s">
        <v>2456</v>
      </c>
      <c r="E567" s="3" t="s">
        <v>2457</v>
      </c>
      <c r="J567" s="9" t="s">
        <v>8729</v>
      </c>
      <c r="S567" s="9" t="s">
        <v>8739</v>
      </c>
      <c r="T567" s="9" t="str">
        <f t="shared" ca="1" si="24"/>
        <v/>
      </c>
      <c r="U567" s="9" t="str">
        <f t="shared" ca="1" si="25"/>
        <v/>
      </c>
      <c r="Z567" s="9" t="s">
        <v>8741</v>
      </c>
      <c r="AA567" s="9" t="s">
        <v>3884</v>
      </c>
      <c r="AB567" s="9" t="s">
        <v>8697</v>
      </c>
    </row>
    <row r="568" spans="1:28">
      <c r="A568" s="3" t="s">
        <v>285</v>
      </c>
      <c r="D568" s="3" t="s">
        <v>8916</v>
      </c>
      <c r="E568" s="3" t="s">
        <v>8917</v>
      </c>
      <c r="J568" s="9" t="s">
        <v>8731</v>
      </c>
      <c r="T568" s="9" t="str">
        <f t="shared" ca="1" si="24"/>
        <v/>
      </c>
      <c r="U568" s="9" t="str">
        <f t="shared" ca="1" si="25"/>
        <v/>
      </c>
      <c r="Z568" s="9" t="s">
        <v>8747</v>
      </c>
      <c r="AA568" s="9" t="s">
        <v>3884</v>
      </c>
      <c r="AB568" s="9" t="s">
        <v>8700</v>
      </c>
    </row>
    <row r="569" spans="1:28">
      <c r="A569" s="3" t="s">
        <v>285</v>
      </c>
      <c r="D569" s="3" t="s">
        <v>4273</v>
      </c>
      <c r="E569" s="3" t="s">
        <v>4274</v>
      </c>
      <c r="F569" t="s">
        <v>3932</v>
      </c>
      <c r="I569" t="s">
        <v>4275</v>
      </c>
      <c r="T569" s="9" t="str">
        <f t="shared" ca="1" si="24"/>
        <v/>
      </c>
      <c r="U569" s="9" t="str">
        <f t="shared" ca="1" si="25"/>
        <v/>
      </c>
    </row>
    <row r="570" spans="1:28">
      <c r="A570" s="3" t="s">
        <v>286</v>
      </c>
      <c r="D570" s="3" t="s">
        <v>2469</v>
      </c>
      <c r="E570" s="3" t="s">
        <v>2469</v>
      </c>
      <c r="F570" t="s">
        <v>3932</v>
      </c>
      <c r="I570" t="s">
        <v>4276</v>
      </c>
      <c r="T570" s="9" t="str">
        <f t="shared" ca="1" si="24"/>
        <v/>
      </c>
      <c r="U570" s="9" t="str">
        <f t="shared" ca="1" si="25"/>
        <v/>
      </c>
    </row>
    <row r="571" spans="1:28">
      <c r="A571" s="3" t="s">
        <v>286</v>
      </c>
      <c r="D571" s="3" t="s">
        <v>2470</v>
      </c>
      <c r="E571" s="3" t="s">
        <v>2471</v>
      </c>
      <c r="J571" s="9" t="s">
        <v>8729</v>
      </c>
      <c r="S571" s="9" t="s">
        <v>8739</v>
      </c>
      <c r="T571" s="9" t="str">
        <f t="shared" ca="1" si="24"/>
        <v/>
      </c>
      <c r="U571" s="9" t="str">
        <f t="shared" ca="1" si="25"/>
        <v/>
      </c>
      <c r="AB571" s="9" t="s">
        <v>8697</v>
      </c>
    </row>
    <row r="572" spans="1:28">
      <c r="A572" s="3" t="s">
        <v>286</v>
      </c>
      <c r="D572" t="s">
        <v>8919</v>
      </c>
      <c r="E572" t="s">
        <v>8918</v>
      </c>
      <c r="J572" s="9" t="s">
        <v>8729</v>
      </c>
      <c r="S572" s="9">
        <f>8-4</f>
        <v>4</v>
      </c>
      <c r="T572" s="9">
        <f t="shared" ca="1" si="24"/>
        <v>4</v>
      </c>
      <c r="U572" s="9">
        <f t="shared" ca="1" si="25"/>
        <v>8</v>
      </c>
      <c r="AB572" s="9" t="s">
        <v>8700</v>
      </c>
    </row>
    <row r="573" spans="1:28">
      <c r="A573" s="3" t="s">
        <v>286</v>
      </c>
      <c r="D573" s="3" t="s">
        <v>2472</v>
      </c>
      <c r="E573" s="3" t="s">
        <v>2473</v>
      </c>
      <c r="J573" s="9" t="s">
        <v>8731</v>
      </c>
      <c r="T573" s="9" t="str">
        <f t="shared" ca="1" si="24"/>
        <v/>
      </c>
      <c r="U573" s="9" t="str">
        <f t="shared" ca="1" si="25"/>
        <v/>
      </c>
      <c r="Z573" s="9" t="s">
        <v>8747</v>
      </c>
      <c r="AA573" s="9" t="s">
        <v>3884</v>
      </c>
      <c r="AB573" s="9" t="s">
        <v>8697</v>
      </c>
    </row>
    <row r="574" spans="1:28">
      <c r="A574" s="3" t="s">
        <v>287</v>
      </c>
      <c r="D574" s="3" t="s">
        <v>2474</v>
      </c>
      <c r="E574" s="3" t="s">
        <v>2475</v>
      </c>
      <c r="J574" s="9" t="s">
        <v>8729</v>
      </c>
      <c r="S574" s="9" t="s">
        <v>8739</v>
      </c>
      <c r="T574" s="9" t="str">
        <f t="shared" ca="1" si="24"/>
        <v/>
      </c>
      <c r="U574" s="9" t="str">
        <f t="shared" ca="1" si="25"/>
        <v/>
      </c>
      <c r="AB574" s="9" t="s">
        <v>8688</v>
      </c>
    </row>
    <row r="575" spans="1:28">
      <c r="A575" s="3" t="s">
        <v>287</v>
      </c>
      <c r="D575" s="3" t="s">
        <v>4277</v>
      </c>
      <c r="E575" s="3" t="s">
        <v>4278</v>
      </c>
      <c r="H575" t="s">
        <v>3884</v>
      </c>
      <c r="J575" s="9" t="s">
        <v>8729</v>
      </c>
      <c r="S575" s="9">
        <f>16-10929</f>
        <v>-10913</v>
      </c>
      <c r="T575" s="9">
        <f t="shared" ca="1" si="24"/>
        <v>10929</v>
      </c>
      <c r="U575" s="9">
        <f t="shared" ca="1" si="25"/>
        <v>16</v>
      </c>
      <c r="Z575" s="9" t="s">
        <v>9038</v>
      </c>
      <c r="AA575" s="9" t="s">
        <v>3884</v>
      </c>
      <c r="AB575" s="9" t="s">
        <v>8694</v>
      </c>
    </row>
    <row r="576" spans="1:28">
      <c r="A576" s="3" t="s">
        <v>287</v>
      </c>
      <c r="D576" s="3" t="s">
        <v>2476</v>
      </c>
      <c r="E576" s="3" t="s">
        <v>2477</v>
      </c>
      <c r="J576" s="9" t="s">
        <v>8729</v>
      </c>
      <c r="S576" s="9" t="s">
        <v>8739</v>
      </c>
      <c r="T576" s="9" t="str">
        <f t="shared" ca="1" si="24"/>
        <v/>
      </c>
      <c r="U576" s="9" t="str">
        <f t="shared" ca="1" si="25"/>
        <v/>
      </c>
      <c r="Z576" s="9" t="s">
        <v>9038</v>
      </c>
      <c r="AA576" s="9" t="s">
        <v>3884</v>
      </c>
      <c r="AB576" s="9" t="s">
        <v>8688</v>
      </c>
    </row>
    <row r="577" spans="1:28">
      <c r="A577" s="3" t="s">
        <v>287</v>
      </c>
      <c r="D577" s="3" t="s">
        <v>2478</v>
      </c>
      <c r="E577" s="3" t="s">
        <v>2479</v>
      </c>
      <c r="J577" s="9" t="s">
        <v>8729</v>
      </c>
      <c r="S577" s="9" t="s">
        <v>8739</v>
      </c>
      <c r="T577" s="9" t="str">
        <f t="shared" ca="1" si="24"/>
        <v/>
      </c>
      <c r="U577" s="9" t="str">
        <f t="shared" ca="1" si="25"/>
        <v/>
      </c>
      <c r="Z577" s="9" t="s">
        <v>8757</v>
      </c>
      <c r="AA577" s="9" t="s">
        <v>3884</v>
      </c>
      <c r="AB577" s="9" t="s">
        <v>8697</v>
      </c>
    </row>
    <row r="578" spans="1:28">
      <c r="A578" s="3" t="s">
        <v>288</v>
      </c>
      <c r="D578" s="3" t="s">
        <v>2480</v>
      </c>
      <c r="E578" s="3" t="s">
        <v>2481</v>
      </c>
      <c r="J578" s="9" t="s">
        <v>8731</v>
      </c>
      <c r="T578" s="9" t="str">
        <f t="shared" ca="1" si="24"/>
        <v/>
      </c>
      <c r="U578" s="9" t="str">
        <f t="shared" ca="1" si="25"/>
        <v/>
      </c>
      <c r="Z578" s="9" t="s">
        <v>9285</v>
      </c>
      <c r="AA578" s="9" t="s">
        <v>3884</v>
      </c>
    </row>
    <row r="579" spans="1:28">
      <c r="A579" s="3" t="s">
        <v>288</v>
      </c>
      <c r="D579" s="3" t="s">
        <v>2482</v>
      </c>
      <c r="E579" s="3" t="s">
        <v>2483</v>
      </c>
      <c r="J579" s="9" t="s">
        <v>8729</v>
      </c>
      <c r="S579" s="9">
        <f>3-0</f>
        <v>3</v>
      </c>
      <c r="T579" s="9">
        <f t="shared" ca="1" si="24"/>
        <v>0</v>
      </c>
      <c r="U579" s="9">
        <f t="shared" ca="1" si="25"/>
        <v>3</v>
      </c>
      <c r="Z579" s="9" t="s">
        <v>8757</v>
      </c>
      <c r="AA579" s="9" t="s">
        <v>3884</v>
      </c>
    </row>
    <row r="580" spans="1:28">
      <c r="A580" s="3" t="s">
        <v>289</v>
      </c>
      <c r="D580" s="3" t="s">
        <v>2420</v>
      </c>
      <c r="E580" s="3" t="s">
        <v>2421</v>
      </c>
      <c r="J580" s="9" t="s">
        <v>8731</v>
      </c>
      <c r="T580" s="9" t="str">
        <f t="shared" ca="1" si="24"/>
        <v/>
      </c>
      <c r="U580" s="9" t="str">
        <f t="shared" ca="1" si="25"/>
        <v/>
      </c>
      <c r="Z580" s="9" t="s">
        <v>8741</v>
      </c>
      <c r="AA580" s="9" t="s">
        <v>3884</v>
      </c>
    </row>
    <row r="581" spans="1:28">
      <c r="A581" s="3" t="s">
        <v>289</v>
      </c>
      <c r="D581" s="3" t="s">
        <v>4279</v>
      </c>
      <c r="E581" s="3" t="s">
        <v>2484</v>
      </c>
      <c r="H581" t="s">
        <v>3884</v>
      </c>
      <c r="J581" s="9" t="s">
        <v>8731</v>
      </c>
      <c r="T581" s="9" t="str">
        <f t="shared" ref="T581:T644" ca="1" si="26">IF(ISNUMBER(S581),VALUE(MID(_xlfn.FORMULATEXT(S581),SEARCH("-",_xlfn.FORMULATEXT(S581))+1,LEN(_xlfn.FORMULATEXT(S581))-SEARCH("-",_xlfn.FORMULATEXT(S581)))), "")</f>
        <v/>
      </c>
      <c r="U581" s="9" t="str">
        <f t="shared" ref="U581:U644" ca="1" si="27">IF(ISNUMBER(S581), VALUE(MID(_xlfn.FORMULATEXT(S581), 2, SEARCH("-", _xlfn.FORMULATEXT(S581)) - 2)), "")</f>
        <v/>
      </c>
      <c r="AB581" s="9" t="s">
        <v>8688</v>
      </c>
    </row>
    <row r="582" spans="1:28" ht="29">
      <c r="A582" s="3" t="s">
        <v>290</v>
      </c>
      <c r="D582" s="3" t="s">
        <v>4280</v>
      </c>
      <c r="E582" s="3" t="s">
        <v>8920</v>
      </c>
      <c r="H582" t="s">
        <v>3884</v>
      </c>
      <c r="J582" s="9" t="s">
        <v>8731</v>
      </c>
      <c r="T582" s="9" t="str">
        <f t="shared" ca="1" si="26"/>
        <v/>
      </c>
      <c r="U582" s="9" t="str">
        <f t="shared" ca="1" si="27"/>
        <v/>
      </c>
      <c r="AB582" s="9" t="s">
        <v>8688</v>
      </c>
    </row>
    <row r="583" spans="1:28" ht="29">
      <c r="A583" s="3" t="s">
        <v>290</v>
      </c>
      <c r="D583" s="3" t="s">
        <v>4281</v>
      </c>
      <c r="E583" s="3" t="s">
        <v>8921</v>
      </c>
      <c r="H583" t="s">
        <v>3884</v>
      </c>
      <c r="J583" s="9" t="s">
        <v>3889</v>
      </c>
      <c r="K583" s="9">
        <v>1</v>
      </c>
      <c r="L583" s="9">
        <v>1</v>
      </c>
      <c r="M583" s="9" t="s">
        <v>8689</v>
      </c>
      <c r="N583" s="9" t="s">
        <v>8730</v>
      </c>
      <c r="Q583" s="9" t="s">
        <v>8685</v>
      </c>
      <c r="R583" s="9">
        <v>10929</v>
      </c>
      <c r="T583" s="9" t="str">
        <f t="shared" ca="1" si="26"/>
        <v/>
      </c>
      <c r="U583" s="9" t="str">
        <f t="shared" ca="1" si="27"/>
        <v/>
      </c>
    </row>
    <row r="584" spans="1:28">
      <c r="A584" s="3" t="s">
        <v>291</v>
      </c>
      <c r="D584" s="3" t="s">
        <v>2485</v>
      </c>
      <c r="E584" s="3" t="s">
        <v>2486</v>
      </c>
      <c r="J584" s="9" t="s">
        <v>8729</v>
      </c>
      <c r="S584" s="9" t="s">
        <v>8739</v>
      </c>
      <c r="T584" s="9" t="str">
        <f t="shared" ca="1" si="26"/>
        <v/>
      </c>
      <c r="U584" s="9" t="str">
        <f t="shared" ca="1" si="27"/>
        <v/>
      </c>
      <c r="Z584" s="9" t="s">
        <v>8741</v>
      </c>
      <c r="AA584" s="9" t="s">
        <v>3884</v>
      </c>
      <c r="AB584" s="9" t="s">
        <v>8697</v>
      </c>
    </row>
    <row r="585" spans="1:28">
      <c r="A585" s="3" t="s">
        <v>292</v>
      </c>
      <c r="D585" s="3" t="s">
        <v>2487</v>
      </c>
      <c r="E585" s="3" t="s">
        <v>2488</v>
      </c>
      <c r="J585" s="9" t="s">
        <v>8729</v>
      </c>
      <c r="S585" s="9" t="s">
        <v>8739</v>
      </c>
      <c r="T585" s="9" t="str">
        <f t="shared" ca="1" si="26"/>
        <v/>
      </c>
      <c r="U585" s="9" t="str">
        <f t="shared" ca="1" si="27"/>
        <v/>
      </c>
      <c r="Z585" s="9" t="s">
        <v>8741</v>
      </c>
      <c r="AA585" s="9" t="s">
        <v>3884</v>
      </c>
      <c r="AB585" s="9" t="s">
        <v>8697</v>
      </c>
    </row>
    <row r="586" spans="1:28" ht="43.5">
      <c r="A586" s="3" t="s">
        <v>292</v>
      </c>
      <c r="D586" s="3" t="s">
        <v>4284</v>
      </c>
      <c r="E586" s="3" t="s">
        <v>4285</v>
      </c>
      <c r="F586" t="s">
        <v>3893</v>
      </c>
      <c r="H586" t="s">
        <v>3892</v>
      </c>
      <c r="I586" t="s">
        <v>4282</v>
      </c>
      <c r="T586" s="9" t="str">
        <f t="shared" ca="1" si="26"/>
        <v/>
      </c>
      <c r="U586" s="9" t="str">
        <f t="shared" ca="1" si="27"/>
        <v/>
      </c>
    </row>
    <row r="587" spans="1:28" ht="43.5">
      <c r="A587" s="3" t="s">
        <v>292</v>
      </c>
      <c r="D587" s="3" t="s">
        <v>4283</v>
      </c>
      <c r="E587" s="3" t="s">
        <v>4286</v>
      </c>
      <c r="J587" s="9" t="s">
        <v>8731</v>
      </c>
      <c r="T587" s="9" t="str">
        <f t="shared" ca="1" si="26"/>
        <v/>
      </c>
      <c r="U587" s="9" t="str">
        <f t="shared" ca="1" si="27"/>
        <v/>
      </c>
      <c r="Z587" s="9" t="s">
        <v>9285</v>
      </c>
      <c r="AA587" s="9" t="s">
        <v>3884</v>
      </c>
    </row>
    <row r="588" spans="1:28" ht="43.5">
      <c r="A588" s="3" t="s">
        <v>292</v>
      </c>
      <c r="D588" s="3" t="s">
        <v>4284</v>
      </c>
      <c r="E588" s="3" t="s">
        <v>4287</v>
      </c>
      <c r="J588" s="9" t="s">
        <v>3885</v>
      </c>
      <c r="K588" s="9">
        <v>1</v>
      </c>
      <c r="L588" s="9">
        <v>3</v>
      </c>
      <c r="M588" s="9" t="s">
        <v>8689</v>
      </c>
      <c r="N588" s="9" t="s">
        <v>8690</v>
      </c>
      <c r="Q588" s="9" t="s">
        <v>8685</v>
      </c>
      <c r="R588" s="9">
        <v>10929</v>
      </c>
      <c r="T588" s="9" t="str">
        <f t="shared" ca="1" si="26"/>
        <v/>
      </c>
      <c r="U588" s="9" t="str">
        <f t="shared" ca="1" si="27"/>
        <v/>
      </c>
    </row>
    <row r="589" spans="1:28">
      <c r="A589" s="3" t="s">
        <v>293</v>
      </c>
      <c r="D589" s="3" t="s">
        <v>2489</v>
      </c>
      <c r="E589" s="3" t="s">
        <v>2208</v>
      </c>
      <c r="J589" s="9" t="s">
        <v>8729</v>
      </c>
      <c r="S589" s="9">
        <f>242-23</f>
        <v>219</v>
      </c>
      <c r="T589" s="9">
        <f t="shared" ca="1" si="26"/>
        <v>23</v>
      </c>
      <c r="U589" s="9">
        <f t="shared" ca="1" si="27"/>
        <v>242</v>
      </c>
    </row>
    <row r="590" spans="1:28">
      <c r="A590" s="3" t="s">
        <v>294</v>
      </c>
      <c r="D590" s="3" t="s">
        <v>4288</v>
      </c>
      <c r="E590" s="3" t="s">
        <v>4289</v>
      </c>
      <c r="H590" t="s">
        <v>3884</v>
      </c>
      <c r="J590" s="9" t="s">
        <v>3889</v>
      </c>
      <c r="K590" s="9">
        <v>1</v>
      </c>
      <c r="L590" s="9">
        <v>3</v>
      </c>
      <c r="M590" s="9" t="s">
        <v>8703</v>
      </c>
      <c r="N590" s="9" t="s">
        <v>8690</v>
      </c>
      <c r="R590" s="9">
        <v>655</v>
      </c>
      <c r="T590" s="9" t="str">
        <f t="shared" ca="1" si="26"/>
        <v/>
      </c>
      <c r="U590" s="9" t="str">
        <f t="shared" ca="1" si="27"/>
        <v/>
      </c>
    </row>
    <row r="591" spans="1:28">
      <c r="A591" s="3" t="s">
        <v>294</v>
      </c>
      <c r="D591" s="4" t="s">
        <v>4290</v>
      </c>
      <c r="E591" s="3" t="s">
        <v>4291</v>
      </c>
      <c r="F591" t="s">
        <v>3883</v>
      </c>
      <c r="T591" s="9" t="str">
        <f t="shared" ca="1" si="26"/>
        <v/>
      </c>
      <c r="U591" s="9" t="str">
        <f t="shared" ca="1" si="27"/>
        <v/>
      </c>
    </row>
    <row r="592" spans="1:28">
      <c r="A592" s="3" t="s">
        <v>295</v>
      </c>
      <c r="D592" s="3" t="s">
        <v>9447</v>
      </c>
      <c r="E592" s="3" t="s">
        <v>6871</v>
      </c>
      <c r="J592" s="9" t="s">
        <v>8729</v>
      </c>
      <c r="S592" s="9">
        <f>872-1942</f>
        <v>-1070</v>
      </c>
      <c r="T592" s="9">
        <v>1942</v>
      </c>
      <c r="U592" s="9">
        <v>872</v>
      </c>
    </row>
    <row r="593" spans="1:28">
      <c r="A593" s="3" t="s">
        <v>295</v>
      </c>
      <c r="D593" s="3" t="s">
        <v>2490</v>
      </c>
      <c r="E593" s="3" t="s">
        <v>2491</v>
      </c>
      <c r="J593" s="9" t="s">
        <v>8729</v>
      </c>
      <c r="S593" s="9" t="s">
        <v>8739</v>
      </c>
      <c r="T593" s="9" t="str">
        <f t="shared" ca="1" si="26"/>
        <v/>
      </c>
      <c r="U593" s="9" t="str">
        <f t="shared" ca="1" si="27"/>
        <v/>
      </c>
      <c r="AB593" s="9" t="s">
        <v>8697</v>
      </c>
    </row>
    <row r="594" spans="1:28">
      <c r="A594" s="3" t="s">
        <v>295</v>
      </c>
      <c r="D594" s="3" t="s">
        <v>2492</v>
      </c>
      <c r="E594" s="3" t="s">
        <v>2492</v>
      </c>
      <c r="F594" t="s">
        <v>3932</v>
      </c>
      <c r="T594" s="9" t="str">
        <f t="shared" ca="1" si="26"/>
        <v/>
      </c>
      <c r="U594" s="9" t="str">
        <f t="shared" ca="1" si="27"/>
        <v/>
      </c>
    </row>
    <row r="595" spans="1:28">
      <c r="A595" s="3" t="s">
        <v>295</v>
      </c>
      <c r="D595" s="3" t="s">
        <v>2081</v>
      </c>
      <c r="E595" s="3" t="s">
        <v>2082</v>
      </c>
      <c r="H595" t="s">
        <v>3892</v>
      </c>
      <c r="J595" s="9" t="s">
        <v>8731</v>
      </c>
      <c r="T595" s="9" t="str">
        <f t="shared" ca="1" si="26"/>
        <v/>
      </c>
      <c r="U595" s="9" t="str">
        <f t="shared" ca="1" si="27"/>
        <v/>
      </c>
      <c r="Z595" s="9" t="s">
        <v>8741</v>
      </c>
      <c r="AA595" s="9" t="s">
        <v>3884</v>
      </c>
    </row>
    <row r="596" spans="1:28">
      <c r="A596" s="3" t="s">
        <v>295</v>
      </c>
      <c r="D596" s="3" t="s">
        <v>2493</v>
      </c>
      <c r="E596" s="3" t="s">
        <v>2494</v>
      </c>
      <c r="F596" t="s">
        <v>3893</v>
      </c>
      <c r="T596" s="9" t="str">
        <f t="shared" ca="1" si="26"/>
        <v/>
      </c>
      <c r="U596" s="9" t="str">
        <f t="shared" ca="1" si="27"/>
        <v/>
      </c>
    </row>
    <row r="597" spans="1:28">
      <c r="A597" s="3" t="s">
        <v>296</v>
      </c>
      <c r="D597" s="3" t="s">
        <v>4292</v>
      </c>
      <c r="E597" s="3" t="s">
        <v>4293</v>
      </c>
      <c r="J597" s="9" t="s">
        <v>3885</v>
      </c>
      <c r="K597" s="9">
        <v>1</v>
      </c>
      <c r="L597" s="9">
        <v>3</v>
      </c>
      <c r="M597" s="9" t="s">
        <v>8707</v>
      </c>
      <c r="N597" s="9" t="s">
        <v>8684</v>
      </c>
      <c r="O597" s="9" t="s">
        <v>8777</v>
      </c>
      <c r="P597" s="10" t="s">
        <v>8778</v>
      </c>
      <c r="Q597" s="9" t="s">
        <v>8685</v>
      </c>
      <c r="R597" s="9">
        <v>234</v>
      </c>
      <c r="T597" s="9" t="str">
        <f t="shared" ca="1" si="26"/>
        <v/>
      </c>
      <c r="U597" s="9" t="str">
        <f t="shared" ca="1" si="27"/>
        <v/>
      </c>
      <c r="AB597" s="9" t="s">
        <v>8694</v>
      </c>
    </row>
    <row r="598" spans="1:28">
      <c r="A598" s="3" t="s">
        <v>296</v>
      </c>
      <c r="D598" s="3" t="s">
        <v>4294</v>
      </c>
      <c r="E598" s="3" t="s">
        <v>4294</v>
      </c>
      <c r="F598" t="s">
        <v>3932</v>
      </c>
      <c r="T598" s="9" t="str">
        <f t="shared" ca="1" si="26"/>
        <v/>
      </c>
      <c r="U598" s="9" t="str">
        <f t="shared" ca="1" si="27"/>
        <v/>
      </c>
    </row>
    <row r="599" spans="1:28">
      <c r="A599" s="3" t="s">
        <v>297</v>
      </c>
      <c r="D599" s="3" t="s">
        <v>4296</v>
      </c>
      <c r="E599" s="3" t="s">
        <v>4297</v>
      </c>
      <c r="J599" s="9" t="s">
        <v>8729</v>
      </c>
      <c r="S599" s="9">
        <f>128-50</f>
        <v>78</v>
      </c>
      <c r="T599" s="9">
        <f t="shared" ca="1" si="26"/>
        <v>50</v>
      </c>
      <c r="U599" s="9">
        <f t="shared" ca="1" si="27"/>
        <v>128</v>
      </c>
    </row>
    <row r="600" spans="1:28">
      <c r="A600" s="3" t="s">
        <v>297</v>
      </c>
      <c r="D600" s="3" t="s">
        <v>4295</v>
      </c>
      <c r="E600" s="3" t="s">
        <v>4298</v>
      </c>
      <c r="J600" s="9" t="s">
        <v>3885</v>
      </c>
      <c r="K600" s="9">
        <v>1</v>
      </c>
      <c r="L600" s="9">
        <v>2</v>
      </c>
      <c r="M600" s="9" t="s">
        <v>8689</v>
      </c>
      <c r="N600" s="9" t="s">
        <v>8730</v>
      </c>
      <c r="R600" s="9">
        <v>10929</v>
      </c>
      <c r="T600" s="9" t="str">
        <f t="shared" ca="1" si="26"/>
        <v/>
      </c>
      <c r="U600" s="9" t="str">
        <f t="shared" ca="1" si="27"/>
        <v/>
      </c>
    </row>
    <row r="601" spans="1:28">
      <c r="A601" s="3" t="s">
        <v>298</v>
      </c>
      <c r="D601" s="3" t="s">
        <v>4299</v>
      </c>
      <c r="E601" s="3" t="s">
        <v>4300</v>
      </c>
      <c r="J601" s="9" t="s">
        <v>8729</v>
      </c>
      <c r="S601" s="9">
        <f>159-991</f>
        <v>-832</v>
      </c>
      <c r="T601" s="9">
        <f t="shared" ca="1" si="26"/>
        <v>991</v>
      </c>
      <c r="U601" s="9">
        <f t="shared" ca="1" si="27"/>
        <v>159</v>
      </c>
      <c r="AB601" s="9" t="s">
        <v>8694</v>
      </c>
    </row>
    <row r="602" spans="1:28">
      <c r="A602" s="3" t="s">
        <v>299</v>
      </c>
      <c r="D602" s="3" t="s">
        <v>4301</v>
      </c>
      <c r="E602" s="3" t="s">
        <v>2495</v>
      </c>
      <c r="H602" t="s">
        <v>3884</v>
      </c>
      <c r="J602" s="9" t="s">
        <v>8732</v>
      </c>
      <c r="S602" s="9">
        <f>311-23</f>
        <v>288</v>
      </c>
      <c r="T602" s="9">
        <f t="shared" ca="1" si="26"/>
        <v>23</v>
      </c>
      <c r="U602" s="9">
        <f t="shared" ca="1" si="27"/>
        <v>311</v>
      </c>
      <c r="AB602" s="9" t="s">
        <v>8688</v>
      </c>
    </row>
    <row r="603" spans="1:28">
      <c r="A603" s="3" t="s">
        <v>300</v>
      </c>
      <c r="D603" s="3" t="s">
        <v>2496</v>
      </c>
      <c r="E603" s="3" t="s">
        <v>2497</v>
      </c>
      <c r="J603" s="9" t="s">
        <v>8731</v>
      </c>
      <c r="T603" s="9" t="str">
        <f t="shared" ca="1" si="26"/>
        <v/>
      </c>
      <c r="U603" s="9" t="str">
        <f t="shared" ca="1" si="27"/>
        <v/>
      </c>
      <c r="Z603" s="9" t="s">
        <v>8833</v>
      </c>
      <c r="AA603" s="9" t="s">
        <v>3884</v>
      </c>
      <c r="AB603" s="9" t="s">
        <v>8697</v>
      </c>
    </row>
    <row r="604" spans="1:28">
      <c r="A604" s="3" t="s">
        <v>301</v>
      </c>
      <c r="D604" s="3" t="s">
        <v>2375</v>
      </c>
      <c r="E604" s="3" t="s">
        <v>2376</v>
      </c>
      <c r="J604" s="9" t="s">
        <v>8729</v>
      </c>
      <c r="S604" s="9" t="s">
        <v>8739</v>
      </c>
      <c r="T604" s="9" t="str">
        <f t="shared" ca="1" si="26"/>
        <v/>
      </c>
      <c r="U604" s="9" t="str">
        <f t="shared" ca="1" si="27"/>
        <v/>
      </c>
      <c r="Y604" s="9" t="s">
        <v>8735</v>
      </c>
      <c r="Z604" s="9" t="s">
        <v>8757</v>
      </c>
      <c r="AA604" s="9" t="s">
        <v>3884</v>
      </c>
    </row>
    <row r="605" spans="1:28">
      <c r="A605" s="3" t="s">
        <v>302</v>
      </c>
      <c r="D605" s="3" t="s">
        <v>4302</v>
      </c>
      <c r="E605" s="3" t="s">
        <v>4303</v>
      </c>
      <c r="I605" t="s">
        <v>9203</v>
      </c>
      <c r="J605" s="9" t="s">
        <v>3885</v>
      </c>
      <c r="K605" s="9">
        <v>1</v>
      </c>
      <c r="L605" s="9">
        <v>1</v>
      </c>
      <c r="M605" s="9" t="s">
        <v>8689</v>
      </c>
      <c r="N605" s="9" t="s">
        <v>8730</v>
      </c>
      <c r="R605" s="9">
        <v>10929</v>
      </c>
      <c r="T605" s="9" t="str">
        <f t="shared" ca="1" si="26"/>
        <v/>
      </c>
      <c r="U605" s="9" t="str">
        <f t="shared" ca="1" si="27"/>
        <v/>
      </c>
      <c r="V605" s="9" t="s">
        <v>8728</v>
      </c>
    </row>
    <row r="606" spans="1:28">
      <c r="A606" s="3" t="s">
        <v>302</v>
      </c>
      <c r="D606" s="3" t="s">
        <v>2498</v>
      </c>
      <c r="E606" s="3" t="s">
        <v>2499</v>
      </c>
      <c r="J606" s="9" t="s">
        <v>8729</v>
      </c>
      <c r="S606" s="9" t="s">
        <v>8739</v>
      </c>
      <c r="T606" s="9" t="str">
        <f t="shared" ca="1" si="26"/>
        <v/>
      </c>
      <c r="U606" s="9" t="str">
        <f t="shared" ca="1" si="27"/>
        <v/>
      </c>
      <c r="Y606" s="9" t="s">
        <v>8735</v>
      </c>
      <c r="Z606" s="9" t="s">
        <v>8742</v>
      </c>
      <c r="AA606" s="9" t="s">
        <v>3884</v>
      </c>
    </row>
    <row r="607" spans="1:28">
      <c r="A607" s="3" t="s">
        <v>303</v>
      </c>
      <c r="D607" s="3" t="s">
        <v>2500</v>
      </c>
      <c r="E607" s="3" t="s">
        <v>2501</v>
      </c>
      <c r="J607" s="9" t="s">
        <v>8729</v>
      </c>
      <c r="S607" s="9" t="s">
        <v>8739</v>
      </c>
      <c r="T607" s="9" t="str">
        <f t="shared" ca="1" si="26"/>
        <v/>
      </c>
      <c r="U607" s="9" t="str">
        <f t="shared" ca="1" si="27"/>
        <v/>
      </c>
      <c r="AB607" s="9" t="s">
        <v>8697</v>
      </c>
    </row>
    <row r="608" spans="1:28" ht="29">
      <c r="A608" s="3" t="s">
        <v>304</v>
      </c>
      <c r="D608" s="3" t="s">
        <v>4304</v>
      </c>
      <c r="E608" s="3" t="s">
        <v>4305</v>
      </c>
      <c r="H608" t="s">
        <v>3884</v>
      </c>
      <c r="J608" s="9" t="s">
        <v>8729</v>
      </c>
      <c r="S608" s="9">
        <f>242-251</f>
        <v>-9</v>
      </c>
      <c r="T608" s="9">
        <f t="shared" ca="1" si="26"/>
        <v>251</v>
      </c>
      <c r="U608" s="9">
        <f t="shared" ca="1" si="27"/>
        <v>242</v>
      </c>
    </row>
    <row r="609" spans="1:28" ht="29">
      <c r="A609" s="3" t="s">
        <v>304</v>
      </c>
      <c r="D609" s="3" t="s">
        <v>4306</v>
      </c>
      <c r="E609" s="3" t="s">
        <v>4307</v>
      </c>
      <c r="H609" t="s">
        <v>3884</v>
      </c>
      <c r="J609" s="9" t="s">
        <v>3885</v>
      </c>
      <c r="K609" s="9">
        <v>2</v>
      </c>
      <c r="L609" s="9">
        <v>4</v>
      </c>
      <c r="N609" s="9" t="s">
        <v>8690</v>
      </c>
      <c r="R609" s="9">
        <v>1942</v>
      </c>
      <c r="T609" s="9" t="str">
        <f t="shared" ca="1" si="26"/>
        <v/>
      </c>
      <c r="U609" s="9" t="str">
        <f t="shared" ca="1" si="27"/>
        <v/>
      </c>
    </row>
    <row r="610" spans="1:28">
      <c r="A610" s="3" t="s">
        <v>305</v>
      </c>
      <c r="D610" s="3" t="s">
        <v>4308</v>
      </c>
      <c r="E610" s="3" t="s">
        <v>4309</v>
      </c>
      <c r="J610" s="9" t="s">
        <v>8731</v>
      </c>
      <c r="T610" s="9" t="str">
        <f t="shared" ca="1" si="26"/>
        <v/>
      </c>
      <c r="U610" s="9" t="str">
        <f t="shared" ca="1" si="27"/>
        <v/>
      </c>
      <c r="AB610" s="9" t="s">
        <v>8700</v>
      </c>
    </row>
    <row r="611" spans="1:28">
      <c r="A611" s="3" t="s">
        <v>306</v>
      </c>
      <c r="D611" s="3" t="s">
        <v>4310</v>
      </c>
      <c r="E611" s="4" t="s">
        <v>4311</v>
      </c>
      <c r="F611" t="s">
        <v>3897</v>
      </c>
      <c r="T611" s="9" t="str">
        <f t="shared" ca="1" si="26"/>
        <v/>
      </c>
      <c r="U611" s="9" t="str">
        <f t="shared" ca="1" si="27"/>
        <v/>
      </c>
    </row>
    <row r="612" spans="1:28">
      <c r="A612" s="3" t="s">
        <v>306</v>
      </c>
      <c r="D612" s="3" t="s">
        <v>4312</v>
      </c>
      <c r="E612" s="3" t="s">
        <v>4313</v>
      </c>
      <c r="H612" t="s">
        <v>3884</v>
      </c>
      <c r="J612" s="9" t="s">
        <v>3889</v>
      </c>
      <c r="K612" s="9">
        <v>1</v>
      </c>
      <c r="L612" s="9">
        <v>2</v>
      </c>
      <c r="M612" s="9" t="s">
        <v>8707</v>
      </c>
      <c r="N612" s="9" t="s">
        <v>8730</v>
      </c>
      <c r="R612" s="9">
        <v>1942</v>
      </c>
      <c r="T612" s="9" t="str">
        <f t="shared" ca="1" si="26"/>
        <v/>
      </c>
      <c r="U612" s="9" t="str">
        <f t="shared" ca="1" si="27"/>
        <v/>
      </c>
    </row>
    <row r="613" spans="1:28">
      <c r="A613" s="3" t="s">
        <v>307</v>
      </c>
      <c r="D613" s="3" t="s">
        <v>4314</v>
      </c>
      <c r="E613" s="3" t="s">
        <v>4315</v>
      </c>
      <c r="J613" s="9" t="s">
        <v>3889</v>
      </c>
      <c r="K613" s="9">
        <v>1</v>
      </c>
      <c r="L613" s="9">
        <v>1</v>
      </c>
      <c r="M613" s="9" t="s">
        <v>8689</v>
      </c>
      <c r="N613" s="9" t="s">
        <v>8730</v>
      </c>
      <c r="R613" s="9">
        <v>10929</v>
      </c>
      <c r="T613" s="9" t="str">
        <f t="shared" ca="1" si="26"/>
        <v/>
      </c>
      <c r="U613" s="9" t="str">
        <f t="shared" ca="1" si="27"/>
        <v/>
      </c>
    </row>
    <row r="614" spans="1:28">
      <c r="A614" s="3" t="s">
        <v>308</v>
      </c>
      <c r="D614" s="3" t="s">
        <v>4316</v>
      </c>
      <c r="E614" s="3" t="s">
        <v>4316</v>
      </c>
      <c r="F614" t="s">
        <v>3932</v>
      </c>
      <c r="H614" t="s">
        <v>3884</v>
      </c>
      <c r="I614" t="s">
        <v>9587</v>
      </c>
      <c r="J614" s="9" t="s">
        <v>8731</v>
      </c>
      <c r="T614" s="9" t="str">
        <f t="shared" ca="1" si="26"/>
        <v/>
      </c>
      <c r="U614" s="9" t="str">
        <f t="shared" ca="1" si="27"/>
        <v/>
      </c>
    </row>
    <row r="615" spans="1:28">
      <c r="A615" s="3" t="s">
        <v>308</v>
      </c>
      <c r="D615" s="3" t="s">
        <v>4317</v>
      </c>
      <c r="E615" s="3" t="s">
        <v>4318</v>
      </c>
      <c r="J615" s="9" t="s">
        <v>8731</v>
      </c>
      <c r="T615" s="9" t="str">
        <f t="shared" ca="1" si="26"/>
        <v/>
      </c>
      <c r="U615" s="9" t="str">
        <f t="shared" ca="1" si="27"/>
        <v/>
      </c>
      <c r="Z615" s="9" t="s">
        <v>8742</v>
      </c>
      <c r="AA615" s="9" t="s">
        <v>3884</v>
      </c>
      <c r="AB615" s="9" t="s">
        <v>8697</v>
      </c>
    </row>
    <row r="616" spans="1:28">
      <c r="A616" s="3" t="s">
        <v>309</v>
      </c>
      <c r="D616" s="3" t="s">
        <v>2506</v>
      </c>
      <c r="E616" s="3" t="s">
        <v>2507</v>
      </c>
      <c r="J616" s="9" t="s">
        <v>8732</v>
      </c>
      <c r="S616" s="9">
        <f>2-5</f>
        <v>-3</v>
      </c>
      <c r="T616" s="9">
        <f t="shared" ca="1" si="26"/>
        <v>5</v>
      </c>
      <c r="U616" s="9">
        <f t="shared" ca="1" si="27"/>
        <v>2</v>
      </c>
      <c r="Z616" s="9" t="s">
        <v>8742</v>
      </c>
      <c r="AA616" s="9" t="s">
        <v>3884</v>
      </c>
      <c r="AB616" s="9" t="s">
        <v>8700</v>
      </c>
    </row>
    <row r="617" spans="1:28">
      <c r="A617" s="3" t="s">
        <v>310</v>
      </c>
      <c r="D617" s="3" t="s">
        <v>4319</v>
      </c>
      <c r="E617" s="3" t="s">
        <v>4320</v>
      </c>
      <c r="J617" s="9" t="s">
        <v>8731</v>
      </c>
      <c r="T617" s="9" t="str">
        <f t="shared" ca="1" si="26"/>
        <v/>
      </c>
      <c r="U617" s="9" t="str">
        <f t="shared" ca="1" si="27"/>
        <v/>
      </c>
      <c r="Z617" s="9" t="s">
        <v>8741</v>
      </c>
      <c r="AA617" s="9" t="s">
        <v>3884</v>
      </c>
    </row>
    <row r="618" spans="1:28">
      <c r="A618" s="3" t="s">
        <v>311</v>
      </c>
      <c r="D618" s="3" t="s">
        <v>4321</v>
      </c>
      <c r="E618" s="3" t="s">
        <v>4322</v>
      </c>
      <c r="J618" s="9" t="s">
        <v>3885</v>
      </c>
      <c r="K618" s="9">
        <v>1</v>
      </c>
      <c r="L618" s="9">
        <v>1</v>
      </c>
      <c r="M618" s="9" t="s">
        <v>8689</v>
      </c>
      <c r="N618" s="9" t="s">
        <v>8730</v>
      </c>
      <c r="R618" s="9">
        <v>10929</v>
      </c>
      <c r="T618" s="9" t="str">
        <f t="shared" ca="1" si="26"/>
        <v/>
      </c>
      <c r="U618" s="9" t="str">
        <f t="shared" ca="1" si="27"/>
        <v/>
      </c>
    </row>
    <row r="619" spans="1:28">
      <c r="A619" s="3" t="s">
        <v>312</v>
      </c>
      <c r="D619" s="3" t="s">
        <v>4323</v>
      </c>
      <c r="E619" s="3" t="s">
        <v>4324</v>
      </c>
      <c r="H619" t="s">
        <v>3884</v>
      </c>
      <c r="J619" s="9" t="s">
        <v>3885</v>
      </c>
      <c r="K619" s="9">
        <v>1</v>
      </c>
      <c r="L619" s="9">
        <v>2</v>
      </c>
      <c r="M619" s="9" t="s">
        <v>8705</v>
      </c>
      <c r="N619" s="9" t="s">
        <v>8730</v>
      </c>
      <c r="Q619" s="9" t="s">
        <v>8685</v>
      </c>
      <c r="R619" s="9">
        <v>1485</v>
      </c>
      <c r="T619" s="9" t="str">
        <f t="shared" ca="1" si="26"/>
        <v/>
      </c>
      <c r="U619" s="9" t="str">
        <f t="shared" ca="1" si="27"/>
        <v/>
      </c>
      <c r="AB619" s="9" t="s">
        <v>8694</v>
      </c>
    </row>
    <row r="620" spans="1:28" ht="29">
      <c r="A620" s="3" t="s">
        <v>312</v>
      </c>
      <c r="D620" s="3" t="s">
        <v>4325</v>
      </c>
      <c r="E620" s="3" t="s">
        <v>4326</v>
      </c>
      <c r="J620" s="9" t="s">
        <v>8729</v>
      </c>
      <c r="S620" s="9">
        <f>10929-1485</f>
        <v>9444</v>
      </c>
      <c r="T620" s="9">
        <f t="shared" ca="1" si="26"/>
        <v>1485</v>
      </c>
      <c r="U620" s="9">
        <f t="shared" ca="1" si="27"/>
        <v>10929</v>
      </c>
    </row>
    <row r="621" spans="1:28">
      <c r="A621" s="3" t="s">
        <v>313</v>
      </c>
      <c r="D621" s="3" t="s">
        <v>4327</v>
      </c>
      <c r="E621" s="3" t="s">
        <v>4328</v>
      </c>
      <c r="H621" t="s">
        <v>3884</v>
      </c>
      <c r="J621" s="9" t="s">
        <v>3889</v>
      </c>
      <c r="K621" s="9">
        <v>1</v>
      </c>
      <c r="L621" s="9">
        <v>3</v>
      </c>
      <c r="M621" s="9" t="s">
        <v>8689</v>
      </c>
      <c r="N621" s="9" t="s">
        <v>8690</v>
      </c>
      <c r="R621" s="9">
        <v>10929</v>
      </c>
      <c r="T621" s="9" t="str">
        <f t="shared" ca="1" si="26"/>
        <v/>
      </c>
      <c r="U621" s="9" t="str">
        <f t="shared" ca="1" si="27"/>
        <v/>
      </c>
    </row>
    <row r="622" spans="1:28">
      <c r="A622" s="3" t="s">
        <v>313</v>
      </c>
      <c r="D622" s="3" t="s">
        <v>2508</v>
      </c>
      <c r="E622" s="3" t="s">
        <v>2509</v>
      </c>
      <c r="J622" s="9" t="s">
        <v>8729</v>
      </c>
      <c r="S622" s="9" t="s">
        <v>8739</v>
      </c>
      <c r="T622" s="9" t="str">
        <f t="shared" ca="1" si="26"/>
        <v/>
      </c>
      <c r="U622" s="9" t="str">
        <f t="shared" ca="1" si="27"/>
        <v/>
      </c>
      <c r="Y622" s="9" t="s">
        <v>8735</v>
      </c>
      <c r="Z622" s="9" t="s">
        <v>8742</v>
      </c>
      <c r="AA622" s="9" t="s">
        <v>3884</v>
      </c>
    </row>
    <row r="623" spans="1:28">
      <c r="A623" s="3" t="s">
        <v>314</v>
      </c>
      <c r="D623" s="3" t="s">
        <v>4329</v>
      </c>
      <c r="E623" s="3" t="s">
        <v>4330</v>
      </c>
      <c r="J623" s="9" t="s">
        <v>8729</v>
      </c>
      <c r="S623" s="9" t="s">
        <v>8739</v>
      </c>
      <c r="T623" s="9" t="str">
        <f t="shared" ca="1" si="26"/>
        <v/>
      </c>
      <c r="U623" s="9" t="str">
        <f t="shared" ca="1" si="27"/>
        <v/>
      </c>
      <c r="AB623" s="9" t="s">
        <v>8697</v>
      </c>
    </row>
    <row r="624" spans="1:28">
      <c r="A624" s="3" t="s">
        <v>314</v>
      </c>
      <c r="D624" s="3" t="s">
        <v>4331</v>
      </c>
      <c r="E624" s="3" t="s">
        <v>4332</v>
      </c>
      <c r="J624" s="9" t="s">
        <v>8729</v>
      </c>
      <c r="S624" s="9" t="s">
        <v>8739</v>
      </c>
      <c r="T624" s="9" t="str">
        <f t="shared" ca="1" si="26"/>
        <v/>
      </c>
      <c r="U624" s="9" t="str">
        <f t="shared" ca="1" si="27"/>
        <v/>
      </c>
      <c r="Z624" s="9" t="s">
        <v>8885</v>
      </c>
      <c r="AA624" s="9" t="s">
        <v>3884</v>
      </c>
      <c r="AB624" s="9" t="s">
        <v>8697</v>
      </c>
    </row>
    <row r="625" spans="1:28">
      <c r="A625" s="3" t="s">
        <v>315</v>
      </c>
      <c r="D625" s="3" t="s">
        <v>4333</v>
      </c>
      <c r="E625" s="3" t="s">
        <v>4334</v>
      </c>
      <c r="F625" t="s">
        <v>3932</v>
      </c>
      <c r="I625" t="s">
        <v>4335</v>
      </c>
      <c r="T625" s="9" t="str">
        <f t="shared" ca="1" si="26"/>
        <v/>
      </c>
      <c r="U625" s="9" t="str">
        <f t="shared" ca="1" si="27"/>
        <v/>
      </c>
    </row>
    <row r="626" spans="1:28">
      <c r="A626" s="3" t="s">
        <v>315</v>
      </c>
      <c r="D626" s="3" t="s">
        <v>9588</v>
      </c>
      <c r="E626" s="3" t="s">
        <v>9589</v>
      </c>
      <c r="J626" s="9" t="s">
        <v>3889</v>
      </c>
      <c r="K626" s="9">
        <v>1</v>
      </c>
      <c r="L626" s="9">
        <v>1</v>
      </c>
      <c r="M626" s="9" t="s">
        <v>8689</v>
      </c>
      <c r="N626" s="9" t="s">
        <v>8730</v>
      </c>
      <c r="R626" s="9">
        <v>10929</v>
      </c>
      <c r="T626" s="9" t="str">
        <f t="shared" ca="1" si="26"/>
        <v/>
      </c>
      <c r="U626" s="9" t="str">
        <f t="shared" ca="1" si="27"/>
        <v/>
      </c>
    </row>
    <row r="627" spans="1:28">
      <c r="A627" s="3" t="s">
        <v>316</v>
      </c>
      <c r="D627" s="3" t="s">
        <v>8922</v>
      </c>
      <c r="E627" s="3" t="s">
        <v>8923</v>
      </c>
      <c r="J627" s="9" t="s">
        <v>8731</v>
      </c>
      <c r="T627" s="9" t="str">
        <f t="shared" ca="1" si="26"/>
        <v/>
      </c>
      <c r="U627" s="9" t="str">
        <f t="shared" ca="1" si="27"/>
        <v/>
      </c>
      <c r="AB627" s="9" t="s">
        <v>8694</v>
      </c>
    </row>
    <row r="628" spans="1:28">
      <c r="A628" s="3" t="s">
        <v>317</v>
      </c>
      <c r="D628" s="3" t="s">
        <v>4336</v>
      </c>
      <c r="E628" s="3" t="s">
        <v>4336</v>
      </c>
      <c r="F628" t="s">
        <v>3932</v>
      </c>
      <c r="I628" t="s">
        <v>4337</v>
      </c>
      <c r="T628" s="9" t="str">
        <f t="shared" ca="1" si="26"/>
        <v/>
      </c>
      <c r="U628" s="9" t="str">
        <f t="shared" ca="1" si="27"/>
        <v/>
      </c>
    </row>
    <row r="629" spans="1:28">
      <c r="A629" s="3" t="s">
        <v>318</v>
      </c>
      <c r="D629" s="3" t="s">
        <v>4338</v>
      </c>
      <c r="E629" s="3" t="s">
        <v>4339</v>
      </c>
      <c r="J629" s="9" t="s">
        <v>8731</v>
      </c>
      <c r="T629" s="9" t="str">
        <f t="shared" ca="1" si="26"/>
        <v/>
      </c>
      <c r="U629" s="9" t="str">
        <f t="shared" ca="1" si="27"/>
        <v/>
      </c>
      <c r="Z629" s="9" t="s">
        <v>8741</v>
      </c>
      <c r="AA629" s="9" t="s">
        <v>3884</v>
      </c>
    </row>
    <row r="630" spans="1:28" ht="29">
      <c r="A630" s="3" t="s">
        <v>319</v>
      </c>
      <c r="D630" s="3" t="s">
        <v>4340</v>
      </c>
      <c r="E630" s="3" t="s">
        <v>4341</v>
      </c>
      <c r="H630" t="s">
        <v>3884</v>
      </c>
      <c r="J630" s="9" t="s">
        <v>3889</v>
      </c>
      <c r="K630" s="9">
        <v>1</v>
      </c>
      <c r="L630" s="9">
        <v>7</v>
      </c>
      <c r="M630" s="9" t="s">
        <v>8703</v>
      </c>
      <c r="N630" s="9" t="s">
        <v>8690</v>
      </c>
      <c r="R630" s="9">
        <v>99</v>
      </c>
      <c r="T630" s="9" t="str">
        <f t="shared" ca="1" si="26"/>
        <v/>
      </c>
      <c r="U630" s="9" t="str">
        <f t="shared" ca="1" si="27"/>
        <v/>
      </c>
    </row>
    <row r="631" spans="1:28">
      <c r="A631" s="3" t="s">
        <v>319</v>
      </c>
      <c r="D631" s="3" t="s">
        <v>3536</v>
      </c>
      <c r="E631" s="3" t="s">
        <v>2510</v>
      </c>
      <c r="H631" t="s">
        <v>3884</v>
      </c>
      <c r="J631" s="9" t="s">
        <v>8729</v>
      </c>
      <c r="S631" s="9" t="s">
        <v>8739</v>
      </c>
      <c r="T631" s="9" t="str">
        <f t="shared" ca="1" si="26"/>
        <v/>
      </c>
      <c r="U631" s="9" t="str">
        <f t="shared" ca="1" si="27"/>
        <v/>
      </c>
      <c r="AB631" s="9" t="s">
        <v>8688</v>
      </c>
    </row>
    <row r="632" spans="1:28">
      <c r="A632" s="3" t="s">
        <v>320</v>
      </c>
      <c r="D632" s="3" t="s">
        <v>4342</v>
      </c>
      <c r="E632" s="3" t="s">
        <v>4343</v>
      </c>
      <c r="F632" t="s">
        <v>3932</v>
      </c>
      <c r="I632" t="s">
        <v>4344</v>
      </c>
      <c r="T632" s="9" t="str">
        <f t="shared" ca="1" si="26"/>
        <v/>
      </c>
      <c r="U632" s="9" t="str">
        <f t="shared" ca="1" si="27"/>
        <v/>
      </c>
    </row>
    <row r="633" spans="1:28">
      <c r="A633" s="3" t="s">
        <v>321</v>
      </c>
      <c r="D633" s="3" t="s">
        <v>2511</v>
      </c>
      <c r="E633" s="3" t="s">
        <v>2512</v>
      </c>
      <c r="J633" s="9" t="s">
        <v>8729</v>
      </c>
      <c r="S633" s="9" t="s">
        <v>8739</v>
      </c>
      <c r="T633" s="9" t="str">
        <f t="shared" ca="1" si="26"/>
        <v/>
      </c>
      <c r="U633" s="9" t="str">
        <f t="shared" ca="1" si="27"/>
        <v/>
      </c>
      <c r="Z633" s="9" t="s">
        <v>8757</v>
      </c>
      <c r="AA633" s="9" t="s">
        <v>3884</v>
      </c>
      <c r="AB633" s="9" t="s">
        <v>8688</v>
      </c>
    </row>
    <row r="634" spans="1:28">
      <c r="A634" s="3" t="s">
        <v>322</v>
      </c>
      <c r="D634" s="3" t="s">
        <v>4345</v>
      </c>
      <c r="E634" s="3" t="s">
        <v>4346</v>
      </c>
      <c r="H634" t="s">
        <v>3884</v>
      </c>
      <c r="J634" s="9" t="s">
        <v>3889</v>
      </c>
      <c r="K634" s="9">
        <v>1</v>
      </c>
      <c r="L634" s="9">
        <v>2</v>
      </c>
      <c r="M634" s="9" t="s">
        <v>8698</v>
      </c>
      <c r="N634" s="9" t="s">
        <v>8730</v>
      </c>
      <c r="R634" s="9">
        <v>159</v>
      </c>
      <c r="T634" s="9" t="str">
        <f t="shared" ca="1" si="26"/>
        <v/>
      </c>
      <c r="U634" s="9" t="str">
        <f t="shared" ca="1" si="27"/>
        <v/>
      </c>
    </row>
    <row r="635" spans="1:28">
      <c r="A635" s="3" t="s">
        <v>323</v>
      </c>
      <c r="D635" s="3" t="s">
        <v>2514</v>
      </c>
      <c r="E635" s="3" t="s">
        <v>2350</v>
      </c>
      <c r="J635" s="9" t="s">
        <v>8729</v>
      </c>
      <c r="S635" s="9" t="s">
        <v>8739</v>
      </c>
      <c r="T635" s="9" t="str">
        <f t="shared" ca="1" si="26"/>
        <v/>
      </c>
      <c r="U635" s="9" t="str">
        <f t="shared" ca="1" si="27"/>
        <v/>
      </c>
      <c r="AB635" s="9" t="s">
        <v>8697</v>
      </c>
    </row>
    <row r="636" spans="1:28">
      <c r="A636" s="3" t="s">
        <v>324</v>
      </c>
      <c r="D636" s="4" t="s">
        <v>4347</v>
      </c>
      <c r="E636" s="3" t="s">
        <v>4348</v>
      </c>
      <c r="F636" t="s">
        <v>3883</v>
      </c>
      <c r="T636" s="9" t="str">
        <f t="shared" ca="1" si="26"/>
        <v/>
      </c>
      <c r="U636" s="9" t="str">
        <f t="shared" ca="1" si="27"/>
        <v/>
      </c>
    </row>
    <row r="637" spans="1:28">
      <c r="A637" s="3" t="s">
        <v>324</v>
      </c>
      <c r="D637" s="3" t="s">
        <v>4349</v>
      </c>
      <c r="E637" s="3" t="s">
        <v>4277</v>
      </c>
      <c r="J637" s="9" t="s">
        <v>8729</v>
      </c>
      <c r="S637" s="9" t="s">
        <v>8739</v>
      </c>
      <c r="T637" s="9" t="str">
        <f t="shared" ca="1" si="26"/>
        <v/>
      </c>
      <c r="U637" s="9" t="str">
        <f t="shared" ca="1" si="27"/>
        <v/>
      </c>
      <c r="Z637" s="9" t="s">
        <v>8741</v>
      </c>
      <c r="AA637" s="9" t="s">
        <v>3884</v>
      </c>
      <c r="AB637" s="9" t="s">
        <v>8697</v>
      </c>
    </row>
    <row r="638" spans="1:28">
      <c r="A638" s="3" t="s">
        <v>325</v>
      </c>
      <c r="D638" s="3" t="s">
        <v>2515</v>
      </c>
      <c r="E638" s="4" t="s">
        <v>2516</v>
      </c>
      <c r="F638" t="s">
        <v>3897</v>
      </c>
      <c r="T638" s="9" t="str">
        <f t="shared" ca="1" si="26"/>
        <v/>
      </c>
      <c r="U638" s="9" t="str">
        <f t="shared" ca="1" si="27"/>
        <v/>
      </c>
    </row>
    <row r="639" spans="1:28">
      <c r="A639" s="3" t="s">
        <v>326</v>
      </c>
      <c r="D639" s="3" t="s">
        <v>1963</v>
      </c>
      <c r="E639" s="3" t="s">
        <v>1964</v>
      </c>
      <c r="J639" s="9" t="s">
        <v>8729</v>
      </c>
      <c r="S639" s="9" t="s">
        <v>8739</v>
      </c>
      <c r="T639" s="9" t="str">
        <f t="shared" ca="1" si="26"/>
        <v/>
      </c>
      <c r="U639" s="9" t="str">
        <f t="shared" ca="1" si="27"/>
        <v/>
      </c>
      <c r="Z639" s="9" t="s">
        <v>8742</v>
      </c>
      <c r="AA639" s="9" t="s">
        <v>3884</v>
      </c>
      <c r="AB639" s="9" t="s">
        <v>8697</v>
      </c>
    </row>
    <row r="640" spans="1:28">
      <c r="A640" s="3" t="s">
        <v>326</v>
      </c>
      <c r="D640" s="3" t="s">
        <v>4350</v>
      </c>
      <c r="E640" s="3" t="s">
        <v>4351</v>
      </c>
      <c r="H640" t="s">
        <v>3884</v>
      </c>
      <c r="J640" s="9" t="s">
        <v>3885</v>
      </c>
      <c r="K640" s="9">
        <v>1</v>
      </c>
      <c r="L640" s="9">
        <v>1</v>
      </c>
      <c r="M640" s="9" t="s">
        <v>8683</v>
      </c>
      <c r="N640" s="9" t="s">
        <v>8730</v>
      </c>
      <c r="R640" s="9">
        <v>3</v>
      </c>
      <c r="T640" s="9" t="str">
        <f t="shared" ca="1" si="26"/>
        <v/>
      </c>
      <c r="U640" s="9" t="str">
        <f t="shared" ca="1" si="27"/>
        <v/>
      </c>
      <c r="AB640" s="9" t="s">
        <v>8694</v>
      </c>
    </row>
    <row r="641" spans="1:28">
      <c r="A641" s="3" t="s">
        <v>327</v>
      </c>
      <c r="D641" s="3" t="s">
        <v>4353</v>
      </c>
      <c r="E641" s="3" t="s">
        <v>4354</v>
      </c>
      <c r="J641" s="9" t="s">
        <v>8731</v>
      </c>
      <c r="T641" s="9" t="str">
        <f t="shared" ca="1" si="26"/>
        <v/>
      </c>
      <c r="U641" s="9" t="str">
        <f t="shared" ca="1" si="27"/>
        <v/>
      </c>
      <c r="Z641" s="9" t="s">
        <v>8924</v>
      </c>
      <c r="AA641" s="9" t="s">
        <v>3884</v>
      </c>
      <c r="AB641" s="9" t="s">
        <v>8697</v>
      </c>
    </row>
    <row r="642" spans="1:28">
      <c r="A642" s="3" t="s">
        <v>327</v>
      </c>
      <c r="D642" s="3" t="s">
        <v>4355</v>
      </c>
      <c r="E642" s="3" t="s">
        <v>4352</v>
      </c>
      <c r="J642" s="9" t="s">
        <v>3889</v>
      </c>
      <c r="K642" s="9">
        <v>1</v>
      </c>
      <c r="L642" s="9">
        <v>1</v>
      </c>
      <c r="M642" s="9" t="s">
        <v>8689</v>
      </c>
      <c r="N642" s="9" t="s">
        <v>8730</v>
      </c>
      <c r="R642" s="9">
        <v>10929</v>
      </c>
      <c r="T642" s="9" t="str">
        <f t="shared" ca="1" si="26"/>
        <v/>
      </c>
      <c r="U642" s="9" t="str">
        <f t="shared" ca="1" si="27"/>
        <v/>
      </c>
    </row>
    <row r="643" spans="1:28">
      <c r="A643" s="3" t="s">
        <v>327</v>
      </c>
      <c r="D643" s="3" t="s">
        <v>3622</v>
      </c>
      <c r="E643" s="3" t="s">
        <v>2519</v>
      </c>
      <c r="H643" t="s">
        <v>3884</v>
      </c>
      <c r="J643" s="9" t="s">
        <v>8731</v>
      </c>
      <c r="T643" s="9" t="str">
        <f t="shared" ca="1" si="26"/>
        <v/>
      </c>
      <c r="U643" s="9" t="str">
        <f t="shared" ca="1" si="27"/>
        <v/>
      </c>
    </row>
    <row r="644" spans="1:28">
      <c r="A644" s="3" t="s">
        <v>328</v>
      </c>
      <c r="D644" s="3" t="s">
        <v>2520</v>
      </c>
      <c r="E644" s="3" t="s">
        <v>2521</v>
      </c>
      <c r="J644" s="9" t="s">
        <v>8729</v>
      </c>
      <c r="S644" s="9" t="s">
        <v>8739</v>
      </c>
      <c r="T644" s="9" t="str">
        <f t="shared" ca="1" si="26"/>
        <v/>
      </c>
      <c r="U644" s="9" t="str">
        <f t="shared" ca="1" si="27"/>
        <v/>
      </c>
      <c r="Z644" s="9" t="s">
        <v>8757</v>
      </c>
      <c r="AA644" s="9" t="s">
        <v>3884</v>
      </c>
      <c r="AB644" s="9" t="s">
        <v>8697</v>
      </c>
    </row>
    <row r="645" spans="1:28">
      <c r="A645" s="3" t="s">
        <v>328</v>
      </c>
      <c r="D645" s="3" t="s">
        <v>2522</v>
      </c>
      <c r="E645" s="3" t="s">
        <v>2523</v>
      </c>
      <c r="J645" s="9" t="s">
        <v>8729</v>
      </c>
      <c r="S645" s="9">
        <f>14-0</f>
        <v>14</v>
      </c>
      <c r="T645" s="9">
        <f t="shared" ref="T645:T708" ca="1" si="28">IF(ISNUMBER(S645),VALUE(MID(_xlfn.FORMULATEXT(S645),SEARCH("-",_xlfn.FORMULATEXT(S645))+1,LEN(_xlfn.FORMULATEXT(S645))-SEARCH("-",_xlfn.FORMULATEXT(S645)))), "")</f>
        <v>0</v>
      </c>
      <c r="U645" s="9">
        <f t="shared" ref="U645:U708" ca="1" si="29">IF(ISNUMBER(S645), VALUE(MID(_xlfn.FORMULATEXT(S645), 2, SEARCH("-", _xlfn.FORMULATEXT(S645)) - 2)), "")</f>
        <v>14</v>
      </c>
      <c r="Z645" s="9" t="s">
        <v>8742</v>
      </c>
      <c r="AA645" s="9" t="s">
        <v>3884</v>
      </c>
    </row>
    <row r="646" spans="1:28" ht="29">
      <c r="A646" s="3" t="s">
        <v>329</v>
      </c>
      <c r="D646" s="3" t="s">
        <v>9448</v>
      </c>
      <c r="E646" s="3" t="s">
        <v>9449</v>
      </c>
      <c r="J646" s="9" t="s">
        <v>8731</v>
      </c>
      <c r="T646" s="9" t="str">
        <f t="shared" ca="1" si="28"/>
        <v/>
      </c>
      <c r="U646" s="9" t="str">
        <f t="shared" ca="1" si="29"/>
        <v/>
      </c>
      <c r="AB646" s="9" t="s">
        <v>8697</v>
      </c>
    </row>
    <row r="647" spans="1:28" ht="29">
      <c r="A647" s="3" t="s">
        <v>329</v>
      </c>
      <c r="D647" s="3" t="s">
        <v>9450</v>
      </c>
      <c r="E647" s="3" t="s">
        <v>8925</v>
      </c>
      <c r="H647" t="s">
        <v>3884</v>
      </c>
      <c r="J647" s="9" t="s">
        <v>3889</v>
      </c>
      <c r="K647" s="9">
        <v>2</v>
      </c>
      <c r="L647" s="9">
        <v>8</v>
      </c>
      <c r="N647" s="9" t="s">
        <v>8690</v>
      </c>
      <c r="R647" s="9">
        <v>187</v>
      </c>
      <c r="T647" s="9" t="str">
        <f t="shared" ca="1" si="28"/>
        <v/>
      </c>
      <c r="U647" s="9" t="str">
        <f t="shared" ca="1" si="29"/>
        <v/>
      </c>
    </row>
    <row r="648" spans="1:28">
      <c r="A648" s="3" t="s">
        <v>329</v>
      </c>
      <c r="D648" s="3" t="s">
        <v>8926</v>
      </c>
      <c r="E648" s="3" t="s">
        <v>8927</v>
      </c>
      <c r="J648" s="9" t="s">
        <v>8731</v>
      </c>
      <c r="T648" s="9" t="str">
        <f t="shared" ca="1" si="28"/>
        <v/>
      </c>
      <c r="U648" s="9" t="str">
        <f t="shared" ca="1" si="29"/>
        <v/>
      </c>
      <c r="Z648" s="9" t="s">
        <v>8757</v>
      </c>
      <c r="AA648" s="9" t="s">
        <v>3884</v>
      </c>
      <c r="AB648" s="9" t="s">
        <v>8700</v>
      </c>
    </row>
    <row r="649" spans="1:28">
      <c r="A649" s="3" t="s">
        <v>330</v>
      </c>
      <c r="D649" s="3" t="s">
        <v>2520</v>
      </c>
      <c r="E649" s="3" t="s">
        <v>2521</v>
      </c>
      <c r="J649" s="9" t="s">
        <v>8729</v>
      </c>
      <c r="S649" s="9" t="s">
        <v>8739</v>
      </c>
      <c r="T649" s="9" t="str">
        <f t="shared" ca="1" si="28"/>
        <v/>
      </c>
      <c r="U649" s="9" t="str">
        <f t="shared" ca="1" si="29"/>
        <v/>
      </c>
      <c r="Z649" s="9" t="s">
        <v>8757</v>
      </c>
      <c r="AA649" s="9" t="s">
        <v>3884</v>
      </c>
      <c r="AB649" s="9" t="s">
        <v>8697</v>
      </c>
    </row>
    <row r="650" spans="1:28">
      <c r="A650" s="3" t="s">
        <v>331</v>
      </c>
      <c r="D650" s="3" t="s">
        <v>4356</v>
      </c>
      <c r="E650" s="3" t="s">
        <v>4356</v>
      </c>
      <c r="F650" t="s">
        <v>3932</v>
      </c>
      <c r="I650" t="s">
        <v>4357</v>
      </c>
      <c r="T650" s="9" t="str">
        <f t="shared" ca="1" si="28"/>
        <v/>
      </c>
      <c r="U650" s="9" t="str">
        <f t="shared" ca="1" si="29"/>
        <v/>
      </c>
    </row>
    <row r="651" spans="1:28">
      <c r="A651" s="3" t="s">
        <v>331</v>
      </c>
      <c r="D651" s="3" t="s">
        <v>2518</v>
      </c>
      <c r="E651" s="3" t="s">
        <v>4358</v>
      </c>
      <c r="H651" t="s">
        <v>3892</v>
      </c>
      <c r="I651" t="s">
        <v>4359</v>
      </c>
      <c r="J651" s="9" t="s">
        <v>8729</v>
      </c>
      <c r="S651" s="9">
        <f>81-81</f>
        <v>0</v>
      </c>
      <c r="T651" s="9">
        <f t="shared" ca="1" si="28"/>
        <v>81</v>
      </c>
      <c r="U651" s="9">
        <f t="shared" ca="1" si="29"/>
        <v>81</v>
      </c>
      <c r="Z651" s="9" t="s">
        <v>8757</v>
      </c>
      <c r="AA651" s="9" t="s">
        <v>3884</v>
      </c>
    </row>
    <row r="652" spans="1:28">
      <c r="A652" s="3" t="s">
        <v>332</v>
      </c>
      <c r="D652" s="3" t="s">
        <v>4360</v>
      </c>
      <c r="E652" s="3" t="s">
        <v>4361</v>
      </c>
      <c r="H652" t="s">
        <v>3884</v>
      </c>
      <c r="J652" s="9" t="s">
        <v>8729</v>
      </c>
      <c r="S652" s="9" t="s">
        <v>8739</v>
      </c>
      <c r="T652" s="9" t="str">
        <f t="shared" ca="1" si="28"/>
        <v/>
      </c>
      <c r="U652" s="9" t="str">
        <f t="shared" ca="1" si="29"/>
        <v/>
      </c>
      <c r="Y652" s="9" t="s">
        <v>8735</v>
      </c>
      <c r="AA652" s="9" t="s">
        <v>3884</v>
      </c>
      <c r="AB652" s="9" t="s">
        <v>8688</v>
      </c>
    </row>
    <row r="653" spans="1:28">
      <c r="A653" s="3" t="s">
        <v>333</v>
      </c>
      <c r="D653" s="3" t="s">
        <v>2524</v>
      </c>
      <c r="E653" s="3" t="s">
        <v>2525</v>
      </c>
      <c r="J653" s="9" t="s">
        <v>8731</v>
      </c>
      <c r="T653" s="9" t="str">
        <f t="shared" ca="1" si="28"/>
        <v/>
      </c>
      <c r="U653" s="9" t="str">
        <f t="shared" ca="1" si="29"/>
        <v/>
      </c>
      <c r="Z653" s="9" t="s">
        <v>9280</v>
      </c>
      <c r="AA653" s="9" t="s">
        <v>3884</v>
      </c>
    </row>
    <row r="654" spans="1:28">
      <c r="A654" s="3" t="s">
        <v>334</v>
      </c>
      <c r="D654" s="3" t="s">
        <v>2082</v>
      </c>
      <c r="E654" s="3" t="s">
        <v>2082</v>
      </c>
      <c r="F654" t="s">
        <v>3932</v>
      </c>
      <c r="I654" t="s">
        <v>2099</v>
      </c>
      <c r="T654" s="9" t="str">
        <f t="shared" ca="1" si="28"/>
        <v/>
      </c>
      <c r="U654" s="9" t="str">
        <f t="shared" ca="1" si="29"/>
        <v/>
      </c>
    </row>
    <row r="655" spans="1:28" ht="29">
      <c r="A655" s="3" t="s">
        <v>334</v>
      </c>
      <c r="D655" s="3" t="s">
        <v>4362</v>
      </c>
      <c r="E655" s="3" t="s">
        <v>4363</v>
      </c>
      <c r="J655" s="9" t="s">
        <v>3889</v>
      </c>
      <c r="K655" s="9">
        <v>1</v>
      </c>
      <c r="L655" s="9">
        <v>3</v>
      </c>
      <c r="M655" s="9" t="s">
        <v>8689</v>
      </c>
      <c r="N655" s="9" t="s">
        <v>8684</v>
      </c>
      <c r="O655" s="9" t="s">
        <v>8777</v>
      </c>
      <c r="P655" s="10" t="s">
        <v>8778</v>
      </c>
      <c r="Q655" s="9" t="s">
        <v>8685</v>
      </c>
      <c r="R655" s="9">
        <v>10929</v>
      </c>
      <c r="T655" s="9" t="str">
        <f t="shared" ca="1" si="28"/>
        <v/>
      </c>
      <c r="U655" s="9" t="str">
        <f t="shared" ca="1" si="29"/>
        <v/>
      </c>
    </row>
    <row r="656" spans="1:28">
      <c r="A656" s="3" t="s">
        <v>334</v>
      </c>
      <c r="D656" s="3" t="s">
        <v>2526</v>
      </c>
      <c r="E656" s="3" t="s">
        <v>2527</v>
      </c>
      <c r="J656" s="9" t="s">
        <v>8731</v>
      </c>
      <c r="T656" s="9" t="str">
        <f t="shared" ca="1" si="28"/>
        <v/>
      </c>
      <c r="U656" s="9" t="str">
        <f t="shared" ca="1" si="29"/>
        <v/>
      </c>
      <c r="Z656" s="9" t="s">
        <v>8741</v>
      </c>
      <c r="AA656" s="9" t="s">
        <v>3884</v>
      </c>
    </row>
    <row r="657" spans="1:28">
      <c r="A657" s="3" t="s">
        <v>335</v>
      </c>
      <c r="D657" s="3" t="s">
        <v>2348</v>
      </c>
      <c r="E657" s="3" t="s">
        <v>2348</v>
      </c>
      <c r="F657" t="s">
        <v>3932</v>
      </c>
      <c r="I657" t="s">
        <v>2531</v>
      </c>
      <c r="T657" s="9" t="str">
        <f t="shared" ca="1" si="28"/>
        <v/>
      </c>
      <c r="U657" s="9" t="str">
        <f t="shared" ca="1" si="29"/>
        <v/>
      </c>
    </row>
    <row r="658" spans="1:28">
      <c r="A658" s="3" t="s">
        <v>335</v>
      </c>
      <c r="D658" s="3" t="s">
        <v>4364</v>
      </c>
      <c r="E658" s="3" t="s">
        <v>4364</v>
      </c>
      <c r="F658" t="s">
        <v>3932</v>
      </c>
      <c r="I658" t="s">
        <v>4365</v>
      </c>
      <c r="T658" s="9" t="str">
        <f t="shared" ca="1" si="28"/>
        <v/>
      </c>
      <c r="U658" s="9" t="str">
        <f t="shared" ca="1" si="29"/>
        <v/>
      </c>
    </row>
    <row r="659" spans="1:28" ht="29">
      <c r="A659" s="3" t="s">
        <v>336</v>
      </c>
      <c r="D659" s="4" t="s">
        <v>4366</v>
      </c>
      <c r="E659" s="3" t="s">
        <v>4367</v>
      </c>
      <c r="F659" t="s">
        <v>3883</v>
      </c>
      <c r="T659" s="9" t="str">
        <f t="shared" ca="1" si="28"/>
        <v/>
      </c>
      <c r="U659" s="9" t="str">
        <f t="shared" ca="1" si="29"/>
        <v/>
      </c>
    </row>
    <row r="660" spans="1:28">
      <c r="A660" s="3" t="s">
        <v>336</v>
      </c>
      <c r="D660" s="3" t="s">
        <v>4368</v>
      </c>
      <c r="E660" s="4" t="s">
        <v>4369</v>
      </c>
      <c r="F660" t="s">
        <v>3897</v>
      </c>
      <c r="I660" t="s">
        <v>9204</v>
      </c>
      <c r="J660" s="9" t="s">
        <v>8729</v>
      </c>
      <c r="S660" s="9">
        <f>991-1942</f>
        <v>-951</v>
      </c>
      <c r="T660" s="9">
        <f t="shared" ca="1" si="28"/>
        <v>1942</v>
      </c>
      <c r="U660" s="9">
        <f t="shared" ca="1" si="29"/>
        <v>991</v>
      </c>
      <c r="V660" s="9" t="s">
        <v>8728</v>
      </c>
    </row>
    <row r="661" spans="1:28">
      <c r="A661" s="3" t="s">
        <v>337</v>
      </c>
      <c r="D661" s="3" t="s">
        <v>2528</v>
      </c>
      <c r="E661" s="3" t="s">
        <v>2529</v>
      </c>
      <c r="J661" s="9" t="s">
        <v>8731</v>
      </c>
      <c r="T661" s="9" t="str">
        <f t="shared" ca="1" si="28"/>
        <v/>
      </c>
      <c r="U661" s="9" t="str">
        <f t="shared" ca="1" si="29"/>
        <v/>
      </c>
      <c r="AB661" s="9" t="s">
        <v>8697</v>
      </c>
    </row>
    <row r="662" spans="1:28">
      <c r="A662" s="3" t="s">
        <v>337</v>
      </c>
      <c r="D662" s="3" t="s">
        <v>2366</v>
      </c>
      <c r="E662" s="3" t="s">
        <v>2366</v>
      </c>
      <c r="F662" t="s">
        <v>3932</v>
      </c>
      <c r="I662" t="s">
        <v>2530</v>
      </c>
      <c r="T662" s="9" t="str">
        <f t="shared" ca="1" si="28"/>
        <v/>
      </c>
      <c r="U662" s="9" t="str">
        <f t="shared" ca="1" si="29"/>
        <v/>
      </c>
    </row>
    <row r="663" spans="1:28">
      <c r="A663" s="3" t="s">
        <v>337</v>
      </c>
      <c r="D663" s="3" t="s">
        <v>4370</v>
      </c>
      <c r="E663" s="4" t="s">
        <v>4371</v>
      </c>
      <c r="F663" t="s">
        <v>3897</v>
      </c>
      <c r="T663" s="9" t="str">
        <f t="shared" ca="1" si="28"/>
        <v/>
      </c>
      <c r="U663" s="9" t="str">
        <f t="shared" ca="1" si="29"/>
        <v/>
      </c>
    </row>
    <row r="664" spans="1:28" ht="29">
      <c r="A664" s="3" t="s">
        <v>338</v>
      </c>
      <c r="D664" s="3" t="s">
        <v>4373</v>
      </c>
      <c r="E664" s="3" t="s">
        <v>4374</v>
      </c>
      <c r="F664" t="s">
        <v>3932</v>
      </c>
      <c r="I664" t="s">
        <v>4375</v>
      </c>
      <c r="T664" s="9" t="str">
        <f t="shared" ca="1" si="28"/>
        <v/>
      </c>
      <c r="U664" s="9" t="str">
        <f t="shared" ca="1" si="29"/>
        <v/>
      </c>
    </row>
    <row r="665" spans="1:28" ht="29">
      <c r="A665" s="3" t="s">
        <v>338</v>
      </c>
      <c r="D665" s="3" t="s">
        <v>4372</v>
      </c>
      <c r="E665" s="3" t="s">
        <v>4376</v>
      </c>
      <c r="H665" t="s">
        <v>3884</v>
      </c>
      <c r="J665" s="9" t="s">
        <v>3885</v>
      </c>
      <c r="K665" s="9">
        <v>2</v>
      </c>
      <c r="L665" s="9">
        <v>10</v>
      </c>
      <c r="N665" s="9" t="s">
        <v>8690</v>
      </c>
      <c r="R665" s="9">
        <v>206</v>
      </c>
      <c r="T665" s="9" t="str">
        <f t="shared" ca="1" si="28"/>
        <v/>
      </c>
      <c r="U665" s="9" t="str">
        <f t="shared" ca="1" si="29"/>
        <v/>
      </c>
    </row>
    <row r="666" spans="1:28" ht="29">
      <c r="A666" s="3" t="s">
        <v>338</v>
      </c>
      <c r="D666" s="3" t="s">
        <v>4377</v>
      </c>
      <c r="E666" s="3" t="s">
        <v>4378</v>
      </c>
      <c r="F666" t="s">
        <v>3932</v>
      </c>
      <c r="I666" t="s">
        <v>4379</v>
      </c>
      <c r="T666" s="9" t="str">
        <f t="shared" ca="1" si="28"/>
        <v/>
      </c>
      <c r="U666" s="9" t="str">
        <f t="shared" ca="1" si="29"/>
        <v/>
      </c>
    </row>
    <row r="667" spans="1:28">
      <c r="A667" s="3" t="s">
        <v>338</v>
      </c>
      <c r="D667" s="3" t="s">
        <v>2532</v>
      </c>
      <c r="E667" s="3" t="s">
        <v>2533</v>
      </c>
      <c r="J667" s="9" t="s">
        <v>8729</v>
      </c>
      <c r="S667" s="9">
        <f>4-7</f>
        <v>-3</v>
      </c>
      <c r="T667" s="9">
        <f t="shared" ca="1" si="28"/>
        <v>7</v>
      </c>
      <c r="U667" s="9">
        <f t="shared" ca="1" si="29"/>
        <v>4</v>
      </c>
    </row>
    <row r="668" spans="1:28">
      <c r="A668" s="3" t="s">
        <v>339</v>
      </c>
      <c r="D668" s="4" t="s">
        <v>2534</v>
      </c>
      <c r="E668" s="3" t="s">
        <v>2535</v>
      </c>
      <c r="F668" t="s">
        <v>3883</v>
      </c>
      <c r="T668" s="9" t="str">
        <f t="shared" ca="1" si="28"/>
        <v/>
      </c>
      <c r="U668" s="9" t="str">
        <f t="shared" ca="1" si="29"/>
        <v/>
      </c>
    </row>
    <row r="669" spans="1:28">
      <c r="A669" s="3" t="s">
        <v>339</v>
      </c>
      <c r="D669" s="4" t="s">
        <v>9590</v>
      </c>
      <c r="E669" s="3" t="s">
        <v>9591</v>
      </c>
      <c r="F669" t="s">
        <v>3883</v>
      </c>
      <c r="T669" s="9" t="str">
        <f t="shared" ca="1" si="28"/>
        <v/>
      </c>
      <c r="U669" s="9" t="str">
        <f t="shared" ca="1" si="29"/>
        <v/>
      </c>
    </row>
    <row r="670" spans="1:28">
      <c r="A670" s="3" t="s">
        <v>340</v>
      </c>
      <c r="D670" s="3" t="s">
        <v>9592</v>
      </c>
      <c r="E670" s="3" t="s">
        <v>9593</v>
      </c>
      <c r="F670" t="s">
        <v>4197</v>
      </c>
      <c r="H670" t="s">
        <v>3884</v>
      </c>
      <c r="I670" t="s">
        <v>9594</v>
      </c>
      <c r="J670" s="9" t="s">
        <v>3885</v>
      </c>
      <c r="K670" s="9">
        <v>1</v>
      </c>
      <c r="L670" s="9">
        <v>6</v>
      </c>
      <c r="M670" s="9" t="s">
        <v>8695</v>
      </c>
      <c r="N670" s="9" t="s">
        <v>8690</v>
      </c>
      <c r="Q670" s="9" t="s">
        <v>8691</v>
      </c>
      <c r="R670" s="9">
        <v>17</v>
      </c>
    </row>
    <row r="671" spans="1:28">
      <c r="A671" s="3" t="s">
        <v>340</v>
      </c>
      <c r="D671" s="3" t="s">
        <v>2536</v>
      </c>
      <c r="E671" s="3" t="s">
        <v>2537</v>
      </c>
      <c r="J671" s="9" t="s">
        <v>8729</v>
      </c>
      <c r="S671" s="9">
        <f>6-106</f>
        <v>-100</v>
      </c>
      <c r="T671" s="9">
        <f t="shared" ca="1" si="28"/>
        <v>106</v>
      </c>
      <c r="U671" s="9">
        <f t="shared" ca="1" si="29"/>
        <v>6</v>
      </c>
      <c r="Z671" s="9" t="s">
        <v>8757</v>
      </c>
      <c r="AA671" s="9" t="s">
        <v>3884</v>
      </c>
    </row>
    <row r="672" spans="1:28">
      <c r="A672" s="3" t="s">
        <v>341</v>
      </c>
      <c r="D672" s="3" t="s">
        <v>4381</v>
      </c>
      <c r="E672" s="3" t="s">
        <v>4382</v>
      </c>
      <c r="J672" s="9" t="s">
        <v>8731</v>
      </c>
      <c r="T672" s="9" t="str">
        <f t="shared" ca="1" si="28"/>
        <v/>
      </c>
      <c r="U672" s="9" t="str">
        <f t="shared" ca="1" si="29"/>
        <v/>
      </c>
      <c r="Y672" s="9" t="s">
        <v>9282</v>
      </c>
      <c r="AA672" s="9" t="s">
        <v>3884</v>
      </c>
    </row>
    <row r="673" spans="1:28">
      <c r="A673" s="3" t="s">
        <v>341</v>
      </c>
      <c r="D673" s="3" t="s">
        <v>4383</v>
      </c>
      <c r="E673" s="3" t="s">
        <v>4384</v>
      </c>
      <c r="F673" t="s">
        <v>3932</v>
      </c>
      <c r="I673" t="s">
        <v>4380</v>
      </c>
      <c r="T673" s="9" t="str">
        <f t="shared" ca="1" si="28"/>
        <v/>
      </c>
      <c r="U673" s="9" t="str">
        <f t="shared" ca="1" si="29"/>
        <v/>
      </c>
    </row>
    <row r="674" spans="1:28">
      <c r="A674" s="3" t="s">
        <v>341</v>
      </c>
      <c r="D674" s="3" t="s">
        <v>4383</v>
      </c>
      <c r="E674" s="3" t="s">
        <v>4384</v>
      </c>
      <c r="F674" t="s">
        <v>3932</v>
      </c>
      <c r="I674" t="s">
        <v>4385</v>
      </c>
      <c r="T674" s="9" t="str">
        <f t="shared" ca="1" si="28"/>
        <v/>
      </c>
      <c r="U674" s="9" t="str">
        <f t="shared" ca="1" si="29"/>
        <v/>
      </c>
    </row>
    <row r="675" spans="1:28">
      <c r="A675" s="3" t="s">
        <v>342</v>
      </c>
      <c r="D675" s="3" t="s">
        <v>2538</v>
      </c>
      <c r="E675" s="3" t="s">
        <v>2538</v>
      </c>
      <c r="F675" t="s">
        <v>3932</v>
      </c>
      <c r="I675" t="s">
        <v>4386</v>
      </c>
      <c r="T675" s="9" t="str">
        <f t="shared" ca="1" si="28"/>
        <v/>
      </c>
      <c r="U675" s="9" t="str">
        <f t="shared" ca="1" si="29"/>
        <v/>
      </c>
    </row>
    <row r="676" spans="1:28">
      <c r="A676" s="3" t="s">
        <v>342</v>
      </c>
      <c r="D676" s="3" t="s">
        <v>4388</v>
      </c>
      <c r="E676" s="3" t="s">
        <v>4387</v>
      </c>
      <c r="F676" t="s">
        <v>3932</v>
      </c>
      <c r="I676" t="s">
        <v>4388</v>
      </c>
      <c r="T676" s="9" t="str">
        <f t="shared" ca="1" si="28"/>
        <v/>
      </c>
      <c r="U676" s="9" t="str">
        <f t="shared" ca="1" si="29"/>
        <v/>
      </c>
    </row>
    <row r="677" spans="1:28">
      <c r="A677" s="3" t="s">
        <v>343</v>
      </c>
      <c r="D677" s="3" t="s">
        <v>4389</v>
      </c>
      <c r="E677" s="4" t="s">
        <v>4390</v>
      </c>
      <c r="F677" t="s">
        <v>3897</v>
      </c>
      <c r="T677" s="9" t="str">
        <f t="shared" ca="1" si="28"/>
        <v/>
      </c>
      <c r="U677" s="9" t="str">
        <f t="shared" ca="1" si="29"/>
        <v/>
      </c>
    </row>
    <row r="678" spans="1:28">
      <c r="A678" s="3" t="s">
        <v>343</v>
      </c>
      <c r="D678" s="3" t="s">
        <v>4391</v>
      </c>
      <c r="E678" s="3" t="s">
        <v>4392</v>
      </c>
      <c r="H678" t="s">
        <v>3884</v>
      </c>
      <c r="J678" s="9" t="s">
        <v>3885</v>
      </c>
      <c r="K678" s="9">
        <v>1</v>
      </c>
      <c r="L678" s="9">
        <v>2</v>
      </c>
      <c r="M678" s="9" t="s">
        <v>8705</v>
      </c>
      <c r="N678" s="9" t="s">
        <v>8730</v>
      </c>
      <c r="Q678" s="9" t="s">
        <v>8691</v>
      </c>
      <c r="R678" s="9">
        <v>1485</v>
      </c>
      <c r="T678" s="9" t="str">
        <f t="shared" ca="1" si="28"/>
        <v/>
      </c>
      <c r="U678" s="9" t="str">
        <f t="shared" ca="1" si="29"/>
        <v/>
      </c>
    </row>
    <row r="679" spans="1:28">
      <c r="A679" s="3" t="s">
        <v>344</v>
      </c>
      <c r="D679" s="3" t="s">
        <v>4393</v>
      </c>
      <c r="E679" s="3" t="s">
        <v>4394</v>
      </c>
      <c r="I679" t="s">
        <v>9205</v>
      </c>
      <c r="J679" s="9" t="s">
        <v>8731</v>
      </c>
      <c r="T679" s="9" t="str">
        <f t="shared" ca="1" si="28"/>
        <v/>
      </c>
      <c r="U679" s="9" t="str">
        <f t="shared" ca="1" si="29"/>
        <v/>
      </c>
      <c r="V679" s="9" t="s">
        <v>8728</v>
      </c>
    </row>
    <row r="680" spans="1:28">
      <c r="A680" s="3" t="s">
        <v>344</v>
      </c>
      <c r="D680" s="3" t="s">
        <v>4395</v>
      </c>
      <c r="E680" s="3" t="s">
        <v>4396</v>
      </c>
      <c r="F680" t="s">
        <v>4397</v>
      </c>
      <c r="I680" t="s">
        <v>9206</v>
      </c>
      <c r="J680" s="9" t="s">
        <v>3885</v>
      </c>
      <c r="K680" s="9">
        <v>1</v>
      </c>
      <c r="L680" s="9">
        <v>3</v>
      </c>
      <c r="M680" s="9" t="s">
        <v>8698</v>
      </c>
      <c r="N680" s="9" t="s">
        <v>8690</v>
      </c>
      <c r="R680" s="9">
        <v>4</v>
      </c>
      <c r="T680" s="9" t="str">
        <f t="shared" ca="1" si="28"/>
        <v/>
      </c>
      <c r="U680" s="9" t="str">
        <f t="shared" ca="1" si="29"/>
        <v/>
      </c>
      <c r="V680" s="9" t="s">
        <v>8728</v>
      </c>
    </row>
    <row r="681" spans="1:28">
      <c r="A681" s="3" t="s">
        <v>345</v>
      </c>
      <c r="D681" s="3" t="s">
        <v>9452</v>
      </c>
      <c r="E681" s="3" t="s">
        <v>9451</v>
      </c>
      <c r="F681" t="s">
        <v>3932</v>
      </c>
      <c r="I681" t="s">
        <v>9453</v>
      </c>
      <c r="T681" s="9" t="str">
        <f t="shared" ca="1" si="28"/>
        <v/>
      </c>
      <c r="U681" s="9" t="str">
        <f t="shared" ca="1" si="29"/>
        <v/>
      </c>
    </row>
    <row r="682" spans="1:28">
      <c r="A682" s="3" t="s">
        <v>345</v>
      </c>
      <c r="D682" s="3" t="s">
        <v>8928</v>
      </c>
      <c r="E682" s="3" t="s">
        <v>8929</v>
      </c>
      <c r="H682" t="s">
        <v>3888</v>
      </c>
      <c r="I682" t="s">
        <v>4398</v>
      </c>
      <c r="J682" s="9" t="s">
        <v>3885</v>
      </c>
      <c r="K682" s="9">
        <v>2</v>
      </c>
      <c r="L682" s="9">
        <v>2</v>
      </c>
      <c r="N682" s="9" t="s">
        <v>8730</v>
      </c>
      <c r="R682" s="9" t="s">
        <v>8739</v>
      </c>
      <c r="T682" s="9" t="str">
        <f t="shared" ca="1" si="28"/>
        <v/>
      </c>
      <c r="U682" s="9" t="str">
        <f t="shared" ca="1" si="29"/>
        <v/>
      </c>
      <c r="AB682" s="9" t="s">
        <v>8688</v>
      </c>
    </row>
    <row r="683" spans="1:28">
      <c r="A683" s="3" t="s">
        <v>345</v>
      </c>
      <c r="D683" s="3" t="s">
        <v>8931</v>
      </c>
      <c r="E683" s="3" t="s">
        <v>8930</v>
      </c>
      <c r="J683" s="9" t="s">
        <v>8729</v>
      </c>
      <c r="S683" s="9" t="s">
        <v>8739</v>
      </c>
      <c r="T683" s="9" t="str">
        <f t="shared" ca="1" si="28"/>
        <v/>
      </c>
      <c r="U683" s="9" t="str">
        <f t="shared" ca="1" si="29"/>
        <v/>
      </c>
      <c r="AB683" s="9" t="s">
        <v>8697</v>
      </c>
    </row>
    <row r="684" spans="1:28">
      <c r="A684" s="3" t="s">
        <v>346</v>
      </c>
      <c r="D684" s="3" t="s">
        <v>4399</v>
      </c>
      <c r="E684" s="3" t="s">
        <v>4400</v>
      </c>
      <c r="J684" s="9" t="s">
        <v>8729</v>
      </c>
      <c r="S684" s="9">
        <f>159-698</f>
        <v>-539</v>
      </c>
      <c r="T684" s="9">
        <f t="shared" ca="1" si="28"/>
        <v>698</v>
      </c>
      <c r="U684" s="9">
        <f t="shared" ca="1" si="29"/>
        <v>159</v>
      </c>
    </row>
    <row r="685" spans="1:28">
      <c r="A685" s="3" t="s">
        <v>347</v>
      </c>
      <c r="D685" s="3" t="s">
        <v>2243</v>
      </c>
      <c r="E685" s="3" t="s">
        <v>2253</v>
      </c>
      <c r="J685" s="9" t="s">
        <v>8731</v>
      </c>
      <c r="T685" s="9" t="str">
        <f t="shared" ca="1" si="28"/>
        <v/>
      </c>
      <c r="U685" s="9" t="str">
        <f t="shared" ca="1" si="29"/>
        <v/>
      </c>
      <c r="Z685" s="9" t="s">
        <v>9280</v>
      </c>
      <c r="AA685" s="9" t="s">
        <v>3884</v>
      </c>
    </row>
    <row r="686" spans="1:28">
      <c r="A686" s="3" t="s">
        <v>348</v>
      </c>
      <c r="D686" s="3" t="s">
        <v>4401</v>
      </c>
      <c r="E686" s="3" t="s">
        <v>4402</v>
      </c>
      <c r="J686" s="9" t="s">
        <v>8729</v>
      </c>
      <c r="S686" s="9">
        <f>3-1443</f>
        <v>-1440</v>
      </c>
      <c r="T686" s="9">
        <f t="shared" ca="1" si="28"/>
        <v>1443</v>
      </c>
      <c r="U686" s="9">
        <f t="shared" ca="1" si="29"/>
        <v>3</v>
      </c>
    </row>
    <row r="687" spans="1:28">
      <c r="A687" s="3" t="s">
        <v>349</v>
      </c>
      <c r="D687" s="3" t="s">
        <v>2386</v>
      </c>
      <c r="E687" s="3" t="s">
        <v>2387</v>
      </c>
      <c r="J687" s="9" t="s">
        <v>8729</v>
      </c>
      <c r="S687" s="9">
        <f>21-19</f>
        <v>2</v>
      </c>
      <c r="T687" s="9">
        <f t="shared" ca="1" si="28"/>
        <v>19</v>
      </c>
      <c r="U687" s="9">
        <f t="shared" ca="1" si="29"/>
        <v>21</v>
      </c>
      <c r="Z687" s="9" t="s">
        <v>8757</v>
      </c>
      <c r="AA687" s="9" t="s">
        <v>3884</v>
      </c>
      <c r="AB687" s="9" t="s">
        <v>8697</v>
      </c>
    </row>
    <row r="688" spans="1:28" ht="29">
      <c r="A688" s="3" t="s">
        <v>350</v>
      </c>
      <c r="D688" s="3" t="s">
        <v>4403</v>
      </c>
      <c r="E688" s="3" t="s">
        <v>8932</v>
      </c>
      <c r="J688" s="9" t="s">
        <v>3889</v>
      </c>
      <c r="K688" s="9">
        <v>1</v>
      </c>
      <c r="L688" s="9">
        <v>6</v>
      </c>
      <c r="M688" s="9" t="s">
        <v>8703</v>
      </c>
      <c r="N688" s="9" t="s">
        <v>8684</v>
      </c>
      <c r="O688" s="9" t="s">
        <v>8777</v>
      </c>
      <c r="P688" s="10" t="s">
        <v>8778</v>
      </c>
      <c r="R688" s="9">
        <v>50</v>
      </c>
      <c r="T688" s="9" t="str">
        <f t="shared" ca="1" si="28"/>
        <v/>
      </c>
      <c r="U688" s="9" t="str">
        <f t="shared" ca="1" si="29"/>
        <v/>
      </c>
    </row>
    <row r="689" spans="1:28">
      <c r="A689" s="3" t="s">
        <v>351</v>
      </c>
      <c r="D689" s="3" t="s">
        <v>2539</v>
      </c>
      <c r="E689" s="3" t="s">
        <v>2540</v>
      </c>
      <c r="J689" s="9" t="s">
        <v>8731</v>
      </c>
      <c r="T689" s="9" t="str">
        <f t="shared" ca="1" si="28"/>
        <v/>
      </c>
      <c r="U689" s="9" t="str">
        <f t="shared" ca="1" si="29"/>
        <v/>
      </c>
    </row>
    <row r="690" spans="1:28">
      <c r="A690" s="3" t="s">
        <v>352</v>
      </c>
      <c r="D690" s="3" t="s">
        <v>2541</v>
      </c>
      <c r="E690" s="3" t="s">
        <v>2542</v>
      </c>
      <c r="J690" s="9" t="s">
        <v>8731</v>
      </c>
      <c r="T690" s="9" t="str">
        <f t="shared" ca="1" si="28"/>
        <v/>
      </c>
      <c r="U690" s="9" t="str">
        <f t="shared" ca="1" si="29"/>
        <v/>
      </c>
      <c r="Z690" s="9" t="s">
        <v>8742</v>
      </c>
      <c r="AA690" s="9" t="s">
        <v>3884</v>
      </c>
      <c r="AB690" s="9" t="s">
        <v>8688</v>
      </c>
    </row>
    <row r="691" spans="1:28">
      <c r="A691" s="3" t="s">
        <v>353</v>
      </c>
      <c r="D691" s="3" t="s">
        <v>2242</v>
      </c>
      <c r="E691" s="3" t="s">
        <v>2543</v>
      </c>
      <c r="H691" t="s">
        <v>3888</v>
      </c>
      <c r="I691" t="s">
        <v>4404</v>
      </c>
      <c r="J691" s="9" t="s">
        <v>8732</v>
      </c>
      <c r="S691" s="9" t="s">
        <v>8739</v>
      </c>
      <c r="T691" s="9" t="str">
        <f t="shared" ca="1" si="28"/>
        <v/>
      </c>
      <c r="U691" s="9" t="str">
        <f t="shared" ca="1" si="29"/>
        <v/>
      </c>
      <c r="Z691" s="9" t="s">
        <v>9280</v>
      </c>
      <c r="AA691" s="9" t="s">
        <v>3891</v>
      </c>
      <c r="AB691" s="9" t="s">
        <v>8688</v>
      </c>
    </row>
    <row r="692" spans="1:28">
      <c r="A692" s="3" t="s">
        <v>353</v>
      </c>
      <c r="D692" s="3" t="s">
        <v>4405</v>
      </c>
      <c r="E692" s="3" t="s">
        <v>4406</v>
      </c>
      <c r="H692" t="s">
        <v>3884</v>
      </c>
      <c r="J692" s="9" t="s">
        <v>3885</v>
      </c>
      <c r="K692" s="9">
        <v>1</v>
      </c>
      <c r="L692" s="9">
        <v>4</v>
      </c>
      <c r="M692" s="9" t="s">
        <v>8710</v>
      </c>
      <c r="N692" s="9" t="s">
        <v>8690</v>
      </c>
      <c r="R692" s="9">
        <v>266</v>
      </c>
      <c r="T692" s="9" t="str">
        <f t="shared" ca="1" si="28"/>
        <v/>
      </c>
      <c r="U692" s="9" t="str">
        <f t="shared" ca="1" si="29"/>
        <v/>
      </c>
    </row>
    <row r="693" spans="1:28">
      <c r="A693" s="3" t="s">
        <v>353</v>
      </c>
      <c r="D693" s="3" t="s">
        <v>4407</v>
      </c>
      <c r="E693" s="3" t="s">
        <v>4408</v>
      </c>
      <c r="I693" t="s">
        <v>9207</v>
      </c>
      <c r="J693" s="9" t="s">
        <v>8729</v>
      </c>
      <c r="S693" s="9">
        <f>91-329</f>
        <v>-238</v>
      </c>
      <c r="T693" s="9">
        <f t="shared" ca="1" si="28"/>
        <v>329</v>
      </c>
      <c r="U693" s="9">
        <f t="shared" ca="1" si="29"/>
        <v>91</v>
      </c>
      <c r="V693" s="9" t="s">
        <v>8728</v>
      </c>
    </row>
    <row r="694" spans="1:28">
      <c r="A694" s="3" t="s">
        <v>354</v>
      </c>
      <c r="D694" s="3" t="s">
        <v>4409</v>
      </c>
      <c r="E694" s="3" t="s">
        <v>2544</v>
      </c>
      <c r="H694" t="s">
        <v>3884</v>
      </c>
      <c r="J694" s="9" t="s">
        <v>8729</v>
      </c>
      <c r="S694" s="9" t="s">
        <v>8739</v>
      </c>
      <c r="T694" s="9" t="str">
        <f t="shared" ca="1" si="28"/>
        <v/>
      </c>
      <c r="U694" s="9" t="str">
        <f t="shared" ca="1" si="29"/>
        <v/>
      </c>
      <c r="AB694" s="9" t="s">
        <v>8688</v>
      </c>
    </row>
    <row r="695" spans="1:28">
      <c r="A695" s="3" t="s">
        <v>355</v>
      </c>
      <c r="D695" s="3" t="s">
        <v>4410</v>
      </c>
      <c r="E695" s="3" t="s">
        <v>4411</v>
      </c>
      <c r="H695" t="s">
        <v>3884</v>
      </c>
      <c r="I695" t="s">
        <v>9208</v>
      </c>
      <c r="J695" s="9" t="s">
        <v>3889</v>
      </c>
      <c r="K695" s="9">
        <v>1</v>
      </c>
      <c r="L695" s="9">
        <v>6</v>
      </c>
      <c r="M695" s="9" t="s">
        <v>8703</v>
      </c>
      <c r="N695" s="9" t="s">
        <v>8690</v>
      </c>
      <c r="R695" s="9">
        <v>7</v>
      </c>
      <c r="T695" s="9" t="str">
        <f t="shared" ca="1" si="28"/>
        <v/>
      </c>
      <c r="U695" s="9" t="str">
        <f t="shared" ca="1" si="29"/>
        <v/>
      </c>
      <c r="V695" s="9" t="s">
        <v>8728</v>
      </c>
    </row>
    <row r="696" spans="1:28">
      <c r="A696" s="3" t="s">
        <v>356</v>
      </c>
      <c r="D696" s="3" t="s">
        <v>2216</v>
      </c>
      <c r="E696" s="3" t="s">
        <v>2545</v>
      </c>
      <c r="H696" t="s">
        <v>3884</v>
      </c>
      <c r="J696" s="9" t="s">
        <v>8729</v>
      </c>
      <c r="S696" s="9" t="s">
        <v>8739</v>
      </c>
      <c r="T696" s="9" t="str">
        <f t="shared" ca="1" si="28"/>
        <v/>
      </c>
      <c r="U696" s="9" t="str">
        <f t="shared" ca="1" si="29"/>
        <v/>
      </c>
      <c r="AB696" s="9" t="s">
        <v>8688</v>
      </c>
    </row>
    <row r="697" spans="1:28">
      <c r="A697" s="3" t="s">
        <v>356</v>
      </c>
      <c r="D697" s="3" t="s">
        <v>4412</v>
      </c>
      <c r="E697" s="3" t="s">
        <v>4413</v>
      </c>
      <c r="H697" t="s">
        <v>3884</v>
      </c>
      <c r="J697" s="9" t="s">
        <v>3885</v>
      </c>
      <c r="K697" s="9">
        <v>1</v>
      </c>
      <c r="L697" s="9">
        <v>2</v>
      </c>
      <c r="M697" s="9" t="s">
        <v>8734</v>
      </c>
      <c r="N697" s="9" t="s">
        <v>8730</v>
      </c>
      <c r="R697" s="9" t="s">
        <v>8739</v>
      </c>
      <c r="T697" s="9" t="str">
        <f t="shared" ca="1" si="28"/>
        <v/>
      </c>
      <c r="U697" s="9" t="str">
        <f t="shared" ca="1" si="29"/>
        <v/>
      </c>
      <c r="AB697" s="9" t="s">
        <v>8688</v>
      </c>
    </row>
    <row r="698" spans="1:28">
      <c r="A698" s="3" t="s">
        <v>356</v>
      </c>
      <c r="D698" s="3" t="s">
        <v>2333</v>
      </c>
      <c r="E698" s="3" t="s">
        <v>2546</v>
      </c>
      <c r="H698" t="s">
        <v>3884</v>
      </c>
      <c r="J698" s="9" t="s">
        <v>8729</v>
      </c>
      <c r="Q698" s="9" t="s">
        <v>8685</v>
      </c>
      <c r="S698" s="9" t="s">
        <v>8739</v>
      </c>
      <c r="T698" s="9" t="str">
        <f t="shared" ca="1" si="28"/>
        <v/>
      </c>
      <c r="U698" s="9" t="str">
        <f t="shared" ca="1" si="29"/>
        <v/>
      </c>
      <c r="Y698" s="9" t="s">
        <v>8735</v>
      </c>
      <c r="AA698" s="9" t="s">
        <v>3884</v>
      </c>
      <c r="AB698" s="9" t="s">
        <v>8688</v>
      </c>
    </row>
    <row r="699" spans="1:28" ht="29">
      <c r="A699" s="3" t="s">
        <v>356</v>
      </c>
      <c r="D699" s="3" t="s">
        <v>4414</v>
      </c>
      <c r="E699" s="3" t="s">
        <v>4415</v>
      </c>
      <c r="H699" t="s">
        <v>3892</v>
      </c>
      <c r="I699" t="s">
        <v>4416</v>
      </c>
      <c r="J699" s="9" t="s">
        <v>3885</v>
      </c>
      <c r="K699" s="9">
        <v>1</v>
      </c>
      <c r="L699" s="9">
        <v>1</v>
      </c>
      <c r="M699" s="9" t="s">
        <v>8705</v>
      </c>
      <c r="N699" s="9" t="s">
        <v>8730</v>
      </c>
      <c r="R699" s="9">
        <v>615</v>
      </c>
      <c r="T699" s="9" t="str">
        <f t="shared" ca="1" si="28"/>
        <v/>
      </c>
      <c r="U699" s="9" t="str">
        <f t="shared" ca="1" si="29"/>
        <v/>
      </c>
      <c r="AB699" s="9" t="s">
        <v>8694</v>
      </c>
    </row>
    <row r="700" spans="1:28">
      <c r="A700" s="3" t="s">
        <v>357</v>
      </c>
      <c r="D700" s="3" t="s">
        <v>2547</v>
      </c>
      <c r="E700" s="3" t="s">
        <v>2548</v>
      </c>
      <c r="J700" s="9" t="s">
        <v>8729</v>
      </c>
      <c r="S700" s="9" t="s">
        <v>8739</v>
      </c>
      <c r="T700" s="9" t="str">
        <f t="shared" ca="1" si="28"/>
        <v/>
      </c>
      <c r="U700" s="9" t="str">
        <f t="shared" ca="1" si="29"/>
        <v/>
      </c>
      <c r="AB700" s="9" t="s">
        <v>8697</v>
      </c>
    </row>
    <row r="701" spans="1:28">
      <c r="A701" s="3" t="s">
        <v>357</v>
      </c>
      <c r="D701" s="3" t="s">
        <v>4417</v>
      </c>
      <c r="E701" s="3" t="s">
        <v>4418</v>
      </c>
      <c r="H701" t="s">
        <v>3884</v>
      </c>
      <c r="J701" s="9" t="s">
        <v>8731</v>
      </c>
      <c r="T701" s="9" t="str">
        <f t="shared" ca="1" si="28"/>
        <v/>
      </c>
      <c r="U701" s="9" t="str">
        <f t="shared" ca="1" si="29"/>
        <v/>
      </c>
      <c r="Y701" s="9" t="s">
        <v>9282</v>
      </c>
      <c r="AA701" s="9" t="s">
        <v>3884</v>
      </c>
    </row>
    <row r="702" spans="1:28">
      <c r="A702" s="3" t="s">
        <v>358</v>
      </c>
      <c r="D702" s="3" t="s">
        <v>4419</v>
      </c>
      <c r="E702" s="3" t="s">
        <v>4420</v>
      </c>
      <c r="H702" t="s">
        <v>3884</v>
      </c>
      <c r="J702" s="9" t="s">
        <v>3885</v>
      </c>
      <c r="K702" s="9">
        <v>1</v>
      </c>
      <c r="L702" s="9">
        <v>2</v>
      </c>
      <c r="M702" s="9" t="s">
        <v>8707</v>
      </c>
      <c r="N702" s="9" t="s">
        <v>8730</v>
      </c>
      <c r="R702" s="9">
        <v>519</v>
      </c>
      <c r="T702" s="9" t="str">
        <f t="shared" ca="1" si="28"/>
        <v/>
      </c>
      <c r="U702" s="9" t="str">
        <f t="shared" ca="1" si="29"/>
        <v/>
      </c>
      <c r="AB702" s="9" t="s">
        <v>8694</v>
      </c>
    </row>
    <row r="703" spans="1:28">
      <c r="A703" s="3" t="s">
        <v>358</v>
      </c>
      <c r="D703" s="3" t="s">
        <v>4421</v>
      </c>
      <c r="E703" s="3" t="s">
        <v>4422</v>
      </c>
      <c r="H703" t="s">
        <v>3884</v>
      </c>
      <c r="J703" s="9" t="s">
        <v>3885</v>
      </c>
      <c r="K703" s="9">
        <v>1</v>
      </c>
      <c r="L703" s="9">
        <v>1</v>
      </c>
      <c r="M703" s="9" t="s">
        <v>8689</v>
      </c>
      <c r="N703" s="9" t="s">
        <v>8730</v>
      </c>
      <c r="Q703" s="9" t="s">
        <v>8685</v>
      </c>
      <c r="R703" s="9">
        <v>10929</v>
      </c>
      <c r="T703" s="9" t="str">
        <f t="shared" ca="1" si="28"/>
        <v/>
      </c>
      <c r="U703" s="9" t="str">
        <f t="shared" ca="1" si="29"/>
        <v/>
      </c>
      <c r="AB703" s="9" t="s">
        <v>8694</v>
      </c>
    </row>
    <row r="704" spans="1:28">
      <c r="A704" s="3" t="s">
        <v>358</v>
      </c>
      <c r="D704" s="3" t="s">
        <v>2514</v>
      </c>
      <c r="E704" s="3" t="s">
        <v>2350</v>
      </c>
      <c r="J704" s="9" t="s">
        <v>8729</v>
      </c>
      <c r="S704" s="9" t="s">
        <v>8739</v>
      </c>
      <c r="T704" s="9" t="str">
        <f t="shared" ca="1" si="28"/>
        <v/>
      </c>
      <c r="U704" s="9" t="str">
        <f t="shared" ca="1" si="29"/>
        <v/>
      </c>
      <c r="AB704" s="9" t="s">
        <v>8697</v>
      </c>
    </row>
    <row r="705" spans="1:28">
      <c r="A705" s="3" t="s">
        <v>359</v>
      </c>
      <c r="D705" s="3" t="s">
        <v>8933</v>
      </c>
      <c r="E705" s="3" t="s">
        <v>2549</v>
      </c>
      <c r="H705" t="s">
        <v>3892</v>
      </c>
      <c r="I705" t="s">
        <v>9681</v>
      </c>
      <c r="J705" s="9" t="s">
        <v>8731</v>
      </c>
      <c r="P705" s="9"/>
      <c r="T705" s="9" t="str">
        <f t="shared" ca="1" si="28"/>
        <v/>
      </c>
      <c r="U705" s="9" t="str">
        <f t="shared" ca="1" si="29"/>
        <v/>
      </c>
      <c r="Z705" s="9" t="s">
        <v>8747</v>
      </c>
      <c r="AA705" s="9" t="s">
        <v>3884</v>
      </c>
      <c r="AB705" s="9" t="s">
        <v>8688</v>
      </c>
    </row>
    <row r="706" spans="1:28">
      <c r="A706" s="3" t="s">
        <v>360</v>
      </c>
      <c r="D706" s="3" t="s">
        <v>4423</v>
      </c>
      <c r="E706" s="3" t="s">
        <v>4423</v>
      </c>
      <c r="F706" t="s">
        <v>3932</v>
      </c>
      <c r="I706" t="s">
        <v>4424</v>
      </c>
      <c r="T706" s="9" t="str">
        <f t="shared" ca="1" si="28"/>
        <v/>
      </c>
      <c r="U706" s="9" t="str">
        <f t="shared" ca="1" si="29"/>
        <v/>
      </c>
    </row>
    <row r="707" spans="1:28">
      <c r="A707" s="3" t="s">
        <v>360</v>
      </c>
      <c r="D707" s="3" t="s">
        <v>4425</v>
      </c>
      <c r="E707" s="3" t="s">
        <v>4425</v>
      </c>
      <c r="F707" t="s">
        <v>3932</v>
      </c>
      <c r="I707" t="s">
        <v>4426</v>
      </c>
      <c r="T707" s="9" t="str">
        <f t="shared" ca="1" si="28"/>
        <v/>
      </c>
      <c r="U707" s="9" t="str">
        <f t="shared" ca="1" si="29"/>
        <v/>
      </c>
    </row>
    <row r="708" spans="1:28">
      <c r="A708" s="3" t="s">
        <v>360</v>
      </c>
      <c r="D708" s="3" t="s">
        <v>4427</v>
      </c>
      <c r="E708" s="3" t="s">
        <v>4428</v>
      </c>
      <c r="J708" s="9" t="s">
        <v>8729</v>
      </c>
      <c r="S708" s="9">
        <f>159-52</f>
        <v>107</v>
      </c>
      <c r="T708" s="9">
        <f t="shared" ca="1" si="28"/>
        <v>52</v>
      </c>
      <c r="U708" s="9">
        <f t="shared" ca="1" si="29"/>
        <v>159</v>
      </c>
      <c r="Z708" s="9" t="s">
        <v>8741</v>
      </c>
      <c r="AA708" s="9" t="s">
        <v>3884</v>
      </c>
      <c r="AB708" s="9" t="s">
        <v>8700</v>
      </c>
    </row>
    <row r="709" spans="1:28">
      <c r="A709" s="3" t="s">
        <v>361</v>
      </c>
      <c r="D709" s="3" t="s">
        <v>4429</v>
      </c>
      <c r="E709" s="3" t="s">
        <v>4430</v>
      </c>
      <c r="H709" t="s">
        <v>3884</v>
      </c>
      <c r="J709" s="9" t="s">
        <v>8729</v>
      </c>
      <c r="S709" s="9" t="s">
        <v>8739</v>
      </c>
      <c r="T709" s="9" t="str">
        <f t="shared" ref="T709:T773" ca="1" si="30">IF(ISNUMBER(S709),VALUE(MID(_xlfn.FORMULATEXT(S709),SEARCH("-",_xlfn.FORMULATEXT(S709))+1,LEN(_xlfn.FORMULATEXT(S709))-SEARCH("-",_xlfn.FORMULATEXT(S709)))), "")</f>
        <v/>
      </c>
      <c r="U709" s="9" t="str">
        <f t="shared" ref="U709:U773" ca="1" si="31">IF(ISNUMBER(S709), VALUE(MID(_xlfn.FORMULATEXT(S709), 2, SEARCH("-", _xlfn.FORMULATEXT(S709)) - 2)), "")</f>
        <v/>
      </c>
      <c r="AB709" s="9" t="s">
        <v>8688</v>
      </c>
    </row>
    <row r="710" spans="1:28">
      <c r="A710" s="3" t="s">
        <v>361</v>
      </c>
      <c r="D710" s="3" t="s">
        <v>4431</v>
      </c>
      <c r="E710" s="3" t="s">
        <v>4432</v>
      </c>
      <c r="H710" t="s">
        <v>3884</v>
      </c>
      <c r="J710" s="9" t="s">
        <v>3885</v>
      </c>
      <c r="K710" s="9">
        <v>1</v>
      </c>
      <c r="L710" s="9">
        <v>2</v>
      </c>
      <c r="M710" s="9" t="s">
        <v>8705</v>
      </c>
      <c r="N710" s="9" t="s">
        <v>8730</v>
      </c>
      <c r="Q710" s="9" t="s">
        <v>8685</v>
      </c>
      <c r="R710" s="9">
        <v>1443</v>
      </c>
      <c r="T710" s="9" t="str">
        <f t="shared" ca="1" si="30"/>
        <v/>
      </c>
      <c r="U710" s="9" t="str">
        <f t="shared" ca="1" si="31"/>
        <v/>
      </c>
      <c r="AB710" s="9" t="s">
        <v>8694</v>
      </c>
    </row>
    <row r="711" spans="1:28" ht="43.5">
      <c r="A711" s="3" t="s">
        <v>361</v>
      </c>
      <c r="D711" s="3" t="s">
        <v>4433</v>
      </c>
      <c r="E711" s="3" t="s">
        <v>4434</v>
      </c>
      <c r="H711" t="s">
        <v>3892</v>
      </c>
      <c r="I711" t="s">
        <v>4435</v>
      </c>
      <c r="J711" s="9" t="s">
        <v>3889</v>
      </c>
      <c r="K711" s="9">
        <v>1</v>
      </c>
      <c r="L711" s="9">
        <v>3</v>
      </c>
      <c r="M711" s="9" t="s">
        <v>8707</v>
      </c>
      <c r="N711" s="9" t="s">
        <v>8690</v>
      </c>
      <c r="R711" s="9">
        <v>991</v>
      </c>
      <c r="T711" s="9" t="str">
        <f t="shared" ca="1" si="30"/>
        <v/>
      </c>
      <c r="U711" s="9" t="str">
        <f t="shared" ca="1" si="31"/>
        <v/>
      </c>
    </row>
    <row r="712" spans="1:28" ht="43.5">
      <c r="A712" s="3" t="s">
        <v>362</v>
      </c>
      <c r="D712" s="3" t="s">
        <v>9667</v>
      </c>
      <c r="E712" s="3" t="s">
        <v>8935</v>
      </c>
      <c r="F712" t="s">
        <v>8675</v>
      </c>
      <c r="J712" s="9" t="s">
        <v>3896</v>
      </c>
      <c r="K712" s="9">
        <v>1</v>
      </c>
      <c r="L712" s="9">
        <v>2</v>
      </c>
      <c r="M712" s="9" t="s">
        <v>8705</v>
      </c>
      <c r="N712" s="9" t="s">
        <v>8730</v>
      </c>
      <c r="Q712" s="9" t="s">
        <v>8685</v>
      </c>
      <c r="R712" s="9">
        <v>615</v>
      </c>
      <c r="T712" s="9" t="str">
        <f t="shared" ref="T712" ca="1" si="32">IF(ISNUMBER(S712),VALUE(MID(_xlfn.FORMULATEXT(S712),SEARCH("-",_xlfn.FORMULATEXT(S712))+1,LEN(_xlfn.FORMULATEXT(S712))-SEARCH("-",_xlfn.FORMULATEXT(S712)))), "")</f>
        <v/>
      </c>
      <c r="U712" s="9" t="str">
        <f t="shared" ref="U712" ca="1" si="33">IF(ISNUMBER(S712), VALUE(MID(_xlfn.FORMULATEXT(S712), 2, SEARCH("-", _xlfn.FORMULATEXT(S712)) - 2)), "")</f>
        <v/>
      </c>
    </row>
    <row r="713" spans="1:28" ht="43.5">
      <c r="A713" s="3" t="s">
        <v>362</v>
      </c>
      <c r="D713" s="3" t="s">
        <v>8934</v>
      </c>
      <c r="E713" s="3" t="s">
        <v>8935</v>
      </c>
      <c r="F713" t="s">
        <v>8675</v>
      </c>
      <c r="J713" s="9" t="s">
        <v>3889</v>
      </c>
      <c r="K713" s="9">
        <v>1</v>
      </c>
      <c r="L713" s="9">
        <v>2</v>
      </c>
      <c r="M713" s="9" t="s">
        <v>8705</v>
      </c>
      <c r="N713" s="9" t="s">
        <v>8730</v>
      </c>
      <c r="Q713" s="9" t="s">
        <v>8685</v>
      </c>
      <c r="R713" s="9">
        <v>615</v>
      </c>
      <c r="T713" s="9" t="str">
        <f t="shared" ca="1" si="30"/>
        <v/>
      </c>
      <c r="U713" s="9" t="str">
        <f t="shared" ca="1" si="31"/>
        <v/>
      </c>
    </row>
    <row r="714" spans="1:28" ht="43.5">
      <c r="A714" s="3" t="s">
        <v>362</v>
      </c>
      <c r="D714" s="3" t="s">
        <v>4436</v>
      </c>
      <c r="E714" s="3" t="s">
        <v>4437</v>
      </c>
      <c r="F714" t="s">
        <v>8675</v>
      </c>
      <c r="J714" s="9" t="s">
        <v>3889</v>
      </c>
      <c r="K714" s="9">
        <v>1</v>
      </c>
      <c r="L714" s="9">
        <v>1</v>
      </c>
      <c r="M714" s="9" t="s">
        <v>8689</v>
      </c>
      <c r="N714" s="9" t="s">
        <v>8730</v>
      </c>
      <c r="R714" s="9">
        <v>10929</v>
      </c>
      <c r="T714" s="9" t="str">
        <f t="shared" ca="1" si="30"/>
        <v/>
      </c>
      <c r="U714" s="9" t="str">
        <f t="shared" ca="1" si="31"/>
        <v/>
      </c>
    </row>
    <row r="715" spans="1:28" ht="43.5">
      <c r="A715" s="3" t="s">
        <v>362</v>
      </c>
      <c r="D715" s="3" t="s">
        <v>4438</v>
      </c>
      <c r="E715" s="3" t="s">
        <v>4439</v>
      </c>
      <c r="F715" t="s">
        <v>8675</v>
      </c>
      <c r="I715" t="s">
        <v>8805</v>
      </c>
      <c r="J715" s="9" t="s">
        <v>3894</v>
      </c>
      <c r="T715" s="9" t="str">
        <f t="shared" ca="1" si="30"/>
        <v/>
      </c>
      <c r="U715" s="9" t="str">
        <f t="shared" ca="1" si="31"/>
        <v/>
      </c>
    </row>
    <row r="716" spans="1:28">
      <c r="A716" s="3" t="s">
        <v>362</v>
      </c>
      <c r="D716" s="3" t="s">
        <v>3151</v>
      </c>
      <c r="E716" s="3" t="s">
        <v>2550</v>
      </c>
      <c r="H716" t="s">
        <v>3884</v>
      </c>
      <c r="J716" s="9" t="s">
        <v>8729</v>
      </c>
      <c r="Q716" s="9" t="s">
        <v>8685</v>
      </c>
      <c r="S716" s="9" t="s">
        <v>8730</v>
      </c>
      <c r="T716" s="9" t="str">
        <f t="shared" ca="1" si="30"/>
        <v/>
      </c>
      <c r="U716" s="9" t="str">
        <f t="shared" ca="1" si="31"/>
        <v/>
      </c>
      <c r="AB716" s="9" t="s">
        <v>8688</v>
      </c>
    </row>
    <row r="717" spans="1:28" ht="29">
      <c r="A717" s="3" t="s">
        <v>363</v>
      </c>
      <c r="D717" s="3" t="s">
        <v>4440</v>
      </c>
      <c r="E717" s="3" t="s">
        <v>4441</v>
      </c>
      <c r="I717" t="s">
        <v>9209</v>
      </c>
      <c r="J717" s="9" t="s">
        <v>3889</v>
      </c>
      <c r="K717" s="9">
        <v>1</v>
      </c>
      <c r="L717" s="9">
        <v>7</v>
      </c>
      <c r="M717" s="9" t="s">
        <v>8703</v>
      </c>
      <c r="N717" s="9" t="s">
        <v>8690</v>
      </c>
      <c r="R717" s="9">
        <v>99</v>
      </c>
      <c r="T717" s="9" t="str">
        <f t="shared" ca="1" si="30"/>
        <v/>
      </c>
      <c r="U717" s="9" t="str">
        <f t="shared" ca="1" si="31"/>
        <v/>
      </c>
      <c r="V717" s="9" t="s">
        <v>8728</v>
      </c>
    </row>
    <row r="718" spans="1:28">
      <c r="A718" s="3" t="s">
        <v>363</v>
      </c>
      <c r="D718" s="3" t="s">
        <v>9210</v>
      </c>
      <c r="E718" s="3" t="s">
        <v>9211</v>
      </c>
      <c r="H718" t="s">
        <v>3884</v>
      </c>
      <c r="J718" s="9" t="s">
        <v>8729</v>
      </c>
      <c r="S718" s="9">
        <f>9418-231</f>
        <v>9187</v>
      </c>
      <c r="T718" s="9">
        <f t="shared" ca="1" si="30"/>
        <v>231</v>
      </c>
      <c r="U718" s="9">
        <f t="shared" ca="1" si="31"/>
        <v>9418</v>
      </c>
    </row>
    <row r="719" spans="1:28" ht="29">
      <c r="A719" s="3" t="s">
        <v>364</v>
      </c>
      <c r="D719" s="3" t="s">
        <v>4442</v>
      </c>
      <c r="E719" s="3" t="s">
        <v>4442</v>
      </c>
      <c r="F719" t="s">
        <v>3932</v>
      </c>
      <c r="I719" t="s">
        <v>4443</v>
      </c>
      <c r="T719" s="9" t="str">
        <f t="shared" ca="1" si="30"/>
        <v/>
      </c>
      <c r="U719" s="9" t="str">
        <f t="shared" ca="1" si="31"/>
        <v/>
      </c>
    </row>
    <row r="720" spans="1:28">
      <c r="A720" s="3" t="s">
        <v>364</v>
      </c>
      <c r="D720" s="3" t="s">
        <v>4444</v>
      </c>
      <c r="E720" s="3" t="s">
        <v>4445</v>
      </c>
      <c r="H720" t="s">
        <v>3884</v>
      </c>
      <c r="J720" s="9" t="s">
        <v>3889</v>
      </c>
      <c r="K720" s="9">
        <v>1</v>
      </c>
      <c r="L720" s="9">
        <v>3</v>
      </c>
      <c r="M720" s="9" t="s">
        <v>8689</v>
      </c>
      <c r="N720" s="9" t="s">
        <v>8690</v>
      </c>
      <c r="R720" s="9">
        <v>10929</v>
      </c>
      <c r="T720" s="9" t="str">
        <f t="shared" ca="1" si="30"/>
        <v/>
      </c>
      <c r="U720" s="9" t="str">
        <f t="shared" ca="1" si="31"/>
        <v/>
      </c>
    </row>
    <row r="721" spans="1:28">
      <c r="A721" s="3" t="s">
        <v>365</v>
      </c>
      <c r="D721" s="3" t="s">
        <v>4446</v>
      </c>
      <c r="E721" s="3" t="s">
        <v>2551</v>
      </c>
      <c r="H721" t="s">
        <v>3884</v>
      </c>
      <c r="J721" s="9" t="s">
        <v>8731</v>
      </c>
      <c r="T721" s="9" t="str">
        <f t="shared" ca="1" si="30"/>
        <v/>
      </c>
      <c r="U721" s="9" t="str">
        <f t="shared" ca="1" si="31"/>
        <v/>
      </c>
      <c r="AB721" s="9" t="s">
        <v>8688</v>
      </c>
    </row>
    <row r="722" spans="1:28">
      <c r="A722" s="3" t="s">
        <v>365</v>
      </c>
      <c r="D722" s="3" t="s">
        <v>4447</v>
      </c>
      <c r="E722" s="3" t="s">
        <v>4447</v>
      </c>
      <c r="F722" t="s">
        <v>3932</v>
      </c>
      <c r="I722" t="s">
        <v>4448</v>
      </c>
      <c r="T722" s="9" t="str">
        <f t="shared" ca="1" si="30"/>
        <v/>
      </c>
      <c r="U722" s="9" t="str">
        <f t="shared" ca="1" si="31"/>
        <v/>
      </c>
    </row>
    <row r="723" spans="1:28">
      <c r="A723" s="3" t="s">
        <v>365</v>
      </c>
      <c r="D723" s="3" t="s">
        <v>4449</v>
      </c>
      <c r="E723" s="3" t="s">
        <v>4450</v>
      </c>
      <c r="J723" s="9" t="s">
        <v>3889</v>
      </c>
      <c r="K723" s="9">
        <v>1</v>
      </c>
      <c r="L723" s="9">
        <v>2</v>
      </c>
      <c r="M723" s="9" t="s">
        <v>8689</v>
      </c>
      <c r="N723" s="9" t="s">
        <v>8730</v>
      </c>
      <c r="R723" s="9">
        <v>10929</v>
      </c>
      <c r="T723" s="9" t="str">
        <f t="shared" ca="1" si="30"/>
        <v/>
      </c>
      <c r="U723" s="9" t="str">
        <f t="shared" ca="1" si="31"/>
        <v/>
      </c>
    </row>
    <row r="724" spans="1:28">
      <c r="A724" s="3" t="s">
        <v>365</v>
      </c>
      <c r="D724" s="3" t="s">
        <v>8936</v>
      </c>
      <c r="E724" s="3" t="s">
        <v>8937</v>
      </c>
      <c r="H724" t="s">
        <v>3884</v>
      </c>
      <c r="J724" s="9" t="s">
        <v>3885</v>
      </c>
      <c r="K724" s="9">
        <v>1</v>
      </c>
      <c r="L724" s="9">
        <v>3</v>
      </c>
      <c r="M724" s="9" t="s">
        <v>8698</v>
      </c>
      <c r="N724" s="9" t="s">
        <v>8690</v>
      </c>
      <c r="R724" s="9">
        <v>9418</v>
      </c>
      <c r="T724" s="9" t="str">
        <f t="shared" ca="1" si="30"/>
        <v/>
      </c>
      <c r="U724" s="9" t="str">
        <f t="shared" ca="1" si="31"/>
        <v/>
      </c>
    </row>
    <row r="725" spans="1:28">
      <c r="A725" s="3" t="s">
        <v>365</v>
      </c>
      <c r="D725" s="3" t="s">
        <v>2501</v>
      </c>
      <c r="E725" s="3" t="s">
        <v>2552</v>
      </c>
      <c r="J725" s="9" t="s">
        <v>8731</v>
      </c>
      <c r="T725" s="9" t="str">
        <f t="shared" ca="1" si="30"/>
        <v/>
      </c>
      <c r="U725" s="9" t="str">
        <f t="shared" ca="1" si="31"/>
        <v/>
      </c>
      <c r="AB725" s="9" t="s">
        <v>8688</v>
      </c>
    </row>
    <row r="726" spans="1:28">
      <c r="A726" s="3" t="s">
        <v>366</v>
      </c>
      <c r="D726" s="3" t="s">
        <v>4451</v>
      </c>
      <c r="E726" s="3" t="s">
        <v>4452</v>
      </c>
      <c r="F726" t="s">
        <v>3932</v>
      </c>
      <c r="I726" t="s">
        <v>4453</v>
      </c>
      <c r="T726" s="9" t="str">
        <f t="shared" ca="1" si="30"/>
        <v/>
      </c>
      <c r="U726" s="9" t="str">
        <f t="shared" ca="1" si="31"/>
        <v/>
      </c>
    </row>
    <row r="727" spans="1:28">
      <c r="A727" s="3" t="s">
        <v>367</v>
      </c>
      <c r="D727" s="3" t="s">
        <v>2553</v>
      </c>
      <c r="E727" s="3" t="s">
        <v>2553</v>
      </c>
      <c r="F727" t="s">
        <v>3932</v>
      </c>
      <c r="I727" t="s">
        <v>4454</v>
      </c>
      <c r="T727" s="9" t="str">
        <f t="shared" ca="1" si="30"/>
        <v/>
      </c>
      <c r="U727" s="9" t="str">
        <f t="shared" ca="1" si="31"/>
        <v/>
      </c>
    </row>
    <row r="728" spans="1:28" ht="29">
      <c r="A728" s="3" t="s">
        <v>367</v>
      </c>
      <c r="D728" s="3" t="s">
        <v>4456</v>
      </c>
      <c r="E728" s="3" t="s">
        <v>4455</v>
      </c>
      <c r="H728" t="s">
        <v>3892</v>
      </c>
      <c r="I728" t="s">
        <v>9682</v>
      </c>
      <c r="J728" s="9" t="s">
        <v>3885</v>
      </c>
      <c r="K728" s="9">
        <v>2</v>
      </c>
      <c r="L728" s="9">
        <v>9</v>
      </c>
      <c r="N728" s="9" t="s">
        <v>8684</v>
      </c>
      <c r="O728" s="9" t="s">
        <v>8812</v>
      </c>
      <c r="P728" s="10" t="s">
        <v>8838</v>
      </c>
      <c r="R728" s="9">
        <v>9</v>
      </c>
      <c r="T728" s="9" t="str">
        <f t="shared" ca="1" si="30"/>
        <v/>
      </c>
      <c r="U728" s="9" t="str">
        <f t="shared" ca="1" si="31"/>
        <v/>
      </c>
      <c r="AB728" s="9" t="s">
        <v>8694</v>
      </c>
    </row>
    <row r="729" spans="1:28">
      <c r="A729" s="3" t="s">
        <v>368</v>
      </c>
      <c r="D729" s="3" t="s">
        <v>2630</v>
      </c>
      <c r="E729" s="3" t="s">
        <v>2554</v>
      </c>
      <c r="H729" t="s">
        <v>3884</v>
      </c>
      <c r="J729" s="9" t="s">
        <v>8731</v>
      </c>
      <c r="S729" s="9">
        <f>6-33</f>
        <v>-27</v>
      </c>
      <c r="T729" s="9">
        <f t="shared" ca="1" si="30"/>
        <v>33</v>
      </c>
      <c r="U729" s="9">
        <f t="shared" ca="1" si="31"/>
        <v>6</v>
      </c>
    </row>
    <row r="730" spans="1:28">
      <c r="A730" s="3" t="s">
        <v>369</v>
      </c>
      <c r="D730" s="3" t="s">
        <v>4457</v>
      </c>
      <c r="E730" s="4" t="s">
        <v>4458</v>
      </c>
      <c r="F730" t="s">
        <v>3897</v>
      </c>
      <c r="T730" s="9" t="str">
        <f t="shared" ca="1" si="30"/>
        <v/>
      </c>
      <c r="U730" s="9" t="str">
        <f t="shared" ca="1" si="31"/>
        <v/>
      </c>
    </row>
    <row r="731" spans="1:28" ht="29">
      <c r="A731" s="3" t="s">
        <v>370</v>
      </c>
      <c r="D731" s="3" t="s">
        <v>9212</v>
      </c>
      <c r="E731" s="3" t="s">
        <v>4459</v>
      </c>
      <c r="H731" t="s">
        <v>3884</v>
      </c>
      <c r="J731" s="9" t="s">
        <v>3889</v>
      </c>
      <c r="K731" s="9">
        <v>2</v>
      </c>
      <c r="L731" s="9">
        <v>11</v>
      </c>
      <c r="N731" s="9" t="s">
        <v>8690</v>
      </c>
      <c r="R731" s="9">
        <v>152</v>
      </c>
      <c r="T731" s="9" t="str">
        <f t="shared" ca="1" si="30"/>
        <v/>
      </c>
      <c r="U731" s="9" t="str">
        <f t="shared" ca="1" si="31"/>
        <v/>
      </c>
    </row>
    <row r="732" spans="1:28">
      <c r="A732" s="3" t="s">
        <v>370</v>
      </c>
      <c r="D732" s="3" t="s">
        <v>4460</v>
      </c>
      <c r="E732" s="3" t="s">
        <v>4461</v>
      </c>
      <c r="J732" s="9" t="s">
        <v>3885</v>
      </c>
      <c r="K732" s="9">
        <v>1</v>
      </c>
      <c r="L732" s="9">
        <v>2</v>
      </c>
      <c r="M732" s="9" t="s">
        <v>8689</v>
      </c>
      <c r="N732" s="9" t="s">
        <v>8730</v>
      </c>
      <c r="R732" s="9">
        <v>10929</v>
      </c>
      <c r="T732" s="9" t="str">
        <f t="shared" ca="1" si="30"/>
        <v/>
      </c>
      <c r="U732" s="9" t="str">
        <f t="shared" ca="1" si="31"/>
        <v/>
      </c>
    </row>
    <row r="733" spans="1:28">
      <c r="A733" s="3" t="s">
        <v>371</v>
      </c>
      <c r="D733" s="4" t="s">
        <v>2555</v>
      </c>
      <c r="E733" s="3" t="s">
        <v>2556</v>
      </c>
      <c r="F733" t="s">
        <v>3883</v>
      </c>
      <c r="T733" s="9" t="str">
        <f t="shared" ca="1" si="30"/>
        <v/>
      </c>
      <c r="U733" s="9" t="str">
        <f t="shared" ca="1" si="31"/>
        <v/>
      </c>
    </row>
    <row r="734" spans="1:28">
      <c r="A734" s="3" t="s">
        <v>372</v>
      </c>
      <c r="D734" s="3" t="s">
        <v>4462</v>
      </c>
      <c r="E734" s="3" t="s">
        <v>4463</v>
      </c>
      <c r="H734" t="s">
        <v>3892</v>
      </c>
      <c r="I734" t="s">
        <v>4464</v>
      </c>
      <c r="J734" s="9" t="s">
        <v>8729</v>
      </c>
      <c r="S734" s="9" t="s">
        <v>8739</v>
      </c>
      <c r="T734" s="9" t="str">
        <f t="shared" ca="1" si="30"/>
        <v/>
      </c>
      <c r="U734" s="9" t="str">
        <f t="shared" ca="1" si="31"/>
        <v/>
      </c>
      <c r="Y734" s="9" t="s">
        <v>8735</v>
      </c>
      <c r="AA734" s="9" t="s">
        <v>3884</v>
      </c>
    </row>
    <row r="735" spans="1:28">
      <c r="A735" s="3" t="s">
        <v>372</v>
      </c>
      <c r="D735" s="3" t="s">
        <v>2558</v>
      </c>
      <c r="E735" s="3" t="s">
        <v>2557</v>
      </c>
      <c r="H735" t="s">
        <v>3892</v>
      </c>
      <c r="I735" t="s">
        <v>4464</v>
      </c>
      <c r="J735" s="9" t="s">
        <v>8729</v>
      </c>
      <c r="S735" s="9" t="s">
        <v>8739</v>
      </c>
      <c r="T735" s="9" t="str">
        <f t="shared" ca="1" si="30"/>
        <v/>
      </c>
      <c r="U735" s="9" t="str">
        <f t="shared" ca="1" si="31"/>
        <v/>
      </c>
      <c r="Y735" s="9" t="s">
        <v>8735</v>
      </c>
      <c r="AA735" s="9" t="s">
        <v>3884</v>
      </c>
    </row>
    <row r="736" spans="1:28">
      <c r="A736" s="3" t="s">
        <v>372</v>
      </c>
      <c r="D736" s="3" t="s">
        <v>8938</v>
      </c>
      <c r="E736" s="3" t="s">
        <v>8939</v>
      </c>
      <c r="H736" t="s">
        <v>3884</v>
      </c>
      <c r="J736" s="9" t="s">
        <v>3885</v>
      </c>
      <c r="K736" s="9">
        <v>1</v>
      </c>
      <c r="L736" s="9">
        <v>1</v>
      </c>
      <c r="M736" s="9" t="s">
        <v>8705</v>
      </c>
      <c r="N736" s="9" t="s">
        <v>8730</v>
      </c>
      <c r="R736" s="9">
        <v>615</v>
      </c>
      <c r="T736" s="9" t="str">
        <f t="shared" ca="1" si="30"/>
        <v/>
      </c>
      <c r="U736" s="9" t="str">
        <f t="shared" ca="1" si="31"/>
        <v/>
      </c>
    </row>
    <row r="737" spans="1:28">
      <c r="A737" s="3" t="s">
        <v>373</v>
      </c>
      <c r="D737" s="3" t="s">
        <v>2558</v>
      </c>
      <c r="E737" s="3" t="s">
        <v>2557</v>
      </c>
      <c r="H737" t="s">
        <v>3892</v>
      </c>
      <c r="I737" t="s">
        <v>4464</v>
      </c>
      <c r="J737" s="9" t="s">
        <v>8729</v>
      </c>
      <c r="S737" s="9" t="s">
        <v>8739</v>
      </c>
      <c r="T737" s="9" t="str">
        <f t="shared" ca="1" si="30"/>
        <v/>
      </c>
      <c r="U737" s="9" t="str">
        <f t="shared" ca="1" si="31"/>
        <v/>
      </c>
      <c r="Y737" s="9" t="s">
        <v>8735</v>
      </c>
      <c r="AA737" s="9" t="s">
        <v>3884</v>
      </c>
    </row>
    <row r="738" spans="1:28">
      <c r="A738" s="3" t="s">
        <v>374</v>
      </c>
      <c r="D738" s="3" t="s">
        <v>8940</v>
      </c>
      <c r="E738" s="3" t="s">
        <v>9455</v>
      </c>
      <c r="F738" t="s">
        <v>3893</v>
      </c>
      <c r="H738" t="s">
        <v>3884</v>
      </c>
      <c r="T738" s="9" t="str">
        <f t="shared" ca="1" si="30"/>
        <v/>
      </c>
      <c r="U738" s="9" t="str">
        <f t="shared" ca="1" si="31"/>
        <v/>
      </c>
    </row>
    <row r="739" spans="1:28">
      <c r="A739" s="3" t="s">
        <v>374</v>
      </c>
      <c r="D739" s="3" t="s">
        <v>9456</v>
      </c>
      <c r="E739" s="3" t="s">
        <v>9454</v>
      </c>
      <c r="J739" s="9" t="s">
        <v>3889</v>
      </c>
      <c r="K739" s="9">
        <v>1</v>
      </c>
      <c r="L739" s="9">
        <v>2</v>
      </c>
      <c r="M739" s="9" t="s">
        <v>8698</v>
      </c>
      <c r="N739" s="9" t="s">
        <v>8730</v>
      </c>
      <c r="Q739" s="9" t="s">
        <v>8685</v>
      </c>
      <c r="R739" s="9">
        <v>159</v>
      </c>
      <c r="T739" s="9" t="str">
        <f t="shared" ca="1" si="30"/>
        <v/>
      </c>
      <c r="U739" s="9" t="str">
        <f t="shared" ca="1" si="31"/>
        <v/>
      </c>
    </row>
    <row r="740" spans="1:28">
      <c r="A740" s="3" t="s">
        <v>375</v>
      </c>
      <c r="D740" s="3" t="s">
        <v>9213</v>
      </c>
      <c r="E740" s="3" t="s">
        <v>9214</v>
      </c>
      <c r="J740" s="9" t="s">
        <v>8732</v>
      </c>
      <c r="S740" s="9">
        <f>653-7</f>
        <v>646</v>
      </c>
      <c r="T740" s="9">
        <f t="shared" ca="1" si="30"/>
        <v>7</v>
      </c>
      <c r="U740" s="9">
        <f t="shared" ca="1" si="31"/>
        <v>653</v>
      </c>
      <c r="AB740" s="9" t="s">
        <v>8694</v>
      </c>
    </row>
    <row r="741" spans="1:28">
      <c r="A741" s="3" t="s">
        <v>375</v>
      </c>
      <c r="D741" s="4" t="s">
        <v>4465</v>
      </c>
      <c r="E741" s="3" t="s">
        <v>4466</v>
      </c>
      <c r="F741" t="s">
        <v>3883</v>
      </c>
      <c r="T741" s="9" t="str">
        <f t="shared" ca="1" si="30"/>
        <v/>
      </c>
      <c r="U741" s="9" t="str">
        <f t="shared" ca="1" si="31"/>
        <v/>
      </c>
    </row>
    <row r="742" spans="1:28">
      <c r="A742" s="3" t="s">
        <v>375</v>
      </c>
      <c r="D742" s="3" t="s">
        <v>2411</v>
      </c>
      <c r="E742" s="3" t="s">
        <v>2410</v>
      </c>
      <c r="H742" t="s">
        <v>3884</v>
      </c>
      <c r="J742" s="9" t="s">
        <v>8731</v>
      </c>
      <c r="T742" s="9" t="str">
        <f t="shared" ca="1" si="30"/>
        <v/>
      </c>
      <c r="U742" s="9" t="str">
        <f t="shared" ca="1" si="31"/>
        <v/>
      </c>
    </row>
    <row r="743" spans="1:28">
      <c r="A743" s="3" t="s">
        <v>376</v>
      </c>
      <c r="D743" s="3" t="s">
        <v>2514</v>
      </c>
      <c r="E743" s="3" t="s">
        <v>2350</v>
      </c>
      <c r="J743" s="9" t="s">
        <v>8729</v>
      </c>
      <c r="S743" s="9" t="s">
        <v>8739</v>
      </c>
      <c r="T743" s="9" t="str">
        <f t="shared" ca="1" si="30"/>
        <v/>
      </c>
      <c r="U743" s="9" t="str">
        <f t="shared" ca="1" si="31"/>
        <v/>
      </c>
      <c r="AB743" s="9" t="s">
        <v>8697</v>
      </c>
    </row>
    <row r="744" spans="1:28">
      <c r="A744" s="3" t="s">
        <v>376</v>
      </c>
      <c r="D744" s="3" t="s">
        <v>4467</v>
      </c>
      <c r="E744" s="3" t="s">
        <v>4467</v>
      </c>
      <c r="F744" t="s">
        <v>3932</v>
      </c>
      <c r="I744" t="s">
        <v>4468</v>
      </c>
      <c r="T744" s="9" t="str">
        <f t="shared" ca="1" si="30"/>
        <v/>
      </c>
      <c r="U744" s="9" t="str">
        <f t="shared" ca="1" si="31"/>
        <v/>
      </c>
    </row>
    <row r="745" spans="1:28">
      <c r="A745" s="3" t="s">
        <v>377</v>
      </c>
      <c r="D745" s="3" t="s">
        <v>2558</v>
      </c>
      <c r="E745" s="3" t="s">
        <v>2557</v>
      </c>
      <c r="H745" t="s">
        <v>3892</v>
      </c>
      <c r="I745" t="s">
        <v>4464</v>
      </c>
      <c r="J745" s="9" t="s">
        <v>8729</v>
      </c>
      <c r="S745" s="9" t="s">
        <v>8739</v>
      </c>
      <c r="T745" s="9" t="str">
        <f t="shared" ca="1" si="30"/>
        <v/>
      </c>
      <c r="U745" s="9" t="str">
        <f t="shared" ca="1" si="31"/>
        <v/>
      </c>
      <c r="Y745" s="9" t="s">
        <v>8735</v>
      </c>
      <c r="AA745" s="9" t="s">
        <v>3884</v>
      </c>
    </row>
    <row r="746" spans="1:28">
      <c r="A746" s="3" t="s">
        <v>378</v>
      </c>
      <c r="D746" s="3" t="s">
        <v>4471</v>
      </c>
      <c r="E746" s="4" t="s">
        <v>4470</v>
      </c>
      <c r="F746" t="s">
        <v>3897</v>
      </c>
      <c r="P746" s="9"/>
      <c r="T746" s="9" t="str">
        <f t="shared" ca="1" si="30"/>
        <v/>
      </c>
      <c r="U746" s="9" t="str">
        <f t="shared" ca="1" si="31"/>
        <v/>
      </c>
    </row>
    <row r="747" spans="1:28">
      <c r="A747" s="3" t="s">
        <v>378</v>
      </c>
      <c r="D747" s="3" t="s">
        <v>4469</v>
      </c>
      <c r="E747" s="3" t="s">
        <v>4472</v>
      </c>
      <c r="H747" t="s">
        <v>3884</v>
      </c>
      <c r="J747" s="9" t="s">
        <v>3885</v>
      </c>
      <c r="K747" s="9">
        <v>1</v>
      </c>
      <c r="L747" s="9">
        <v>2</v>
      </c>
      <c r="M747" s="9" t="s">
        <v>8689</v>
      </c>
      <c r="N747" s="9" t="s">
        <v>8730</v>
      </c>
      <c r="R747" s="9">
        <v>10929</v>
      </c>
      <c r="T747" s="9" t="str">
        <f t="shared" ca="1" si="30"/>
        <v/>
      </c>
      <c r="U747" s="9" t="str">
        <f t="shared" ca="1" si="31"/>
        <v/>
      </c>
    </row>
    <row r="748" spans="1:28">
      <c r="A748" s="3" t="s">
        <v>378</v>
      </c>
      <c r="D748" s="3" t="s">
        <v>2265</v>
      </c>
      <c r="E748" s="3" t="s">
        <v>2266</v>
      </c>
      <c r="J748" s="9" t="s">
        <v>8731</v>
      </c>
      <c r="T748" s="9" t="str">
        <f t="shared" ca="1" si="30"/>
        <v/>
      </c>
      <c r="U748" s="9" t="str">
        <f t="shared" ca="1" si="31"/>
        <v/>
      </c>
      <c r="Z748" s="9" t="s">
        <v>9279</v>
      </c>
      <c r="AA748" s="9" t="s">
        <v>3884</v>
      </c>
    </row>
    <row r="749" spans="1:28">
      <c r="A749" s="3" t="s">
        <v>379</v>
      </c>
      <c r="D749" s="3" t="s">
        <v>2159</v>
      </c>
      <c r="E749" s="3" t="s">
        <v>2159</v>
      </c>
      <c r="F749" t="s">
        <v>3932</v>
      </c>
      <c r="I749" t="s">
        <v>2175</v>
      </c>
      <c r="T749" s="9" t="str">
        <f t="shared" ca="1" si="30"/>
        <v/>
      </c>
      <c r="U749" s="9" t="str">
        <f t="shared" ca="1" si="31"/>
        <v/>
      </c>
    </row>
    <row r="750" spans="1:28">
      <c r="A750" s="3" t="s">
        <v>379</v>
      </c>
      <c r="D750" s="3" t="s">
        <v>9457</v>
      </c>
      <c r="E750" s="3" t="s">
        <v>9458</v>
      </c>
      <c r="J750" s="9" t="s">
        <v>8729</v>
      </c>
      <c r="S750" s="9" t="s">
        <v>8730</v>
      </c>
      <c r="T750" s="9" t="str">
        <f t="shared" ca="1" si="30"/>
        <v/>
      </c>
      <c r="U750" s="9" t="str">
        <f t="shared" ca="1" si="31"/>
        <v/>
      </c>
      <c r="Z750" s="9" t="s">
        <v>8742</v>
      </c>
      <c r="AA750" s="9" t="s">
        <v>3884</v>
      </c>
      <c r="AB750" s="9" t="s">
        <v>8697</v>
      </c>
    </row>
    <row r="751" spans="1:28">
      <c r="A751" s="3" t="s">
        <v>379</v>
      </c>
      <c r="D751" s="3" t="s">
        <v>2503</v>
      </c>
      <c r="E751" s="3" t="s">
        <v>2559</v>
      </c>
      <c r="H751" t="s">
        <v>3884</v>
      </c>
      <c r="J751" s="9" t="s">
        <v>8729</v>
      </c>
      <c r="S751" s="9" t="s">
        <v>8739</v>
      </c>
      <c r="T751" s="9" t="str">
        <f t="shared" ca="1" si="30"/>
        <v/>
      </c>
      <c r="U751" s="9" t="str">
        <f t="shared" ca="1" si="31"/>
        <v/>
      </c>
      <c r="Z751" s="9" t="s">
        <v>8832</v>
      </c>
      <c r="AA751" s="9" t="s">
        <v>3884</v>
      </c>
      <c r="AB751" s="9" t="s">
        <v>8688</v>
      </c>
    </row>
    <row r="752" spans="1:28">
      <c r="A752" s="3" t="s">
        <v>380</v>
      </c>
      <c r="D752" s="3" t="s">
        <v>4473</v>
      </c>
      <c r="E752" s="3" t="s">
        <v>4474</v>
      </c>
      <c r="H752" t="s">
        <v>3884</v>
      </c>
      <c r="J752" s="9" t="s">
        <v>3885</v>
      </c>
      <c r="K752" s="9">
        <v>1</v>
      </c>
      <c r="L752" s="9">
        <v>3</v>
      </c>
      <c r="M752" s="9" t="s">
        <v>8734</v>
      </c>
      <c r="N752" s="9" t="s">
        <v>8684</v>
      </c>
      <c r="O752" s="9" t="s">
        <v>8771</v>
      </c>
      <c r="P752" s="10" t="s">
        <v>8778</v>
      </c>
      <c r="Q752" s="9" t="s">
        <v>8685</v>
      </c>
      <c r="R752" s="9" t="s">
        <v>8730</v>
      </c>
      <c r="T752" s="9" t="str">
        <f t="shared" ca="1" si="30"/>
        <v/>
      </c>
      <c r="U752" s="9" t="str">
        <f t="shared" ca="1" si="31"/>
        <v/>
      </c>
      <c r="AB752" s="9" t="s">
        <v>8688</v>
      </c>
    </row>
    <row r="753" spans="1:28">
      <c r="A753" s="3" t="s">
        <v>381</v>
      </c>
      <c r="D753" s="3" t="s">
        <v>3879</v>
      </c>
      <c r="E753" s="3" t="s">
        <v>2560</v>
      </c>
      <c r="H753" t="s">
        <v>3884</v>
      </c>
      <c r="J753" s="9" t="s">
        <v>8729</v>
      </c>
      <c r="S753" s="9" t="s">
        <v>8730</v>
      </c>
      <c r="T753" s="9" t="str">
        <f t="shared" ca="1" si="30"/>
        <v/>
      </c>
      <c r="U753" s="9" t="str">
        <f t="shared" ca="1" si="31"/>
        <v/>
      </c>
      <c r="AB753" s="9" t="s">
        <v>8688</v>
      </c>
    </row>
    <row r="754" spans="1:28">
      <c r="A754" s="3" t="s">
        <v>381</v>
      </c>
      <c r="D754" s="3" t="s">
        <v>4475</v>
      </c>
      <c r="E754" s="3" t="s">
        <v>2398</v>
      </c>
      <c r="H754" t="s">
        <v>3884</v>
      </c>
      <c r="J754" s="9" t="s">
        <v>8729</v>
      </c>
      <c r="S754" s="9">
        <f>6-1</f>
        <v>5</v>
      </c>
      <c r="T754" s="9">
        <f t="shared" ca="1" si="30"/>
        <v>1</v>
      </c>
      <c r="U754" s="9">
        <f t="shared" ca="1" si="31"/>
        <v>6</v>
      </c>
    </row>
    <row r="755" spans="1:28">
      <c r="A755" s="3" t="s">
        <v>381</v>
      </c>
      <c r="D755" s="3" t="s">
        <v>2561</v>
      </c>
      <c r="E755" s="3" t="s">
        <v>2562</v>
      </c>
      <c r="J755" s="9" t="s">
        <v>8731</v>
      </c>
      <c r="T755" s="9" t="str">
        <f t="shared" ca="1" si="30"/>
        <v/>
      </c>
      <c r="U755" s="9" t="str">
        <f t="shared" ca="1" si="31"/>
        <v/>
      </c>
      <c r="Z755" s="9" t="s">
        <v>9280</v>
      </c>
      <c r="AA755" s="9" t="s">
        <v>3884</v>
      </c>
    </row>
    <row r="756" spans="1:28">
      <c r="A756" s="3" t="s">
        <v>382</v>
      </c>
      <c r="D756" s="3" t="s">
        <v>2563</v>
      </c>
      <c r="E756" s="3" t="s">
        <v>2564</v>
      </c>
      <c r="J756" s="9" t="s">
        <v>8729</v>
      </c>
      <c r="S756" s="9" t="s">
        <v>8739</v>
      </c>
      <c r="T756" s="9" t="str">
        <f t="shared" ca="1" si="30"/>
        <v/>
      </c>
      <c r="U756" s="9" t="str">
        <f t="shared" ca="1" si="31"/>
        <v/>
      </c>
      <c r="Z756" s="9" t="s">
        <v>9279</v>
      </c>
      <c r="AA756" s="9" t="s">
        <v>3884</v>
      </c>
      <c r="AB756" s="9" t="s">
        <v>8688</v>
      </c>
    </row>
    <row r="757" spans="1:28">
      <c r="A757" s="3" t="s">
        <v>382</v>
      </c>
      <c r="D757" s="3" t="s">
        <v>2565</v>
      </c>
      <c r="E757" s="3" t="s">
        <v>2565</v>
      </c>
      <c r="F757" t="s">
        <v>3932</v>
      </c>
      <c r="I757" t="s">
        <v>4476</v>
      </c>
      <c r="T757" s="9" t="str">
        <f t="shared" ca="1" si="30"/>
        <v/>
      </c>
      <c r="U757" s="9" t="str">
        <f t="shared" ca="1" si="31"/>
        <v/>
      </c>
    </row>
    <row r="758" spans="1:28">
      <c r="A758" s="3" t="s">
        <v>382</v>
      </c>
      <c r="D758" s="3" t="s">
        <v>2566</v>
      </c>
      <c r="E758" s="3" t="s">
        <v>2567</v>
      </c>
      <c r="J758" s="9" t="s">
        <v>8729</v>
      </c>
      <c r="S758" s="9" t="s">
        <v>8739</v>
      </c>
      <c r="T758" s="9" t="str">
        <f t="shared" ca="1" si="30"/>
        <v/>
      </c>
      <c r="U758" s="9" t="str">
        <f t="shared" ca="1" si="31"/>
        <v/>
      </c>
      <c r="Z758" s="9" t="s">
        <v>9279</v>
      </c>
      <c r="AA758" s="9" t="s">
        <v>3884</v>
      </c>
      <c r="AB758" s="9" t="s">
        <v>8688</v>
      </c>
    </row>
    <row r="759" spans="1:28">
      <c r="A759" s="3" t="s">
        <v>382</v>
      </c>
      <c r="D759" s="3" t="s">
        <v>4477</v>
      </c>
      <c r="E759" s="3" t="s">
        <v>4478</v>
      </c>
      <c r="J759" s="9" t="s">
        <v>8731</v>
      </c>
      <c r="T759" s="9" t="str">
        <f t="shared" ca="1" si="30"/>
        <v/>
      </c>
      <c r="U759" s="9" t="str">
        <f t="shared" ca="1" si="31"/>
        <v/>
      </c>
      <c r="AB759" s="9" t="s">
        <v>8700</v>
      </c>
    </row>
    <row r="760" spans="1:28" ht="29">
      <c r="A760" s="3" t="s">
        <v>383</v>
      </c>
      <c r="D760" s="3" t="s">
        <v>4479</v>
      </c>
      <c r="E760" s="3" t="s">
        <v>4479</v>
      </c>
      <c r="F760" t="s">
        <v>3932</v>
      </c>
      <c r="I760" t="s">
        <v>4480</v>
      </c>
      <c r="T760" s="9" t="str">
        <f t="shared" ca="1" si="30"/>
        <v/>
      </c>
      <c r="U760" s="9" t="str">
        <f t="shared" ca="1" si="31"/>
        <v/>
      </c>
    </row>
    <row r="761" spans="1:28">
      <c r="A761" s="3" t="s">
        <v>384</v>
      </c>
      <c r="D761" s="3" t="s">
        <v>4481</v>
      </c>
      <c r="E761" s="3" t="s">
        <v>4481</v>
      </c>
      <c r="F761" t="s">
        <v>3932</v>
      </c>
      <c r="I761" t="s">
        <v>4482</v>
      </c>
      <c r="T761" s="9" t="str">
        <f t="shared" ca="1" si="30"/>
        <v/>
      </c>
      <c r="U761" s="9" t="str">
        <f t="shared" ca="1" si="31"/>
        <v/>
      </c>
    </row>
    <row r="762" spans="1:28">
      <c r="A762" s="3" t="s">
        <v>385</v>
      </c>
      <c r="D762" s="3" t="s">
        <v>4483</v>
      </c>
      <c r="E762" s="3" t="s">
        <v>4484</v>
      </c>
      <c r="J762" s="9" t="s">
        <v>3889</v>
      </c>
      <c r="K762" s="9">
        <v>1</v>
      </c>
      <c r="L762" s="9">
        <v>2</v>
      </c>
      <c r="M762" s="9" t="s">
        <v>8689</v>
      </c>
      <c r="N762" s="9" t="s">
        <v>8730</v>
      </c>
      <c r="R762" s="9">
        <v>10929</v>
      </c>
      <c r="T762" s="9" t="str">
        <f t="shared" ca="1" si="30"/>
        <v/>
      </c>
      <c r="U762" s="9" t="str">
        <f t="shared" ca="1" si="31"/>
        <v/>
      </c>
    </row>
    <row r="763" spans="1:28">
      <c r="A763" s="3" t="s">
        <v>385</v>
      </c>
      <c r="D763" s="3" t="s">
        <v>2568</v>
      </c>
      <c r="E763" s="3" t="s">
        <v>2568</v>
      </c>
      <c r="F763" t="s">
        <v>3932</v>
      </c>
      <c r="I763" t="s">
        <v>4485</v>
      </c>
      <c r="T763" s="9" t="str">
        <f t="shared" ca="1" si="30"/>
        <v/>
      </c>
      <c r="U763" s="9" t="str">
        <f t="shared" ca="1" si="31"/>
        <v/>
      </c>
    </row>
    <row r="764" spans="1:28">
      <c r="A764" s="3" t="s">
        <v>386</v>
      </c>
      <c r="D764" s="3" t="s">
        <v>4486</v>
      </c>
      <c r="E764" s="3" t="s">
        <v>4487</v>
      </c>
      <c r="I764" t="s">
        <v>9215</v>
      </c>
      <c r="J764" s="9" t="s">
        <v>3885</v>
      </c>
      <c r="K764" s="9">
        <v>1</v>
      </c>
      <c r="L764" s="9">
        <v>2</v>
      </c>
      <c r="M764" s="9" t="s">
        <v>8689</v>
      </c>
      <c r="N764" s="9" t="s">
        <v>8730</v>
      </c>
      <c r="R764" s="9">
        <v>10929</v>
      </c>
      <c r="T764" s="9" t="str">
        <f t="shared" ca="1" si="30"/>
        <v/>
      </c>
      <c r="U764" s="9" t="str">
        <f t="shared" ca="1" si="31"/>
        <v/>
      </c>
      <c r="V764" s="9" t="s">
        <v>8728</v>
      </c>
    </row>
    <row r="765" spans="1:28">
      <c r="A765" s="3" t="s">
        <v>386</v>
      </c>
      <c r="D765" s="3" t="s">
        <v>4488</v>
      </c>
      <c r="E765" s="3" t="s">
        <v>4489</v>
      </c>
      <c r="J765" s="9" t="s">
        <v>8729</v>
      </c>
      <c r="S765" s="9" t="s">
        <v>8730</v>
      </c>
      <c r="T765" s="9" t="str">
        <f t="shared" ca="1" si="30"/>
        <v/>
      </c>
      <c r="U765" s="9" t="str">
        <f t="shared" ca="1" si="31"/>
        <v/>
      </c>
      <c r="Y765" s="9" t="s">
        <v>8735</v>
      </c>
      <c r="Z765" s="9" t="s">
        <v>9280</v>
      </c>
      <c r="AA765" s="9" t="s">
        <v>3884</v>
      </c>
    </row>
    <row r="766" spans="1:28">
      <c r="A766" s="3" t="s">
        <v>386</v>
      </c>
      <c r="D766" s="3" t="s">
        <v>4490</v>
      </c>
      <c r="E766" s="3" t="s">
        <v>4491</v>
      </c>
      <c r="H766" t="s">
        <v>3884</v>
      </c>
      <c r="J766" s="9" t="s">
        <v>3885</v>
      </c>
      <c r="K766" s="9">
        <v>1</v>
      </c>
      <c r="L766" s="9">
        <v>5</v>
      </c>
      <c r="M766" s="9" t="s">
        <v>8703</v>
      </c>
      <c r="N766" s="9" t="s">
        <v>8684</v>
      </c>
      <c r="O766" s="9" t="s">
        <v>8777</v>
      </c>
      <c r="P766" s="10" t="s">
        <v>8941</v>
      </c>
      <c r="Q766" s="9" t="s">
        <v>8685</v>
      </c>
      <c r="R766" s="9">
        <v>9</v>
      </c>
      <c r="T766" s="9" t="str">
        <f t="shared" ca="1" si="30"/>
        <v/>
      </c>
      <c r="U766" s="9" t="str">
        <f t="shared" ca="1" si="31"/>
        <v/>
      </c>
    </row>
    <row r="767" spans="1:28">
      <c r="A767" s="3" t="s">
        <v>386</v>
      </c>
      <c r="D767" s="3" t="s">
        <v>4492</v>
      </c>
      <c r="E767" s="3" t="s">
        <v>4493</v>
      </c>
      <c r="J767" s="9" t="s">
        <v>8729</v>
      </c>
      <c r="S767" s="9" t="s">
        <v>8739</v>
      </c>
      <c r="T767" s="9" t="str">
        <f t="shared" ca="1" si="30"/>
        <v/>
      </c>
      <c r="U767" s="9" t="str">
        <f t="shared" ca="1" si="31"/>
        <v/>
      </c>
      <c r="Z767" s="9" t="s">
        <v>8742</v>
      </c>
      <c r="AA767" s="9" t="s">
        <v>3884</v>
      </c>
      <c r="AB767" s="9" t="s">
        <v>8697</v>
      </c>
    </row>
    <row r="768" spans="1:28" ht="29">
      <c r="A768" s="3" t="s">
        <v>387</v>
      </c>
      <c r="D768" s="3" t="s">
        <v>8942</v>
      </c>
      <c r="E768" s="3" t="s">
        <v>8943</v>
      </c>
      <c r="J768" s="9" t="s">
        <v>8731</v>
      </c>
      <c r="T768" s="9" t="str">
        <f t="shared" ca="1" si="30"/>
        <v/>
      </c>
      <c r="U768" s="9" t="str">
        <f t="shared" ca="1" si="31"/>
        <v/>
      </c>
      <c r="Z768" s="9" t="s">
        <v>9284</v>
      </c>
      <c r="AA768" s="9" t="s">
        <v>3884</v>
      </c>
      <c r="AB768" s="9" t="s">
        <v>8700</v>
      </c>
    </row>
    <row r="769" spans="1:28" ht="29">
      <c r="A769" s="3" t="s">
        <v>387</v>
      </c>
      <c r="D769" s="3" t="s">
        <v>4494</v>
      </c>
      <c r="E769" s="3" t="s">
        <v>4495</v>
      </c>
      <c r="J769" s="9" t="s">
        <v>3885</v>
      </c>
      <c r="K769" s="9">
        <v>1</v>
      </c>
      <c r="L769" s="9">
        <v>1</v>
      </c>
      <c r="M769" s="9" t="s">
        <v>8689</v>
      </c>
      <c r="N769" s="9" t="s">
        <v>8730</v>
      </c>
      <c r="R769" s="9">
        <v>10929</v>
      </c>
      <c r="T769" s="9" t="str">
        <f t="shared" ca="1" si="30"/>
        <v/>
      </c>
      <c r="U769" s="9" t="str">
        <f t="shared" ca="1" si="31"/>
        <v/>
      </c>
    </row>
    <row r="770" spans="1:28">
      <c r="A770" s="3" t="s">
        <v>387</v>
      </c>
      <c r="D770" s="3" t="s">
        <v>4496</v>
      </c>
      <c r="E770" s="3" t="s">
        <v>4496</v>
      </c>
      <c r="F770" t="s">
        <v>3932</v>
      </c>
      <c r="I770" t="s">
        <v>4497</v>
      </c>
      <c r="T770" s="9" t="str">
        <f t="shared" ca="1" si="30"/>
        <v/>
      </c>
      <c r="U770" s="9" t="str">
        <f t="shared" ca="1" si="31"/>
        <v/>
      </c>
    </row>
    <row r="771" spans="1:28">
      <c r="A771" s="3" t="s">
        <v>387</v>
      </c>
      <c r="D771" s="3" t="s">
        <v>4498</v>
      </c>
      <c r="E771" s="3" t="s">
        <v>4499</v>
      </c>
      <c r="J771" s="9" t="s">
        <v>3885</v>
      </c>
      <c r="K771" s="9">
        <v>1</v>
      </c>
      <c r="L771" s="9">
        <v>1</v>
      </c>
      <c r="M771" s="9" t="s">
        <v>8689</v>
      </c>
      <c r="N771" s="9" t="s">
        <v>8730</v>
      </c>
      <c r="R771" s="9">
        <v>10929</v>
      </c>
      <c r="T771" s="9" t="str">
        <f t="shared" ca="1" si="30"/>
        <v/>
      </c>
      <c r="U771" s="9" t="str">
        <f t="shared" ca="1" si="31"/>
        <v/>
      </c>
    </row>
    <row r="772" spans="1:28">
      <c r="A772" s="3" t="s">
        <v>388</v>
      </c>
      <c r="D772" s="3" t="s">
        <v>2569</v>
      </c>
      <c r="E772" s="3" t="s">
        <v>2570</v>
      </c>
      <c r="J772" s="9" t="s">
        <v>8731</v>
      </c>
      <c r="T772" s="9" t="str">
        <f t="shared" ca="1" si="30"/>
        <v/>
      </c>
      <c r="U772" s="9" t="str">
        <f t="shared" ca="1" si="31"/>
        <v/>
      </c>
      <c r="AB772" s="9" t="s">
        <v>8688</v>
      </c>
    </row>
    <row r="773" spans="1:28">
      <c r="A773" s="3" t="s">
        <v>388</v>
      </c>
      <c r="D773" s="3" t="s">
        <v>2571</v>
      </c>
      <c r="E773" s="3" t="s">
        <v>2572</v>
      </c>
      <c r="J773" s="9" t="s">
        <v>8729</v>
      </c>
      <c r="S773" s="9" t="s">
        <v>8739</v>
      </c>
      <c r="T773" s="9" t="str">
        <f t="shared" ca="1" si="30"/>
        <v/>
      </c>
      <c r="U773" s="9" t="str">
        <f t="shared" ca="1" si="31"/>
        <v/>
      </c>
      <c r="Y773" s="9" t="s">
        <v>8735</v>
      </c>
      <c r="AA773" s="9" t="s">
        <v>3884</v>
      </c>
    </row>
    <row r="774" spans="1:28">
      <c r="A774" s="3" t="s">
        <v>388</v>
      </c>
      <c r="D774" s="3" t="s">
        <v>2414</v>
      </c>
      <c r="E774" s="3" t="s">
        <v>2415</v>
      </c>
      <c r="J774" s="9" t="s">
        <v>8731</v>
      </c>
      <c r="T774" s="9" t="str">
        <f t="shared" ref="T774:T837" ca="1" si="34">IF(ISNUMBER(S774),VALUE(MID(_xlfn.FORMULATEXT(S774),SEARCH("-",_xlfn.FORMULATEXT(S774))+1,LEN(_xlfn.FORMULATEXT(S774))-SEARCH("-",_xlfn.FORMULATEXT(S774)))), "")</f>
        <v/>
      </c>
      <c r="U774" s="9" t="str">
        <f t="shared" ref="U774:U837" ca="1" si="35">IF(ISNUMBER(S774), VALUE(MID(_xlfn.FORMULATEXT(S774), 2, SEARCH("-", _xlfn.FORMULATEXT(S774)) - 2)), "")</f>
        <v/>
      </c>
      <c r="Z774" s="9" t="s">
        <v>8832</v>
      </c>
      <c r="AA774" s="9" t="s">
        <v>3884</v>
      </c>
    </row>
    <row r="775" spans="1:28" ht="72.5">
      <c r="A775" s="3" t="s">
        <v>389</v>
      </c>
      <c r="D775" s="3" t="s">
        <v>4500</v>
      </c>
      <c r="E775" s="3" t="s">
        <v>4501</v>
      </c>
      <c r="H775" t="s">
        <v>3884</v>
      </c>
      <c r="I775" t="s">
        <v>8947</v>
      </c>
      <c r="J775" s="9" t="s">
        <v>3889</v>
      </c>
      <c r="K775" s="9">
        <v>8</v>
      </c>
      <c r="L775" s="9">
        <v>41</v>
      </c>
      <c r="N775" s="9" t="s">
        <v>8684</v>
      </c>
      <c r="O775" s="9" t="s">
        <v>8944</v>
      </c>
      <c r="P775" s="10" t="s">
        <v>8945</v>
      </c>
      <c r="R775" s="9">
        <v>3</v>
      </c>
      <c r="T775" s="9" t="str">
        <f t="shared" ca="1" si="34"/>
        <v/>
      </c>
      <c r="U775" s="9" t="str">
        <f t="shared" ca="1" si="35"/>
        <v/>
      </c>
    </row>
    <row r="776" spans="1:28">
      <c r="A776" s="3" t="s">
        <v>390</v>
      </c>
      <c r="D776" s="3" t="s">
        <v>2573</v>
      </c>
      <c r="E776" s="4" t="s">
        <v>2574</v>
      </c>
      <c r="F776" t="s">
        <v>3897</v>
      </c>
      <c r="T776" s="9" t="str">
        <f t="shared" ca="1" si="34"/>
        <v/>
      </c>
      <c r="U776" s="9" t="str">
        <f t="shared" ca="1" si="35"/>
        <v/>
      </c>
    </row>
    <row r="777" spans="1:28">
      <c r="A777" s="3" t="s">
        <v>390</v>
      </c>
      <c r="D777" s="3" t="s">
        <v>2575</v>
      </c>
      <c r="E777" s="3" t="s">
        <v>2575</v>
      </c>
      <c r="F777" t="s">
        <v>3932</v>
      </c>
      <c r="I777" t="s">
        <v>2011</v>
      </c>
      <c r="T777" s="9" t="str">
        <f t="shared" ca="1" si="34"/>
        <v/>
      </c>
      <c r="U777" s="9" t="str">
        <f t="shared" ca="1" si="35"/>
        <v/>
      </c>
    </row>
    <row r="778" spans="1:28">
      <c r="A778" s="3" t="s">
        <v>390</v>
      </c>
      <c r="D778" s="3" t="s">
        <v>4502</v>
      </c>
      <c r="E778" s="3" t="s">
        <v>8948</v>
      </c>
      <c r="H778" t="s">
        <v>3884</v>
      </c>
      <c r="J778" s="9" t="s">
        <v>3889</v>
      </c>
      <c r="K778" s="9">
        <v>1</v>
      </c>
      <c r="L778" s="9">
        <v>3</v>
      </c>
      <c r="M778" s="9" t="s">
        <v>8689</v>
      </c>
      <c r="N778" s="9" t="s">
        <v>8690</v>
      </c>
      <c r="R778" s="9">
        <v>10929</v>
      </c>
      <c r="T778" s="9" t="str">
        <f t="shared" ca="1" si="34"/>
        <v/>
      </c>
      <c r="U778" s="9" t="str">
        <f t="shared" ca="1" si="35"/>
        <v/>
      </c>
    </row>
    <row r="779" spans="1:28" ht="29">
      <c r="A779" s="3" t="s">
        <v>391</v>
      </c>
      <c r="D779" s="3" t="s">
        <v>4503</v>
      </c>
      <c r="E779" s="3" t="s">
        <v>4504</v>
      </c>
      <c r="F779" t="s">
        <v>3932</v>
      </c>
      <c r="I779" t="s">
        <v>4505</v>
      </c>
      <c r="T779" s="9" t="str">
        <f t="shared" ca="1" si="34"/>
        <v/>
      </c>
      <c r="U779" s="9" t="str">
        <f t="shared" ca="1" si="35"/>
        <v/>
      </c>
    </row>
    <row r="780" spans="1:28">
      <c r="A780" s="3" t="s">
        <v>391</v>
      </c>
      <c r="D780" s="3" t="s">
        <v>4506</v>
      </c>
      <c r="E780" s="3" t="s">
        <v>4507</v>
      </c>
      <c r="H780" t="s">
        <v>3892</v>
      </c>
      <c r="I780" t="s">
        <v>4508</v>
      </c>
      <c r="J780" s="9" t="s">
        <v>8731</v>
      </c>
      <c r="T780" s="9" t="str">
        <f t="shared" ca="1" si="34"/>
        <v/>
      </c>
      <c r="U780" s="9" t="str">
        <f t="shared" ca="1" si="35"/>
        <v/>
      </c>
    </row>
    <row r="781" spans="1:28" ht="29">
      <c r="A781" s="3" t="s">
        <v>392</v>
      </c>
      <c r="D781" s="3" t="s">
        <v>4509</v>
      </c>
      <c r="E781" s="3" t="s">
        <v>4509</v>
      </c>
      <c r="F781" t="s">
        <v>3932</v>
      </c>
      <c r="I781" t="s">
        <v>4510</v>
      </c>
      <c r="T781" s="9" t="str">
        <f t="shared" ca="1" si="34"/>
        <v/>
      </c>
      <c r="U781" s="9" t="str">
        <f t="shared" ca="1" si="35"/>
        <v/>
      </c>
    </row>
    <row r="782" spans="1:28">
      <c r="A782" s="3" t="s">
        <v>392</v>
      </c>
      <c r="D782" s="3" t="s">
        <v>4511</v>
      </c>
      <c r="E782" s="3" t="s">
        <v>4511</v>
      </c>
      <c r="F782" t="s">
        <v>3932</v>
      </c>
      <c r="I782" t="s">
        <v>4512</v>
      </c>
      <c r="T782" s="9" t="str">
        <f t="shared" ca="1" si="34"/>
        <v/>
      </c>
      <c r="U782" s="9" t="str">
        <f t="shared" ca="1" si="35"/>
        <v/>
      </c>
    </row>
    <row r="783" spans="1:28">
      <c r="A783" s="3" t="s">
        <v>393</v>
      </c>
      <c r="D783" s="3" t="s">
        <v>2576</v>
      </c>
      <c r="E783" s="3" t="s">
        <v>2577</v>
      </c>
      <c r="J783" s="9" t="s">
        <v>8729</v>
      </c>
      <c r="S783" s="9" t="s">
        <v>8739</v>
      </c>
      <c r="T783" s="9" t="str">
        <f t="shared" ca="1" si="34"/>
        <v/>
      </c>
      <c r="U783" s="9" t="str">
        <f t="shared" ca="1" si="35"/>
        <v/>
      </c>
      <c r="AB783" s="9" t="s">
        <v>8688</v>
      </c>
    </row>
    <row r="784" spans="1:28">
      <c r="A784" s="3" t="s">
        <v>393</v>
      </c>
      <c r="D784" s="3" t="s">
        <v>2578</v>
      </c>
      <c r="E784" s="3" t="s">
        <v>2578</v>
      </c>
      <c r="F784" t="s">
        <v>3932</v>
      </c>
      <c r="I784" t="s">
        <v>4513</v>
      </c>
      <c r="T784" s="9" t="str">
        <f t="shared" ca="1" si="34"/>
        <v/>
      </c>
      <c r="U784" s="9" t="str">
        <f t="shared" ca="1" si="35"/>
        <v/>
      </c>
    </row>
    <row r="785" spans="1:28">
      <c r="A785" s="3" t="s">
        <v>394</v>
      </c>
      <c r="D785" s="3" t="s">
        <v>2579</v>
      </c>
      <c r="E785" s="3" t="s">
        <v>2580</v>
      </c>
      <c r="J785" s="9" t="s">
        <v>8729</v>
      </c>
      <c r="S785" s="9" t="s">
        <v>8739</v>
      </c>
      <c r="T785" s="9" t="str">
        <f t="shared" ca="1" si="34"/>
        <v/>
      </c>
      <c r="U785" s="9" t="str">
        <f t="shared" ca="1" si="35"/>
        <v/>
      </c>
      <c r="Z785" s="9" t="s">
        <v>8757</v>
      </c>
      <c r="AA785" s="9" t="s">
        <v>3884</v>
      </c>
      <c r="AB785" s="9" t="s">
        <v>8697</v>
      </c>
    </row>
    <row r="786" spans="1:28">
      <c r="A786" s="3" t="s">
        <v>395</v>
      </c>
      <c r="D786" s="3" t="s">
        <v>4514</v>
      </c>
      <c r="E786" s="3" t="s">
        <v>4515</v>
      </c>
      <c r="J786" s="9" t="s">
        <v>3889</v>
      </c>
      <c r="K786" s="9">
        <v>1</v>
      </c>
      <c r="L786" s="9">
        <v>3</v>
      </c>
      <c r="M786" s="9" t="s">
        <v>8698</v>
      </c>
      <c r="N786" s="9" t="s">
        <v>8690</v>
      </c>
      <c r="R786" s="9">
        <v>9418</v>
      </c>
      <c r="T786" s="9" t="str">
        <f t="shared" ca="1" si="34"/>
        <v/>
      </c>
      <c r="U786" s="9" t="str">
        <f t="shared" ca="1" si="35"/>
        <v/>
      </c>
    </row>
    <row r="787" spans="1:28">
      <c r="A787" s="3" t="s">
        <v>396</v>
      </c>
      <c r="D787" s="3" t="s">
        <v>4516</v>
      </c>
      <c r="E787" s="3" t="s">
        <v>4517</v>
      </c>
      <c r="J787" s="9" t="s">
        <v>3889</v>
      </c>
      <c r="K787" s="9">
        <v>1</v>
      </c>
      <c r="L787" s="9">
        <v>2</v>
      </c>
      <c r="M787" s="9" t="s">
        <v>8689</v>
      </c>
      <c r="N787" s="9" t="s">
        <v>8730</v>
      </c>
      <c r="R787" s="9">
        <v>10929</v>
      </c>
      <c r="T787" s="9" t="str">
        <f t="shared" ca="1" si="34"/>
        <v/>
      </c>
      <c r="U787" s="9" t="str">
        <f t="shared" ca="1" si="35"/>
        <v/>
      </c>
      <c r="AB787" s="9" t="s">
        <v>8700</v>
      </c>
    </row>
    <row r="788" spans="1:28">
      <c r="A788" s="3" t="s">
        <v>396</v>
      </c>
      <c r="D788" s="3" t="s">
        <v>4518</v>
      </c>
      <c r="E788" s="3" t="s">
        <v>4519</v>
      </c>
      <c r="H788" t="s">
        <v>3884</v>
      </c>
      <c r="I788" t="s">
        <v>8949</v>
      </c>
      <c r="J788" s="9" t="s">
        <v>3885</v>
      </c>
      <c r="K788" s="9">
        <v>1</v>
      </c>
      <c r="L788" s="9">
        <v>1</v>
      </c>
      <c r="M788" s="9" t="s">
        <v>8698</v>
      </c>
      <c r="N788" s="9" t="s">
        <v>8730</v>
      </c>
      <c r="R788" s="9">
        <v>1</v>
      </c>
      <c r="T788" s="9" t="str">
        <f t="shared" ca="1" si="34"/>
        <v/>
      </c>
      <c r="U788" s="9" t="str">
        <f t="shared" ca="1" si="35"/>
        <v/>
      </c>
    </row>
    <row r="789" spans="1:28">
      <c r="A789" s="3" t="s">
        <v>396</v>
      </c>
      <c r="D789" s="3" t="s">
        <v>4520</v>
      </c>
      <c r="E789" s="3" t="s">
        <v>4521</v>
      </c>
      <c r="J789" s="9" t="s">
        <v>8729</v>
      </c>
      <c r="S789" s="9" t="s">
        <v>8739</v>
      </c>
      <c r="T789" s="9" t="str">
        <f t="shared" ca="1" si="34"/>
        <v/>
      </c>
      <c r="U789" s="9" t="str">
        <f t="shared" ca="1" si="35"/>
        <v/>
      </c>
      <c r="AB789" s="9" t="s">
        <v>8697</v>
      </c>
    </row>
    <row r="790" spans="1:28">
      <c r="A790" s="3" t="s">
        <v>397</v>
      </c>
      <c r="D790" s="3" t="s">
        <v>2582</v>
      </c>
      <c r="E790" s="3" t="s">
        <v>2583</v>
      </c>
      <c r="J790" s="9" t="s">
        <v>8731</v>
      </c>
      <c r="T790" s="9" t="str">
        <f t="shared" ca="1" si="34"/>
        <v/>
      </c>
      <c r="U790" s="9" t="str">
        <f t="shared" ca="1" si="35"/>
        <v/>
      </c>
      <c r="Z790" s="9" t="s">
        <v>9280</v>
      </c>
      <c r="AA790" s="9" t="s">
        <v>3884</v>
      </c>
    </row>
    <row r="791" spans="1:28">
      <c r="A791" s="3" t="s">
        <v>397</v>
      </c>
      <c r="D791" s="3" t="s">
        <v>2584</v>
      </c>
      <c r="E791" s="3" t="s">
        <v>2585</v>
      </c>
      <c r="J791" s="9" t="s">
        <v>8731</v>
      </c>
      <c r="T791" s="9" t="str">
        <f t="shared" ca="1" si="34"/>
        <v/>
      </c>
      <c r="U791" s="9" t="str">
        <f t="shared" ca="1" si="35"/>
        <v/>
      </c>
      <c r="Z791" s="9" t="s">
        <v>9280</v>
      </c>
      <c r="AA791" s="9" t="s">
        <v>3884</v>
      </c>
    </row>
    <row r="792" spans="1:28">
      <c r="A792" s="3" t="s">
        <v>398</v>
      </c>
      <c r="D792" s="3" t="s">
        <v>4523</v>
      </c>
      <c r="E792" s="3" t="s">
        <v>4524</v>
      </c>
      <c r="F792" t="s">
        <v>3932</v>
      </c>
      <c r="I792" t="s">
        <v>4525</v>
      </c>
      <c r="T792" s="9" t="str">
        <f t="shared" ca="1" si="34"/>
        <v/>
      </c>
      <c r="U792" s="9" t="str">
        <f t="shared" ca="1" si="35"/>
        <v/>
      </c>
    </row>
    <row r="793" spans="1:28">
      <c r="A793" s="3" t="s">
        <v>398</v>
      </c>
      <c r="D793" s="3" t="s">
        <v>4522</v>
      </c>
      <c r="E793" s="3" t="s">
        <v>4526</v>
      </c>
      <c r="H793" t="s">
        <v>3884</v>
      </c>
      <c r="J793" s="9" t="s">
        <v>3885</v>
      </c>
      <c r="K793" s="9">
        <v>1</v>
      </c>
      <c r="L793" s="9">
        <v>2</v>
      </c>
      <c r="M793" s="9" t="s">
        <v>8689</v>
      </c>
      <c r="N793" s="9" t="s">
        <v>8730</v>
      </c>
      <c r="Q793" s="9" t="s">
        <v>8685</v>
      </c>
      <c r="R793" s="9">
        <v>10929</v>
      </c>
      <c r="T793" s="9" t="str">
        <f t="shared" ca="1" si="34"/>
        <v/>
      </c>
      <c r="U793" s="9" t="str">
        <f t="shared" ca="1" si="35"/>
        <v/>
      </c>
      <c r="AB793" s="9" t="s">
        <v>8694</v>
      </c>
    </row>
    <row r="794" spans="1:28">
      <c r="A794" s="3" t="s">
        <v>398</v>
      </c>
      <c r="D794" s="3" t="s">
        <v>2586</v>
      </c>
      <c r="E794" s="3" t="s">
        <v>2587</v>
      </c>
      <c r="J794" s="9" t="s">
        <v>8731</v>
      </c>
      <c r="T794" s="9" t="str">
        <f t="shared" ca="1" si="34"/>
        <v/>
      </c>
      <c r="U794" s="9" t="str">
        <f t="shared" ca="1" si="35"/>
        <v/>
      </c>
      <c r="AB794" s="9" t="s">
        <v>8697</v>
      </c>
    </row>
    <row r="795" spans="1:28">
      <c r="A795" s="3" t="s">
        <v>399</v>
      </c>
      <c r="D795" s="3" t="s">
        <v>4527</v>
      </c>
      <c r="E795" s="3" t="s">
        <v>4528</v>
      </c>
      <c r="F795" t="s">
        <v>3932</v>
      </c>
      <c r="I795" t="s">
        <v>4529</v>
      </c>
      <c r="T795" s="9" t="str">
        <f t="shared" ca="1" si="34"/>
        <v/>
      </c>
      <c r="U795" s="9" t="str">
        <f t="shared" ca="1" si="35"/>
        <v/>
      </c>
    </row>
    <row r="796" spans="1:28">
      <c r="A796" s="3" t="s">
        <v>400</v>
      </c>
      <c r="D796" s="3" t="s">
        <v>2159</v>
      </c>
      <c r="E796" s="3" t="s">
        <v>2159</v>
      </c>
      <c r="F796" t="s">
        <v>3932</v>
      </c>
      <c r="I796" t="s">
        <v>2175</v>
      </c>
      <c r="T796" s="9" t="str">
        <f t="shared" ca="1" si="34"/>
        <v/>
      </c>
      <c r="U796" s="9" t="str">
        <f t="shared" ca="1" si="35"/>
        <v/>
      </c>
    </row>
    <row r="797" spans="1:28">
      <c r="A797" s="3" t="s">
        <v>400</v>
      </c>
      <c r="D797" s="4" t="s">
        <v>2588</v>
      </c>
      <c r="E797" s="3" t="s">
        <v>4530</v>
      </c>
      <c r="F797" t="s">
        <v>3883</v>
      </c>
      <c r="T797" s="9" t="str">
        <f t="shared" ca="1" si="34"/>
        <v/>
      </c>
      <c r="U797" s="9" t="str">
        <f t="shared" ca="1" si="35"/>
        <v/>
      </c>
    </row>
    <row r="798" spans="1:28">
      <c r="A798" s="3" t="s">
        <v>401</v>
      </c>
      <c r="D798" s="3" t="s">
        <v>4531</v>
      </c>
      <c r="E798" s="3" t="s">
        <v>4532</v>
      </c>
      <c r="J798" s="9" t="s">
        <v>8729</v>
      </c>
      <c r="S798" s="9">
        <f>335-1225</f>
        <v>-890</v>
      </c>
      <c r="T798" s="9">
        <f t="shared" ca="1" si="34"/>
        <v>1225</v>
      </c>
      <c r="U798" s="9">
        <f t="shared" ca="1" si="35"/>
        <v>335</v>
      </c>
    </row>
    <row r="799" spans="1:28" ht="43.5">
      <c r="A799" s="3" t="s">
        <v>401</v>
      </c>
      <c r="D799" s="3" t="s">
        <v>4533</v>
      </c>
      <c r="E799" s="3" t="s">
        <v>9595</v>
      </c>
      <c r="H799" t="s">
        <v>3892</v>
      </c>
      <c r="I799" s="3"/>
      <c r="J799" s="9" t="s">
        <v>3885</v>
      </c>
      <c r="K799" s="9">
        <v>1</v>
      </c>
      <c r="L799" s="9">
        <v>3</v>
      </c>
      <c r="M799" s="9" t="s">
        <v>8698</v>
      </c>
      <c r="N799" s="9" t="s">
        <v>8690</v>
      </c>
      <c r="R799" s="9">
        <v>9418</v>
      </c>
      <c r="T799" s="9" t="str">
        <f t="shared" ca="1" si="34"/>
        <v/>
      </c>
      <c r="U799" s="9" t="str">
        <f t="shared" ca="1" si="35"/>
        <v/>
      </c>
    </row>
    <row r="800" spans="1:28" ht="29">
      <c r="A800" s="3" t="s">
        <v>402</v>
      </c>
      <c r="D800" s="3" t="s">
        <v>4534</v>
      </c>
      <c r="E800" s="3" t="s">
        <v>4535</v>
      </c>
      <c r="H800" t="s">
        <v>3884</v>
      </c>
      <c r="J800" s="9" t="s">
        <v>3885</v>
      </c>
      <c r="K800" s="9">
        <v>1</v>
      </c>
      <c r="L800" s="9">
        <v>3</v>
      </c>
      <c r="M800" s="9" t="s">
        <v>8689</v>
      </c>
      <c r="N800" s="9" t="s">
        <v>8684</v>
      </c>
      <c r="O800" s="9" t="s">
        <v>8777</v>
      </c>
      <c r="P800" s="10" t="s">
        <v>8778</v>
      </c>
      <c r="Q800" s="9" t="s">
        <v>8685</v>
      </c>
      <c r="R800" s="9">
        <v>10929</v>
      </c>
      <c r="T800" s="9" t="str">
        <f t="shared" ca="1" si="34"/>
        <v/>
      </c>
      <c r="U800" s="9" t="str">
        <f t="shared" ca="1" si="35"/>
        <v/>
      </c>
      <c r="AB800" s="9" t="s">
        <v>8694</v>
      </c>
    </row>
    <row r="801" spans="1:28">
      <c r="A801" s="3" t="s">
        <v>403</v>
      </c>
      <c r="D801" s="3" t="s">
        <v>2590</v>
      </c>
      <c r="E801" s="3" t="s">
        <v>2591</v>
      </c>
      <c r="J801" s="9" t="s">
        <v>8731</v>
      </c>
      <c r="T801" s="9" t="str">
        <f t="shared" ca="1" si="34"/>
        <v/>
      </c>
      <c r="U801" s="9" t="str">
        <f t="shared" ca="1" si="35"/>
        <v/>
      </c>
    </row>
    <row r="802" spans="1:28">
      <c r="A802" s="3" t="s">
        <v>404</v>
      </c>
      <c r="D802" s="3" t="s">
        <v>4536</v>
      </c>
      <c r="E802" s="3" t="s">
        <v>4537</v>
      </c>
      <c r="J802" s="9" t="s">
        <v>3885</v>
      </c>
      <c r="K802" s="9">
        <v>1</v>
      </c>
      <c r="L802" s="9">
        <v>3</v>
      </c>
      <c r="M802" s="9" t="s">
        <v>8689</v>
      </c>
      <c r="N802" s="9" t="s">
        <v>8690</v>
      </c>
      <c r="R802" s="9">
        <v>10929</v>
      </c>
      <c r="T802" s="9" t="str">
        <f t="shared" ca="1" si="34"/>
        <v/>
      </c>
      <c r="U802" s="9" t="str">
        <f t="shared" ca="1" si="35"/>
        <v/>
      </c>
    </row>
    <row r="803" spans="1:28">
      <c r="A803" s="3" t="s">
        <v>404</v>
      </c>
      <c r="D803" s="3" t="s">
        <v>2592</v>
      </c>
      <c r="E803" s="3" t="s">
        <v>2592</v>
      </c>
      <c r="F803" t="s">
        <v>3932</v>
      </c>
      <c r="I803" t="s">
        <v>4538</v>
      </c>
      <c r="T803" s="9" t="str">
        <f t="shared" ca="1" si="34"/>
        <v/>
      </c>
      <c r="U803" s="9" t="str">
        <f t="shared" ca="1" si="35"/>
        <v/>
      </c>
    </row>
    <row r="804" spans="1:28">
      <c r="A804" s="3" t="s">
        <v>405</v>
      </c>
      <c r="D804" s="3" t="s">
        <v>2593</v>
      </c>
      <c r="E804" s="3" t="s">
        <v>2594</v>
      </c>
      <c r="J804" s="9" t="s">
        <v>8731</v>
      </c>
      <c r="T804" s="9" t="str">
        <f t="shared" ca="1" si="34"/>
        <v/>
      </c>
      <c r="U804" s="9" t="str">
        <f t="shared" ca="1" si="35"/>
        <v/>
      </c>
    </row>
    <row r="805" spans="1:28">
      <c r="A805" s="3" t="s">
        <v>406</v>
      </c>
      <c r="D805" s="3" t="s">
        <v>2595</v>
      </c>
      <c r="E805" s="4" t="s">
        <v>2596</v>
      </c>
      <c r="F805" t="s">
        <v>3897</v>
      </c>
      <c r="T805" s="9" t="str">
        <f t="shared" ca="1" si="34"/>
        <v/>
      </c>
      <c r="U805" s="9" t="str">
        <f t="shared" ca="1" si="35"/>
        <v/>
      </c>
    </row>
    <row r="806" spans="1:28">
      <c r="A806" s="3" t="s">
        <v>407</v>
      </c>
      <c r="D806" s="4" t="s">
        <v>2597</v>
      </c>
      <c r="E806" s="3" t="s">
        <v>2598</v>
      </c>
      <c r="F806" t="s">
        <v>4196</v>
      </c>
      <c r="I806" t="s">
        <v>4539</v>
      </c>
      <c r="J806" s="9" t="s">
        <v>8731</v>
      </c>
      <c r="T806" s="9" t="str">
        <f t="shared" ca="1" si="34"/>
        <v/>
      </c>
      <c r="U806" s="9" t="str">
        <f t="shared" ca="1" si="35"/>
        <v/>
      </c>
    </row>
    <row r="807" spans="1:28">
      <c r="A807" s="3" t="s">
        <v>408</v>
      </c>
      <c r="D807" s="3" t="s">
        <v>4540</v>
      </c>
      <c r="E807" s="3" t="s">
        <v>4541</v>
      </c>
      <c r="J807" s="9" t="s">
        <v>8729</v>
      </c>
      <c r="S807" s="9" t="s">
        <v>8739</v>
      </c>
      <c r="T807" s="9" t="str">
        <f t="shared" ca="1" si="34"/>
        <v/>
      </c>
      <c r="U807" s="9" t="str">
        <f t="shared" ca="1" si="35"/>
        <v/>
      </c>
      <c r="Z807" s="9" t="s">
        <v>8741</v>
      </c>
      <c r="AA807" s="9" t="s">
        <v>3891</v>
      </c>
      <c r="AB807" s="9" t="s">
        <v>8688</v>
      </c>
    </row>
    <row r="808" spans="1:28" ht="29">
      <c r="A808" s="3" t="s">
        <v>408</v>
      </c>
      <c r="D808" s="3" t="s">
        <v>4542</v>
      </c>
      <c r="E808" s="3" t="s">
        <v>4543</v>
      </c>
      <c r="J808" s="9" t="s">
        <v>8729</v>
      </c>
      <c r="S808" s="9" t="s">
        <v>8739</v>
      </c>
      <c r="T808" s="9" t="str">
        <f t="shared" ca="1" si="34"/>
        <v/>
      </c>
      <c r="U808" s="9" t="str">
        <f t="shared" ca="1" si="35"/>
        <v/>
      </c>
      <c r="Z808" s="9" t="s">
        <v>8741</v>
      </c>
      <c r="AA808" s="9" t="s">
        <v>3891</v>
      </c>
      <c r="AB808" s="9" t="s">
        <v>8688</v>
      </c>
    </row>
    <row r="809" spans="1:28">
      <c r="A809" s="3" t="s">
        <v>409</v>
      </c>
      <c r="D809" s="3" t="s">
        <v>4544</v>
      </c>
      <c r="E809" s="3" t="s">
        <v>4545</v>
      </c>
      <c r="J809" s="9" t="s">
        <v>3889</v>
      </c>
      <c r="K809" s="9">
        <v>1</v>
      </c>
      <c r="L809" s="9">
        <v>3</v>
      </c>
      <c r="M809" s="9" t="s">
        <v>8689</v>
      </c>
      <c r="N809" s="9" t="s">
        <v>8690</v>
      </c>
      <c r="R809" s="9">
        <v>10929</v>
      </c>
      <c r="T809" s="9" t="str">
        <f t="shared" ca="1" si="34"/>
        <v/>
      </c>
      <c r="U809" s="9" t="str">
        <f t="shared" ca="1" si="35"/>
        <v/>
      </c>
    </row>
    <row r="810" spans="1:28">
      <c r="A810" s="3" t="s">
        <v>410</v>
      </c>
      <c r="D810" s="3" t="s">
        <v>9459</v>
      </c>
      <c r="E810" s="3" t="s">
        <v>9460</v>
      </c>
      <c r="F810" t="s">
        <v>3893</v>
      </c>
      <c r="H810" t="s">
        <v>3884</v>
      </c>
      <c r="I810" t="s">
        <v>4546</v>
      </c>
      <c r="T810" s="9" t="str">
        <f t="shared" ca="1" si="34"/>
        <v/>
      </c>
      <c r="U810" s="9" t="str">
        <f t="shared" ca="1" si="35"/>
        <v/>
      </c>
    </row>
    <row r="811" spans="1:28">
      <c r="A811" s="3" t="s">
        <v>410</v>
      </c>
      <c r="D811" s="4" t="s">
        <v>2599</v>
      </c>
      <c r="E811" s="3" t="s">
        <v>2600</v>
      </c>
      <c r="F811" t="s">
        <v>3883</v>
      </c>
      <c r="T811" s="9" t="str">
        <f t="shared" ca="1" si="34"/>
        <v/>
      </c>
      <c r="U811" s="9" t="str">
        <f t="shared" ca="1" si="35"/>
        <v/>
      </c>
    </row>
    <row r="812" spans="1:28">
      <c r="A812" s="3" t="s">
        <v>410</v>
      </c>
      <c r="D812" s="4" t="s">
        <v>2601</v>
      </c>
      <c r="E812" s="3" t="s">
        <v>2602</v>
      </c>
      <c r="F812" t="s">
        <v>3883</v>
      </c>
      <c r="T812" s="9" t="str">
        <f t="shared" ca="1" si="34"/>
        <v/>
      </c>
      <c r="U812" s="9" t="str">
        <f t="shared" ca="1" si="35"/>
        <v/>
      </c>
    </row>
    <row r="813" spans="1:28">
      <c r="A813" s="3" t="s">
        <v>411</v>
      </c>
      <c r="D813" s="3" t="s">
        <v>2603</v>
      </c>
      <c r="E813" s="3" t="s">
        <v>2604</v>
      </c>
      <c r="J813" s="9" t="s">
        <v>8729</v>
      </c>
      <c r="S813" s="9" t="s">
        <v>8739</v>
      </c>
      <c r="T813" s="9" t="str">
        <f t="shared" ca="1" si="34"/>
        <v/>
      </c>
      <c r="U813" s="9" t="str">
        <f t="shared" ca="1" si="35"/>
        <v/>
      </c>
      <c r="Y813" s="9" t="s">
        <v>8735</v>
      </c>
      <c r="AA813" s="9" t="s">
        <v>3884</v>
      </c>
    </row>
    <row r="814" spans="1:28">
      <c r="A814" s="3" t="s">
        <v>412</v>
      </c>
      <c r="D814" s="3" t="s">
        <v>4547</v>
      </c>
      <c r="E814" s="3" t="s">
        <v>4548</v>
      </c>
      <c r="J814" s="9" t="s">
        <v>8731</v>
      </c>
      <c r="T814" s="9" t="str">
        <f t="shared" ca="1" si="34"/>
        <v/>
      </c>
      <c r="U814" s="9" t="str">
        <f t="shared" ca="1" si="35"/>
        <v/>
      </c>
      <c r="Z814" s="9" t="s">
        <v>8741</v>
      </c>
      <c r="AA814" s="9" t="s">
        <v>3891</v>
      </c>
    </row>
    <row r="815" spans="1:28">
      <c r="A815" s="3" t="s">
        <v>413</v>
      </c>
      <c r="D815" s="3" t="s">
        <v>4549</v>
      </c>
      <c r="E815" s="3" t="s">
        <v>4550</v>
      </c>
      <c r="H815" t="s">
        <v>3884</v>
      </c>
      <c r="J815" s="9" t="s">
        <v>8729</v>
      </c>
      <c r="S815" s="9" t="s">
        <v>8739</v>
      </c>
      <c r="T815" s="9" t="str">
        <f t="shared" ca="1" si="34"/>
        <v/>
      </c>
      <c r="U815" s="9" t="str">
        <f t="shared" ca="1" si="35"/>
        <v/>
      </c>
      <c r="AB815" s="9" t="s">
        <v>8688</v>
      </c>
    </row>
    <row r="816" spans="1:28">
      <c r="A816" s="3" t="s">
        <v>414</v>
      </c>
      <c r="D816" s="3" t="s">
        <v>4551</v>
      </c>
      <c r="E816" s="3" t="s">
        <v>4552</v>
      </c>
      <c r="F816" t="s">
        <v>3881</v>
      </c>
      <c r="J816" s="9" t="s">
        <v>8729</v>
      </c>
      <c r="S816" s="9" t="s">
        <v>8739</v>
      </c>
      <c r="T816" s="9" t="str">
        <f t="shared" ca="1" si="34"/>
        <v/>
      </c>
      <c r="U816" s="9" t="str">
        <f t="shared" ca="1" si="35"/>
        <v/>
      </c>
      <c r="AB816" s="9" t="s">
        <v>8697</v>
      </c>
    </row>
    <row r="817" spans="1:28">
      <c r="A817" s="3" t="s">
        <v>414</v>
      </c>
      <c r="D817" s="4" t="s">
        <v>2606</v>
      </c>
      <c r="E817" s="3" t="s">
        <v>2607</v>
      </c>
      <c r="F817" t="s">
        <v>3883</v>
      </c>
      <c r="T817" s="9" t="str">
        <f t="shared" ca="1" si="34"/>
        <v/>
      </c>
      <c r="U817" s="9" t="str">
        <f t="shared" ca="1" si="35"/>
        <v/>
      </c>
    </row>
    <row r="818" spans="1:28">
      <c r="A818" s="3" t="s">
        <v>415</v>
      </c>
      <c r="D818" s="3" t="s">
        <v>2167</v>
      </c>
      <c r="E818" s="3" t="s">
        <v>2168</v>
      </c>
      <c r="J818" s="9" t="s">
        <v>8729</v>
      </c>
      <c r="S818" s="9" t="s">
        <v>8739</v>
      </c>
      <c r="T818" s="9" t="str">
        <f t="shared" ca="1" si="34"/>
        <v/>
      </c>
      <c r="U818" s="9" t="str">
        <f t="shared" ca="1" si="35"/>
        <v/>
      </c>
      <c r="Z818" s="9" t="s">
        <v>8757</v>
      </c>
      <c r="AA818" s="9" t="s">
        <v>3884</v>
      </c>
      <c r="AB818" s="9" t="s">
        <v>8697</v>
      </c>
    </row>
    <row r="819" spans="1:28">
      <c r="A819" s="3" t="s">
        <v>415</v>
      </c>
      <c r="D819" s="3" t="s">
        <v>2608</v>
      </c>
      <c r="E819" s="3" t="s">
        <v>4553</v>
      </c>
      <c r="H819" t="s">
        <v>3892</v>
      </c>
      <c r="I819" t="s">
        <v>4554</v>
      </c>
      <c r="J819" s="9" t="s">
        <v>8731</v>
      </c>
      <c r="T819" s="9" t="str">
        <f t="shared" ca="1" si="34"/>
        <v/>
      </c>
      <c r="U819" s="9" t="str">
        <f t="shared" ca="1" si="35"/>
        <v/>
      </c>
    </row>
    <row r="820" spans="1:28">
      <c r="A820" s="3" t="s">
        <v>416</v>
      </c>
      <c r="D820" s="3" t="s">
        <v>2609</v>
      </c>
      <c r="E820" s="3" t="s">
        <v>2342</v>
      </c>
      <c r="J820" s="9" t="s">
        <v>8731</v>
      </c>
      <c r="T820" s="9" t="str">
        <f t="shared" ca="1" si="34"/>
        <v/>
      </c>
      <c r="U820" s="9" t="str">
        <f t="shared" ca="1" si="35"/>
        <v/>
      </c>
      <c r="Z820" s="9" t="s">
        <v>8742</v>
      </c>
      <c r="AA820" s="9" t="s">
        <v>3884</v>
      </c>
    </row>
    <row r="821" spans="1:28">
      <c r="A821" s="3" t="s">
        <v>416</v>
      </c>
      <c r="D821" s="3" t="s">
        <v>2610</v>
      </c>
      <c r="E821" s="3" t="s">
        <v>2610</v>
      </c>
      <c r="F821" t="s">
        <v>3932</v>
      </c>
      <c r="I821" t="s">
        <v>4555</v>
      </c>
      <c r="T821" s="9" t="str">
        <f t="shared" ca="1" si="34"/>
        <v/>
      </c>
      <c r="U821" s="9" t="str">
        <f t="shared" ca="1" si="35"/>
        <v/>
      </c>
    </row>
    <row r="822" spans="1:28">
      <c r="A822" s="3" t="s">
        <v>416</v>
      </c>
      <c r="D822" s="3" t="s">
        <v>2611</v>
      </c>
      <c r="E822" s="3" t="s">
        <v>2612</v>
      </c>
      <c r="J822" s="9" t="s">
        <v>8729</v>
      </c>
      <c r="S822" s="9" t="s">
        <v>8739</v>
      </c>
      <c r="T822" s="9" t="str">
        <f t="shared" ca="1" si="34"/>
        <v/>
      </c>
      <c r="U822" s="9" t="str">
        <f t="shared" ca="1" si="35"/>
        <v/>
      </c>
      <c r="Z822" s="9" t="s">
        <v>8757</v>
      </c>
      <c r="AA822" s="9" t="s">
        <v>3884</v>
      </c>
      <c r="AB822" s="9" t="s">
        <v>8697</v>
      </c>
    </row>
    <row r="823" spans="1:28">
      <c r="A823" s="3" t="s">
        <v>416</v>
      </c>
      <c r="D823" s="3" t="s">
        <v>2232</v>
      </c>
      <c r="E823" s="3" t="s">
        <v>2232</v>
      </c>
      <c r="F823" t="s">
        <v>3932</v>
      </c>
      <c r="I823" t="s">
        <v>3150</v>
      </c>
      <c r="T823" s="9" t="str">
        <f t="shared" ca="1" si="34"/>
        <v/>
      </c>
      <c r="U823" s="9" t="str">
        <f t="shared" ca="1" si="35"/>
        <v/>
      </c>
    </row>
    <row r="824" spans="1:28">
      <c r="A824" s="3" t="s">
        <v>416</v>
      </c>
      <c r="D824" s="3" t="s">
        <v>2613</v>
      </c>
      <c r="E824" s="3" t="s">
        <v>2613</v>
      </c>
      <c r="F824" t="s">
        <v>3932</v>
      </c>
      <c r="I824" t="s">
        <v>4556</v>
      </c>
      <c r="T824" s="9" t="str">
        <f t="shared" ca="1" si="34"/>
        <v/>
      </c>
      <c r="U824" s="9" t="str">
        <f t="shared" ca="1" si="35"/>
        <v/>
      </c>
    </row>
    <row r="825" spans="1:28">
      <c r="A825" s="3" t="s">
        <v>417</v>
      </c>
      <c r="D825" s="3" t="s">
        <v>4557</v>
      </c>
      <c r="E825" s="3" t="s">
        <v>4558</v>
      </c>
      <c r="J825" s="9" t="s">
        <v>3885</v>
      </c>
      <c r="K825" s="9">
        <v>1</v>
      </c>
      <c r="L825" s="9">
        <v>2</v>
      </c>
      <c r="M825" s="9" t="s">
        <v>8689</v>
      </c>
      <c r="N825" s="9" t="s">
        <v>8730</v>
      </c>
      <c r="R825" s="9">
        <v>10929</v>
      </c>
      <c r="T825" s="9" t="str">
        <f t="shared" ca="1" si="34"/>
        <v/>
      </c>
      <c r="U825" s="9" t="str">
        <f t="shared" ca="1" si="35"/>
        <v/>
      </c>
    </row>
    <row r="826" spans="1:28">
      <c r="A826" s="3" t="s">
        <v>417</v>
      </c>
      <c r="D826" s="3" t="s">
        <v>2614</v>
      </c>
      <c r="E826" s="3" t="s">
        <v>2605</v>
      </c>
      <c r="J826" s="9" t="s">
        <v>8729</v>
      </c>
      <c r="S826" s="9" t="s">
        <v>8739</v>
      </c>
      <c r="T826" s="9" t="str">
        <f t="shared" ca="1" si="34"/>
        <v/>
      </c>
      <c r="U826" s="9" t="str">
        <f t="shared" ca="1" si="35"/>
        <v/>
      </c>
      <c r="Y826" s="9" t="s">
        <v>8735</v>
      </c>
      <c r="AA826" s="9" t="s">
        <v>3884</v>
      </c>
    </row>
    <row r="827" spans="1:28">
      <c r="A827" s="3" t="s">
        <v>418</v>
      </c>
      <c r="D827" s="3" t="s">
        <v>4559</v>
      </c>
      <c r="E827" s="4" t="s">
        <v>4560</v>
      </c>
      <c r="F827" t="s">
        <v>3897</v>
      </c>
      <c r="I827" t="s">
        <v>9216</v>
      </c>
      <c r="J827" s="9" t="s">
        <v>3889</v>
      </c>
      <c r="K827" s="9">
        <v>1</v>
      </c>
      <c r="L827" s="9">
        <v>2</v>
      </c>
      <c r="M827" s="9" t="s">
        <v>8707</v>
      </c>
      <c r="N827" s="9" t="s">
        <v>8730</v>
      </c>
      <c r="R827" s="9">
        <v>519</v>
      </c>
      <c r="T827" s="9" t="str">
        <f t="shared" ca="1" si="34"/>
        <v/>
      </c>
      <c r="U827" s="9" t="str">
        <f t="shared" ca="1" si="35"/>
        <v/>
      </c>
      <c r="V827" s="9" t="s">
        <v>4</v>
      </c>
    </row>
    <row r="828" spans="1:28">
      <c r="A828" s="3" t="s">
        <v>419</v>
      </c>
      <c r="D828" s="4" t="s">
        <v>4561</v>
      </c>
      <c r="E828" s="3" t="s">
        <v>4562</v>
      </c>
      <c r="F828" t="s">
        <v>3883</v>
      </c>
      <c r="T828" s="9" t="str">
        <f t="shared" ca="1" si="34"/>
        <v/>
      </c>
      <c r="U828" s="9" t="str">
        <f t="shared" ca="1" si="35"/>
        <v/>
      </c>
    </row>
    <row r="829" spans="1:28">
      <c r="A829" s="3" t="s">
        <v>420</v>
      </c>
      <c r="D829" s="3" t="s">
        <v>4563</v>
      </c>
      <c r="E829" s="3" t="s">
        <v>4563</v>
      </c>
      <c r="F829" t="s">
        <v>3932</v>
      </c>
      <c r="I829" t="s">
        <v>4564</v>
      </c>
      <c r="T829" s="9" t="str">
        <f t="shared" ca="1" si="34"/>
        <v/>
      </c>
      <c r="U829" s="9" t="str">
        <f t="shared" ca="1" si="35"/>
        <v/>
      </c>
    </row>
    <row r="830" spans="1:28">
      <c r="A830" s="3" t="s">
        <v>420</v>
      </c>
      <c r="D830" s="3" t="s">
        <v>2615</v>
      </c>
      <c r="E830" s="3" t="s">
        <v>2618</v>
      </c>
      <c r="H830" t="s">
        <v>3884</v>
      </c>
      <c r="J830" s="9" t="s">
        <v>8729</v>
      </c>
      <c r="S830" s="9" t="s">
        <v>8739</v>
      </c>
      <c r="T830" s="9" t="str">
        <f t="shared" ca="1" si="34"/>
        <v/>
      </c>
      <c r="U830" s="9" t="str">
        <f t="shared" ca="1" si="35"/>
        <v/>
      </c>
      <c r="Y830" s="9" t="s">
        <v>8735</v>
      </c>
      <c r="Z830" s="9" t="s">
        <v>8742</v>
      </c>
      <c r="AA830" s="9" t="s">
        <v>3884</v>
      </c>
    </row>
    <row r="831" spans="1:28">
      <c r="A831" s="3" t="s">
        <v>421</v>
      </c>
      <c r="D831" s="3" t="s">
        <v>4565</v>
      </c>
      <c r="E831" s="3" t="s">
        <v>4566</v>
      </c>
      <c r="H831" t="s">
        <v>3884</v>
      </c>
      <c r="J831" s="9" t="s">
        <v>3885</v>
      </c>
      <c r="K831" s="9">
        <v>1</v>
      </c>
      <c r="L831" s="9">
        <v>1</v>
      </c>
      <c r="M831" s="9" t="s">
        <v>8683</v>
      </c>
      <c r="N831" s="9" t="s">
        <v>8730</v>
      </c>
      <c r="R831" s="9">
        <v>42</v>
      </c>
      <c r="T831" s="9" t="str">
        <f t="shared" ca="1" si="34"/>
        <v/>
      </c>
      <c r="U831" s="9" t="str">
        <f t="shared" ca="1" si="35"/>
        <v/>
      </c>
      <c r="AB831" s="9" t="s">
        <v>8694</v>
      </c>
    </row>
    <row r="832" spans="1:28">
      <c r="A832" s="3" t="s">
        <v>422</v>
      </c>
      <c r="D832" s="3" t="s">
        <v>4567</v>
      </c>
      <c r="E832" s="3" t="s">
        <v>4568</v>
      </c>
      <c r="J832" s="9" t="s">
        <v>8731</v>
      </c>
      <c r="T832" s="9" t="str">
        <f t="shared" ca="1" si="34"/>
        <v/>
      </c>
      <c r="U832" s="9" t="str">
        <f t="shared" ca="1" si="35"/>
        <v/>
      </c>
    </row>
    <row r="833" spans="1:28">
      <c r="A833" s="3" t="s">
        <v>422</v>
      </c>
      <c r="D833" s="3" t="s">
        <v>2620</v>
      </c>
      <c r="E833" s="3" t="s">
        <v>2623</v>
      </c>
      <c r="J833" s="9" t="s">
        <v>8729</v>
      </c>
      <c r="S833" s="9" t="s">
        <v>8739</v>
      </c>
      <c r="T833" s="9" t="str">
        <f t="shared" ca="1" si="34"/>
        <v/>
      </c>
      <c r="U833" s="9" t="str">
        <f t="shared" ca="1" si="35"/>
        <v/>
      </c>
      <c r="Z833" s="9" t="s">
        <v>8804</v>
      </c>
      <c r="AA833" s="9" t="s">
        <v>3884</v>
      </c>
      <c r="AB833" s="9" t="s">
        <v>8697</v>
      </c>
    </row>
    <row r="834" spans="1:28">
      <c r="A834" s="3" t="s">
        <v>422</v>
      </c>
      <c r="D834" s="3" t="s">
        <v>2621</v>
      </c>
      <c r="E834" s="3" t="s">
        <v>2624</v>
      </c>
      <c r="J834" s="9" t="s">
        <v>8729</v>
      </c>
      <c r="S834" s="9" t="s">
        <v>8730</v>
      </c>
      <c r="T834" s="9" t="str">
        <f t="shared" ca="1" si="34"/>
        <v/>
      </c>
      <c r="U834" s="9" t="str">
        <f t="shared" ca="1" si="35"/>
        <v/>
      </c>
      <c r="Y834" s="9" t="s">
        <v>8735</v>
      </c>
      <c r="AA834" s="9" t="s">
        <v>3884</v>
      </c>
      <c r="AB834" s="9" t="s">
        <v>8688</v>
      </c>
    </row>
    <row r="835" spans="1:28">
      <c r="A835" s="3" t="s">
        <v>423</v>
      </c>
      <c r="D835" s="3" t="s">
        <v>2159</v>
      </c>
      <c r="E835" s="3" t="s">
        <v>2159</v>
      </c>
      <c r="F835" t="s">
        <v>3932</v>
      </c>
      <c r="I835" t="s">
        <v>2175</v>
      </c>
      <c r="T835" s="9" t="str">
        <f t="shared" ca="1" si="34"/>
        <v/>
      </c>
      <c r="U835" s="9" t="str">
        <f t="shared" ca="1" si="35"/>
        <v/>
      </c>
    </row>
    <row r="836" spans="1:28">
      <c r="A836" s="3" t="s">
        <v>423</v>
      </c>
      <c r="D836" s="3" t="s">
        <v>2406</v>
      </c>
      <c r="E836" s="3" t="s">
        <v>2407</v>
      </c>
      <c r="J836" s="9" t="s">
        <v>8729</v>
      </c>
      <c r="S836" s="9" t="s">
        <v>8730</v>
      </c>
      <c r="T836" s="9" t="str">
        <f t="shared" ca="1" si="34"/>
        <v/>
      </c>
      <c r="U836" s="9" t="str">
        <f t="shared" ca="1" si="35"/>
        <v/>
      </c>
      <c r="Z836" s="9" t="s">
        <v>8742</v>
      </c>
      <c r="AA836" s="9" t="s">
        <v>3884</v>
      </c>
      <c r="AB836" s="9" t="s">
        <v>8697</v>
      </c>
    </row>
    <row r="837" spans="1:28">
      <c r="A837" s="3" t="s">
        <v>424</v>
      </c>
      <c r="D837" s="3" t="s">
        <v>4569</v>
      </c>
      <c r="E837" s="3" t="s">
        <v>4570</v>
      </c>
      <c r="H837" t="s">
        <v>3884</v>
      </c>
      <c r="J837" s="9" t="s">
        <v>3885</v>
      </c>
      <c r="K837" s="9">
        <v>1</v>
      </c>
      <c r="L837" s="9">
        <v>3</v>
      </c>
      <c r="M837" s="9" t="s">
        <v>8689</v>
      </c>
      <c r="N837" s="9" t="s">
        <v>8690</v>
      </c>
      <c r="R837" s="9">
        <v>10929</v>
      </c>
      <c r="T837" s="9" t="str">
        <f t="shared" ca="1" si="34"/>
        <v/>
      </c>
      <c r="U837" s="9" t="str">
        <f t="shared" ca="1" si="35"/>
        <v/>
      </c>
    </row>
    <row r="838" spans="1:28">
      <c r="A838" s="3" t="s">
        <v>425</v>
      </c>
      <c r="D838" s="3" t="s">
        <v>2626</v>
      </c>
      <c r="E838" s="3" t="s">
        <v>2628</v>
      </c>
      <c r="J838" s="9" t="s">
        <v>8729</v>
      </c>
      <c r="S838" s="9" t="s">
        <v>8739</v>
      </c>
      <c r="T838" s="9" t="str">
        <f t="shared" ref="T838:T901" ca="1" si="36">IF(ISNUMBER(S838),VALUE(MID(_xlfn.FORMULATEXT(S838),SEARCH("-",_xlfn.FORMULATEXT(S838))+1,LEN(_xlfn.FORMULATEXT(S838))-SEARCH("-",_xlfn.FORMULATEXT(S838)))), "")</f>
        <v/>
      </c>
      <c r="U838" s="9" t="str">
        <f t="shared" ref="U838:U901" ca="1" si="37">IF(ISNUMBER(S838), VALUE(MID(_xlfn.FORMULATEXT(S838), 2, SEARCH("-", _xlfn.FORMULATEXT(S838)) - 2)), "")</f>
        <v/>
      </c>
      <c r="Z838" s="9" t="s">
        <v>8741</v>
      </c>
      <c r="AA838" s="9" t="s">
        <v>3884</v>
      </c>
    </row>
    <row r="839" spans="1:28" ht="130.5">
      <c r="A839" s="3" t="s">
        <v>426</v>
      </c>
      <c r="D839" s="3" t="s">
        <v>4571</v>
      </c>
      <c r="E839" s="3" t="s">
        <v>4572</v>
      </c>
      <c r="H839" t="s">
        <v>3884</v>
      </c>
      <c r="I839" t="s">
        <v>8951</v>
      </c>
      <c r="J839" s="9" t="s">
        <v>3889</v>
      </c>
      <c r="K839" s="9">
        <v>19</v>
      </c>
      <c r="L839" s="9">
        <v>93</v>
      </c>
      <c r="N839" s="9" t="s">
        <v>8684</v>
      </c>
      <c r="O839" s="9" t="s">
        <v>8944</v>
      </c>
      <c r="P839" s="10" t="s">
        <v>8950</v>
      </c>
      <c r="R839" s="9">
        <v>11</v>
      </c>
      <c r="T839" s="9" t="str">
        <f t="shared" ca="1" si="36"/>
        <v/>
      </c>
      <c r="U839" s="9" t="str">
        <f t="shared" ca="1" si="37"/>
        <v/>
      </c>
    </row>
    <row r="840" spans="1:28">
      <c r="A840" s="3" t="s">
        <v>427</v>
      </c>
      <c r="D840" s="3" t="s">
        <v>2632</v>
      </c>
      <c r="E840" s="3" t="s">
        <v>2632</v>
      </c>
      <c r="F840" t="s">
        <v>3932</v>
      </c>
      <c r="I840" t="s">
        <v>4573</v>
      </c>
      <c r="T840" s="9" t="str">
        <f t="shared" ca="1" si="36"/>
        <v/>
      </c>
      <c r="U840" s="9" t="str">
        <f t="shared" ca="1" si="37"/>
        <v/>
      </c>
    </row>
    <row r="841" spans="1:28">
      <c r="A841" s="3" t="s">
        <v>427</v>
      </c>
      <c r="D841" s="3" t="s">
        <v>2633</v>
      </c>
      <c r="E841" s="3" t="s">
        <v>2636</v>
      </c>
      <c r="J841" s="9" t="s">
        <v>8731</v>
      </c>
      <c r="T841" s="9" t="str">
        <f t="shared" ca="1" si="36"/>
        <v/>
      </c>
      <c r="U841" s="9" t="str">
        <f t="shared" ca="1" si="37"/>
        <v/>
      </c>
      <c r="Z841" s="9" t="s">
        <v>8747</v>
      </c>
      <c r="AA841" s="9" t="s">
        <v>3884</v>
      </c>
      <c r="AB841" s="9" t="s">
        <v>8697</v>
      </c>
    </row>
    <row r="842" spans="1:28">
      <c r="A842" s="3" t="s">
        <v>427</v>
      </c>
      <c r="D842" s="3" t="s">
        <v>2634</v>
      </c>
      <c r="E842" s="3" t="s">
        <v>2638</v>
      </c>
      <c r="J842" s="9" t="s">
        <v>8729</v>
      </c>
      <c r="S842" s="9" t="s">
        <v>8730</v>
      </c>
      <c r="T842" s="9" t="str">
        <f t="shared" ca="1" si="36"/>
        <v/>
      </c>
      <c r="U842" s="9" t="str">
        <f t="shared" ca="1" si="37"/>
        <v/>
      </c>
      <c r="Z842" s="9" t="s">
        <v>8741</v>
      </c>
      <c r="AA842" s="9" t="s">
        <v>3884</v>
      </c>
      <c r="AB842" s="9" t="s">
        <v>8697</v>
      </c>
    </row>
    <row r="843" spans="1:28">
      <c r="A843" s="3" t="s">
        <v>427</v>
      </c>
      <c r="D843" s="3" t="s">
        <v>2635</v>
      </c>
      <c r="E843" s="3" t="s">
        <v>2159</v>
      </c>
      <c r="H843" t="s">
        <v>3892</v>
      </c>
      <c r="I843" t="s">
        <v>2175</v>
      </c>
      <c r="J843" s="9" t="s">
        <v>8731</v>
      </c>
      <c r="T843" s="9" t="str">
        <f t="shared" ca="1" si="36"/>
        <v/>
      </c>
      <c r="U843" s="9" t="str">
        <f t="shared" ca="1" si="37"/>
        <v/>
      </c>
    </row>
    <row r="844" spans="1:28">
      <c r="A844" s="3" t="s">
        <v>427</v>
      </c>
      <c r="D844" s="3" t="s">
        <v>4574</v>
      </c>
      <c r="E844" s="3" t="s">
        <v>4575</v>
      </c>
      <c r="F844" t="s">
        <v>3932</v>
      </c>
      <c r="I844" t="s">
        <v>4576</v>
      </c>
      <c r="T844" s="9" t="str">
        <f t="shared" ca="1" si="36"/>
        <v/>
      </c>
      <c r="U844" s="9" t="str">
        <f t="shared" ca="1" si="37"/>
        <v/>
      </c>
    </row>
    <row r="845" spans="1:28">
      <c r="A845" s="3" t="s">
        <v>428</v>
      </c>
      <c r="D845" s="3" t="s">
        <v>8953</v>
      </c>
      <c r="E845" s="3" t="s">
        <v>8952</v>
      </c>
      <c r="J845" s="9" t="s">
        <v>3885</v>
      </c>
      <c r="K845" s="9">
        <v>1</v>
      </c>
      <c r="L845" s="9">
        <v>3</v>
      </c>
      <c r="M845" s="9" t="s">
        <v>8705</v>
      </c>
      <c r="N845" s="9" t="s">
        <v>8690</v>
      </c>
      <c r="R845" s="9">
        <v>1485</v>
      </c>
      <c r="T845" s="9" t="str">
        <f t="shared" ca="1" si="36"/>
        <v/>
      </c>
      <c r="U845" s="9" t="str">
        <f t="shared" ca="1" si="37"/>
        <v/>
      </c>
    </row>
    <row r="846" spans="1:28">
      <c r="A846" s="3" t="s">
        <v>428</v>
      </c>
      <c r="D846" s="3" t="s">
        <v>2637</v>
      </c>
      <c r="E846" s="3" t="s">
        <v>2640</v>
      </c>
      <c r="J846" s="9" t="s">
        <v>8731</v>
      </c>
      <c r="T846" s="9" t="str">
        <f t="shared" ca="1" si="36"/>
        <v/>
      </c>
      <c r="U846" s="9" t="str">
        <f t="shared" ca="1" si="37"/>
        <v/>
      </c>
      <c r="Z846" s="9" t="s">
        <v>8742</v>
      </c>
      <c r="AA846" s="9" t="s">
        <v>3884</v>
      </c>
      <c r="AB846" s="9" t="s">
        <v>8697</v>
      </c>
    </row>
    <row r="847" spans="1:28">
      <c r="A847" s="3" t="s">
        <v>428</v>
      </c>
      <c r="D847" s="3" t="s">
        <v>2639</v>
      </c>
      <c r="E847" s="3" t="s">
        <v>2641</v>
      </c>
      <c r="J847" s="9" t="s">
        <v>8731</v>
      </c>
      <c r="T847" s="9" t="str">
        <f t="shared" ca="1" si="36"/>
        <v/>
      </c>
      <c r="U847" s="9" t="str">
        <f t="shared" ca="1" si="37"/>
        <v/>
      </c>
      <c r="Z847" s="9" t="s">
        <v>8742</v>
      </c>
      <c r="AA847" s="9" t="s">
        <v>3884</v>
      </c>
    </row>
    <row r="848" spans="1:28">
      <c r="A848" s="3" t="s">
        <v>428</v>
      </c>
      <c r="D848" s="3" t="s">
        <v>4577</v>
      </c>
      <c r="E848" s="3" t="s">
        <v>4578</v>
      </c>
      <c r="J848" s="9" t="s">
        <v>8729</v>
      </c>
      <c r="S848" s="9" t="s">
        <v>8739</v>
      </c>
      <c r="T848" s="9" t="str">
        <f t="shared" ca="1" si="36"/>
        <v/>
      </c>
      <c r="U848" s="9" t="str">
        <f t="shared" ca="1" si="37"/>
        <v/>
      </c>
      <c r="AB848" s="9" t="s">
        <v>8688</v>
      </c>
    </row>
    <row r="849" spans="1:28">
      <c r="A849" s="3" t="s">
        <v>429</v>
      </c>
      <c r="D849" s="3" t="s">
        <v>2642</v>
      </c>
      <c r="E849" s="3" t="s">
        <v>2643</v>
      </c>
      <c r="J849" s="9" t="s">
        <v>8731</v>
      </c>
      <c r="T849" s="9" t="str">
        <f t="shared" ca="1" si="36"/>
        <v/>
      </c>
      <c r="U849" s="9" t="str">
        <f t="shared" ca="1" si="37"/>
        <v/>
      </c>
      <c r="Z849" s="9" t="s">
        <v>8741</v>
      </c>
      <c r="AA849" s="9" t="s">
        <v>3884</v>
      </c>
    </row>
    <row r="850" spans="1:28">
      <c r="A850" s="3" t="s">
        <v>430</v>
      </c>
      <c r="D850" s="3" t="s">
        <v>4579</v>
      </c>
      <c r="E850" s="3" t="s">
        <v>4580</v>
      </c>
      <c r="H850" t="s">
        <v>3884</v>
      </c>
      <c r="J850" s="9" t="s">
        <v>3885</v>
      </c>
      <c r="K850" s="9">
        <v>1</v>
      </c>
      <c r="L850" s="9">
        <v>2</v>
      </c>
      <c r="M850" s="9" t="s">
        <v>8698</v>
      </c>
      <c r="N850" s="9" t="s">
        <v>8730</v>
      </c>
      <c r="Q850" s="9" t="s">
        <v>8685</v>
      </c>
      <c r="R850" s="9">
        <v>1</v>
      </c>
      <c r="T850" s="9" t="str">
        <f t="shared" ca="1" si="36"/>
        <v/>
      </c>
      <c r="U850" s="9" t="str">
        <f t="shared" ca="1" si="37"/>
        <v/>
      </c>
    </row>
    <row r="851" spans="1:28">
      <c r="A851" s="3" t="s">
        <v>431</v>
      </c>
      <c r="D851" s="3" t="s">
        <v>4581</v>
      </c>
      <c r="E851" s="3" t="s">
        <v>4582</v>
      </c>
      <c r="J851" s="9" t="s">
        <v>8732</v>
      </c>
      <c r="S851" s="9">
        <f>1443-340</f>
        <v>1103</v>
      </c>
      <c r="T851" s="9">
        <f t="shared" ca="1" si="36"/>
        <v>340</v>
      </c>
      <c r="U851" s="9">
        <f t="shared" ca="1" si="37"/>
        <v>1443</v>
      </c>
    </row>
    <row r="852" spans="1:28">
      <c r="A852" s="3" t="s">
        <v>432</v>
      </c>
      <c r="D852" s="3" t="s">
        <v>4583</v>
      </c>
      <c r="E852" s="3" t="s">
        <v>4584</v>
      </c>
      <c r="H852" t="s">
        <v>3884</v>
      </c>
      <c r="J852" s="9" t="s">
        <v>3889</v>
      </c>
      <c r="K852" s="9">
        <v>1</v>
      </c>
      <c r="L852" s="9">
        <v>3</v>
      </c>
      <c r="M852" s="9" t="s">
        <v>8705</v>
      </c>
      <c r="N852" s="9" t="s">
        <v>8690</v>
      </c>
      <c r="R852" s="9">
        <v>1443</v>
      </c>
      <c r="T852" s="9" t="str">
        <f t="shared" ca="1" si="36"/>
        <v/>
      </c>
      <c r="U852" s="9" t="str">
        <f t="shared" ca="1" si="37"/>
        <v/>
      </c>
    </row>
    <row r="853" spans="1:28">
      <c r="A853" s="3" t="s">
        <v>432</v>
      </c>
      <c r="D853" s="3" t="s">
        <v>2646</v>
      </c>
      <c r="E853" s="3" t="s">
        <v>2647</v>
      </c>
      <c r="J853" s="9" t="s">
        <v>8729</v>
      </c>
      <c r="S853" s="9" t="s">
        <v>8739</v>
      </c>
      <c r="T853" s="9" t="str">
        <f t="shared" ca="1" si="36"/>
        <v/>
      </c>
      <c r="U853" s="9" t="str">
        <f t="shared" ca="1" si="37"/>
        <v/>
      </c>
      <c r="Z853" s="9" t="s">
        <v>8741</v>
      </c>
      <c r="AA853" s="9" t="s">
        <v>3884</v>
      </c>
      <c r="AB853" s="9" t="s">
        <v>8697</v>
      </c>
    </row>
    <row r="854" spans="1:28">
      <c r="A854" s="3" t="s">
        <v>433</v>
      </c>
      <c r="D854" s="3" t="s">
        <v>4585</v>
      </c>
      <c r="E854" s="3" t="s">
        <v>4586</v>
      </c>
      <c r="J854" s="9" t="s">
        <v>3885</v>
      </c>
      <c r="K854" s="9">
        <v>1</v>
      </c>
      <c r="L854" s="9">
        <v>4</v>
      </c>
      <c r="M854" s="9" t="s">
        <v>8689</v>
      </c>
      <c r="N854" s="9" t="s">
        <v>8690</v>
      </c>
      <c r="R854" s="9">
        <v>10929</v>
      </c>
      <c r="T854" s="9" t="str">
        <f t="shared" ca="1" si="36"/>
        <v/>
      </c>
      <c r="U854" s="9" t="str">
        <f t="shared" ca="1" si="37"/>
        <v/>
      </c>
    </row>
    <row r="855" spans="1:28">
      <c r="A855" s="3" t="s">
        <v>433</v>
      </c>
      <c r="D855" s="3" t="s">
        <v>8954</v>
      </c>
      <c r="E855" s="3" t="s">
        <v>8955</v>
      </c>
      <c r="J855" s="9" t="s">
        <v>3885</v>
      </c>
      <c r="K855" s="9">
        <v>1</v>
      </c>
      <c r="L855" s="9">
        <v>1</v>
      </c>
      <c r="M855" s="9" t="s">
        <v>8689</v>
      </c>
      <c r="N855" s="9" t="s">
        <v>8730</v>
      </c>
      <c r="R855" s="9">
        <v>10929</v>
      </c>
      <c r="T855" s="9" t="str">
        <f t="shared" ca="1" si="36"/>
        <v/>
      </c>
      <c r="U855" s="9" t="str">
        <f t="shared" ca="1" si="37"/>
        <v/>
      </c>
    </row>
    <row r="856" spans="1:28" ht="43.5">
      <c r="A856" s="3" t="s">
        <v>434</v>
      </c>
      <c r="D856" s="3" t="s">
        <v>4587</v>
      </c>
      <c r="E856" s="3" t="s">
        <v>4587</v>
      </c>
      <c r="F856" t="s">
        <v>3932</v>
      </c>
      <c r="I856" s="3" t="s">
        <v>4588</v>
      </c>
      <c r="T856" s="9" t="str">
        <f t="shared" ca="1" si="36"/>
        <v/>
      </c>
      <c r="U856" s="9" t="str">
        <f t="shared" ca="1" si="37"/>
        <v/>
      </c>
    </row>
    <row r="857" spans="1:28">
      <c r="A857" s="3" t="s">
        <v>434</v>
      </c>
      <c r="D857" s="3" t="s">
        <v>4589</v>
      </c>
      <c r="E857" s="3" t="s">
        <v>4590</v>
      </c>
      <c r="J857" s="9" t="s">
        <v>8732</v>
      </c>
      <c r="S857" s="9">
        <f>645-10929</f>
        <v>-10284</v>
      </c>
      <c r="T857" s="9">
        <f t="shared" ca="1" si="36"/>
        <v>10929</v>
      </c>
      <c r="U857" s="9">
        <f t="shared" ca="1" si="37"/>
        <v>645</v>
      </c>
    </row>
    <row r="858" spans="1:28">
      <c r="A858" s="3" t="s">
        <v>434</v>
      </c>
      <c r="D858" s="3" t="s">
        <v>4591</v>
      </c>
      <c r="E858" s="3" t="s">
        <v>4592</v>
      </c>
      <c r="J858" s="9" t="s">
        <v>8731</v>
      </c>
      <c r="T858" s="9" t="str">
        <f t="shared" ca="1" si="36"/>
        <v/>
      </c>
      <c r="U858" s="9" t="str">
        <f t="shared" ca="1" si="37"/>
        <v/>
      </c>
    </row>
    <row r="859" spans="1:28" ht="29">
      <c r="A859" s="3" t="s">
        <v>434</v>
      </c>
      <c r="D859" s="3" t="s">
        <v>9596</v>
      </c>
      <c r="E859" s="3" t="s">
        <v>9597</v>
      </c>
      <c r="J859" s="9" t="s">
        <v>3889</v>
      </c>
      <c r="K859" s="9">
        <v>1</v>
      </c>
      <c r="L859" s="9">
        <v>2</v>
      </c>
      <c r="M859" s="9" t="s">
        <v>8689</v>
      </c>
      <c r="N859" s="9" t="s">
        <v>8730</v>
      </c>
      <c r="R859" s="9">
        <v>10929</v>
      </c>
      <c r="T859" s="9" t="str">
        <f t="shared" ca="1" si="36"/>
        <v/>
      </c>
      <c r="U859" s="9" t="str">
        <f t="shared" ca="1" si="37"/>
        <v/>
      </c>
    </row>
    <row r="860" spans="1:28">
      <c r="A860" s="3" t="s">
        <v>434</v>
      </c>
      <c r="D860" s="3" t="s">
        <v>9599</v>
      </c>
      <c r="E860" s="3" t="s">
        <v>9598</v>
      </c>
      <c r="F860" t="s">
        <v>3881</v>
      </c>
      <c r="T860" s="9" t="str">
        <f t="shared" ca="1" si="36"/>
        <v/>
      </c>
      <c r="U860" s="9" t="str">
        <f t="shared" ca="1" si="37"/>
        <v/>
      </c>
    </row>
    <row r="861" spans="1:28">
      <c r="A861" s="3" t="s">
        <v>435</v>
      </c>
      <c r="D861" s="3" t="s">
        <v>2650</v>
      </c>
      <c r="E861" s="3" t="s">
        <v>2651</v>
      </c>
      <c r="J861" s="9" t="s">
        <v>8731</v>
      </c>
      <c r="T861" s="9" t="str">
        <f t="shared" ca="1" si="36"/>
        <v/>
      </c>
      <c r="U861" s="9" t="str">
        <f t="shared" ca="1" si="37"/>
        <v/>
      </c>
      <c r="Z861" s="9" t="s">
        <v>8741</v>
      </c>
      <c r="AA861" s="9" t="s">
        <v>3884</v>
      </c>
      <c r="AB861" s="9" t="s">
        <v>8697</v>
      </c>
    </row>
    <row r="862" spans="1:28">
      <c r="A862" s="3" t="s">
        <v>436</v>
      </c>
      <c r="D862" s="3" t="s">
        <v>4593</v>
      </c>
      <c r="E862" s="3" t="s">
        <v>4594</v>
      </c>
      <c r="G862" t="s">
        <v>3884</v>
      </c>
      <c r="J862" s="9" t="s">
        <v>8729</v>
      </c>
      <c r="S862" s="9" t="s">
        <v>8739</v>
      </c>
      <c r="T862" s="9" t="str">
        <f t="shared" ca="1" si="36"/>
        <v/>
      </c>
      <c r="U862" s="9" t="str">
        <f t="shared" ca="1" si="37"/>
        <v/>
      </c>
      <c r="AB862" s="9" t="s">
        <v>8688</v>
      </c>
    </row>
    <row r="863" spans="1:28">
      <c r="A863" s="3" t="s">
        <v>437</v>
      </c>
      <c r="D863" s="3" t="s">
        <v>4596</v>
      </c>
      <c r="E863" s="3" t="s">
        <v>4595</v>
      </c>
      <c r="G863" t="s">
        <v>3884</v>
      </c>
      <c r="J863" s="9" t="s">
        <v>3889</v>
      </c>
      <c r="K863" s="9">
        <v>1</v>
      </c>
      <c r="L863" s="9">
        <v>3</v>
      </c>
      <c r="M863" s="9" t="s">
        <v>8705</v>
      </c>
      <c r="N863" s="9" t="s">
        <v>8690</v>
      </c>
      <c r="R863" s="9">
        <v>1485</v>
      </c>
      <c r="T863" s="9" t="str">
        <f t="shared" ca="1" si="36"/>
        <v/>
      </c>
      <c r="U863" s="9" t="str">
        <f t="shared" ca="1" si="37"/>
        <v/>
      </c>
    </row>
    <row r="864" spans="1:28">
      <c r="A864" s="3" t="s">
        <v>437</v>
      </c>
      <c r="D864" s="4" t="s">
        <v>4597</v>
      </c>
      <c r="E864" s="3" t="s">
        <v>4595</v>
      </c>
      <c r="F864" t="s">
        <v>3883</v>
      </c>
      <c r="T864" s="9" t="str">
        <f t="shared" ca="1" si="36"/>
        <v/>
      </c>
      <c r="U864" s="9" t="str">
        <f t="shared" ca="1" si="37"/>
        <v/>
      </c>
    </row>
    <row r="865" spans="1:28">
      <c r="A865" s="3" t="s">
        <v>438</v>
      </c>
      <c r="D865" s="3" t="s">
        <v>3112</v>
      </c>
      <c r="E865" s="3" t="s">
        <v>2652</v>
      </c>
      <c r="H865" t="s">
        <v>3884</v>
      </c>
      <c r="J865" s="9" t="s">
        <v>8729</v>
      </c>
      <c r="S865" s="9" t="s">
        <v>8739</v>
      </c>
      <c r="T865" s="9" t="str">
        <f t="shared" ca="1" si="36"/>
        <v/>
      </c>
      <c r="U865" s="9" t="str">
        <f t="shared" ca="1" si="37"/>
        <v/>
      </c>
      <c r="AB865" s="9" t="s">
        <v>8688</v>
      </c>
    </row>
    <row r="866" spans="1:28">
      <c r="A866" s="3" t="s">
        <v>438</v>
      </c>
      <c r="D866" s="3" t="s">
        <v>2653</v>
      </c>
      <c r="E866" s="3" t="s">
        <v>2653</v>
      </c>
      <c r="F866" t="s">
        <v>3932</v>
      </c>
      <c r="I866" t="s">
        <v>3141</v>
      </c>
      <c r="T866" s="9" t="str">
        <f t="shared" ca="1" si="36"/>
        <v/>
      </c>
      <c r="U866" s="9" t="str">
        <f t="shared" ca="1" si="37"/>
        <v/>
      </c>
    </row>
    <row r="867" spans="1:28" ht="29">
      <c r="A867" s="3" t="s">
        <v>439</v>
      </c>
      <c r="D867" s="4" t="s">
        <v>4598</v>
      </c>
      <c r="E867" s="3" t="s">
        <v>4599</v>
      </c>
      <c r="F867" t="s">
        <v>3883</v>
      </c>
      <c r="T867" s="9" t="str">
        <f t="shared" ca="1" si="36"/>
        <v/>
      </c>
      <c r="U867" s="9" t="str">
        <f t="shared" ca="1" si="37"/>
        <v/>
      </c>
    </row>
    <row r="868" spans="1:28">
      <c r="A868" s="3" t="s">
        <v>440</v>
      </c>
      <c r="D868" s="3" t="s">
        <v>2654</v>
      </c>
      <c r="E868" s="3" t="s">
        <v>2655</v>
      </c>
      <c r="J868" s="9" t="s">
        <v>8729</v>
      </c>
      <c r="S868" s="9" t="s">
        <v>8739</v>
      </c>
      <c r="T868" s="9" t="str">
        <f t="shared" ca="1" si="36"/>
        <v/>
      </c>
      <c r="U868" s="9" t="str">
        <f t="shared" ca="1" si="37"/>
        <v/>
      </c>
      <c r="Z868" s="9" t="s">
        <v>8742</v>
      </c>
      <c r="AA868" s="9" t="s">
        <v>3884</v>
      </c>
      <c r="AB868" s="9" t="s">
        <v>8697</v>
      </c>
    </row>
    <row r="869" spans="1:28">
      <c r="A869" s="3" t="s">
        <v>441</v>
      </c>
      <c r="D869" s="3" t="s">
        <v>2637</v>
      </c>
      <c r="E869" s="3" t="s">
        <v>2640</v>
      </c>
      <c r="J869" s="9" t="s">
        <v>8731</v>
      </c>
      <c r="T869" s="9" t="str">
        <f t="shared" ca="1" si="36"/>
        <v/>
      </c>
      <c r="U869" s="9" t="str">
        <f t="shared" ca="1" si="37"/>
        <v/>
      </c>
      <c r="Z869" s="9" t="s">
        <v>8742</v>
      </c>
      <c r="AA869" s="9" t="s">
        <v>3884</v>
      </c>
      <c r="AB869" s="9" t="s">
        <v>8697</v>
      </c>
    </row>
    <row r="870" spans="1:28">
      <c r="A870" s="3" t="s">
        <v>442</v>
      </c>
      <c r="D870" s="3" t="s">
        <v>2263</v>
      </c>
      <c r="E870" s="3" t="s">
        <v>2264</v>
      </c>
      <c r="J870" s="9" t="s">
        <v>8731</v>
      </c>
      <c r="P870" s="9"/>
      <c r="T870" s="9" t="str">
        <f t="shared" ca="1" si="36"/>
        <v/>
      </c>
      <c r="U870" s="9" t="str">
        <f t="shared" ca="1" si="37"/>
        <v/>
      </c>
      <c r="Z870" s="9" t="s">
        <v>8741</v>
      </c>
      <c r="AA870" s="9" t="s">
        <v>3884</v>
      </c>
    </row>
    <row r="871" spans="1:28">
      <c r="A871" s="3" t="s">
        <v>442</v>
      </c>
      <c r="D871" s="3" t="s">
        <v>2442</v>
      </c>
      <c r="E871" s="3" t="s">
        <v>2656</v>
      </c>
      <c r="H871" t="s">
        <v>3892</v>
      </c>
      <c r="J871" s="9" t="s">
        <v>8729</v>
      </c>
      <c r="S871" s="9" t="s">
        <v>8730</v>
      </c>
      <c r="T871" s="9" t="str">
        <f t="shared" ca="1" si="36"/>
        <v/>
      </c>
      <c r="U871" s="9" t="str">
        <f t="shared" ca="1" si="37"/>
        <v/>
      </c>
      <c r="Y871" s="9" t="s">
        <v>9282</v>
      </c>
      <c r="AA871" s="9" t="s">
        <v>3884</v>
      </c>
      <c r="AB871" s="9" t="s">
        <v>8688</v>
      </c>
    </row>
    <row r="872" spans="1:28">
      <c r="A872" s="3" t="s">
        <v>442</v>
      </c>
      <c r="D872" s="3" t="s">
        <v>2657</v>
      </c>
      <c r="E872" s="3" t="s">
        <v>2658</v>
      </c>
      <c r="J872" s="9" t="s">
        <v>8729</v>
      </c>
      <c r="S872" s="9" t="s">
        <v>8730</v>
      </c>
      <c r="T872" s="9" t="str">
        <f t="shared" ca="1" si="36"/>
        <v/>
      </c>
      <c r="U872" s="9" t="str">
        <f t="shared" ca="1" si="37"/>
        <v/>
      </c>
      <c r="Z872" s="9" t="s">
        <v>8742</v>
      </c>
      <c r="AA872" s="9" t="s">
        <v>3884</v>
      </c>
      <c r="AB872" s="9" t="s">
        <v>8697</v>
      </c>
    </row>
    <row r="873" spans="1:28">
      <c r="A873" s="3" t="s">
        <v>443</v>
      </c>
      <c r="D873" s="3" t="s">
        <v>2659</v>
      </c>
      <c r="E873" s="3" t="s">
        <v>2660</v>
      </c>
      <c r="J873" s="9" t="s">
        <v>8731</v>
      </c>
      <c r="T873" s="9" t="str">
        <f t="shared" ca="1" si="36"/>
        <v/>
      </c>
      <c r="U873" s="9" t="str">
        <f t="shared" ca="1" si="37"/>
        <v/>
      </c>
      <c r="Z873" s="9" t="s">
        <v>8757</v>
      </c>
      <c r="AA873" s="9" t="s">
        <v>3884</v>
      </c>
    </row>
    <row r="874" spans="1:28">
      <c r="A874" s="3" t="s">
        <v>444</v>
      </c>
      <c r="D874" s="3" t="s">
        <v>2661</v>
      </c>
      <c r="E874" s="3" t="s">
        <v>2662</v>
      </c>
      <c r="H874" t="s">
        <v>3892</v>
      </c>
      <c r="I874" t="s">
        <v>4600</v>
      </c>
      <c r="J874" s="9" t="s">
        <v>8731</v>
      </c>
      <c r="T874" s="9" t="str">
        <f t="shared" ca="1" si="36"/>
        <v/>
      </c>
      <c r="U874" s="9" t="str">
        <f t="shared" ca="1" si="37"/>
        <v/>
      </c>
      <c r="AB874" s="9" t="s">
        <v>8697</v>
      </c>
    </row>
    <row r="875" spans="1:28">
      <c r="A875" s="3" t="s">
        <v>444</v>
      </c>
      <c r="D875" s="3" t="s">
        <v>2663</v>
      </c>
      <c r="E875" s="3" t="s">
        <v>2663</v>
      </c>
      <c r="F875" t="s">
        <v>3932</v>
      </c>
      <c r="I875" t="s">
        <v>4601</v>
      </c>
      <c r="T875" s="9" t="str">
        <f t="shared" ca="1" si="36"/>
        <v/>
      </c>
      <c r="U875" s="9" t="str">
        <f t="shared" ca="1" si="37"/>
        <v/>
      </c>
    </row>
    <row r="876" spans="1:28">
      <c r="A876" s="3" t="s">
        <v>445</v>
      </c>
      <c r="D876" s="3" t="s">
        <v>1963</v>
      </c>
      <c r="E876" s="3" t="s">
        <v>1964</v>
      </c>
      <c r="J876" s="9" t="s">
        <v>8729</v>
      </c>
      <c r="S876" s="9" t="s">
        <v>8739</v>
      </c>
      <c r="T876" s="9" t="str">
        <f t="shared" ca="1" si="36"/>
        <v/>
      </c>
      <c r="U876" s="9" t="str">
        <f t="shared" ca="1" si="37"/>
        <v/>
      </c>
      <c r="Z876" s="9" t="s">
        <v>8742</v>
      </c>
      <c r="AA876" s="9" t="s">
        <v>3884</v>
      </c>
      <c r="AB876" s="9" t="s">
        <v>8688</v>
      </c>
    </row>
    <row r="877" spans="1:28">
      <c r="A877" s="3" t="s">
        <v>446</v>
      </c>
      <c r="D877" s="3" t="s">
        <v>2420</v>
      </c>
      <c r="E877" s="3" t="s">
        <v>2421</v>
      </c>
      <c r="J877" s="9" t="s">
        <v>8731</v>
      </c>
      <c r="T877" s="9" t="str">
        <f t="shared" ca="1" si="36"/>
        <v/>
      </c>
      <c r="U877" s="9" t="str">
        <f t="shared" ca="1" si="37"/>
        <v/>
      </c>
      <c r="Z877" s="9" t="s">
        <v>8741</v>
      </c>
      <c r="AA877" s="9" t="s">
        <v>3884</v>
      </c>
    </row>
    <row r="878" spans="1:28">
      <c r="A878" s="3" t="s">
        <v>446</v>
      </c>
      <c r="D878" s="3" t="s">
        <v>4602</v>
      </c>
      <c r="E878" s="3" t="s">
        <v>4603</v>
      </c>
      <c r="H878" t="s">
        <v>3884</v>
      </c>
      <c r="J878" s="9" t="s">
        <v>3885</v>
      </c>
      <c r="K878" s="9">
        <v>1</v>
      </c>
      <c r="L878" s="9">
        <v>2</v>
      </c>
      <c r="M878" s="9" t="s">
        <v>8698</v>
      </c>
      <c r="N878" s="9" t="s">
        <v>8730</v>
      </c>
      <c r="R878" s="9">
        <v>55</v>
      </c>
      <c r="T878" s="9" t="str">
        <f t="shared" ca="1" si="36"/>
        <v/>
      </c>
      <c r="U878" s="9" t="str">
        <f t="shared" ca="1" si="37"/>
        <v/>
      </c>
    </row>
    <row r="879" spans="1:28">
      <c r="A879" s="3" t="s">
        <v>447</v>
      </c>
      <c r="D879" s="3" t="s">
        <v>4605</v>
      </c>
      <c r="E879" s="3" t="s">
        <v>4604</v>
      </c>
      <c r="H879" t="s">
        <v>3884</v>
      </c>
      <c r="J879" s="9" t="s">
        <v>3885</v>
      </c>
      <c r="K879" s="9">
        <v>1</v>
      </c>
      <c r="L879" s="9">
        <v>2</v>
      </c>
      <c r="M879" s="9" t="s">
        <v>8707</v>
      </c>
      <c r="N879" s="9" t="s">
        <v>8730</v>
      </c>
      <c r="R879" s="9">
        <v>872</v>
      </c>
      <c r="T879" s="9" t="str">
        <f t="shared" ca="1" si="36"/>
        <v/>
      </c>
      <c r="U879" s="9" t="str">
        <f t="shared" ca="1" si="37"/>
        <v/>
      </c>
      <c r="AB879" s="9" t="s">
        <v>8694</v>
      </c>
    </row>
    <row r="880" spans="1:28">
      <c r="A880" s="3" t="s">
        <v>448</v>
      </c>
      <c r="D880" s="3" t="s">
        <v>9600</v>
      </c>
      <c r="E880" s="3" t="s">
        <v>9601</v>
      </c>
      <c r="J880" s="9" t="s">
        <v>8731</v>
      </c>
      <c r="T880" s="9" t="str">
        <f t="shared" ca="1" si="36"/>
        <v/>
      </c>
      <c r="U880" s="9" t="str">
        <f t="shared" ca="1" si="37"/>
        <v/>
      </c>
      <c r="Y880" s="9" t="s">
        <v>9282</v>
      </c>
      <c r="AA880" s="9" t="s">
        <v>3884</v>
      </c>
    </row>
    <row r="881" spans="1:28">
      <c r="A881" s="3" t="s">
        <v>448</v>
      </c>
      <c r="D881" s="3" t="s">
        <v>9603</v>
      </c>
      <c r="E881" s="3" t="s">
        <v>9602</v>
      </c>
      <c r="J881" s="9" t="s">
        <v>8731</v>
      </c>
      <c r="T881" s="9" t="str">
        <f t="shared" ca="1" si="36"/>
        <v/>
      </c>
      <c r="U881" s="9" t="str">
        <f t="shared" ca="1" si="37"/>
        <v/>
      </c>
      <c r="Z881" s="9" t="s">
        <v>8741</v>
      </c>
      <c r="AA881" s="9" t="s">
        <v>3884</v>
      </c>
    </row>
    <row r="882" spans="1:28">
      <c r="A882" s="3" t="s">
        <v>448</v>
      </c>
      <c r="D882" s="3" t="s">
        <v>2664</v>
      </c>
      <c r="E882" s="3" t="s">
        <v>2665</v>
      </c>
      <c r="J882" s="9" t="s">
        <v>8729</v>
      </c>
      <c r="S882" s="9" t="s">
        <v>8739</v>
      </c>
      <c r="T882" s="9" t="str">
        <f t="shared" ca="1" si="36"/>
        <v/>
      </c>
      <c r="U882" s="9" t="str">
        <f t="shared" ca="1" si="37"/>
        <v/>
      </c>
      <c r="AB882" s="9" t="s">
        <v>8697</v>
      </c>
    </row>
    <row r="883" spans="1:28">
      <c r="A883" s="3" t="s">
        <v>449</v>
      </c>
      <c r="D883" s="3" t="s">
        <v>2666</v>
      </c>
      <c r="E883" s="3" t="s">
        <v>2667</v>
      </c>
      <c r="J883" s="9" t="s">
        <v>8731</v>
      </c>
      <c r="T883" s="9" t="str">
        <f t="shared" ca="1" si="36"/>
        <v/>
      </c>
      <c r="U883" s="9" t="str">
        <f t="shared" ca="1" si="37"/>
        <v/>
      </c>
      <c r="AB883" s="9" t="s">
        <v>8697</v>
      </c>
    </row>
    <row r="884" spans="1:28">
      <c r="A884" s="3" t="s">
        <v>450</v>
      </c>
      <c r="D884" s="3" t="s">
        <v>4606</v>
      </c>
      <c r="E884" s="3" t="s">
        <v>4607</v>
      </c>
      <c r="H884" t="s">
        <v>3884</v>
      </c>
      <c r="J884" s="9" t="s">
        <v>3885</v>
      </c>
      <c r="K884" s="9">
        <v>1</v>
      </c>
      <c r="L884" s="9">
        <v>2</v>
      </c>
      <c r="M884" s="9" t="s">
        <v>8698</v>
      </c>
      <c r="N884" s="9" t="s">
        <v>8730</v>
      </c>
      <c r="R884" s="9">
        <v>159</v>
      </c>
      <c r="T884" s="9" t="str">
        <f t="shared" ca="1" si="36"/>
        <v/>
      </c>
      <c r="U884" s="9" t="str">
        <f t="shared" ca="1" si="37"/>
        <v/>
      </c>
      <c r="AB884" s="9" t="s">
        <v>8694</v>
      </c>
    </row>
    <row r="885" spans="1:28">
      <c r="A885" s="3" t="s">
        <v>450</v>
      </c>
      <c r="D885" s="4" t="s">
        <v>4608</v>
      </c>
      <c r="E885" s="3" t="s">
        <v>4609</v>
      </c>
      <c r="F885" t="s">
        <v>3883</v>
      </c>
      <c r="T885" s="9" t="str">
        <f t="shared" ca="1" si="36"/>
        <v/>
      </c>
      <c r="U885" s="9" t="str">
        <f t="shared" ca="1" si="37"/>
        <v/>
      </c>
    </row>
    <row r="886" spans="1:28" ht="72.5">
      <c r="A886" s="3" t="s">
        <v>450</v>
      </c>
      <c r="D886" s="3" t="s">
        <v>8957</v>
      </c>
      <c r="E886" s="3" t="s">
        <v>8956</v>
      </c>
      <c r="H886" t="s">
        <v>3884</v>
      </c>
      <c r="I886" t="s">
        <v>8959</v>
      </c>
      <c r="J886" s="9" t="s">
        <v>3889</v>
      </c>
      <c r="K886" s="9">
        <v>10</v>
      </c>
      <c r="L886" s="9">
        <v>50</v>
      </c>
      <c r="N886" s="9" t="s">
        <v>8684</v>
      </c>
      <c r="O886" s="9" t="s">
        <v>8740</v>
      </c>
      <c r="P886" s="10" t="s">
        <v>8958</v>
      </c>
      <c r="R886" s="9">
        <v>19</v>
      </c>
      <c r="T886" s="9" t="str">
        <f t="shared" ca="1" si="36"/>
        <v/>
      </c>
      <c r="U886" s="9" t="str">
        <f t="shared" ca="1" si="37"/>
        <v/>
      </c>
    </row>
    <row r="887" spans="1:28">
      <c r="A887" s="3" t="s">
        <v>451</v>
      </c>
      <c r="D887" s="3" t="s">
        <v>4610</v>
      </c>
      <c r="E887" s="3" t="s">
        <v>2668</v>
      </c>
      <c r="H887" t="s">
        <v>3884</v>
      </c>
      <c r="J887" s="9" t="s">
        <v>8731</v>
      </c>
      <c r="T887" s="9" t="str">
        <f t="shared" ca="1" si="36"/>
        <v/>
      </c>
      <c r="U887" s="9" t="str">
        <f t="shared" ca="1" si="37"/>
        <v/>
      </c>
      <c r="AB887" s="9" t="s">
        <v>8688</v>
      </c>
    </row>
    <row r="888" spans="1:28">
      <c r="A888" s="3" t="s">
        <v>451</v>
      </c>
      <c r="D888" s="3" t="s">
        <v>8961</v>
      </c>
      <c r="E888" s="4" t="s">
        <v>8960</v>
      </c>
      <c r="F888" t="s">
        <v>4197</v>
      </c>
      <c r="I888" t="s">
        <v>4611</v>
      </c>
      <c r="J888" s="9" t="s">
        <v>8729</v>
      </c>
      <c r="S888" s="9">
        <f>183-1942</f>
        <v>-1759</v>
      </c>
      <c r="T888" s="9">
        <f t="shared" ca="1" si="36"/>
        <v>1942</v>
      </c>
      <c r="U888" s="9">
        <f t="shared" ca="1" si="37"/>
        <v>183</v>
      </c>
    </row>
    <row r="889" spans="1:28">
      <c r="A889" s="3" t="s">
        <v>451</v>
      </c>
      <c r="D889" s="3" t="s">
        <v>8962</v>
      </c>
      <c r="E889" s="3" t="s">
        <v>8963</v>
      </c>
      <c r="J889" s="9" t="s">
        <v>8731</v>
      </c>
      <c r="T889" s="9" t="str">
        <f t="shared" ca="1" si="36"/>
        <v/>
      </c>
      <c r="U889" s="9" t="str">
        <f t="shared" ca="1" si="37"/>
        <v/>
      </c>
    </row>
    <row r="890" spans="1:28">
      <c r="A890" s="3" t="s">
        <v>452</v>
      </c>
      <c r="D890" s="3" t="s">
        <v>4612</v>
      </c>
      <c r="E890" s="3" t="s">
        <v>4613</v>
      </c>
      <c r="J890" s="9" t="s">
        <v>8731</v>
      </c>
      <c r="T890" s="9" t="str">
        <f t="shared" ca="1" si="36"/>
        <v/>
      </c>
      <c r="U890" s="9" t="str">
        <f t="shared" ca="1" si="37"/>
        <v/>
      </c>
      <c r="AB890" s="9" t="s">
        <v>8700</v>
      </c>
    </row>
    <row r="891" spans="1:28">
      <c r="A891" s="3" t="s">
        <v>452</v>
      </c>
      <c r="D891" s="3" t="s">
        <v>4614</v>
      </c>
      <c r="E891" s="3" t="s">
        <v>4615</v>
      </c>
      <c r="J891" s="9" t="s">
        <v>8731</v>
      </c>
      <c r="T891" s="9" t="str">
        <f t="shared" ca="1" si="36"/>
        <v/>
      </c>
      <c r="U891" s="9" t="str">
        <f t="shared" ca="1" si="37"/>
        <v/>
      </c>
    </row>
    <row r="892" spans="1:28">
      <c r="A892" s="3" t="s">
        <v>452</v>
      </c>
      <c r="D892" s="3" t="s">
        <v>4616</v>
      </c>
      <c r="E892" s="3" t="s">
        <v>4617</v>
      </c>
      <c r="H892" t="s">
        <v>3884</v>
      </c>
      <c r="J892" s="9" t="s">
        <v>3889</v>
      </c>
      <c r="K892" s="9">
        <v>1</v>
      </c>
      <c r="L892" s="9">
        <v>5</v>
      </c>
      <c r="M892" s="9" t="s">
        <v>8736</v>
      </c>
      <c r="N892" s="9" t="s">
        <v>8690</v>
      </c>
      <c r="R892" s="9">
        <v>645</v>
      </c>
      <c r="T892" s="9" t="str">
        <f t="shared" ca="1" si="36"/>
        <v/>
      </c>
      <c r="U892" s="9" t="str">
        <f t="shared" ca="1" si="37"/>
        <v/>
      </c>
    </row>
    <row r="893" spans="1:28">
      <c r="A893" s="3" t="s">
        <v>452</v>
      </c>
      <c r="D893" s="3" t="s">
        <v>4618</v>
      </c>
      <c r="E893" s="3" t="s">
        <v>4619</v>
      </c>
      <c r="H893" t="s">
        <v>3884</v>
      </c>
      <c r="J893" s="9" t="s">
        <v>3885</v>
      </c>
      <c r="K893" s="9">
        <v>1</v>
      </c>
      <c r="L893" s="9">
        <v>3</v>
      </c>
      <c r="M893" s="9" t="s">
        <v>8705</v>
      </c>
      <c r="N893" s="9" t="s">
        <v>8690</v>
      </c>
      <c r="R893" s="9">
        <v>1485</v>
      </c>
      <c r="T893" s="9" t="str">
        <f t="shared" ca="1" si="36"/>
        <v/>
      </c>
      <c r="U893" s="9" t="str">
        <f t="shared" ca="1" si="37"/>
        <v/>
      </c>
    </row>
    <row r="894" spans="1:28">
      <c r="A894" s="3" t="s">
        <v>452</v>
      </c>
      <c r="D894" s="3" t="s">
        <v>4620</v>
      </c>
      <c r="E894" s="3" t="s">
        <v>2669</v>
      </c>
      <c r="F894" t="s">
        <v>3893</v>
      </c>
      <c r="T894" s="9" t="str">
        <f t="shared" ca="1" si="36"/>
        <v/>
      </c>
      <c r="U894" s="9" t="str">
        <f t="shared" ca="1" si="37"/>
        <v/>
      </c>
    </row>
    <row r="895" spans="1:28">
      <c r="A895" s="3" t="s">
        <v>452</v>
      </c>
      <c r="D895" s="3" t="s">
        <v>4621</v>
      </c>
      <c r="E895" s="3" t="s">
        <v>4622</v>
      </c>
      <c r="H895" t="s">
        <v>3884</v>
      </c>
      <c r="J895" s="9" t="s">
        <v>8729</v>
      </c>
      <c r="S895" s="9">
        <f>10929-1942</f>
        <v>8987</v>
      </c>
      <c r="T895" s="9">
        <f t="shared" ca="1" si="36"/>
        <v>1942</v>
      </c>
      <c r="U895" s="9">
        <f t="shared" ca="1" si="37"/>
        <v>10929</v>
      </c>
    </row>
    <row r="896" spans="1:28" ht="29">
      <c r="A896" s="3" t="s">
        <v>452</v>
      </c>
      <c r="D896" s="3" t="s">
        <v>8964</v>
      </c>
      <c r="E896" s="3" t="s">
        <v>8965</v>
      </c>
      <c r="J896" s="9" t="s">
        <v>3885</v>
      </c>
      <c r="K896" s="9">
        <v>1</v>
      </c>
      <c r="L896" s="9">
        <v>3</v>
      </c>
      <c r="M896" s="9" t="s">
        <v>8689</v>
      </c>
      <c r="N896" s="9" t="s">
        <v>8690</v>
      </c>
      <c r="R896" s="9">
        <v>10929</v>
      </c>
      <c r="T896" s="9" t="str">
        <f t="shared" ca="1" si="36"/>
        <v/>
      </c>
      <c r="U896" s="9" t="str">
        <f t="shared" ca="1" si="37"/>
        <v/>
      </c>
    </row>
    <row r="897" spans="1:28">
      <c r="A897" s="3" t="s">
        <v>453</v>
      </c>
      <c r="D897" s="3" t="s">
        <v>4623</v>
      </c>
      <c r="E897" s="3" t="s">
        <v>4624</v>
      </c>
      <c r="H897" t="s">
        <v>3888</v>
      </c>
      <c r="I897" t="s">
        <v>4625</v>
      </c>
      <c r="J897" s="9" t="s">
        <v>3889</v>
      </c>
      <c r="K897" s="9">
        <v>3</v>
      </c>
      <c r="L897" s="9">
        <v>10</v>
      </c>
      <c r="N897" s="9" t="s">
        <v>8690</v>
      </c>
      <c r="R897" s="9">
        <v>1225</v>
      </c>
      <c r="T897" s="9" t="str">
        <f t="shared" ca="1" si="36"/>
        <v/>
      </c>
      <c r="U897" s="9" t="str">
        <f t="shared" ca="1" si="37"/>
        <v/>
      </c>
    </row>
    <row r="898" spans="1:28">
      <c r="A898" s="3" t="s">
        <v>454</v>
      </c>
      <c r="D898" s="3" t="s">
        <v>2511</v>
      </c>
      <c r="E898" s="3" t="s">
        <v>2512</v>
      </c>
      <c r="J898" s="9" t="s">
        <v>8729</v>
      </c>
      <c r="S898" s="9" t="s">
        <v>8739</v>
      </c>
      <c r="T898" s="9" t="str">
        <f t="shared" ca="1" si="36"/>
        <v/>
      </c>
      <c r="U898" s="9" t="str">
        <f t="shared" ca="1" si="37"/>
        <v/>
      </c>
      <c r="Z898" s="9" t="s">
        <v>8757</v>
      </c>
      <c r="AA898" s="9" t="s">
        <v>3884</v>
      </c>
      <c r="AB898" s="9" t="s">
        <v>8697</v>
      </c>
    </row>
    <row r="899" spans="1:28">
      <c r="A899" s="3" t="s">
        <v>455</v>
      </c>
      <c r="D899" s="3" t="s">
        <v>8966</v>
      </c>
      <c r="E899" s="3" t="s">
        <v>8967</v>
      </c>
      <c r="I899" t="s">
        <v>9217</v>
      </c>
      <c r="J899" s="9" t="s">
        <v>3885</v>
      </c>
      <c r="K899" s="9">
        <v>1</v>
      </c>
      <c r="L899" s="9">
        <v>3</v>
      </c>
      <c r="M899" s="9" t="s">
        <v>8689</v>
      </c>
      <c r="N899" s="9" t="s">
        <v>8690</v>
      </c>
      <c r="R899" s="9">
        <v>10929</v>
      </c>
      <c r="T899" s="9" t="str">
        <f t="shared" ca="1" si="36"/>
        <v/>
      </c>
      <c r="U899" s="9" t="str">
        <f t="shared" ca="1" si="37"/>
        <v/>
      </c>
      <c r="V899" s="9" t="s">
        <v>4</v>
      </c>
    </row>
    <row r="900" spans="1:28">
      <c r="A900" s="3" t="s">
        <v>456</v>
      </c>
      <c r="D900" s="3" t="s">
        <v>2670</v>
      </c>
      <c r="E900" s="3" t="s">
        <v>2505</v>
      </c>
      <c r="J900" s="9" t="s">
        <v>8729</v>
      </c>
      <c r="S900" s="9" t="s">
        <v>8739</v>
      </c>
      <c r="T900" s="9" t="str">
        <f t="shared" ca="1" si="36"/>
        <v/>
      </c>
      <c r="U900" s="9" t="str">
        <f t="shared" ca="1" si="37"/>
        <v/>
      </c>
      <c r="AB900" s="9" t="s">
        <v>8697</v>
      </c>
    </row>
    <row r="901" spans="1:28">
      <c r="A901" s="3" t="s">
        <v>456</v>
      </c>
      <c r="D901" s="3" t="s">
        <v>1963</v>
      </c>
      <c r="E901" s="3" t="s">
        <v>1964</v>
      </c>
      <c r="J901" s="9" t="s">
        <v>8729</v>
      </c>
      <c r="S901" s="9" t="s">
        <v>8739</v>
      </c>
      <c r="T901" s="9" t="str">
        <f t="shared" ca="1" si="36"/>
        <v/>
      </c>
      <c r="U901" s="9" t="str">
        <f t="shared" ca="1" si="37"/>
        <v/>
      </c>
      <c r="Z901" s="9" t="s">
        <v>8742</v>
      </c>
      <c r="AA901" s="9" t="s">
        <v>3884</v>
      </c>
      <c r="AB901" s="9" t="s">
        <v>8697</v>
      </c>
    </row>
    <row r="902" spans="1:28">
      <c r="A902" s="3" t="s">
        <v>457</v>
      </c>
      <c r="D902" s="3" t="s">
        <v>2671</v>
      </c>
      <c r="E902" s="3" t="s">
        <v>2334</v>
      </c>
      <c r="J902" s="9" t="s">
        <v>8731</v>
      </c>
      <c r="T902" s="9" t="str">
        <f t="shared" ref="T902:T965" ca="1" si="38">IF(ISNUMBER(S902),VALUE(MID(_xlfn.FORMULATEXT(S902),SEARCH("-",_xlfn.FORMULATEXT(S902))+1,LEN(_xlfn.FORMULATEXT(S902))-SEARCH("-",_xlfn.FORMULATEXT(S902)))), "")</f>
        <v/>
      </c>
      <c r="U902" s="9" t="str">
        <f t="shared" ref="U902:U965" ca="1" si="39">IF(ISNUMBER(S902), VALUE(MID(_xlfn.FORMULATEXT(S902), 2, SEARCH("-", _xlfn.FORMULATEXT(S902)) - 2)), "")</f>
        <v/>
      </c>
      <c r="Z902" s="9" t="s">
        <v>8742</v>
      </c>
      <c r="AA902" s="9" t="s">
        <v>3884</v>
      </c>
      <c r="AB902" s="9" t="s">
        <v>8697</v>
      </c>
    </row>
    <row r="903" spans="1:28">
      <c r="A903" s="3" t="s">
        <v>458</v>
      </c>
      <c r="D903" s="3" t="s">
        <v>9461</v>
      </c>
      <c r="E903" s="3" t="s">
        <v>9462</v>
      </c>
      <c r="H903" t="s">
        <v>3884</v>
      </c>
      <c r="J903" s="9" t="s">
        <v>3889</v>
      </c>
      <c r="K903" s="9">
        <v>1</v>
      </c>
      <c r="L903" s="9">
        <v>3</v>
      </c>
      <c r="M903" s="9" t="s">
        <v>8689</v>
      </c>
      <c r="N903" s="9" t="s">
        <v>8690</v>
      </c>
      <c r="R903" s="9">
        <v>10929</v>
      </c>
      <c r="T903" s="9" t="str">
        <f t="shared" ca="1" si="38"/>
        <v/>
      </c>
      <c r="U903" s="9" t="str">
        <f t="shared" ca="1" si="39"/>
        <v/>
      </c>
    </row>
    <row r="904" spans="1:28">
      <c r="A904" s="3" t="s">
        <v>458</v>
      </c>
      <c r="D904" s="3" t="s">
        <v>1963</v>
      </c>
      <c r="E904" s="3" t="s">
        <v>1964</v>
      </c>
      <c r="J904" s="9" t="s">
        <v>8729</v>
      </c>
      <c r="S904" s="9" t="s">
        <v>8739</v>
      </c>
      <c r="T904" s="9" t="str">
        <f t="shared" ca="1" si="38"/>
        <v/>
      </c>
      <c r="U904" s="9" t="str">
        <f t="shared" ca="1" si="39"/>
        <v/>
      </c>
      <c r="Z904" s="9" t="s">
        <v>8742</v>
      </c>
      <c r="AA904" s="9" t="s">
        <v>3884</v>
      </c>
      <c r="AB904" s="9" t="s">
        <v>8697</v>
      </c>
    </row>
    <row r="905" spans="1:28">
      <c r="A905" s="3" t="s">
        <v>459</v>
      </c>
      <c r="D905" s="3" t="s">
        <v>1963</v>
      </c>
      <c r="E905" s="3" t="s">
        <v>1964</v>
      </c>
      <c r="J905" s="9" t="s">
        <v>8729</v>
      </c>
      <c r="S905" s="9" t="s">
        <v>8739</v>
      </c>
      <c r="T905" s="9" t="str">
        <f t="shared" ca="1" si="38"/>
        <v/>
      </c>
      <c r="U905" s="9" t="str">
        <f t="shared" ca="1" si="39"/>
        <v/>
      </c>
      <c r="Z905" s="9" t="s">
        <v>8742</v>
      </c>
      <c r="AA905" s="9" t="s">
        <v>3884</v>
      </c>
      <c r="AB905" s="9" t="s">
        <v>8697</v>
      </c>
    </row>
    <row r="906" spans="1:28">
      <c r="A906" s="3" t="s">
        <v>459</v>
      </c>
      <c r="D906" s="3" t="s">
        <v>9463</v>
      </c>
      <c r="E906" s="3" t="s">
        <v>9463</v>
      </c>
      <c r="F906" t="s">
        <v>3932</v>
      </c>
      <c r="I906" t="s">
        <v>1992</v>
      </c>
      <c r="T906" s="9" t="str">
        <f t="shared" ca="1" si="38"/>
        <v/>
      </c>
      <c r="U906" s="9" t="str">
        <f t="shared" ca="1" si="39"/>
        <v/>
      </c>
    </row>
    <row r="907" spans="1:28">
      <c r="A907" s="3" t="s">
        <v>460</v>
      </c>
      <c r="D907" s="3" t="s">
        <v>2672</v>
      </c>
      <c r="E907" s="3" t="s">
        <v>2673</v>
      </c>
      <c r="J907" s="9" t="s">
        <v>8729</v>
      </c>
      <c r="S907" s="9" t="s">
        <v>8739</v>
      </c>
      <c r="T907" s="9" t="str">
        <f t="shared" ca="1" si="38"/>
        <v/>
      </c>
      <c r="U907" s="9" t="str">
        <f t="shared" ca="1" si="39"/>
        <v/>
      </c>
      <c r="Z907" s="9" t="s">
        <v>8742</v>
      </c>
      <c r="AA907" s="9" t="s">
        <v>3884</v>
      </c>
      <c r="AB907" s="9" t="s">
        <v>8697</v>
      </c>
    </row>
    <row r="908" spans="1:28" ht="29">
      <c r="A908" s="3" t="s">
        <v>460</v>
      </c>
      <c r="D908" s="3" t="s">
        <v>4627</v>
      </c>
      <c r="E908" s="3" t="s">
        <v>4628</v>
      </c>
      <c r="F908" t="s">
        <v>3932</v>
      </c>
      <c r="I908" s="3" t="s">
        <v>2359</v>
      </c>
      <c r="T908" s="9" t="str">
        <f t="shared" ca="1" si="38"/>
        <v/>
      </c>
      <c r="U908" s="9" t="str">
        <f t="shared" ca="1" si="39"/>
        <v/>
      </c>
    </row>
    <row r="909" spans="1:28">
      <c r="A909" s="3" t="s">
        <v>460</v>
      </c>
      <c r="D909" s="3" t="s">
        <v>4629</v>
      </c>
      <c r="E909" s="3" t="s">
        <v>4626</v>
      </c>
      <c r="J909" s="9" t="s">
        <v>3889</v>
      </c>
      <c r="K909" s="9">
        <v>1</v>
      </c>
      <c r="L909" s="9">
        <v>2</v>
      </c>
      <c r="M909" s="9" t="s">
        <v>8703</v>
      </c>
      <c r="N909" s="9" t="s">
        <v>8730</v>
      </c>
      <c r="R909" s="9">
        <v>1225</v>
      </c>
      <c r="T909" s="9" t="str">
        <f t="shared" ca="1" si="38"/>
        <v/>
      </c>
      <c r="U909" s="9" t="str">
        <f t="shared" ca="1" si="39"/>
        <v/>
      </c>
    </row>
    <row r="910" spans="1:28">
      <c r="A910" s="3" t="s">
        <v>460</v>
      </c>
      <c r="D910" s="3" t="s">
        <v>4630</v>
      </c>
      <c r="E910" s="3" t="s">
        <v>4631</v>
      </c>
      <c r="J910" s="9" t="s">
        <v>3885</v>
      </c>
      <c r="K910" s="9">
        <v>1</v>
      </c>
      <c r="L910" s="9">
        <v>3</v>
      </c>
      <c r="M910" s="9" t="s">
        <v>8689</v>
      </c>
      <c r="N910" s="9" t="s">
        <v>8690</v>
      </c>
      <c r="R910" s="9">
        <v>10929</v>
      </c>
      <c r="T910" s="9" t="str">
        <f t="shared" ca="1" si="38"/>
        <v/>
      </c>
      <c r="U910" s="9" t="str">
        <f t="shared" ca="1" si="39"/>
        <v/>
      </c>
    </row>
    <row r="911" spans="1:28">
      <c r="A911" s="3" t="s">
        <v>460</v>
      </c>
      <c r="D911" s="3" t="s">
        <v>4632</v>
      </c>
      <c r="E911" s="3" t="s">
        <v>4633</v>
      </c>
      <c r="J911" s="9" t="s">
        <v>8731</v>
      </c>
      <c r="T911" s="9" t="str">
        <f t="shared" ca="1" si="38"/>
        <v/>
      </c>
      <c r="U911" s="9" t="str">
        <f t="shared" ca="1" si="39"/>
        <v/>
      </c>
      <c r="Y911" s="9" t="s">
        <v>8735</v>
      </c>
      <c r="AA911" s="9" t="s">
        <v>3884</v>
      </c>
    </row>
    <row r="912" spans="1:28">
      <c r="A912" s="3" t="s">
        <v>461</v>
      </c>
      <c r="D912" s="3" t="s">
        <v>2675</v>
      </c>
      <c r="E912" s="3" t="s">
        <v>2676</v>
      </c>
      <c r="J912" s="9" t="s">
        <v>8729</v>
      </c>
      <c r="S912" s="9" t="s">
        <v>8739</v>
      </c>
      <c r="T912" s="9" t="str">
        <f t="shared" ca="1" si="38"/>
        <v/>
      </c>
      <c r="U912" s="9" t="str">
        <f t="shared" ca="1" si="39"/>
        <v/>
      </c>
      <c r="AB912" s="9" t="s">
        <v>8697</v>
      </c>
    </row>
    <row r="913" spans="1:28">
      <c r="A913" s="3" t="s">
        <v>462</v>
      </c>
      <c r="D913" s="3" t="s">
        <v>4634</v>
      </c>
      <c r="E913" s="3" t="s">
        <v>4635</v>
      </c>
      <c r="H913" t="s">
        <v>3884</v>
      </c>
      <c r="J913" s="9" t="s">
        <v>8729</v>
      </c>
      <c r="S913" s="9" t="s">
        <v>8739</v>
      </c>
      <c r="T913" s="9" t="str">
        <f t="shared" ca="1" si="38"/>
        <v/>
      </c>
      <c r="U913" s="9" t="str">
        <f t="shared" ca="1" si="39"/>
        <v/>
      </c>
      <c r="AB913" s="9" t="s">
        <v>8688</v>
      </c>
    </row>
    <row r="914" spans="1:28">
      <c r="A914" s="3" t="s">
        <v>463</v>
      </c>
      <c r="D914" s="3" t="s">
        <v>2677</v>
      </c>
      <c r="E914" s="3" t="s">
        <v>2678</v>
      </c>
      <c r="H914" t="s">
        <v>3888</v>
      </c>
      <c r="I914" t="s">
        <v>4636</v>
      </c>
      <c r="J914" s="9" t="s">
        <v>8729</v>
      </c>
      <c r="S914" s="9" t="s">
        <v>8739</v>
      </c>
      <c r="T914" s="9" t="str">
        <f t="shared" ca="1" si="38"/>
        <v/>
      </c>
      <c r="U914" s="9" t="str">
        <f t="shared" ca="1" si="39"/>
        <v/>
      </c>
      <c r="Y914" s="9" t="s">
        <v>8735</v>
      </c>
      <c r="AA914" s="9" t="s">
        <v>3884</v>
      </c>
    </row>
    <row r="915" spans="1:28">
      <c r="A915" s="3" t="s">
        <v>463</v>
      </c>
      <c r="D915" s="3" t="s">
        <v>4637</v>
      </c>
      <c r="E915" s="3" t="s">
        <v>4638</v>
      </c>
      <c r="H915" t="s">
        <v>3884</v>
      </c>
      <c r="J915" s="9" t="s">
        <v>3885</v>
      </c>
      <c r="K915" s="9">
        <v>1</v>
      </c>
      <c r="L915" s="9">
        <v>1</v>
      </c>
      <c r="M915" s="9" t="s">
        <v>8683</v>
      </c>
      <c r="N915" s="9" t="s">
        <v>8730</v>
      </c>
      <c r="R915" s="9">
        <v>42</v>
      </c>
      <c r="T915" s="9" t="str">
        <f t="shared" ca="1" si="38"/>
        <v/>
      </c>
      <c r="U915" s="9" t="str">
        <f t="shared" ca="1" si="39"/>
        <v/>
      </c>
      <c r="AB915" s="9" t="s">
        <v>8694</v>
      </c>
    </row>
    <row r="916" spans="1:28" ht="29">
      <c r="A916" s="3" t="s">
        <v>464</v>
      </c>
      <c r="D916" s="3" t="s">
        <v>8968</v>
      </c>
      <c r="E916" s="3" t="s">
        <v>8969</v>
      </c>
      <c r="J916" s="9" t="s">
        <v>3889</v>
      </c>
      <c r="K916" s="9">
        <v>1</v>
      </c>
      <c r="L916" s="9">
        <v>4</v>
      </c>
      <c r="M916" s="9" t="s">
        <v>8707</v>
      </c>
      <c r="N916" s="9" t="s">
        <v>8684</v>
      </c>
      <c r="O916" s="9" t="s">
        <v>8777</v>
      </c>
      <c r="P916" s="10" t="s">
        <v>8772</v>
      </c>
      <c r="Q916" s="9" t="s">
        <v>8685</v>
      </c>
      <c r="R916" s="9">
        <v>886</v>
      </c>
      <c r="T916" s="9" t="str">
        <f t="shared" ca="1" si="38"/>
        <v/>
      </c>
      <c r="U916" s="9" t="str">
        <f t="shared" ca="1" si="39"/>
        <v/>
      </c>
      <c r="AB916" s="9" t="s">
        <v>8700</v>
      </c>
    </row>
    <row r="917" spans="1:28">
      <c r="A917" s="3" t="s">
        <v>464</v>
      </c>
      <c r="D917" s="3" t="s">
        <v>2679</v>
      </c>
      <c r="E917" s="3" t="s">
        <v>2679</v>
      </c>
      <c r="F917" t="s">
        <v>3932</v>
      </c>
      <c r="I917" t="s">
        <v>4639</v>
      </c>
      <c r="T917" s="9" t="str">
        <f t="shared" ca="1" si="38"/>
        <v/>
      </c>
      <c r="U917" s="9" t="str">
        <f t="shared" ca="1" si="39"/>
        <v/>
      </c>
    </row>
    <row r="918" spans="1:28">
      <c r="A918" s="3" t="s">
        <v>465</v>
      </c>
      <c r="D918" s="3" t="s">
        <v>4640</v>
      </c>
      <c r="E918" s="3" t="s">
        <v>2680</v>
      </c>
      <c r="H918" t="s">
        <v>3884</v>
      </c>
      <c r="J918" s="9" t="s">
        <v>8731</v>
      </c>
      <c r="T918" s="9" t="str">
        <f t="shared" ca="1" si="38"/>
        <v/>
      </c>
      <c r="U918" s="9" t="str">
        <f t="shared" ca="1" si="39"/>
        <v/>
      </c>
      <c r="Z918" s="9" t="s">
        <v>8742</v>
      </c>
      <c r="AA918" s="9" t="s">
        <v>3884</v>
      </c>
    </row>
    <row r="919" spans="1:28">
      <c r="A919" s="3" t="s">
        <v>466</v>
      </c>
      <c r="D919" s="3" t="s">
        <v>2679</v>
      </c>
      <c r="E919" s="3" t="s">
        <v>2679</v>
      </c>
      <c r="F919" t="s">
        <v>3932</v>
      </c>
      <c r="I919" t="s">
        <v>4639</v>
      </c>
      <c r="T919" s="9" t="str">
        <f t="shared" ca="1" si="38"/>
        <v/>
      </c>
      <c r="U919" s="9" t="str">
        <f t="shared" ca="1" si="39"/>
        <v/>
      </c>
    </row>
    <row r="920" spans="1:28">
      <c r="A920" s="3" t="s">
        <v>467</v>
      </c>
      <c r="D920" s="3" t="s">
        <v>2681</v>
      </c>
      <c r="E920" s="3" t="s">
        <v>2682</v>
      </c>
      <c r="J920" s="9" t="s">
        <v>8729</v>
      </c>
      <c r="S920" s="9" t="s">
        <v>8739</v>
      </c>
      <c r="T920" s="9" t="str">
        <f t="shared" ca="1" si="38"/>
        <v/>
      </c>
      <c r="U920" s="9" t="str">
        <f t="shared" ca="1" si="39"/>
        <v/>
      </c>
      <c r="Z920" s="9" t="s">
        <v>8757</v>
      </c>
      <c r="AA920" s="9" t="s">
        <v>3884</v>
      </c>
      <c r="AB920" s="9" t="s">
        <v>8697</v>
      </c>
    </row>
    <row r="921" spans="1:28">
      <c r="A921" s="3" t="s">
        <v>468</v>
      </c>
      <c r="D921" s="3" t="s">
        <v>2683</v>
      </c>
      <c r="E921" s="3" t="s">
        <v>2684</v>
      </c>
      <c r="J921" s="9" t="s">
        <v>8731</v>
      </c>
      <c r="T921" s="9" t="str">
        <f t="shared" ca="1" si="38"/>
        <v/>
      </c>
      <c r="U921" s="9" t="str">
        <f t="shared" ca="1" si="39"/>
        <v/>
      </c>
      <c r="Z921" s="9" t="s">
        <v>9285</v>
      </c>
      <c r="AA921" s="9" t="s">
        <v>3884</v>
      </c>
    </row>
    <row r="922" spans="1:28">
      <c r="A922" s="3" t="s">
        <v>468</v>
      </c>
      <c r="D922" s="3" t="s">
        <v>4641</v>
      </c>
      <c r="E922" s="3" t="s">
        <v>4642</v>
      </c>
      <c r="H922" t="s">
        <v>3884</v>
      </c>
      <c r="J922" s="9" t="s">
        <v>8729</v>
      </c>
      <c r="S922" s="9">
        <f>125-19</f>
        <v>106</v>
      </c>
      <c r="T922" s="9">
        <f t="shared" ca="1" si="38"/>
        <v>19</v>
      </c>
      <c r="U922" s="9">
        <f t="shared" ca="1" si="39"/>
        <v>125</v>
      </c>
    </row>
    <row r="923" spans="1:28">
      <c r="A923" s="3" t="s">
        <v>469</v>
      </c>
      <c r="D923" s="3" t="s">
        <v>2685</v>
      </c>
      <c r="E923" s="3" t="s">
        <v>2685</v>
      </c>
      <c r="F923" t="s">
        <v>3932</v>
      </c>
      <c r="I923" s="3" t="s">
        <v>4643</v>
      </c>
      <c r="T923" s="9" t="str">
        <f t="shared" ca="1" si="38"/>
        <v/>
      </c>
      <c r="U923" s="9" t="str">
        <f t="shared" ca="1" si="39"/>
        <v/>
      </c>
    </row>
    <row r="924" spans="1:28">
      <c r="A924" s="3" t="s">
        <v>470</v>
      </c>
      <c r="D924" s="3" t="s">
        <v>2686</v>
      </c>
      <c r="E924" s="3" t="s">
        <v>2687</v>
      </c>
      <c r="J924" s="9" t="s">
        <v>8731</v>
      </c>
      <c r="T924" s="9" t="str">
        <f t="shared" ca="1" si="38"/>
        <v/>
      </c>
      <c r="U924" s="9" t="str">
        <f t="shared" ca="1" si="39"/>
        <v/>
      </c>
      <c r="Z924" s="9" t="s">
        <v>9285</v>
      </c>
      <c r="AA924" s="9" t="s">
        <v>3884</v>
      </c>
    </row>
    <row r="925" spans="1:28">
      <c r="A925" s="3" t="s">
        <v>471</v>
      </c>
      <c r="D925" s="3" t="s">
        <v>2646</v>
      </c>
      <c r="E925" s="3" t="s">
        <v>2647</v>
      </c>
      <c r="J925" s="9" t="s">
        <v>8729</v>
      </c>
      <c r="S925" s="9" t="s">
        <v>8739</v>
      </c>
      <c r="T925" s="9" t="str">
        <f t="shared" ca="1" si="38"/>
        <v/>
      </c>
      <c r="U925" s="9" t="str">
        <f t="shared" ca="1" si="39"/>
        <v/>
      </c>
      <c r="Z925" s="9" t="s">
        <v>8741</v>
      </c>
      <c r="AA925" s="9" t="s">
        <v>3884</v>
      </c>
      <c r="AB925" s="9" t="s">
        <v>8697</v>
      </c>
    </row>
    <row r="926" spans="1:28">
      <c r="A926" s="3" t="s">
        <v>472</v>
      </c>
      <c r="D926" s="3" t="s">
        <v>2688</v>
      </c>
      <c r="E926" s="3" t="s">
        <v>2689</v>
      </c>
      <c r="J926" s="9" t="s">
        <v>8731</v>
      </c>
      <c r="T926" s="9" t="str">
        <f t="shared" ca="1" si="38"/>
        <v/>
      </c>
      <c r="U926" s="9" t="str">
        <f t="shared" ca="1" si="39"/>
        <v/>
      </c>
    </row>
    <row r="927" spans="1:28">
      <c r="A927" s="3" t="s">
        <v>472</v>
      </c>
      <c r="D927" s="3" t="s">
        <v>4644</v>
      </c>
      <c r="E927" s="3" t="s">
        <v>2690</v>
      </c>
      <c r="H927" t="s">
        <v>3884</v>
      </c>
      <c r="J927" s="9" t="s">
        <v>8729</v>
      </c>
      <c r="S927" s="9" t="s">
        <v>8739</v>
      </c>
      <c r="T927" s="9" t="str">
        <f t="shared" ca="1" si="38"/>
        <v/>
      </c>
      <c r="U927" s="9" t="str">
        <f t="shared" ca="1" si="39"/>
        <v/>
      </c>
      <c r="Z927" s="9" t="s">
        <v>8832</v>
      </c>
      <c r="AA927" s="9" t="s">
        <v>3884</v>
      </c>
      <c r="AB927" s="9" t="s">
        <v>8697</v>
      </c>
    </row>
    <row r="928" spans="1:28">
      <c r="A928" s="3" t="s">
        <v>473</v>
      </c>
      <c r="D928" s="3" t="s">
        <v>4239</v>
      </c>
      <c r="E928" s="3" t="s">
        <v>4238</v>
      </c>
      <c r="J928" s="9" t="s">
        <v>3885</v>
      </c>
      <c r="K928" s="9">
        <v>1</v>
      </c>
      <c r="L928" s="9">
        <v>3</v>
      </c>
      <c r="M928" s="9" t="s">
        <v>8689</v>
      </c>
      <c r="N928" s="9" t="s">
        <v>8690</v>
      </c>
      <c r="R928" s="9">
        <v>10929</v>
      </c>
      <c r="T928" s="9" t="str">
        <f t="shared" ca="1" si="38"/>
        <v/>
      </c>
      <c r="U928" s="9" t="str">
        <f t="shared" ca="1" si="39"/>
        <v/>
      </c>
    </row>
    <row r="929" spans="1:28">
      <c r="A929" s="3" t="s">
        <v>474</v>
      </c>
      <c r="D929" s="3" t="s">
        <v>4645</v>
      </c>
      <c r="E929" s="3" t="s">
        <v>4646</v>
      </c>
      <c r="F929" t="s">
        <v>3932</v>
      </c>
      <c r="I929" t="s">
        <v>4647</v>
      </c>
      <c r="T929" s="9" t="str">
        <f t="shared" ca="1" si="38"/>
        <v/>
      </c>
      <c r="U929" s="9" t="str">
        <f t="shared" ca="1" si="39"/>
        <v/>
      </c>
    </row>
    <row r="930" spans="1:28">
      <c r="A930" s="3" t="s">
        <v>474</v>
      </c>
      <c r="D930" s="3" t="s">
        <v>2691</v>
      </c>
      <c r="E930" s="3" t="s">
        <v>2692</v>
      </c>
      <c r="J930" s="9" t="s">
        <v>8731</v>
      </c>
      <c r="T930" s="9" t="str">
        <f t="shared" ca="1" si="38"/>
        <v/>
      </c>
      <c r="U930" s="9" t="str">
        <f t="shared" ca="1" si="39"/>
        <v/>
      </c>
      <c r="AB930" s="9" t="s">
        <v>8697</v>
      </c>
    </row>
    <row r="931" spans="1:28" ht="29">
      <c r="A931" s="3" t="s">
        <v>475</v>
      </c>
      <c r="D931" s="3" t="s">
        <v>4648</v>
      </c>
      <c r="E931" s="3" t="s">
        <v>9604</v>
      </c>
      <c r="J931" s="9" t="s">
        <v>3889</v>
      </c>
      <c r="K931" s="9">
        <v>2</v>
      </c>
      <c r="L931" s="9">
        <v>10</v>
      </c>
      <c r="N931" s="9" t="s">
        <v>8690</v>
      </c>
      <c r="R931" s="9">
        <v>57</v>
      </c>
      <c r="T931" s="9" t="str">
        <f t="shared" ca="1" si="38"/>
        <v/>
      </c>
      <c r="U931" s="9" t="str">
        <f t="shared" ca="1" si="39"/>
        <v/>
      </c>
    </row>
    <row r="932" spans="1:28">
      <c r="A932" s="3" t="s">
        <v>476</v>
      </c>
      <c r="D932" s="3" t="s">
        <v>4649</v>
      </c>
      <c r="E932" s="3" t="s">
        <v>4650</v>
      </c>
      <c r="H932" t="s">
        <v>3884</v>
      </c>
      <c r="J932" s="9" t="s">
        <v>3889</v>
      </c>
      <c r="K932" s="9">
        <v>1</v>
      </c>
      <c r="L932" s="9">
        <v>2</v>
      </c>
      <c r="M932" s="9" t="s">
        <v>8689</v>
      </c>
      <c r="N932" s="9" t="s">
        <v>8730</v>
      </c>
      <c r="R932" s="9">
        <v>10929</v>
      </c>
      <c r="T932" s="9" t="str">
        <f t="shared" ca="1" si="38"/>
        <v/>
      </c>
      <c r="U932" s="9" t="str">
        <f t="shared" ca="1" si="39"/>
        <v/>
      </c>
    </row>
    <row r="933" spans="1:28">
      <c r="A933" s="3" t="s">
        <v>477</v>
      </c>
      <c r="D933" s="3" t="s">
        <v>4651</v>
      </c>
      <c r="E933" s="3" t="s">
        <v>4652</v>
      </c>
      <c r="H933" t="s">
        <v>3884</v>
      </c>
      <c r="J933" s="9" t="s">
        <v>3885</v>
      </c>
      <c r="K933" s="9">
        <v>1</v>
      </c>
      <c r="L933" s="9">
        <v>1</v>
      </c>
      <c r="M933" s="9" t="s">
        <v>8705</v>
      </c>
      <c r="N933" s="9" t="s">
        <v>8730</v>
      </c>
      <c r="R933" s="9">
        <v>615</v>
      </c>
      <c r="T933" s="9" t="str">
        <f t="shared" ca="1" si="38"/>
        <v/>
      </c>
      <c r="U933" s="9" t="str">
        <f t="shared" ca="1" si="39"/>
        <v/>
      </c>
      <c r="AB933" s="9" t="s">
        <v>8694</v>
      </c>
    </row>
    <row r="934" spans="1:28">
      <c r="A934" s="3" t="s">
        <v>478</v>
      </c>
      <c r="D934" s="3" t="s">
        <v>2694</v>
      </c>
      <c r="E934" s="3" t="s">
        <v>2695</v>
      </c>
      <c r="F934" t="s">
        <v>3893</v>
      </c>
      <c r="H934" t="s">
        <v>3892</v>
      </c>
      <c r="I934" t="s">
        <v>4653</v>
      </c>
      <c r="T934" s="9" t="str">
        <f t="shared" ca="1" si="38"/>
        <v/>
      </c>
      <c r="U934" s="9" t="str">
        <f t="shared" ca="1" si="39"/>
        <v/>
      </c>
    </row>
    <row r="935" spans="1:28">
      <c r="A935" s="3" t="s">
        <v>478</v>
      </c>
      <c r="D935" s="3" t="s">
        <v>2696</v>
      </c>
      <c r="E935" s="3" t="s">
        <v>2697</v>
      </c>
      <c r="F935" t="s">
        <v>3890</v>
      </c>
      <c r="J935" s="9" t="s">
        <v>8729</v>
      </c>
      <c r="S935" s="9" t="s">
        <v>8739</v>
      </c>
      <c r="T935" s="9" t="str">
        <f t="shared" ca="1" si="38"/>
        <v/>
      </c>
      <c r="U935" s="9" t="str">
        <f t="shared" ca="1" si="39"/>
        <v/>
      </c>
      <c r="AB935" s="9" t="s">
        <v>8688</v>
      </c>
    </row>
    <row r="936" spans="1:28">
      <c r="A936" s="3" t="s">
        <v>478</v>
      </c>
      <c r="D936" s="3" t="s">
        <v>2698</v>
      </c>
      <c r="E936" s="3" t="s">
        <v>2698</v>
      </c>
      <c r="F936" t="s">
        <v>3932</v>
      </c>
      <c r="I936" t="s">
        <v>4654</v>
      </c>
      <c r="T936" s="9" t="str">
        <f t="shared" ca="1" si="38"/>
        <v/>
      </c>
      <c r="U936" s="9" t="str">
        <f t="shared" ca="1" si="39"/>
        <v/>
      </c>
    </row>
    <row r="937" spans="1:28">
      <c r="A937" s="3" t="s">
        <v>479</v>
      </c>
      <c r="D937" s="3" t="s">
        <v>4655</v>
      </c>
      <c r="E937" s="3" t="s">
        <v>4656</v>
      </c>
      <c r="H937" t="s">
        <v>3884</v>
      </c>
      <c r="J937" s="9" t="s">
        <v>8729</v>
      </c>
      <c r="S937" s="9">
        <f>655-336</f>
        <v>319</v>
      </c>
      <c r="T937" s="9">
        <f t="shared" ca="1" si="38"/>
        <v>336</v>
      </c>
      <c r="U937" s="9">
        <f t="shared" ca="1" si="39"/>
        <v>655</v>
      </c>
    </row>
    <row r="938" spans="1:28">
      <c r="A938" s="3" t="s">
        <v>479</v>
      </c>
      <c r="D938" s="3" t="s">
        <v>1962</v>
      </c>
      <c r="E938" s="3" t="s">
        <v>2030</v>
      </c>
      <c r="F938" t="s">
        <v>3893</v>
      </c>
      <c r="H938" t="s">
        <v>3892</v>
      </c>
      <c r="I938" t="s">
        <v>9683</v>
      </c>
      <c r="T938" s="9" t="str">
        <f t="shared" ca="1" si="38"/>
        <v/>
      </c>
      <c r="U938" s="9" t="str">
        <f t="shared" ca="1" si="39"/>
        <v/>
      </c>
    </row>
    <row r="939" spans="1:28">
      <c r="A939" s="3" t="s">
        <v>479</v>
      </c>
      <c r="D939" s="3" t="s">
        <v>2699</v>
      </c>
      <c r="E939" s="3" t="s">
        <v>2700</v>
      </c>
      <c r="J939" s="9" t="s">
        <v>8729</v>
      </c>
      <c r="S939" s="9" t="s">
        <v>8739</v>
      </c>
      <c r="T939" s="9" t="str">
        <f t="shared" ca="1" si="38"/>
        <v/>
      </c>
      <c r="U939" s="9" t="str">
        <f t="shared" ca="1" si="39"/>
        <v/>
      </c>
      <c r="Z939" s="9" t="s">
        <v>8742</v>
      </c>
      <c r="AA939" s="9" t="s">
        <v>3884</v>
      </c>
    </row>
    <row r="940" spans="1:28">
      <c r="A940" s="3" t="s">
        <v>480</v>
      </c>
      <c r="D940" s="3" t="s">
        <v>4657</v>
      </c>
      <c r="E940" s="3" t="s">
        <v>4657</v>
      </c>
      <c r="F940" t="s">
        <v>3932</v>
      </c>
      <c r="I940" t="s">
        <v>4658</v>
      </c>
      <c r="T940" s="9" t="str">
        <f t="shared" ca="1" si="38"/>
        <v/>
      </c>
      <c r="U940" s="9" t="str">
        <f t="shared" ca="1" si="39"/>
        <v/>
      </c>
    </row>
    <row r="941" spans="1:28">
      <c r="A941" s="3" t="s">
        <v>481</v>
      </c>
      <c r="D941" s="3" t="s">
        <v>4536</v>
      </c>
      <c r="E941" s="3" t="s">
        <v>4537</v>
      </c>
      <c r="J941" s="9" t="s">
        <v>3885</v>
      </c>
      <c r="K941" s="9">
        <v>1</v>
      </c>
      <c r="L941" s="9">
        <v>3</v>
      </c>
      <c r="M941" s="9" t="s">
        <v>8689</v>
      </c>
      <c r="N941" s="9" t="s">
        <v>8690</v>
      </c>
      <c r="R941" s="9">
        <v>10929</v>
      </c>
      <c r="T941" s="9" t="str">
        <f t="shared" ca="1" si="38"/>
        <v/>
      </c>
      <c r="U941" s="9" t="str">
        <f t="shared" ca="1" si="39"/>
        <v/>
      </c>
    </row>
    <row r="942" spans="1:28">
      <c r="A942" s="3" t="s">
        <v>481</v>
      </c>
      <c r="D942" s="3" t="s">
        <v>2701</v>
      </c>
      <c r="E942" s="3" t="s">
        <v>2702</v>
      </c>
      <c r="J942" s="9" t="s">
        <v>8731</v>
      </c>
      <c r="T942" s="9" t="str">
        <f t="shared" ca="1" si="38"/>
        <v/>
      </c>
      <c r="U942" s="9" t="str">
        <f t="shared" ca="1" si="39"/>
        <v/>
      </c>
      <c r="Z942" s="9" t="s">
        <v>8804</v>
      </c>
      <c r="AA942" s="9" t="s">
        <v>3884</v>
      </c>
    </row>
    <row r="943" spans="1:28">
      <c r="A943" s="3" t="s">
        <v>482</v>
      </c>
      <c r="D943" s="3" t="s">
        <v>4659</v>
      </c>
      <c r="E943" s="3" t="s">
        <v>4660</v>
      </c>
      <c r="J943" s="9" t="s">
        <v>8731</v>
      </c>
      <c r="T943" s="9" t="str">
        <f t="shared" ca="1" si="38"/>
        <v/>
      </c>
      <c r="U943" s="9" t="str">
        <f t="shared" ca="1" si="39"/>
        <v/>
      </c>
      <c r="AB943" s="9" t="s">
        <v>8688</v>
      </c>
    </row>
    <row r="944" spans="1:28">
      <c r="A944" s="3" t="s">
        <v>482</v>
      </c>
      <c r="D944" s="3" t="s">
        <v>4661</v>
      </c>
      <c r="E944" s="3" t="s">
        <v>4662</v>
      </c>
      <c r="J944" s="9" t="s">
        <v>8732</v>
      </c>
      <c r="S944" s="9">
        <f>1443-0</f>
        <v>1443</v>
      </c>
      <c r="T944" s="9">
        <f t="shared" ca="1" si="38"/>
        <v>0</v>
      </c>
      <c r="U944" s="9">
        <f t="shared" ca="1" si="39"/>
        <v>1443</v>
      </c>
      <c r="Z944" s="9" t="s">
        <v>8757</v>
      </c>
      <c r="AA944" s="9" t="s">
        <v>3884</v>
      </c>
      <c r="AB944" s="9" t="s">
        <v>8700</v>
      </c>
    </row>
    <row r="945" spans="1:28">
      <c r="A945" s="3" t="s">
        <v>482</v>
      </c>
      <c r="D945" s="3" t="s">
        <v>8970</v>
      </c>
      <c r="E945" s="3" t="s">
        <v>2703</v>
      </c>
      <c r="H945" t="s">
        <v>3884</v>
      </c>
      <c r="J945" s="9" t="s">
        <v>8729</v>
      </c>
      <c r="S945" s="9">
        <f>118-30</f>
        <v>88</v>
      </c>
      <c r="T945" s="9">
        <f t="shared" ca="1" si="38"/>
        <v>30</v>
      </c>
      <c r="U945" s="9">
        <f t="shared" ca="1" si="39"/>
        <v>118</v>
      </c>
    </row>
    <row r="946" spans="1:28">
      <c r="A946" s="3" t="s">
        <v>483</v>
      </c>
      <c r="D946" s="3" t="s">
        <v>2704</v>
      </c>
      <c r="E946" s="4" t="s">
        <v>2705</v>
      </c>
      <c r="F946" t="s">
        <v>3897</v>
      </c>
      <c r="T946" s="9" t="str">
        <f t="shared" ca="1" si="38"/>
        <v/>
      </c>
      <c r="U946" s="9" t="str">
        <f t="shared" ca="1" si="39"/>
        <v/>
      </c>
    </row>
    <row r="947" spans="1:28">
      <c r="A947" s="3" t="s">
        <v>483</v>
      </c>
      <c r="D947" s="4" t="s">
        <v>2616</v>
      </c>
      <c r="E947" s="3" t="s">
        <v>2674</v>
      </c>
      <c r="F947" t="s">
        <v>3883</v>
      </c>
      <c r="I947" t="s">
        <v>4663</v>
      </c>
      <c r="T947" s="9" t="str">
        <f t="shared" ca="1" si="38"/>
        <v/>
      </c>
      <c r="U947" s="9" t="str">
        <f t="shared" ca="1" si="39"/>
        <v/>
      </c>
    </row>
    <row r="948" spans="1:28">
      <c r="A948" s="3" t="s">
        <v>484</v>
      </c>
      <c r="D948" s="3" t="s">
        <v>4664</v>
      </c>
      <c r="E948" s="3" t="s">
        <v>4665</v>
      </c>
      <c r="H948" t="s">
        <v>3884</v>
      </c>
      <c r="J948" s="9" t="s">
        <v>3885</v>
      </c>
      <c r="K948" s="9">
        <v>1</v>
      </c>
      <c r="L948" s="9">
        <v>1</v>
      </c>
      <c r="M948" s="9" t="s">
        <v>8683</v>
      </c>
      <c r="N948" s="9" t="s">
        <v>8730</v>
      </c>
      <c r="R948" s="9">
        <v>51</v>
      </c>
      <c r="T948" s="9" t="str">
        <f t="shared" ca="1" si="38"/>
        <v/>
      </c>
      <c r="U948" s="9" t="str">
        <f t="shared" ca="1" si="39"/>
        <v/>
      </c>
      <c r="AB948" s="9" t="s">
        <v>8694</v>
      </c>
    </row>
    <row r="949" spans="1:28">
      <c r="A949" s="3" t="s">
        <v>485</v>
      </c>
      <c r="D949" s="3" t="s">
        <v>2706</v>
      </c>
      <c r="E949" s="3" t="s">
        <v>2707</v>
      </c>
      <c r="H949" t="s">
        <v>3892</v>
      </c>
      <c r="I949" t="s">
        <v>2834</v>
      </c>
      <c r="J949" s="9" t="s">
        <v>8729</v>
      </c>
      <c r="S949" s="9" t="s">
        <v>8739</v>
      </c>
      <c r="T949" s="9" t="str">
        <f t="shared" ca="1" si="38"/>
        <v/>
      </c>
      <c r="U949" s="9" t="str">
        <f t="shared" ca="1" si="39"/>
        <v/>
      </c>
      <c r="Z949" s="9" t="s">
        <v>8742</v>
      </c>
      <c r="AA949" s="9" t="s">
        <v>3884</v>
      </c>
    </row>
    <row r="950" spans="1:28">
      <c r="A950" s="3" t="s">
        <v>486</v>
      </c>
      <c r="D950" s="3" t="s">
        <v>2708</v>
      </c>
      <c r="E950" s="3" t="s">
        <v>2709</v>
      </c>
      <c r="J950" s="9" t="s">
        <v>8731</v>
      </c>
      <c r="T950" s="9" t="str">
        <f t="shared" ca="1" si="38"/>
        <v/>
      </c>
      <c r="U950" s="9" t="str">
        <f t="shared" ca="1" si="39"/>
        <v/>
      </c>
    </row>
    <row r="951" spans="1:28">
      <c r="A951" s="3" t="s">
        <v>487</v>
      </c>
      <c r="D951" s="3" t="s">
        <v>4666</v>
      </c>
      <c r="E951" s="3" t="s">
        <v>2710</v>
      </c>
      <c r="H951" t="s">
        <v>3884</v>
      </c>
      <c r="J951" s="9" t="s">
        <v>8729</v>
      </c>
      <c r="S951" s="9" t="s">
        <v>8739</v>
      </c>
      <c r="T951" s="9" t="str">
        <f t="shared" ca="1" si="38"/>
        <v/>
      </c>
      <c r="U951" s="9" t="str">
        <f t="shared" ca="1" si="39"/>
        <v/>
      </c>
      <c r="Z951" s="9" t="s">
        <v>8971</v>
      </c>
      <c r="AA951" s="9" t="s">
        <v>3884</v>
      </c>
      <c r="AB951" s="9" t="s">
        <v>8688</v>
      </c>
    </row>
    <row r="952" spans="1:28" ht="29">
      <c r="A952" s="3" t="s">
        <v>488</v>
      </c>
      <c r="D952" s="3" t="s">
        <v>4667</v>
      </c>
      <c r="E952" s="3" t="s">
        <v>9605</v>
      </c>
      <c r="F952" t="s">
        <v>3932</v>
      </c>
      <c r="I952" t="s">
        <v>4668</v>
      </c>
      <c r="T952" s="9" t="str">
        <f t="shared" ca="1" si="38"/>
        <v/>
      </c>
      <c r="U952" s="9" t="str">
        <f t="shared" ca="1" si="39"/>
        <v/>
      </c>
    </row>
    <row r="953" spans="1:28">
      <c r="A953" s="3" t="s">
        <v>488</v>
      </c>
      <c r="D953" s="3" t="s">
        <v>2711</v>
      </c>
      <c r="E953" s="3" t="s">
        <v>2711</v>
      </c>
      <c r="F953" t="s">
        <v>3932</v>
      </c>
      <c r="I953" t="s">
        <v>4669</v>
      </c>
      <c r="T953" s="9" t="str">
        <f t="shared" ca="1" si="38"/>
        <v/>
      </c>
      <c r="U953" s="9" t="str">
        <f t="shared" ca="1" si="39"/>
        <v/>
      </c>
    </row>
    <row r="954" spans="1:28">
      <c r="A954" s="3" t="s">
        <v>489</v>
      </c>
      <c r="D954" s="3" t="s">
        <v>2712</v>
      </c>
      <c r="E954" s="3" t="s">
        <v>2713</v>
      </c>
      <c r="J954" s="9" t="s">
        <v>8731</v>
      </c>
      <c r="T954" s="9" t="str">
        <f t="shared" ca="1" si="38"/>
        <v/>
      </c>
      <c r="U954" s="9" t="str">
        <f t="shared" ca="1" si="39"/>
        <v/>
      </c>
      <c r="AB954" s="9" t="s">
        <v>8688</v>
      </c>
    </row>
    <row r="955" spans="1:28" ht="29">
      <c r="A955" s="3" t="s">
        <v>489</v>
      </c>
      <c r="D955" s="3" t="s">
        <v>4671</v>
      </c>
      <c r="E955" s="3" t="s">
        <v>4672</v>
      </c>
      <c r="J955" s="9" t="s">
        <v>8729</v>
      </c>
      <c r="S955" s="9" t="s">
        <v>8739</v>
      </c>
      <c r="T955" s="9" t="str">
        <f t="shared" ca="1" si="38"/>
        <v/>
      </c>
      <c r="U955" s="9" t="str">
        <f t="shared" ca="1" si="39"/>
        <v/>
      </c>
      <c r="Y955" s="9" t="s">
        <v>8735</v>
      </c>
      <c r="Z955" s="9" t="s">
        <v>9280</v>
      </c>
      <c r="AA955" s="9" t="s">
        <v>3884</v>
      </c>
    </row>
    <row r="956" spans="1:28" ht="29">
      <c r="A956" s="3" t="s">
        <v>489</v>
      </c>
      <c r="D956" s="3" t="s">
        <v>8972</v>
      </c>
      <c r="E956" s="3" t="s">
        <v>4670</v>
      </c>
      <c r="H956" t="s">
        <v>3884</v>
      </c>
      <c r="I956" t="s">
        <v>8974</v>
      </c>
      <c r="J956" s="9" t="s">
        <v>3889</v>
      </c>
      <c r="K956" s="9">
        <v>3</v>
      </c>
      <c r="L956" s="9">
        <v>14</v>
      </c>
      <c r="N956" s="9" t="s">
        <v>8684</v>
      </c>
      <c r="O956" s="9" t="s">
        <v>8777</v>
      </c>
      <c r="P956" s="10" t="s">
        <v>8973</v>
      </c>
      <c r="R956" s="9">
        <v>2</v>
      </c>
      <c r="T956" s="9" t="str">
        <f t="shared" ca="1" si="38"/>
        <v/>
      </c>
      <c r="U956" s="9" t="str">
        <f t="shared" ca="1" si="39"/>
        <v/>
      </c>
    </row>
    <row r="957" spans="1:28">
      <c r="A957" s="3" t="s">
        <v>489</v>
      </c>
      <c r="D957" s="3" t="s">
        <v>2714</v>
      </c>
      <c r="E957" s="3" t="s">
        <v>2714</v>
      </c>
      <c r="F957" t="s">
        <v>3932</v>
      </c>
      <c r="I957" t="s">
        <v>4673</v>
      </c>
      <c r="T957" s="9" t="str">
        <f t="shared" ca="1" si="38"/>
        <v/>
      </c>
      <c r="U957" s="9" t="str">
        <f t="shared" ca="1" si="39"/>
        <v/>
      </c>
    </row>
    <row r="958" spans="1:28">
      <c r="A958" s="3" t="s">
        <v>489</v>
      </c>
      <c r="D958" s="3" t="s">
        <v>2715</v>
      </c>
      <c r="E958" s="3" t="s">
        <v>2716</v>
      </c>
      <c r="J958" s="9" t="s">
        <v>8729</v>
      </c>
      <c r="S958" s="9" t="s">
        <v>8739</v>
      </c>
      <c r="T958" s="9" t="str">
        <f t="shared" ca="1" si="38"/>
        <v/>
      </c>
      <c r="U958" s="9" t="str">
        <f t="shared" ca="1" si="39"/>
        <v/>
      </c>
      <c r="Z958" s="9" t="s">
        <v>8741</v>
      </c>
      <c r="AA958" s="9" t="s">
        <v>3884</v>
      </c>
      <c r="AB958" s="9" t="s">
        <v>8697</v>
      </c>
    </row>
    <row r="959" spans="1:28">
      <c r="A959" s="3" t="s">
        <v>490</v>
      </c>
      <c r="D959" s="3" t="s">
        <v>8975</v>
      </c>
      <c r="E959" s="3" t="s">
        <v>2717</v>
      </c>
      <c r="H959" t="s">
        <v>3884</v>
      </c>
      <c r="J959" s="9" t="s">
        <v>8729</v>
      </c>
      <c r="S959" s="9" t="s">
        <v>8739</v>
      </c>
      <c r="T959" s="9" t="str">
        <f t="shared" ca="1" si="38"/>
        <v/>
      </c>
      <c r="U959" s="9" t="str">
        <f t="shared" ca="1" si="39"/>
        <v/>
      </c>
      <c r="Z959" s="9" t="s">
        <v>8976</v>
      </c>
      <c r="AA959" s="9" t="s">
        <v>3891</v>
      </c>
      <c r="AB959" s="9" t="s">
        <v>8688</v>
      </c>
    </row>
    <row r="960" spans="1:28">
      <c r="A960" s="3" t="s">
        <v>491</v>
      </c>
      <c r="D960" s="3" t="s">
        <v>2718</v>
      </c>
      <c r="E960" s="3" t="s">
        <v>2719</v>
      </c>
      <c r="J960" s="9" t="s">
        <v>8729</v>
      </c>
      <c r="S960" s="9">
        <f>38-4</f>
        <v>34</v>
      </c>
      <c r="T960" s="9">
        <f t="shared" ca="1" si="38"/>
        <v>4</v>
      </c>
      <c r="U960" s="9">
        <f t="shared" ca="1" si="39"/>
        <v>38</v>
      </c>
    </row>
    <row r="961" spans="1:28">
      <c r="A961" s="3" t="s">
        <v>492</v>
      </c>
      <c r="D961" s="3" t="s">
        <v>4674</v>
      </c>
      <c r="E961" s="3" t="s">
        <v>4675</v>
      </c>
      <c r="J961" s="9" t="s">
        <v>8731</v>
      </c>
      <c r="T961" s="9" t="str">
        <f t="shared" ca="1" si="38"/>
        <v/>
      </c>
      <c r="U961" s="9" t="str">
        <f t="shared" ca="1" si="39"/>
        <v/>
      </c>
    </row>
    <row r="962" spans="1:28" ht="29">
      <c r="A962" s="3" t="s">
        <v>493</v>
      </c>
      <c r="D962" s="4" t="s">
        <v>4676</v>
      </c>
      <c r="E962" s="3" t="s">
        <v>4678</v>
      </c>
      <c r="F962" t="s">
        <v>3883</v>
      </c>
      <c r="J962" s="9" t="s">
        <v>8731</v>
      </c>
      <c r="T962" s="9" t="str">
        <f t="shared" ca="1" si="38"/>
        <v/>
      </c>
      <c r="U962" s="9" t="str">
        <f t="shared" ca="1" si="39"/>
        <v/>
      </c>
    </row>
    <row r="963" spans="1:28" ht="29">
      <c r="A963" s="3" t="s">
        <v>493</v>
      </c>
      <c r="D963" s="3" t="s">
        <v>4677</v>
      </c>
      <c r="E963" s="3" t="s">
        <v>4679</v>
      </c>
      <c r="H963" t="s">
        <v>3884</v>
      </c>
      <c r="I963" t="s">
        <v>8805</v>
      </c>
      <c r="J963" s="9" t="s">
        <v>3894</v>
      </c>
      <c r="T963" s="9" t="str">
        <f t="shared" ca="1" si="38"/>
        <v/>
      </c>
      <c r="U963" s="9" t="str">
        <f t="shared" ca="1" si="39"/>
        <v/>
      </c>
    </row>
    <row r="964" spans="1:28">
      <c r="A964" s="3" t="s">
        <v>494</v>
      </c>
      <c r="D964" s="4" t="s">
        <v>2720</v>
      </c>
      <c r="E964" s="3" t="s">
        <v>2721</v>
      </c>
      <c r="F964" t="s">
        <v>3883</v>
      </c>
      <c r="T964" s="9" t="str">
        <f t="shared" ca="1" si="38"/>
        <v/>
      </c>
      <c r="U964" s="9" t="str">
        <f t="shared" ca="1" si="39"/>
        <v/>
      </c>
    </row>
    <row r="965" spans="1:28">
      <c r="A965" s="3" t="s">
        <v>495</v>
      </c>
      <c r="D965" s="3" t="s">
        <v>2722</v>
      </c>
      <c r="E965" s="3" t="s">
        <v>2723</v>
      </c>
      <c r="F965" t="s">
        <v>3893</v>
      </c>
      <c r="T965" s="9" t="str">
        <f t="shared" ca="1" si="38"/>
        <v/>
      </c>
      <c r="U965" s="9" t="str">
        <f t="shared" ca="1" si="39"/>
        <v/>
      </c>
    </row>
    <row r="966" spans="1:28">
      <c r="A966" s="3" t="s">
        <v>495</v>
      </c>
      <c r="D966" s="3" t="s">
        <v>2724</v>
      </c>
      <c r="E966" s="3" t="s">
        <v>2724</v>
      </c>
      <c r="F966" t="s">
        <v>3932</v>
      </c>
      <c r="I966" t="s">
        <v>2727</v>
      </c>
      <c r="T966" s="9" t="str">
        <f t="shared" ref="T966:T1029" ca="1" si="40">IF(ISNUMBER(S966),VALUE(MID(_xlfn.FORMULATEXT(S966),SEARCH("-",_xlfn.FORMULATEXT(S966))+1,LEN(_xlfn.FORMULATEXT(S966))-SEARCH("-",_xlfn.FORMULATEXT(S966)))), "")</f>
        <v/>
      </c>
      <c r="U966" s="9" t="str">
        <f t="shared" ref="U966:U1029" ca="1" si="41">IF(ISNUMBER(S966), VALUE(MID(_xlfn.FORMULATEXT(S966), 2, SEARCH("-", _xlfn.FORMULATEXT(S966)) - 2)), "")</f>
        <v/>
      </c>
    </row>
    <row r="967" spans="1:28">
      <c r="A967" s="3" t="s">
        <v>496</v>
      </c>
      <c r="D967" s="3" t="s">
        <v>4680</v>
      </c>
      <c r="E967" s="3" t="s">
        <v>4681</v>
      </c>
      <c r="J967" s="9" t="s">
        <v>8729</v>
      </c>
      <c r="S967" s="9">
        <f xml:space="preserve"> 4-781</f>
        <v>-777</v>
      </c>
      <c r="T967" s="9">
        <f t="shared" ca="1" si="40"/>
        <v>781</v>
      </c>
      <c r="U967" s="9">
        <f t="shared" ca="1" si="41"/>
        <v>4</v>
      </c>
    </row>
    <row r="968" spans="1:28">
      <c r="A968" s="3" t="s">
        <v>497</v>
      </c>
      <c r="D968" s="3" t="s">
        <v>4319</v>
      </c>
      <c r="E968" s="3" t="s">
        <v>4320</v>
      </c>
      <c r="J968" s="9" t="s">
        <v>8731</v>
      </c>
      <c r="T968" s="9" t="str">
        <f t="shared" ca="1" si="40"/>
        <v/>
      </c>
      <c r="U968" s="9" t="str">
        <f t="shared" ca="1" si="41"/>
        <v/>
      </c>
      <c r="Z968" s="9" t="s">
        <v>8741</v>
      </c>
      <c r="AA968" s="9" t="s">
        <v>3884</v>
      </c>
    </row>
    <row r="969" spans="1:28" ht="29">
      <c r="A969" s="3" t="s">
        <v>498</v>
      </c>
      <c r="D969" s="3" t="s">
        <v>8977</v>
      </c>
      <c r="E969" s="3" t="s">
        <v>8978</v>
      </c>
      <c r="J969" s="9" t="s">
        <v>8731</v>
      </c>
      <c r="T969" s="9" t="str">
        <f t="shared" ca="1" si="40"/>
        <v/>
      </c>
      <c r="U969" s="9" t="str">
        <f t="shared" ca="1" si="41"/>
        <v/>
      </c>
      <c r="AB969" s="9" t="s">
        <v>8700</v>
      </c>
    </row>
    <row r="970" spans="1:28">
      <c r="A970" s="3" t="s">
        <v>498</v>
      </c>
      <c r="D970" s="3" t="s">
        <v>4682</v>
      </c>
      <c r="E970" s="3" t="s">
        <v>4682</v>
      </c>
      <c r="F970" t="s">
        <v>3932</v>
      </c>
      <c r="I970" t="s">
        <v>4683</v>
      </c>
      <c r="T970" s="9" t="str">
        <f t="shared" ca="1" si="40"/>
        <v/>
      </c>
      <c r="U970" s="9" t="str">
        <f t="shared" ca="1" si="41"/>
        <v/>
      </c>
    </row>
    <row r="971" spans="1:28">
      <c r="A971" s="3" t="s">
        <v>499</v>
      </c>
      <c r="D971" s="3" t="s">
        <v>9465</v>
      </c>
      <c r="E971" s="3" t="s">
        <v>9464</v>
      </c>
      <c r="J971" s="9" t="s">
        <v>8731</v>
      </c>
      <c r="T971" s="9" t="str">
        <f t="shared" ca="1" si="40"/>
        <v/>
      </c>
      <c r="U971" s="9" t="str">
        <f t="shared" ca="1" si="41"/>
        <v/>
      </c>
      <c r="AB971" s="9" t="s">
        <v>8700</v>
      </c>
    </row>
    <row r="972" spans="1:28" ht="29">
      <c r="A972" s="3" t="s">
        <v>499</v>
      </c>
      <c r="D972" s="3" t="s">
        <v>4684</v>
      </c>
      <c r="E972" s="3" t="s">
        <v>4685</v>
      </c>
      <c r="H972" t="s">
        <v>3884</v>
      </c>
      <c r="J972" s="9" t="s">
        <v>3889</v>
      </c>
      <c r="K972" s="9">
        <v>2</v>
      </c>
      <c r="L972" s="9">
        <v>4</v>
      </c>
      <c r="N972" s="9" t="s">
        <v>8684</v>
      </c>
      <c r="O972" s="9" t="s">
        <v>8771</v>
      </c>
      <c r="P972" s="10" t="s">
        <v>8772</v>
      </c>
      <c r="R972" s="9">
        <v>1942</v>
      </c>
      <c r="T972" s="9" t="str">
        <f t="shared" ca="1" si="40"/>
        <v/>
      </c>
      <c r="U972" s="9" t="str">
        <f t="shared" ca="1" si="41"/>
        <v/>
      </c>
    </row>
    <row r="973" spans="1:28">
      <c r="A973" s="3" t="s">
        <v>500</v>
      </c>
      <c r="D973" s="3" t="s">
        <v>2722</v>
      </c>
      <c r="E973" s="3" t="s">
        <v>2725</v>
      </c>
      <c r="F973" t="s">
        <v>3881</v>
      </c>
      <c r="T973" s="9" t="str">
        <f t="shared" ca="1" si="40"/>
        <v/>
      </c>
      <c r="U973" s="9" t="str">
        <f t="shared" ca="1" si="41"/>
        <v/>
      </c>
    </row>
    <row r="974" spans="1:28">
      <c r="A974" s="3" t="s">
        <v>500</v>
      </c>
      <c r="D974" s="3" t="s">
        <v>2726</v>
      </c>
      <c r="E974" s="3" t="s">
        <v>2727</v>
      </c>
      <c r="J974" s="9" t="s">
        <v>8729</v>
      </c>
      <c r="S974" s="9" t="s">
        <v>8739</v>
      </c>
      <c r="T974" s="9" t="str">
        <f t="shared" ca="1" si="40"/>
        <v/>
      </c>
      <c r="U974" s="9" t="str">
        <f t="shared" ca="1" si="41"/>
        <v/>
      </c>
      <c r="AB974" s="9" t="s">
        <v>8697</v>
      </c>
    </row>
    <row r="975" spans="1:28">
      <c r="A975" s="3" t="s">
        <v>501</v>
      </c>
      <c r="D975" s="3" t="s">
        <v>4686</v>
      </c>
      <c r="E975" s="3" t="s">
        <v>2728</v>
      </c>
      <c r="F975" t="s">
        <v>3893</v>
      </c>
      <c r="T975" s="9" t="str">
        <f t="shared" ca="1" si="40"/>
        <v/>
      </c>
      <c r="U975" s="9" t="str">
        <f t="shared" ca="1" si="41"/>
        <v/>
      </c>
    </row>
    <row r="976" spans="1:28" ht="29">
      <c r="A976" s="3" t="s">
        <v>502</v>
      </c>
      <c r="D976" s="3" t="s">
        <v>4688</v>
      </c>
      <c r="E976" s="3" t="s">
        <v>4689</v>
      </c>
      <c r="J976" s="9" t="s">
        <v>8731</v>
      </c>
      <c r="T976" s="9" t="str">
        <f t="shared" ca="1" si="40"/>
        <v/>
      </c>
      <c r="U976" s="9" t="str">
        <f t="shared" ca="1" si="41"/>
        <v/>
      </c>
      <c r="Z976" s="9" t="s">
        <v>8741</v>
      </c>
      <c r="AA976" s="9" t="s">
        <v>3884</v>
      </c>
    </row>
    <row r="977" spans="1:28" ht="29">
      <c r="A977" s="3" t="s">
        <v>502</v>
      </c>
      <c r="D977" s="3" t="s">
        <v>4690</v>
      </c>
      <c r="E977" s="3" t="s">
        <v>4687</v>
      </c>
      <c r="H977" t="s">
        <v>3884</v>
      </c>
      <c r="J977" s="9" t="s">
        <v>3889</v>
      </c>
      <c r="K977" s="9">
        <v>1</v>
      </c>
      <c r="L977" s="9">
        <v>3</v>
      </c>
      <c r="M977" s="9" t="s">
        <v>8689</v>
      </c>
      <c r="N977" s="9" t="s">
        <v>8690</v>
      </c>
      <c r="R977" s="9">
        <v>10929</v>
      </c>
      <c r="T977" s="9" t="str">
        <f t="shared" ca="1" si="40"/>
        <v/>
      </c>
      <c r="U977" s="9" t="str">
        <f t="shared" ca="1" si="41"/>
        <v/>
      </c>
    </row>
    <row r="978" spans="1:28">
      <c r="A978" s="3" t="s">
        <v>502</v>
      </c>
      <c r="D978" s="3" t="s">
        <v>8979</v>
      </c>
      <c r="E978" s="3" t="s">
        <v>8980</v>
      </c>
      <c r="J978" s="9" t="s">
        <v>8731</v>
      </c>
      <c r="T978" s="9" t="str">
        <f t="shared" ca="1" si="40"/>
        <v/>
      </c>
      <c r="U978" s="9" t="str">
        <f t="shared" ca="1" si="41"/>
        <v/>
      </c>
      <c r="AB978" s="9" t="s">
        <v>8700</v>
      </c>
    </row>
    <row r="979" spans="1:28">
      <c r="A979" s="3" t="s">
        <v>503</v>
      </c>
      <c r="D979" s="3" t="s">
        <v>4691</v>
      </c>
      <c r="E979" s="4" t="s">
        <v>4692</v>
      </c>
      <c r="F979" t="s">
        <v>3897</v>
      </c>
      <c r="T979" s="9" t="str">
        <f t="shared" ca="1" si="40"/>
        <v/>
      </c>
      <c r="U979" s="9" t="str">
        <f t="shared" ca="1" si="41"/>
        <v/>
      </c>
    </row>
    <row r="980" spans="1:28" ht="101.5">
      <c r="A980" s="3" t="s">
        <v>504</v>
      </c>
      <c r="D980" s="3" t="s">
        <v>4693</v>
      </c>
      <c r="E980" s="3" t="s">
        <v>4694</v>
      </c>
      <c r="H980" t="s">
        <v>3884</v>
      </c>
      <c r="I980" t="s">
        <v>8981</v>
      </c>
      <c r="J980" s="9" t="s">
        <v>3889</v>
      </c>
      <c r="K980" s="9">
        <v>14</v>
      </c>
      <c r="L980" s="9">
        <v>62</v>
      </c>
      <c r="N980" s="9" t="s">
        <v>8684</v>
      </c>
      <c r="O980" s="9" t="s">
        <v>8944</v>
      </c>
      <c r="P980" s="10" t="s">
        <v>8946</v>
      </c>
      <c r="R980" s="9">
        <v>0</v>
      </c>
      <c r="T980" s="9" t="str">
        <f t="shared" ca="1" si="40"/>
        <v/>
      </c>
      <c r="U980" s="9" t="str">
        <f t="shared" ca="1" si="41"/>
        <v/>
      </c>
    </row>
    <row r="981" spans="1:28">
      <c r="A981" s="3" t="s">
        <v>504</v>
      </c>
      <c r="D981" s="3" t="s">
        <v>2729</v>
      </c>
      <c r="E981" s="3" t="s">
        <v>2730</v>
      </c>
      <c r="J981" s="9" t="s">
        <v>8729</v>
      </c>
      <c r="S981" s="9" t="s">
        <v>8730</v>
      </c>
      <c r="T981" s="9" t="str">
        <f t="shared" ca="1" si="40"/>
        <v/>
      </c>
      <c r="U981" s="9" t="str">
        <f t="shared" ca="1" si="41"/>
        <v/>
      </c>
      <c r="Z981" s="9" t="s">
        <v>8742</v>
      </c>
      <c r="AA981" s="9" t="s">
        <v>3884</v>
      </c>
    </row>
    <row r="982" spans="1:28" ht="29">
      <c r="A982" s="3" t="s">
        <v>504</v>
      </c>
      <c r="D982" s="3" t="s">
        <v>4695</v>
      </c>
      <c r="E982" s="3" t="s">
        <v>4696</v>
      </c>
      <c r="J982" s="9" t="s">
        <v>3885</v>
      </c>
      <c r="K982" s="9">
        <v>1</v>
      </c>
      <c r="L982" s="9">
        <v>5</v>
      </c>
      <c r="M982" s="9" t="s">
        <v>8736</v>
      </c>
      <c r="N982" s="9" t="s">
        <v>8690</v>
      </c>
      <c r="R982" s="9">
        <v>645</v>
      </c>
      <c r="T982" s="9" t="str">
        <f t="shared" ca="1" si="40"/>
        <v/>
      </c>
      <c r="U982" s="9" t="str">
        <f t="shared" ca="1" si="41"/>
        <v/>
      </c>
    </row>
    <row r="983" spans="1:28">
      <c r="A983" s="3" t="s">
        <v>505</v>
      </c>
      <c r="D983" s="3" t="s">
        <v>2731</v>
      </c>
      <c r="E983" s="3" t="s">
        <v>2731</v>
      </c>
      <c r="F983" t="s">
        <v>3932</v>
      </c>
      <c r="I983" t="s">
        <v>4697</v>
      </c>
      <c r="T983" s="9" t="str">
        <f t="shared" ca="1" si="40"/>
        <v/>
      </c>
      <c r="U983" s="9" t="str">
        <f t="shared" ca="1" si="41"/>
        <v/>
      </c>
    </row>
    <row r="984" spans="1:28">
      <c r="A984" s="3" t="s">
        <v>506</v>
      </c>
      <c r="D984" s="3" t="s">
        <v>2732</v>
      </c>
      <c r="E984" s="3" t="s">
        <v>2733</v>
      </c>
      <c r="J984" s="9" t="s">
        <v>8731</v>
      </c>
      <c r="T984" s="9" t="str">
        <f t="shared" ca="1" si="40"/>
        <v/>
      </c>
      <c r="U984" s="9" t="str">
        <f t="shared" ca="1" si="41"/>
        <v/>
      </c>
      <c r="Z984" s="9" t="s">
        <v>9280</v>
      </c>
      <c r="AA984" s="9" t="s">
        <v>3884</v>
      </c>
    </row>
    <row r="985" spans="1:28">
      <c r="A985" s="3" t="s">
        <v>507</v>
      </c>
      <c r="D985" s="3" t="s">
        <v>4698</v>
      </c>
      <c r="E985" s="3" t="s">
        <v>4699</v>
      </c>
      <c r="H985" t="s">
        <v>3884</v>
      </c>
      <c r="J985" s="9" t="s">
        <v>8729</v>
      </c>
      <c r="S985" s="9">
        <f>1225-3678</f>
        <v>-2453</v>
      </c>
      <c r="T985" s="9">
        <f t="shared" ca="1" si="40"/>
        <v>3678</v>
      </c>
      <c r="U985" s="9">
        <f t="shared" ca="1" si="41"/>
        <v>1225</v>
      </c>
    </row>
    <row r="986" spans="1:28">
      <c r="A986" s="3" t="s">
        <v>508</v>
      </c>
      <c r="D986" s="3" t="s">
        <v>4700</v>
      </c>
      <c r="E986" s="4" t="s">
        <v>4701</v>
      </c>
      <c r="F986" t="s">
        <v>3897</v>
      </c>
      <c r="T986" s="9" t="str">
        <f t="shared" ca="1" si="40"/>
        <v/>
      </c>
      <c r="U986" s="9" t="str">
        <f t="shared" ca="1" si="41"/>
        <v/>
      </c>
    </row>
    <row r="987" spans="1:28">
      <c r="A987" s="3" t="s">
        <v>509</v>
      </c>
      <c r="D987" s="3" t="s">
        <v>2420</v>
      </c>
      <c r="E987" s="3" t="s">
        <v>2421</v>
      </c>
      <c r="J987" s="9" t="s">
        <v>8731</v>
      </c>
      <c r="T987" s="9" t="str">
        <f t="shared" ca="1" si="40"/>
        <v/>
      </c>
      <c r="U987" s="9" t="str">
        <f t="shared" ca="1" si="41"/>
        <v/>
      </c>
      <c r="Z987" s="9" t="s">
        <v>8741</v>
      </c>
      <c r="AA987" s="9" t="s">
        <v>3884</v>
      </c>
    </row>
    <row r="988" spans="1:28">
      <c r="A988" s="3" t="s">
        <v>509</v>
      </c>
      <c r="D988" s="3" t="s">
        <v>4702</v>
      </c>
      <c r="E988" s="3" t="s">
        <v>4702</v>
      </c>
      <c r="F988" t="s">
        <v>3932</v>
      </c>
      <c r="I988" t="s">
        <v>4703</v>
      </c>
      <c r="T988" s="9" t="str">
        <f t="shared" ca="1" si="40"/>
        <v/>
      </c>
      <c r="U988" s="9" t="str">
        <f t="shared" ca="1" si="41"/>
        <v/>
      </c>
    </row>
    <row r="989" spans="1:28">
      <c r="A989" s="3" t="s">
        <v>510</v>
      </c>
      <c r="D989" s="3" t="s">
        <v>4005</v>
      </c>
      <c r="E989" s="3" t="s">
        <v>4704</v>
      </c>
      <c r="H989" t="s">
        <v>3884</v>
      </c>
      <c r="J989" s="9" t="s">
        <v>8731</v>
      </c>
      <c r="T989" s="9" t="str">
        <f t="shared" ca="1" si="40"/>
        <v/>
      </c>
      <c r="U989" s="9" t="str">
        <f t="shared" ca="1" si="41"/>
        <v/>
      </c>
      <c r="AB989" s="9" t="s">
        <v>8694</v>
      </c>
    </row>
    <row r="990" spans="1:28">
      <c r="A990" s="3" t="s">
        <v>511</v>
      </c>
      <c r="D990" s="3" t="s">
        <v>4705</v>
      </c>
      <c r="E990" s="3" t="s">
        <v>4705</v>
      </c>
      <c r="F990" t="s">
        <v>3932</v>
      </c>
      <c r="I990" t="s">
        <v>4706</v>
      </c>
      <c r="T990" s="9" t="str">
        <f t="shared" ca="1" si="40"/>
        <v/>
      </c>
      <c r="U990" s="9" t="str">
        <f t="shared" ca="1" si="41"/>
        <v/>
      </c>
    </row>
    <row r="991" spans="1:28">
      <c r="A991" s="3" t="s">
        <v>511</v>
      </c>
      <c r="D991" s="3" t="s">
        <v>2734</v>
      </c>
      <c r="E991" s="3" t="s">
        <v>2734</v>
      </c>
      <c r="F991" t="s">
        <v>3932</v>
      </c>
      <c r="I991" t="s">
        <v>4707</v>
      </c>
      <c r="T991" s="9" t="str">
        <f t="shared" ca="1" si="40"/>
        <v/>
      </c>
      <c r="U991" s="9" t="str">
        <f t="shared" ca="1" si="41"/>
        <v/>
      </c>
    </row>
    <row r="992" spans="1:28">
      <c r="A992" s="3" t="s">
        <v>512</v>
      </c>
      <c r="D992" s="3" t="s">
        <v>2619</v>
      </c>
      <c r="E992" s="3" t="s">
        <v>2355</v>
      </c>
      <c r="J992" s="9" t="s">
        <v>8731</v>
      </c>
      <c r="T992" s="9" t="str">
        <f t="shared" ca="1" si="40"/>
        <v/>
      </c>
      <c r="U992" s="9" t="str">
        <f t="shared" ca="1" si="41"/>
        <v/>
      </c>
    </row>
    <row r="993" spans="1:28">
      <c r="A993" s="3" t="s">
        <v>512</v>
      </c>
      <c r="D993" s="3" t="s">
        <v>4708</v>
      </c>
      <c r="E993" s="3" t="s">
        <v>4709</v>
      </c>
      <c r="J993" s="9" t="s">
        <v>8731</v>
      </c>
      <c r="T993" s="9" t="str">
        <f t="shared" ca="1" si="40"/>
        <v/>
      </c>
      <c r="U993" s="9" t="str">
        <f t="shared" ca="1" si="41"/>
        <v/>
      </c>
    </row>
    <row r="994" spans="1:28" ht="29">
      <c r="A994" s="3" t="s">
        <v>513</v>
      </c>
      <c r="D994" s="3" t="s">
        <v>4710</v>
      </c>
      <c r="E994" s="3" t="s">
        <v>4711</v>
      </c>
      <c r="F994" t="s">
        <v>3893</v>
      </c>
      <c r="H994" t="s">
        <v>3884</v>
      </c>
      <c r="T994" s="9" t="str">
        <f t="shared" ca="1" si="40"/>
        <v/>
      </c>
      <c r="U994" s="9" t="str">
        <f t="shared" ca="1" si="41"/>
        <v/>
      </c>
    </row>
    <row r="995" spans="1:28">
      <c r="A995" s="3" t="s">
        <v>513</v>
      </c>
      <c r="D995" s="3" t="s">
        <v>9607</v>
      </c>
      <c r="E995" s="3" t="s">
        <v>9606</v>
      </c>
      <c r="J995" s="9" t="s">
        <v>8729</v>
      </c>
      <c r="P995" s="9"/>
      <c r="S995" s="9" t="s">
        <v>8739</v>
      </c>
      <c r="T995" s="9" t="str">
        <f t="shared" ca="1" si="40"/>
        <v/>
      </c>
      <c r="U995" s="9" t="str">
        <f t="shared" ca="1" si="41"/>
        <v/>
      </c>
      <c r="Z995" s="9" t="s">
        <v>8742</v>
      </c>
      <c r="AA995" s="9" t="s">
        <v>3884</v>
      </c>
    </row>
    <row r="996" spans="1:28">
      <c r="A996" s="3" t="s">
        <v>514</v>
      </c>
      <c r="D996" s="3" t="s">
        <v>4712</v>
      </c>
      <c r="E996" s="3" t="s">
        <v>4713</v>
      </c>
      <c r="H996" t="s">
        <v>3884</v>
      </c>
      <c r="J996" s="9" t="s">
        <v>8731</v>
      </c>
      <c r="T996" s="9" t="str">
        <f t="shared" ca="1" si="40"/>
        <v/>
      </c>
      <c r="U996" s="9" t="str">
        <f t="shared" ca="1" si="41"/>
        <v/>
      </c>
      <c r="Y996" s="9" t="s">
        <v>9282</v>
      </c>
      <c r="AA996" s="9" t="s">
        <v>3884</v>
      </c>
    </row>
    <row r="997" spans="1:28">
      <c r="A997" s="3" t="s">
        <v>514</v>
      </c>
      <c r="D997" s="3" t="s">
        <v>2735</v>
      </c>
      <c r="E997" s="3" t="s">
        <v>2736</v>
      </c>
      <c r="J997" s="9" t="s">
        <v>8729</v>
      </c>
      <c r="S997" s="9" t="s">
        <v>8739</v>
      </c>
      <c r="T997" s="9" t="str">
        <f t="shared" ca="1" si="40"/>
        <v/>
      </c>
      <c r="U997" s="9" t="str">
        <f t="shared" ca="1" si="41"/>
        <v/>
      </c>
      <c r="Z997" s="9" t="s">
        <v>8742</v>
      </c>
      <c r="AA997" s="9" t="s">
        <v>3884</v>
      </c>
    </row>
    <row r="998" spans="1:28">
      <c r="A998" s="3" t="s">
        <v>515</v>
      </c>
      <c r="D998" s="3" t="s">
        <v>4714</v>
      </c>
      <c r="E998" s="3" t="s">
        <v>4715</v>
      </c>
      <c r="H998" t="s">
        <v>3884</v>
      </c>
      <c r="J998" s="9" t="s">
        <v>8729</v>
      </c>
      <c r="S998" s="9">
        <f>520-10929</f>
        <v>-10409</v>
      </c>
      <c r="T998" s="9">
        <f t="shared" ca="1" si="40"/>
        <v>10929</v>
      </c>
      <c r="U998" s="9">
        <f t="shared" ca="1" si="41"/>
        <v>520</v>
      </c>
    </row>
    <row r="999" spans="1:28" ht="43.5">
      <c r="A999" s="3" t="s">
        <v>515</v>
      </c>
      <c r="D999" s="3" t="s">
        <v>4716</v>
      </c>
      <c r="E999" s="3" t="s">
        <v>4717</v>
      </c>
      <c r="I999" t="s">
        <v>9218</v>
      </c>
      <c r="J999" s="9" t="s">
        <v>3885</v>
      </c>
      <c r="K999" s="9">
        <v>2</v>
      </c>
      <c r="L999" s="9">
        <v>12</v>
      </c>
      <c r="N999" s="9" t="s">
        <v>8684</v>
      </c>
      <c r="O999" s="9" t="s">
        <v>8777</v>
      </c>
      <c r="P999" s="10" t="s">
        <v>8982</v>
      </c>
      <c r="R999" s="9">
        <v>174</v>
      </c>
      <c r="T999" s="9" t="str">
        <f t="shared" ca="1" si="40"/>
        <v/>
      </c>
      <c r="U999" s="9" t="str">
        <f t="shared" ca="1" si="41"/>
        <v/>
      </c>
      <c r="V999" s="9" t="s">
        <v>4</v>
      </c>
    </row>
    <row r="1000" spans="1:28">
      <c r="A1000" s="3" t="s">
        <v>516</v>
      </c>
      <c r="D1000" s="3" t="s">
        <v>2737</v>
      </c>
      <c r="E1000" s="3" t="s">
        <v>2737</v>
      </c>
      <c r="F1000" t="s">
        <v>3932</v>
      </c>
      <c r="I1000" t="s">
        <v>3594</v>
      </c>
      <c r="T1000" s="9" t="str">
        <f t="shared" ca="1" si="40"/>
        <v/>
      </c>
      <c r="U1000" s="9" t="str">
        <f t="shared" ca="1" si="41"/>
        <v/>
      </c>
    </row>
    <row r="1001" spans="1:28">
      <c r="A1001" s="3" t="s">
        <v>517</v>
      </c>
      <c r="D1001" s="3" t="s">
        <v>4718</v>
      </c>
      <c r="E1001" s="3" t="s">
        <v>4719</v>
      </c>
      <c r="H1001" t="s">
        <v>3884</v>
      </c>
      <c r="I1001" t="s">
        <v>9219</v>
      </c>
      <c r="J1001" s="9" t="s">
        <v>8731</v>
      </c>
      <c r="T1001" s="9" t="str">
        <f t="shared" ca="1" si="40"/>
        <v/>
      </c>
      <c r="U1001" s="9" t="str">
        <f t="shared" ca="1" si="41"/>
        <v/>
      </c>
      <c r="V1001" s="9" t="s">
        <v>8728</v>
      </c>
    </row>
    <row r="1002" spans="1:28">
      <c r="A1002" s="3" t="s">
        <v>518</v>
      </c>
      <c r="D1002" s="3" t="s">
        <v>4720</v>
      </c>
      <c r="E1002" s="3" t="s">
        <v>2738</v>
      </c>
      <c r="H1002" t="s">
        <v>3884</v>
      </c>
      <c r="J1002" s="9" t="s">
        <v>8731</v>
      </c>
      <c r="T1002" s="9" t="str">
        <f t="shared" ca="1" si="40"/>
        <v/>
      </c>
      <c r="U1002" s="9" t="str">
        <f t="shared" ca="1" si="41"/>
        <v/>
      </c>
      <c r="AB1002" s="9" t="s">
        <v>8688</v>
      </c>
    </row>
    <row r="1003" spans="1:28">
      <c r="A1003" s="3" t="s">
        <v>518</v>
      </c>
      <c r="D1003" s="3" t="s">
        <v>4721</v>
      </c>
      <c r="E1003" s="3" t="s">
        <v>2035</v>
      </c>
      <c r="J1003" s="9" t="s">
        <v>8729</v>
      </c>
      <c r="S1003" s="9" t="s">
        <v>8739</v>
      </c>
      <c r="T1003" s="9" t="str">
        <f t="shared" ca="1" si="40"/>
        <v/>
      </c>
      <c r="U1003" s="9" t="str">
        <f t="shared" ca="1" si="41"/>
        <v/>
      </c>
      <c r="Z1003" s="9" t="s">
        <v>8742</v>
      </c>
      <c r="AA1003" s="9" t="s">
        <v>3884</v>
      </c>
      <c r="AB1003" s="9" t="s">
        <v>8697</v>
      </c>
    </row>
    <row r="1004" spans="1:28">
      <c r="A1004" s="3" t="s">
        <v>518</v>
      </c>
      <c r="D1004" s="3" t="s">
        <v>4722</v>
      </c>
      <c r="E1004" s="3" t="s">
        <v>2739</v>
      </c>
      <c r="F1004" t="s">
        <v>3886</v>
      </c>
      <c r="J1004" s="9" t="s">
        <v>8731</v>
      </c>
      <c r="T1004" s="9" t="str">
        <f t="shared" ca="1" si="40"/>
        <v/>
      </c>
      <c r="U1004" s="9" t="str">
        <f t="shared" ca="1" si="41"/>
        <v/>
      </c>
      <c r="Z1004" s="9" t="s">
        <v>8757</v>
      </c>
      <c r="AA1004" s="9" t="s">
        <v>3884</v>
      </c>
      <c r="AB1004" s="9" t="s">
        <v>8700</v>
      </c>
    </row>
    <row r="1005" spans="1:28" ht="29">
      <c r="A1005" s="3" t="s">
        <v>518</v>
      </c>
      <c r="D1005" s="3" t="s">
        <v>4723</v>
      </c>
      <c r="E1005" s="3" t="s">
        <v>4724</v>
      </c>
      <c r="F1005" t="s">
        <v>3893</v>
      </c>
      <c r="I1005" t="s">
        <v>4725</v>
      </c>
      <c r="T1005" s="9" t="str">
        <f t="shared" ca="1" si="40"/>
        <v/>
      </c>
      <c r="U1005" s="9" t="str">
        <f t="shared" ca="1" si="41"/>
        <v/>
      </c>
    </row>
    <row r="1006" spans="1:28">
      <c r="A1006" s="3" t="s">
        <v>519</v>
      </c>
      <c r="D1006" s="3" t="s">
        <v>4726</v>
      </c>
      <c r="E1006" s="3" t="s">
        <v>4727</v>
      </c>
      <c r="J1006" s="9" t="s">
        <v>8731</v>
      </c>
      <c r="T1006" s="9" t="str">
        <f t="shared" ca="1" si="40"/>
        <v/>
      </c>
      <c r="U1006" s="9" t="str">
        <f t="shared" ca="1" si="41"/>
        <v/>
      </c>
      <c r="Z1006" s="9" t="s">
        <v>8742</v>
      </c>
      <c r="AA1006" s="9" t="s">
        <v>3884</v>
      </c>
      <c r="AB1006" s="9" t="s">
        <v>8697</v>
      </c>
    </row>
    <row r="1007" spans="1:28">
      <c r="A1007" s="3" t="s">
        <v>519</v>
      </c>
      <c r="D1007" s="3" t="s">
        <v>4728</v>
      </c>
      <c r="E1007" s="3" t="s">
        <v>4729</v>
      </c>
      <c r="H1007" t="s">
        <v>3884</v>
      </c>
      <c r="J1007" s="9" t="s">
        <v>3889</v>
      </c>
      <c r="K1007" s="9">
        <v>1</v>
      </c>
      <c r="L1007" s="9">
        <v>3</v>
      </c>
      <c r="M1007" s="9" t="s">
        <v>8689</v>
      </c>
      <c r="N1007" s="9" t="s">
        <v>8690</v>
      </c>
      <c r="R1007" s="9">
        <v>10929</v>
      </c>
      <c r="T1007" s="9" t="str">
        <f t="shared" ca="1" si="40"/>
        <v/>
      </c>
      <c r="U1007" s="9" t="str">
        <f t="shared" ca="1" si="41"/>
        <v/>
      </c>
    </row>
    <row r="1008" spans="1:28" ht="43.5">
      <c r="A1008" s="3" t="s">
        <v>520</v>
      </c>
      <c r="D1008" s="3" t="s">
        <v>4730</v>
      </c>
      <c r="E1008" s="3" t="s">
        <v>4731</v>
      </c>
      <c r="H1008" t="s">
        <v>3888</v>
      </c>
      <c r="I1008" t="s">
        <v>8985</v>
      </c>
      <c r="J1008" s="9" t="s">
        <v>3889</v>
      </c>
      <c r="K1008" s="9">
        <v>4</v>
      </c>
      <c r="L1008" s="9">
        <v>21</v>
      </c>
      <c r="N1008" s="9" t="s">
        <v>8684</v>
      </c>
      <c r="O1008" s="9" t="s">
        <v>8944</v>
      </c>
      <c r="P1008" s="10" t="s">
        <v>8984</v>
      </c>
      <c r="R1008" s="9">
        <v>0</v>
      </c>
      <c r="T1008" s="9" t="str">
        <f t="shared" ca="1" si="40"/>
        <v/>
      </c>
      <c r="U1008" s="9" t="str">
        <f t="shared" ca="1" si="41"/>
        <v/>
      </c>
    </row>
    <row r="1009" spans="1:28" ht="43.5">
      <c r="A1009" s="3" t="s">
        <v>520</v>
      </c>
      <c r="D1009" s="3" t="s">
        <v>4732</v>
      </c>
      <c r="E1009" s="3" t="s">
        <v>4733</v>
      </c>
      <c r="H1009" t="s">
        <v>3884</v>
      </c>
      <c r="J1009" s="9" t="s">
        <v>8731</v>
      </c>
      <c r="T1009" s="9" t="str">
        <f t="shared" ca="1" si="40"/>
        <v/>
      </c>
      <c r="U1009" s="9" t="str">
        <f t="shared" ca="1" si="41"/>
        <v/>
      </c>
      <c r="Z1009" s="9" t="s">
        <v>8804</v>
      </c>
      <c r="AA1009" s="9" t="s">
        <v>3884</v>
      </c>
      <c r="AB1009" s="9" t="s">
        <v>8688</v>
      </c>
    </row>
    <row r="1010" spans="1:28">
      <c r="A1010" s="3" t="s">
        <v>521</v>
      </c>
      <c r="D1010" s="3" t="s">
        <v>2740</v>
      </c>
      <c r="E1010" s="3" t="s">
        <v>2741</v>
      </c>
      <c r="J1010" s="9" t="s">
        <v>8731</v>
      </c>
      <c r="T1010" s="9" t="str">
        <f t="shared" ca="1" si="40"/>
        <v/>
      </c>
      <c r="U1010" s="9" t="str">
        <f t="shared" ca="1" si="41"/>
        <v/>
      </c>
    </row>
    <row r="1011" spans="1:28">
      <c r="A1011" s="3" t="s">
        <v>521</v>
      </c>
      <c r="D1011" s="3" t="s">
        <v>2742</v>
      </c>
      <c r="E1011" s="3" t="s">
        <v>2743</v>
      </c>
      <c r="J1011" s="9" t="s">
        <v>8729</v>
      </c>
      <c r="S1011" s="9" t="s">
        <v>8739</v>
      </c>
      <c r="T1011" s="9" t="str">
        <f t="shared" ca="1" si="40"/>
        <v/>
      </c>
      <c r="U1011" s="9" t="str">
        <f t="shared" ca="1" si="41"/>
        <v/>
      </c>
      <c r="Z1011" s="9" t="s">
        <v>8742</v>
      </c>
      <c r="AA1011" s="9" t="s">
        <v>3884</v>
      </c>
    </row>
    <row r="1012" spans="1:28">
      <c r="A1012" s="3" t="s">
        <v>521</v>
      </c>
      <c r="D1012" s="3" t="s">
        <v>2744</v>
      </c>
      <c r="E1012" s="3" t="s">
        <v>2745</v>
      </c>
      <c r="J1012" s="9" t="s">
        <v>8729</v>
      </c>
      <c r="S1012" s="9" t="s">
        <v>8739</v>
      </c>
      <c r="T1012" s="9" t="str">
        <f t="shared" ca="1" si="40"/>
        <v/>
      </c>
      <c r="U1012" s="9" t="str">
        <f t="shared" ca="1" si="41"/>
        <v/>
      </c>
      <c r="AB1012" s="9" t="s">
        <v>8697</v>
      </c>
    </row>
    <row r="1013" spans="1:28">
      <c r="A1013" s="3" t="s">
        <v>522</v>
      </c>
      <c r="D1013" s="3" t="s">
        <v>2746</v>
      </c>
      <c r="E1013" s="3" t="s">
        <v>2747</v>
      </c>
      <c r="J1013" s="9" t="s">
        <v>8731</v>
      </c>
      <c r="T1013" s="9" t="str">
        <f t="shared" ca="1" si="40"/>
        <v/>
      </c>
      <c r="U1013" s="9" t="str">
        <f t="shared" ca="1" si="41"/>
        <v/>
      </c>
      <c r="Z1013" s="9" t="s">
        <v>9285</v>
      </c>
      <c r="AA1013" s="9" t="s">
        <v>3884</v>
      </c>
    </row>
    <row r="1014" spans="1:28">
      <c r="A1014" s="3" t="s">
        <v>523</v>
      </c>
      <c r="D1014" s="3" t="s">
        <v>4734</v>
      </c>
      <c r="E1014" s="3" t="s">
        <v>2645</v>
      </c>
      <c r="H1014" t="s">
        <v>3884</v>
      </c>
      <c r="J1014" s="9" t="s">
        <v>8731</v>
      </c>
      <c r="T1014" s="9" t="str">
        <f t="shared" ca="1" si="40"/>
        <v/>
      </c>
      <c r="U1014" s="9" t="str">
        <f t="shared" ca="1" si="41"/>
        <v/>
      </c>
    </row>
    <row r="1015" spans="1:28">
      <c r="A1015" s="3" t="s">
        <v>524</v>
      </c>
      <c r="D1015" s="3" t="s">
        <v>2748</v>
      </c>
      <c r="E1015" s="3" t="s">
        <v>2749</v>
      </c>
      <c r="J1015" s="9" t="s">
        <v>8729</v>
      </c>
      <c r="S1015" s="9" t="s">
        <v>8730</v>
      </c>
      <c r="T1015" s="9" t="str">
        <f t="shared" ca="1" si="40"/>
        <v/>
      </c>
      <c r="U1015" s="9" t="str">
        <f t="shared" ca="1" si="41"/>
        <v/>
      </c>
      <c r="Y1015" s="9" t="s">
        <v>8735</v>
      </c>
      <c r="Z1015" s="9" t="s">
        <v>8742</v>
      </c>
      <c r="AA1015" s="9" t="s">
        <v>3884</v>
      </c>
    </row>
    <row r="1016" spans="1:28">
      <c r="A1016" s="3" t="s">
        <v>525</v>
      </c>
      <c r="D1016" s="3" t="s">
        <v>2750</v>
      </c>
      <c r="E1016" s="3" t="s">
        <v>2751</v>
      </c>
      <c r="J1016" s="9" t="s">
        <v>8729</v>
      </c>
      <c r="S1016" s="9" t="s">
        <v>8739</v>
      </c>
      <c r="T1016" s="9" t="str">
        <f t="shared" ca="1" si="40"/>
        <v/>
      </c>
      <c r="U1016" s="9" t="str">
        <f t="shared" ca="1" si="41"/>
        <v/>
      </c>
      <c r="Z1016" s="9" t="s">
        <v>8742</v>
      </c>
      <c r="AA1016" s="9" t="s">
        <v>3884</v>
      </c>
      <c r="AB1016" s="9" t="s">
        <v>8697</v>
      </c>
    </row>
    <row r="1017" spans="1:28">
      <c r="A1017" s="3" t="s">
        <v>526</v>
      </c>
      <c r="D1017" s="3" t="s">
        <v>2752</v>
      </c>
      <c r="E1017" s="3" t="s">
        <v>2753</v>
      </c>
      <c r="J1017" s="9" t="s">
        <v>8731</v>
      </c>
      <c r="T1017" s="9" t="str">
        <f t="shared" ca="1" si="40"/>
        <v/>
      </c>
      <c r="U1017" s="9" t="str">
        <f t="shared" ca="1" si="41"/>
        <v/>
      </c>
      <c r="Z1017" s="9" t="s">
        <v>9279</v>
      </c>
      <c r="AA1017" s="9" t="s">
        <v>3884</v>
      </c>
    </row>
    <row r="1018" spans="1:28">
      <c r="A1018" s="3" t="s">
        <v>526</v>
      </c>
      <c r="D1018" s="3" t="s">
        <v>2754</v>
      </c>
      <c r="E1018" s="3" t="s">
        <v>2755</v>
      </c>
      <c r="J1018" s="9" t="s">
        <v>8731</v>
      </c>
      <c r="T1018" s="9" t="str">
        <f t="shared" ca="1" si="40"/>
        <v/>
      </c>
      <c r="U1018" s="9" t="str">
        <f t="shared" ca="1" si="41"/>
        <v/>
      </c>
      <c r="Z1018" s="9" t="s">
        <v>9279</v>
      </c>
      <c r="AA1018" s="9" t="s">
        <v>3884</v>
      </c>
    </row>
    <row r="1019" spans="1:28">
      <c r="A1019" s="3" t="s">
        <v>526</v>
      </c>
      <c r="D1019" s="3" t="s">
        <v>2756</v>
      </c>
      <c r="E1019" s="3" t="s">
        <v>2757</v>
      </c>
      <c r="J1019" s="9" t="s">
        <v>8731</v>
      </c>
      <c r="T1019" s="9" t="str">
        <f t="shared" ca="1" si="40"/>
        <v/>
      </c>
      <c r="U1019" s="9" t="str">
        <f t="shared" ca="1" si="41"/>
        <v/>
      </c>
      <c r="Z1019" s="9" t="s">
        <v>8757</v>
      </c>
      <c r="AA1019" s="9" t="s">
        <v>3884</v>
      </c>
      <c r="AB1019" s="9" t="s">
        <v>8697</v>
      </c>
    </row>
    <row r="1020" spans="1:28">
      <c r="A1020" s="3" t="s">
        <v>527</v>
      </c>
      <c r="D1020" s="3" t="s">
        <v>2758</v>
      </c>
      <c r="E1020" s="3" t="s">
        <v>2759</v>
      </c>
      <c r="J1020" s="9" t="s">
        <v>8732</v>
      </c>
      <c r="S1020" s="9">
        <f>18-0</f>
        <v>18</v>
      </c>
      <c r="T1020" s="9">
        <f t="shared" ca="1" si="40"/>
        <v>0</v>
      </c>
      <c r="U1020" s="9">
        <f t="shared" ca="1" si="41"/>
        <v>18</v>
      </c>
    </row>
    <row r="1021" spans="1:28">
      <c r="A1021" s="3" t="s">
        <v>528</v>
      </c>
      <c r="D1021" s="3" t="s">
        <v>4735</v>
      </c>
      <c r="E1021" s="3" t="s">
        <v>2760</v>
      </c>
      <c r="H1021" t="s">
        <v>3884</v>
      </c>
      <c r="J1021" s="9" t="s">
        <v>8729</v>
      </c>
      <c r="S1021" s="9" t="s">
        <v>8739</v>
      </c>
      <c r="T1021" s="9" t="str">
        <f t="shared" ca="1" si="40"/>
        <v/>
      </c>
      <c r="U1021" s="9" t="str">
        <f t="shared" ca="1" si="41"/>
        <v/>
      </c>
      <c r="Z1021" s="9" t="s">
        <v>9280</v>
      </c>
      <c r="AA1021" s="9" t="s">
        <v>3884</v>
      </c>
      <c r="AB1021" s="9" t="s">
        <v>8688</v>
      </c>
    </row>
    <row r="1022" spans="1:28">
      <c r="A1022" s="3" t="s">
        <v>528</v>
      </c>
      <c r="D1022" s="3" t="s">
        <v>4736</v>
      </c>
      <c r="E1022" s="3" t="s">
        <v>4737</v>
      </c>
      <c r="J1022" s="9" t="s">
        <v>8731</v>
      </c>
      <c r="T1022" s="9" t="str">
        <f t="shared" ca="1" si="40"/>
        <v/>
      </c>
      <c r="U1022" s="9" t="str">
        <f t="shared" ca="1" si="41"/>
        <v/>
      </c>
      <c r="Y1022" s="9" t="s">
        <v>9282</v>
      </c>
      <c r="AA1022" s="9" t="s">
        <v>3884</v>
      </c>
    </row>
    <row r="1023" spans="1:28">
      <c r="A1023" s="3" t="s">
        <v>528</v>
      </c>
      <c r="D1023" s="3" t="s">
        <v>4738</v>
      </c>
      <c r="E1023" s="3" t="s">
        <v>4739</v>
      </c>
      <c r="J1023" s="9" t="s">
        <v>8731</v>
      </c>
      <c r="T1023" s="9" t="str">
        <f t="shared" ca="1" si="40"/>
        <v/>
      </c>
      <c r="U1023" s="9" t="str">
        <f t="shared" ca="1" si="41"/>
        <v/>
      </c>
    </row>
    <row r="1024" spans="1:28">
      <c r="A1024" s="3" t="s">
        <v>529</v>
      </c>
      <c r="D1024" s="3" t="s">
        <v>2761</v>
      </c>
      <c r="E1024" s="3" t="s">
        <v>2762</v>
      </c>
      <c r="J1024" s="9" t="s">
        <v>8729</v>
      </c>
      <c r="S1024" s="9" t="s">
        <v>8739</v>
      </c>
      <c r="T1024" s="9" t="str">
        <f t="shared" ca="1" si="40"/>
        <v/>
      </c>
      <c r="U1024" s="9" t="str">
        <f t="shared" ca="1" si="41"/>
        <v/>
      </c>
      <c r="Y1024" s="9" t="s">
        <v>8735</v>
      </c>
      <c r="Z1024" s="9" t="s">
        <v>8742</v>
      </c>
      <c r="AA1024" s="9" t="s">
        <v>3884</v>
      </c>
    </row>
    <row r="1025" spans="1:28">
      <c r="A1025" s="3" t="s">
        <v>529</v>
      </c>
      <c r="D1025" s="3" t="s">
        <v>2763</v>
      </c>
      <c r="E1025" s="3" t="s">
        <v>2764</v>
      </c>
      <c r="J1025" s="9" t="s">
        <v>8731</v>
      </c>
      <c r="T1025" s="9" t="str">
        <f t="shared" ca="1" si="40"/>
        <v/>
      </c>
      <c r="U1025" s="9" t="str">
        <f t="shared" ca="1" si="41"/>
        <v/>
      </c>
      <c r="Z1025" s="9" t="s">
        <v>8742</v>
      </c>
      <c r="AA1025" s="9" t="s">
        <v>3884</v>
      </c>
    </row>
    <row r="1026" spans="1:28">
      <c r="A1026" s="3" t="s">
        <v>530</v>
      </c>
      <c r="D1026" s="3" t="s">
        <v>2765</v>
      </c>
      <c r="E1026" s="3" t="s">
        <v>2766</v>
      </c>
      <c r="J1026" s="9" t="s">
        <v>8731</v>
      </c>
      <c r="P1026" s="9"/>
      <c r="T1026" s="9" t="str">
        <f t="shared" ca="1" si="40"/>
        <v/>
      </c>
      <c r="U1026" s="9" t="str">
        <f t="shared" ca="1" si="41"/>
        <v/>
      </c>
      <c r="AB1026" s="9" t="s">
        <v>8688</v>
      </c>
    </row>
    <row r="1027" spans="1:28">
      <c r="A1027" s="3" t="s">
        <v>530</v>
      </c>
      <c r="D1027" s="3" t="s">
        <v>2767</v>
      </c>
      <c r="E1027" s="3" t="s">
        <v>2768</v>
      </c>
      <c r="J1027" s="9" t="s">
        <v>8729</v>
      </c>
      <c r="S1027" s="9" t="s">
        <v>8739</v>
      </c>
      <c r="T1027" s="9" t="str">
        <f t="shared" ca="1" si="40"/>
        <v/>
      </c>
      <c r="U1027" s="9" t="str">
        <f t="shared" ca="1" si="41"/>
        <v/>
      </c>
      <c r="Y1027" s="9" t="s">
        <v>8735</v>
      </c>
      <c r="Z1027" s="9" t="s">
        <v>8742</v>
      </c>
      <c r="AA1027" s="9" t="s">
        <v>3884</v>
      </c>
    </row>
    <row r="1028" spans="1:28">
      <c r="A1028" s="3" t="s">
        <v>530</v>
      </c>
      <c r="D1028" s="3" t="s">
        <v>4740</v>
      </c>
      <c r="E1028" s="3" t="s">
        <v>4741</v>
      </c>
      <c r="J1028" s="9" t="s">
        <v>8729</v>
      </c>
      <c r="S1028" s="9" t="s">
        <v>8739</v>
      </c>
      <c r="T1028" s="9" t="str">
        <f t="shared" ca="1" si="40"/>
        <v/>
      </c>
      <c r="U1028" s="9" t="str">
        <f t="shared" ca="1" si="41"/>
        <v/>
      </c>
      <c r="Y1028" s="9" t="s">
        <v>8735</v>
      </c>
      <c r="AA1028" s="9" t="s">
        <v>3884</v>
      </c>
    </row>
    <row r="1029" spans="1:28">
      <c r="A1029" s="3" t="s">
        <v>531</v>
      </c>
      <c r="D1029" s="3" t="s">
        <v>4742</v>
      </c>
      <c r="E1029" s="3" t="s">
        <v>4743</v>
      </c>
      <c r="J1029" s="9" t="s">
        <v>8732</v>
      </c>
      <c r="S1029" s="9">
        <f>1485-7</f>
        <v>1478</v>
      </c>
      <c r="T1029" s="9">
        <f t="shared" ca="1" si="40"/>
        <v>7</v>
      </c>
      <c r="U1029" s="9">
        <f t="shared" ca="1" si="41"/>
        <v>1485</v>
      </c>
      <c r="Z1029" s="9" t="s">
        <v>8757</v>
      </c>
      <c r="AA1029" s="9" t="s">
        <v>3884</v>
      </c>
      <c r="AB1029" s="9" t="s">
        <v>8700</v>
      </c>
    </row>
    <row r="1030" spans="1:28">
      <c r="A1030" s="3" t="s">
        <v>532</v>
      </c>
      <c r="D1030" t="s">
        <v>4744</v>
      </c>
      <c r="E1030" t="s">
        <v>4745</v>
      </c>
      <c r="J1030" s="9" t="s">
        <v>8729</v>
      </c>
      <c r="S1030" s="9">
        <f>3678-520</f>
        <v>3158</v>
      </c>
      <c r="T1030" s="9">
        <f t="shared" ref="T1030:T1093" ca="1" si="42">IF(ISNUMBER(S1030),VALUE(MID(_xlfn.FORMULATEXT(S1030),SEARCH("-",_xlfn.FORMULATEXT(S1030))+1,LEN(_xlfn.FORMULATEXT(S1030))-SEARCH("-",_xlfn.FORMULATEXT(S1030)))), "")</f>
        <v>520</v>
      </c>
      <c r="U1030" s="9">
        <f t="shared" ref="U1030:U1093" ca="1" si="43">IF(ISNUMBER(S1030), VALUE(MID(_xlfn.FORMULATEXT(S1030), 2, SEARCH("-", _xlfn.FORMULATEXT(S1030)) - 2)), "")</f>
        <v>3678</v>
      </c>
    </row>
    <row r="1031" spans="1:28">
      <c r="A1031" s="3" t="s">
        <v>532</v>
      </c>
      <c r="D1031" t="s">
        <v>4746</v>
      </c>
      <c r="E1031" t="s">
        <v>4747</v>
      </c>
      <c r="J1031" s="9" t="s">
        <v>8729</v>
      </c>
      <c r="S1031" s="9" t="s">
        <v>8739</v>
      </c>
      <c r="T1031" s="9" t="str">
        <f t="shared" ca="1" si="42"/>
        <v/>
      </c>
      <c r="U1031" s="9" t="str">
        <f t="shared" ca="1" si="43"/>
        <v/>
      </c>
      <c r="Z1031" s="9" t="s">
        <v>9280</v>
      </c>
      <c r="AA1031" s="9" t="s">
        <v>3884</v>
      </c>
      <c r="AB1031" s="9" t="s">
        <v>8697</v>
      </c>
    </row>
    <row r="1032" spans="1:28">
      <c r="A1032" s="3" t="s">
        <v>532</v>
      </c>
      <c r="D1032" s="3" t="s">
        <v>2770</v>
      </c>
      <c r="E1032" s="3" t="s">
        <v>2771</v>
      </c>
      <c r="J1032" s="9" t="s">
        <v>8729</v>
      </c>
      <c r="S1032" s="9" t="s">
        <v>8739</v>
      </c>
      <c r="T1032" s="9" t="str">
        <f t="shared" ca="1" si="42"/>
        <v/>
      </c>
      <c r="U1032" s="9" t="str">
        <f t="shared" ca="1" si="43"/>
        <v/>
      </c>
      <c r="Z1032" s="9" t="s">
        <v>8757</v>
      </c>
      <c r="AA1032" s="9" t="s">
        <v>3884</v>
      </c>
      <c r="AB1032" s="9" t="s">
        <v>8697</v>
      </c>
    </row>
    <row r="1033" spans="1:28">
      <c r="A1033" s="3" t="s">
        <v>533</v>
      </c>
      <c r="D1033" s="3" t="s">
        <v>2772</v>
      </c>
      <c r="E1033" s="3" t="s">
        <v>2772</v>
      </c>
      <c r="F1033" t="s">
        <v>3932</v>
      </c>
      <c r="I1033" t="s">
        <v>4748</v>
      </c>
      <c r="T1033" s="9" t="str">
        <f t="shared" ca="1" si="42"/>
        <v/>
      </c>
      <c r="U1033" s="9" t="str">
        <f t="shared" ca="1" si="43"/>
        <v/>
      </c>
    </row>
    <row r="1034" spans="1:28">
      <c r="A1034" s="3" t="s">
        <v>533</v>
      </c>
      <c r="D1034" s="3" t="s">
        <v>2493</v>
      </c>
      <c r="E1034" s="3" t="s">
        <v>2493</v>
      </c>
      <c r="F1034" t="s">
        <v>3932</v>
      </c>
      <c r="I1034" t="s">
        <v>2494</v>
      </c>
      <c r="T1034" s="9" t="str">
        <f t="shared" ca="1" si="42"/>
        <v/>
      </c>
      <c r="U1034" s="9" t="str">
        <f t="shared" ca="1" si="43"/>
        <v/>
      </c>
    </row>
    <row r="1035" spans="1:28">
      <c r="A1035" s="3" t="s">
        <v>534</v>
      </c>
      <c r="D1035" s="3" t="s">
        <v>9466</v>
      </c>
      <c r="E1035" s="3" t="s">
        <v>9467</v>
      </c>
      <c r="J1035" s="9" t="s">
        <v>8731</v>
      </c>
      <c r="T1035" s="9" t="str">
        <f t="shared" ca="1" si="42"/>
        <v/>
      </c>
      <c r="U1035" s="9" t="str">
        <f t="shared" ca="1" si="43"/>
        <v/>
      </c>
      <c r="AB1035" s="9" t="s">
        <v>8694</v>
      </c>
    </row>
    <row r="1036" spans="1:28">
      <c r="A1036" s="3" t="s">
        <v>534</v>
      </c>
      <c r="D1036" s="3" t="s">
        <v>9468</v>
      </c>
      <c r="E1036" s="3" t="s">
        <v>9469</v>
      </c>
      <c r="J1036" s="9" t="s">
        <v>8729</v>
      </c>
      <c r="S1036" s="9" t="s">
        <v>8739</v>
      </c>
      <c r="T1036" s="9" t="str">
        <f t="shared" ca="1" si="42"/>
        <v/>
      </c>
      <c r="U1036" s="9" t="str">
        <f t="shared" ca="1" si="43"/>
        <v/>
      </c>
      <c r="Y1036" s="9" t="s">
        <v>8735</v>
      </c>
      <c r="Z1036" s="9" t="s">
        <v>8742</v>
      </c>
      <c r="AA1036" s="9" t="s">
        <v>3884</v>
      </c>
    </row>
    <row r="1037" spans="1:28">
      <c r="A1037" s="3" t="s">
        <v>534</v>
      </c>
      <c r="D1037" s="3" t="s">
        <v>2371</v>
      </c>
      <c r="E1037" s="3" t="s">
        <v>2372</v>
      </c>
      <c r="J1037" s="9" t="s">
        <v>8729</v>
      </c>
      <c r="S1037" s="9" t="s">
        <v>8739</v>
      </c>
      <c r="T1037" s="9" t="str">
        <f t="shared" ca="1" si="42"/>
        <v/>
      </c>
      <c r="U1037" s="9" t="str">
        <f t="shared" ca="1" si="43"/>
        <v/>
      </c>
      <c r="Z1037" s="9" t="s">
        <v>8741</v>
      </c>
      <c r="AA1037" s="9" t="s">
        <v>3884</v>
      </c>
      <c r="AB1037" s="9" t="s">
        <v>8697</v>
      </c>
    </row>
    <row r="1038" spans="1:28">
      <c r="A1038" s="3" t="s">
        <v>535</v>
      </c>
      <c r="D1038" s="3" t="s">
        <v>4749</v>
      </c>
      <c r="E1038" s="3" t="s">
        <v>4750</v>
      </c>
      <c r="F1038" t="s">
        <v>3932</v>
      </c>
      <c r="I1038" t="s">
        <v>4751</v>
      </c>
      <c r="T1038" s="9" t="str">
        <f t="shared" ca="1" si="42"/>
        <v/>
      </c>
      <c r="U1038" s="9" t="str">
        <f t="shared" ca="1" si="43"/>
        <v/>
      </c>
    </row>
    <row r="1039" spans="1:28">
      <c r="A1039" s="3" t="s">
        <v>536</v>
      </c>
      <c r="D1039" s="3" t="s">
        <v>2773</v>
      </c>
      <c r="E1039" s="3" t="s">
        <v>2773</v>
      </c>
      <c r="F1039" t="s">
        <v>3932</v>
      </c>
      <c r="I1039" t="s">
        <v>2774</v>
      </c>
      <c r="T1039" s="9" t="str">
        <f t="shared" ca="1" si="42"/>
        <v/>
      </c>
      <c r="U1039" s="9" t="str">
        <f t="shared" ca="1" si="43"/>
        <v/>
      </c>
    </row>
    <row r="1040" spans="1:28">
      <c r="A1040" s="3" t="s">
        <v>537</v>
      </c>
      <c r="D1040" s="3" t="s">
        <v>4752</v>
      </c>
      <c r="E1040" s="3" t="s">
        <v>4753</v>
      </c>
      <c r="J1040" s="9" t="s">
        <v>8731</v>
      </c>
      <c r="T1040" s="9" t="str">
        <f t="shared" ca="1" si="42"/>
        <v/>
      </c>
      <c r="U1040" s="9" t="str">
        <f t="shared" ca="1" si="43"/>
        <v/>
      </c>
    </row>
    <row r="1041" spans="1:28">
      <c r="A1041" s="3" t="s">
        <v>537</v>
      </c>
      <c r="D1041" s="3" t="s">
        <v>4754</v>
      </c>
      <c r="E1041" s="3" t="s">
        <v>4755</v>
      </c>
      <c r="J1041" s="9" t="s">
        <v>8731</v>
      </c>
      <c r="T1041" s="9" t="str">
        <f t="shared" ca="1" si="42"/>
        <v/>
      </c>
      <c r="U1041" s="9" t="str">
        <f t="shared" ca="1" si="43"/>
        <v/>
      </c>
      <c r="AB1041" s="9" t="s">
        <v>8697</v>
      </c>
    </row>
    <row r="1042" spans="1:28">
      <c r="A1042" s="3" t="s">
        <v>537</v>
      </c>
      <c r="D1042" s="3" t="s">
        <v>2775</v>
      </c>
      <c r="E1042" s="3" t="s">
        <v>2775</v>
      </c>
      <c r="F1042" t="s">
        <v>3932</v>
      </c>
      <c r="H1042" t="s">
        <v>3892</v>
      </c>
      <c r="I1042" t="s">
        <v>4756</v>
      </c>
      <c r="T1042" s="9" t="str">
        <f t="shared" ca="1" si="42"/>
        <v/>
      </c>
      <c r="U1042" s="9" t="str">
        <f t="shared" ca="1" si="43"/>
        <v/>
      </c>
    </row>
    <row r="1043" spans="1:28">
      <c r="A1043" s="3" t="s">
        <v>537</v>
      </c>
      <c r="D1043" s="3" t="s">
        <v>2776</v>
      </c>
      <c r="E1043" s="3" t="s">
        <v>2776</v>
      </c>
      <c r="F1043" t="s">
        <v>3932</v>
      </c>
      <c r="I1043" t="s">
        <v>2777</v>
      </c>
      <c r="T1043" s="9" t="str">
        <f t="shared" ca="1" si="42"/>
        <v/>
      </c>
      <c r="U1043" s="9" t="str">
        <f t="shared" ca="1" si="43"/>
        <v/>
      </c>
    </row>
    <row r="1044" spans="1:28">
      <c r="A1044" s="3" t="s">
        <v>538</v>
      </c>
      <c r="D1044" s="3" t="s">
        <v>2778</v>
      </c>
      <c r="E1044" s="3" t="s">
        <v>2778</v>
      </c>
      <c r="F1044" t="s">
        <v>3932</v>
      </c>
      <c r="I1044" t="s">
        <v>4757</v>
      </c>
      <c r="T1044" s="9" t="str">
        <f t="shared" ca="1" si="42"/>
        <v/>
      </c>
      <c r="U1044" s="9" t="str">
        <f t="shared" ca="1" si="43"/>
        <v/>
      </c>
    </row>
    <row r="1045" spans="1:28" ht="43.5">
      <c r="A1045" s="3" t="s">
        <v>538</v>
      </c>
      <c r="D1045" s="3" t="s">
        <v>4758</v>
      </c>
      <c r="E1045" s="3" t="s">
        <v>4758</v>
      </c>
      <c r="F1045" t="s">
        <v>3932</v>
      </c>
      <c r="I1045" s="3" t="s">
        <v>4759</v>
      </c>
      <c r="T1045" s="9" t="str">
        <f t="shared" ca="1" si="42"/>
        <v/>
      </c>
      <c r="U1045" s="9" t="str">
        <f t="shared" ca="1" si="43"/>
        <v/>
      </c>
    </row>
    <row r="1046" spans="1:28">
      <c r="A1046" s="3" t="s">
        <v>538</v>
      </c>
      <c r="D1046" s="3" t="s">
        <v>4760</v>
      </c>
      <c r="E1046" s="3" t="s">
        <v>4761</v>
      </c>
      <c r="H1046" t="s">
        <v>3884</v>
      </c>
      <c r="J1046" s="9" t="s">
        <v>8729</v>
      </c>
      <c r="S1046" s="9" t="s">
        <v>8739</v>
      </c>
      <c r="T1046" s="9" t="str">
        <f t="shared" ca="1" si="42"/>
        <v/>
      </c>
      <c r="U1046" s="9" t="str">
        <f t="shared" ca="1" si="43"/>
        <v/>
      </c>
      <c r="AB1046" s="9" t="s">
        <v>8688</v>
      </c>
    </row>
    <row r="1047" spans="1:28">
      <c r="A1047" s="3" t="s">
        <v>539</v>
      </c>
      <c r="D1047" s="3" t="s">
        <v>4762</v>
      </c>
      <c r="E1047" s="3" t="s">
        <v>4763</v>
      </c>
      <c r="F1047" t="s">
        <v>3893</v>
      </c>
      <c r="T1047" s="9" t="str">
        <f t="shared" ca="1" si="42"/>
        <v/>
      </c>
      <c r="U1047" s="9" t="str">
        <f t="shared" ca="1" si="43"/>
        <v/>
      </c>
    </row>
    <row r="1048" spans="1:28">
      <c r="A1048" s="3" t="s">
        <v>540</v>
      </c>
      <c r="D1048" s="3" t="s">
        <v>4764</v>
      </c>
      <c r="E1048" s="3" t="s">
        <v>4765</v>
      </c>
      <c r="H1048" t="s">
        <v>3892</v>
      </c>
      <c r="I1048" t="s">
        <v>4766</v>
      </c>
      <c r="J1048" s="9" t="s">
        <v>8729</v>
      </c>
      <c r="S1048" s="9" t="s">
        <v>8739</v>
      </c>
      <c r="T1048" s="9" t="str">
        <f t="shared" ca="1" si="42"/>
        <v/>
      </c>
      <c r="U1048" s="9" t="str">
        <f t="shared" ca="1" si="43"/>
        <v/>
      </c>
      <c r="Y1048" s="9" t="s">
        <v>8735</v>
      </c>
      <c r="AA1048" s="9" t="s">
        <v>3884</v>
      </c>
    </row>
    <row r="1049" spans="1:28">
      <c r="A1049" s="3" t="s">
        <v>541</v>
      </c>
      <c r="D1049" s="3" t="s">
        <v>4767</v>
      </c>
      <c r="E1049" s="3" t="s">
        <v>4768</v>
      </c>
      <c r="H1049" t="s">
        <v>3892</v>
      </c>
      <c r="I1049" t="s">
        <v>9684</v>
      </c>
      <c r="J1049" s="9" t="s">
        <v>8729</v>
      </c>
      <c r="S1049" s="9" t="s">
        <v>8739</v>
      </c>
      <c r="T1049" s="9" t="str">
        <f t="shared" ca="1" si="42"/>
        <v/>
      </c>
      <c r="U1049" s="9" t="str">
        <f t="shared" ca="1" si="43"/>
        <v/>
      </c>
      <c r="AB1049" s="9" t="s">
        <v>8697</v>
      </c>
    </row>
    <row r="1050" spans="1:28">
      <c r="A1050" s="3" t="s">
        <v>542</v>
      </c>
      <c r="D1050" s="3" t="s">
        <v>8986</v>
      </c>
      <c r="E1050" s="3" t="s">
        <v>8987</v>
      </c>
      <c r="J1050" s="9" t="s">
        <v>8731</v>
      </c>
      <c r="T1050" s="9" t="str">
        <f t="shared" ca="1" si="42"/>
        <v/>
      </c>
      <c r="U1050" s="9" t="str">
        <f t="shared" ca="1" si="43"/>
        <v/>
      </c>
      <c r="AB1050" s="9" t="s">
        <v>8700</v>
      </c>
    </row>
    <row r="1051" spans="1:28">
      <c r="A1051" s="3" t="s">
        <v>543</v>
      </c>
      <c r="D1051" s="3" t="s">
        <v>4770</v>
      </c>
      <c r="E1051" s="3" t="s">
        <v>4771</v>
      </c>
      <c r="H1051" t="s">
        <v>3892</v>
      </c>
      <c r="I1051" t="s">
        <v>4769</v>
      </c>
      <c r="J1051" s="9" t="s">
        <v>8729</v>
      </c>
      <c r="S1051" s="9" t="s">
        <v>8739</v>
      </c>
      <c r="T1051" s="9" t="str">
        <f t="shared" ca="1" si="42"/>
        <v/>
      </c>
      <c r="U1051" s="9" t="str">
        <f t="shared" ca="1" si="43"/>
        <v/>
      </c>
      <c r="Y1051" s="9" t="s">
        <v>8735</v>
      </c>
      <c r="AA1051" s="9" t="s">
        <v>3884</v>
      </c>
    </row>
    <row r="1052" spans="1:28" ht="29">
      <c r="A1052" s="3" t="s">
        <v>544</v>
      </c>
      <c r="D1052" s="3" t="s">
        <v>4772</v>
      </c>
      <c r="E1052" s="3" t="s">
        <v>4773</v>
      </c>
      <c r="I1052" t="s">
        <v>4774</v>
      </c>
      <c r="J1052" s="9" t="s">
        <v>3889</v>
      </c>
      <c r="K1052" s="9">
        <v>2</v>
      </c>
      <c r="L1052" s="9">
        <v>8</v>
      </c>
      <c r="N1052" s="9" t="s">
        <v>8684</v>
      </c>
      <c r="O1052" s="9" t="s">
        <v>8777</v>
      </c>
      <c r="P1052" s="10" t="s">
        <v>8983</v>
      </c>
      <c r="Q1052" s="9" t="s">
        <v>8685</v>
      </c>
      <c r="R1052" s="9">
        <v>336</v>
      </c>
      <c r="T1052" s="9" t="str">
        <f t="shared" ca="1" si="42"/>
        <v/>
      </c>
      <c r="U1052" s="9" t="str">
        <f t="shared" ca="1" si="43"/>
        <v/>
      </c>
      <c r="AB1052" s="9" t="s">
        <v>8700</v>
      </c>
    </row>
    <row r="1053" spans="1:28" ht="29">
      <c r="A1053" s="3" t="s">
        <v>544</v>
      </c>
      <c r="D1053" s="3" t="s">
        <v>4775</v>
      </c>
      <c r="E1053" s="3" t="s">
        <v>4776</v>
      </c>
      <c r="F1053" t="s">
        <v>3893</v>
      </c>
      <c r="H1053" t="s">
        <v>3884</v>
      </c>
      <c r="T1053" s="9" t="str">
        <f t="shared" ca="1" si="42"/>
        <v/>
      </c>
      <c r="U1053" s="9" t="str">
        <f t="shared" ca="1" si="43"/>
        <v/>
      </c>
    </row>
    <row r="1054" spans="1:28" ht="29">
      <c r="A1054" s="3" t="s">
        <v>545</v>
      </c>
      <c r="D1054" s="3" t="s">
        <v>9470</v>
      </c>
      <c r="E1054" s="3" t="s">
        <v>9471</v>
      </c>
      <c r="J1054" s="9" t="s">
        <v>8731</v>
      </c>
      <c r="T1054" s="9" t="str">
        <f t="shared" ca="1" si="42"/>
        <v/>
      </c>
      <c r="U1054" s="9" t="str">
        <f t="shared" ca="1" si="43"/>
        <v/>
      </c>
    </row>
    <row r="1055" spans="1:28" ht="29">
      <c r="A1055" s="3" t="s">
        <v>545</v>
      </c>
      <c r="D1055" s="3" t="s">
        <v>8988</v>
      </c>
      <c r="E1055" s="3" t="s">
        <v>8989</v>
      </c>
      <c r="J1055" s="9" t="s">
        <v>8729</v>
      </c>
      <c r="S1055" s="9">
        <f xml:space="preserve"> 245-1443</f>
        <v>-1198</v>
      </c>
      <c r="T1055" s="9">
        <f t="shared" ca="1" si="42"/>
        <v>1443</v>
      </c>
      <c r="U1055" s="9">
        <f t="shared" ca="1" si="43"/>
        <v>245</v>
      </c>
      <c r="Z1055" s="9" t="s">
        <v>8804</v>
      </c>
      <c r="AA1055" s="9" t="s">
        <v>3884</v>
      </c>
      <c r="AB1055" s="9" t="s">
        <v>8694</v>
      </c>
    </row>
    <row r="1056" spans="1:28" ht="29">
      <c r="A1056" s="3" t="s">
        <v>545</v>
      </c>
      <c r="D1056" s="3" t="s">
        <v>8991</v>
      </c>
      <c r="E1056" s="3" t="s">
        <v>8990</v>
      </c>
      <c r="J1056" s="9" t="s">
        <v>8729</v>
      </c>
      <c r="S1056" s="9" t="s">
        <v>8739</v>
      </c>
      <c r="T1056" s="9" t="str">
        <f t="shared" ca="1" si="42"/>
        <v/>
      </c>
      <c r="U1056" s="9" t="str">
        <f t="shared" ca="1" si="43"/>
        <v/>
      </c>
      <c r="Z1056" s="9" t="s">
        <v>8747</v>
      </c>
      <c r="AA1056" s="9" t="s">
        <v>3884</v>
      </c>
      <c r="AB1056" s="9" t="s">
        <v>8697</v>
      </c>
    </row>
    <row r="1057" spans="1:28">
      <c r="A1057" s="3" t="s">
        <v>546</v>
      </c>
      <c r="D1057" s="3" t="s">
        <v>2420</v>
      </c>
      <c r="E1057" s="3" t="s">
        <v>2421</v>
      </c>
      <c r="J1057" s="9" t="s">
        <v>8731</v>
      </c>
      <c r="T1057" s="9" t="str">
        <f t="shared" ca="1" si="42"/>
        <v/>
      </c>
      <c r="U1057" s="9" t="str">
        <f t="shared" ca="1" si="43"/>
        <v/>
      </c>
      <c r="Z1057" s="9" t="s">
        <v>8741</v>
      </c>
      <c r="AA1057" s="9" t="s">
        <v>3884</v>
      </c>
    </row>
    <row r="1058" spans="1:28">
      <c r="A1058" s="3" t="s">
        <v>547</v>
      </c>
      <c r="D1058" s="3" t="s">
        <v>2098</v>
      </c>
      <c r="E1058" s="3" t="s">
        <v>2099</v>
      </c>
      <c r="J1058" s="9" t="s">
        <v>8731</v>
      </c>
      <c r="T1058" s="9" t="str">
        <f t="shared" ca="1" si="42"/>
        <v/>
      </c>
      <c r="U1058" s="9" t="str">
        <f t="shared" ca="1" si="43"/>
        <v/>
      </c>
      <c r="Z1058" s="9" t="s">
        <v>8741</v>
      </c>
      <c r="AA1058" s="9" t="s">
        <v>3884</v>
      </c>
    </row>
    <row r="1059" spans="1:28" ht="29">
      <c r="A1059" s="3" t="s">
        <v>547</v>
      </c>
      <c r="D1059" s="3" t="s">
        <v>4777</v>
      </c>
      <c r="E1059" s="3" t="s">
        <v>4777</v>
      </c>
      <c r="F1059" t="s">
        <v>3932</v>
      </c>
      <c r="I1059" t="s">
        <v>4778</v>
      </c>
      <c r="T1059" s="9" t="str">
        <f t="shared" ca="1" si="42"/>
        <v/>
      </c>
      <c r="U1059" s="9" t="str">
        <f t="shared" ca="1" si="43"/>
        <v/>
      </c>
    </row>
    <row r="1060" spans="1:28">
      <c r="A1060" s="3" t="s">
        <v>547</v>
      </c>
      <c r="D1060" s="3" t="s">
        <v>2780</v>
      </c>
      <c r="E1060" s="3" t="s">
        <v>2781</v>
      </c>
      <c r="J1060" s="9" t="s">
        <v>8731</v>
      </c>
      <c r="T1060" s="9" t="str">
        <f t="shared" ca="1" si="42"/>
        <v/>
      </c>
      <c r="U1060" s="9" t="str">
        <f t="shared" ca="1" si="43"/>
        <v/>
      </c>
      <c r="Z1060" s="9" t="s">
        <v>8741</v>
      </c>
      <c r="AA1060" s="9" t="s">
        <v>3884</v>
      </c>
      <c r="AB1060" s="9" t="s">
        <v>8697</v>
      </c>
    </row>
    <row r="1061" spans="1:28">
      <c r="A1061" s="3" t="s">
        <v>547</v>
      </c>
      <c r="D1061" s="3" t="s">
        <v>4779</v>
      </c>
      <c r="E1061" s="3" t="s">
        <v>4780</v>
      </c>
      <c r="J1061" s="9" t="s">
        <v>8731</v>
      </c>
      <c r="T1061" s="9" t="str">
        <f t="shared" ca="1" si="42"/>
        <v/>
      </c>
      <c r="U1061" s="9" t="str">
        <f t="shared" ca="1" si="43"/>
        <v/>
      </c>
      <c r="Z1061" s="9" t="s">
        <v>8741</v>
      </c>
      <c r="AA1061" s="9" t="s">
        <v>3884</v>
      </c>
      <c r="AB1061" s="9" t="s">
        <v>8700</v>
      </c>
    </row>
    <row r="1062" spans="1:28" ht="43.5">
      <c r="A1062" s="3" t="s">
        <v>548</v>
      </c>
      <c r="D1062" s="3" t="s">
        <v>4781</v>
      </c>
      <c r="E1062" s="3" t="s">
        <v>4782</v>
      </c>
      <c r="J1062" s="9" t="s">
        <v>3889</v>
      </c>
      <c r="K1062" s="9">
        <v>3</v>
      </c>
      <c r="L1062" s="9">
        <v>15</v>
      </c>
      <c r="N1062" s="9" t="s">
        <v>8690</v>
      </c>
      <c r="R1062" s="9">
        <v>174</v>
      </c>
      <c r="T1062" s="9" t="str">
        <f t="shared" ca="1" si="42"/>
        <v/>
      </c>
      <c r="U1062" s="9" t="str">
        <f t="shared" ca="1" si="43"/>
        <v/>
      </c>
    </row>
    <row r="1063" spans="1:28">
      <c r="A1063" s="3" t="s">
        <v>549</v>
      </c>
      <c r="D1063" s="3" t="s">
        <v>2782</v>
      </c>
      <c r="E1063" s="3" t="s">
        <v>2783</v>
      </c>
      <c r="H1063" t="s">
        <v>3884</v>
      </c>
      <c r="J1063" s="9" t="s">
        <v>8729</v>
      </c>
      <c r="S1063" s="9" t="s">
        <v>8739</v>
      </c>
      <c r="T1063" s="9" t="str">
        <f t="shared" ca="1" si="42"/>
        <v/>
      </c>
      <c r="U1063" s="9" t="str">
        <f t="shared" ca="1" si="43"/>
        <v/>
      </c>
      <c r="Z1063" s="9" t="s">
        <v>8741</v>
      </c>
      <c r="AA1063" s="9" t="s">
        <v>3884</v>
      </c>
      <c r="AB1063" s="9" t="s">
        <v>8697</v>
      </c>
    </row>
    <row r="1064" spans="1:28">
      <c r="A1064" s="3" t="s">
        <v>549</v>
      </c>
      <c r="D1064" s="3" t="s">
        <v>2784</v>
      </c>
      <c r="E1064" s="3" t="s">
        <v>2785</v>
      </c>
      <c r="J1064" s="9" t="s">
        <v>8729</v>
      </c>
      <c r="S1064" s="9" t="s">
        <v>8739</v>
      </c>
      <c r="T1064" s="9" t="str">
        <f t="shared" ca="1" si="42"/>
        <v/>
      </c>
      <c r="U1064" s="9" t="str">
        <f t="shared" ca="1" si="43"/>
        <v/>
      </c>
      <c r="Z1064" s="9" t="s">
        <v>8741</v>
      </c>
      <c r="AA1064" s="9" t="s">
        <v>3884</v>
      </c>
      <c r="AB1064" s="9" t="s">
        <v>8697</v>
      </c>
    </row>
    <row r="1065" spans="1:28">
      <c r="A1065" s="3" t="s">
        <v>550</v>
      </c>
      <c r="D1065" s="3" t="s">
        <v>2295</v>
      </c>
      <c r="E1065" s="3" t="s">
        <v>2295</v>
      </c>
      <c r="F1065" t="s">
        <v>3932</v>
      </c>
      <c r="I1065" t="s">
        <v>2296</v>
      </c>
      <c r="T1065" s="9" t="str">
        <f t="shared" ca="1" si="42"/>
        <v/>
      </c>
      <c r="U1065" s="9" t="str">
        <f t="shared" ca="1" si="43"/>
        <v/>
      </c>
    </row>
    <row r="1066" spans="1:28">
      <c r="A1066" s="3" t="s">
        <v>550</v>
      </c>
      <c r="D1066" s="3" t="s">
        <v>2786</v>
      </c>
      <c r="E1066" s="3" t="s">
        <v>2787</v>
      </c>
      <c r="J1066" s="9" t="s">
        <v>8729</v>
      </c>
      <c r="S1066" s="9" t="s">
        <v>8739</v>
      </c>
      <c r="T1066" s="9" t="str">
        <f t="shared" ca="1" si="42"/>
        <v/>
      </c>
      <c r="U1066" s="9" t="str">
        <f t="shared" ca="1" si="43"/>
        <v/>
      </c>
      <c r="Y1066" s="9" t="s">
        <v>8735</v>
      </c>
      <c r="AA1066" s="9" t="s">
        <v>3884</v>
      </c>
    </row>
    <row r="1067" spans="1:28">
      <c r="A1067" s="3" t="s">
        <v>551</v>
      </c>
      <c r="D1067" s="3" t="s">
        <v>4783</v>
      </c>
      <c r="E1067" s="3" t="s">
        <v>8992</v>
      </c>
      <c r="G1067" t="s">
        <v>3884</v>
      </c>
      <c r="J1067" s="9" t="s">
        <v>8731</v>
      </c>
      <c r="T1067" s="9" t="str">
        <f t="shared" ca="1" si="42"/>
        <v/>
      </c>
      <c r="U1067" s="9" t="str">
        <f t="shared" ca="1" si="43"/>
        <v/>
      </c>
      <c r="AB1067" s="9" t="s">
        <v>8700</v>
      </c>
    </row>
    <row r="1068" spans="1:28">
      <c r="A1068" s="3" t="s">
        <v>551</v>
      </c>
      <c r="D1068" s="3" t="s">
        <v>2788</v>
      </c>
      <c r="E1068" s="3" t="s">
        <v>2789</v>
      </c>
      <c r="J1068" s="9" t="s">
        <v>8729</v>
      </c>
      <c r="S1068" s="9" t="s">
        <v>8739</v>
      </c>
      <c r="T1068" s="9" t="str">
        <f t="shared" ca="1" si="42"/>
        <v/>
      </c>
      <c r="U1068" s="9" t="str">
        <f t="shared" ca="1" si="43"/>
        <v/>
      </c>
      <c r="Z1068" s="9" t="s">
        <v>8741</v>
      </c>
      <c r="AA1068" s="9" t="s">
        <v>3884</v>
      </c>
      <c r="AB1068" s="9" t="s">
        <v>8697</v>
      </c>
    </row>
    <row r="1069" spans="1:28">
      <c r="A1069" s="3" t="s">
        <v>551</v>
      </c>
      <c r="D1069" s="3" t="s">
        <v>4784</v>
      </c>
      <c r="E1069" s="3" t="s">
        <v>4785</v>
      </c>
      <c r="H1069" t="s">
        <v>3892</v>
      </c>
      <c r="I1069" t="s">
        <v>4786</v>
      </c>
      <c r="J1069" s="9" t="s">
        <v>8729</v>
      </c>
      <c r="S1069" s="9" t="s">
        <v>8739</v>
      </c>
      <c r="T1069" s="9" t="str">
        <f t="shared" ca="1" si="42"/>
        <v/>
      </c>
      <c r="U1069" s="9" t="str">
        <f t="shared" ca="1" si="43"/>
        <v/>
      </c>
      <c r="Y1069" s="9" t="s">
        <v>8735</v>
      </c>
      <c r="Z1069" s="9" t="s">
        <v>8742</v>
      </c>
      <c r="AA1069" s="9" t="s">
        <v>3884</v>
      </c>
    </row>
    <row r="1070" spans="1:28">
      <c r="A1070" s="3" t="s">
        <v>551</v>
      </c>
      <c r="D1070" s="3" t="s">
        <v>4787</v>
      </c>
      <c r="E1070" s="3" t="s">
        <v>4788</v>
      </c>
      <c r="J1070" s="9" t="s">
        <v>8729</v>
      </c>
      <c r="S1070" s="9" t="s">
        <v>8739</v>
      </c>
      <c r="T1070" s="9" t="str">
        <f t="shared" ca="1" si="42"/>
        <v/>
      </c>
      <c r="U1070" s="9" t="str">
        <f t="shared" ca="1" si="43"/>
        <v/>
      </c>
      <c r="Z1070" s="9" t="s">
        <v>8747</v>
      </c>
      <c r="AA1070" s="9" t="s">
        <v>3884</v>
      </c>
      <c r="AB1070" s="9" t="s">
        <v>8697</v>
      </c>
    </row>
    <row r="1071" spans="1:28">
      <c r="A1071" s="3" t="s">
        <v>551</v>
      </c>
      <c r="D1071" s="3" t="s">
        <v>4789</v>
      </c>
      <c r="E1071" s="3" t="s">
        <v>4790</v>
      </c>
      <c r="J1071" s="9" t="s">
        <v>8731</v>
      </c>
      <c r="T1071" s="9" t="str">
        <f t="shared" ca="1" si="42"/>
        <v/>
      </c>
      <c r="U1071" s="9" t="str">
        <f t="shared" ca="1" si="43"/>
        <v/>
      </c>
      <c r="Z1071" s="9" t="s">
        <v>8747</v>
      </c>
      <c r="AA1071" s="9" t="s">
        <v>3884</v>
      </c>
      <c r="AB1071" s="9" t="s">
        <v>8700</v>
      </c>
    </row>
    <row r="1072" spans="1:28">
      <c r="A1072" s="3" t="s">
        <v>552</v>
      </c>
      <c r="D1072" s="3" t="s">
        <v>4791</v>
      </c>
      <c r="E1072" s="3" t="s">
        <v>4792</v>
      </c>
      <c r="H1072" t="s">
        <v>3892</v>
      </c>
      <c r="I1072" t="s">
        <v>4793</v>
      </c>
      <c r="J1072" s="9" t="s">
        <v>8729</v>
      </c>
      <c r="S1072" s="9" t="s">
        <v>8739</v>
      </c>
      <c r="T1072" s="9" t="str">
        <f t="shared" ca="1" si="42"/>
        <v/>
      </c>
      <c r="U1072" s="9" t="str">
        <f t="shared" ca="1" si="43"/>
        <v/>
      </c>
      <c r="Y1072" s="9" t="s">
        <v>8735</v>
      </c>
      <c r="Z1072" s="9" t="s">
        <v>8742</v>
      </c>
      <c r="AA1072" s="9" t="s">
        <v>3884</v>
      </c>
    </row>
    <row r="1073" spans="1:28">
      <c r="A1073" s="3" t="s">
        <v>553</v>
      </c>
      <c r="D1073" s="3" t="s">
        <v>4794</v>
      </c>
      <c r="E1073" s="3" t="s">
        <v>4795</v>
      </c>
      <c r="H1073" t="s">
        <v>3892</v>
      </c>
      <c r="I1073" t="s">
        <v>2425</v>
      </c>
      <c r="J1073" s="9" t="s">
        <v>8729</v>
      </c>
      <c r="S1073" s="9" t="s">
        <v>8739</v>
      </c>
      <c r="T1073" s="9" t="str">
        <f t="shared" ca="1" si="42"/>
        <v/>
      </c>
      <c r="U1073" s="9" t="str">
        <f t="shared" ca="1" si="43"/>
        <v/>
      </c>
      <c r="Y1073" s="9" t="s">
        <v>8735</v>
      </c>
      <c r="Z1073" s="9" t="s">
        <v>8742</v>
      </c>
      <c r="AA1073" s="9" t="s">
        <v>3884</v>
      </c>
    </row>
    <row r="1074" spans="1:28">
      <c r="A1074" s="3" t="s">
        <v>554</v>
      </c>
      <c r="D1074" s="3" t="s">
        <v>4796</v>
      </c>
      <c r="E1074" s="4" t="s">
        <v>4797</v>
      </c>
      <c r="F1074" t="s">
        <v>3897</v>
      </c>
      <c r="T1074" s="9" t="str">
        <f t="shared" ca="1" si="42"/>
        <v/>
      </c>
      <c r="U1074" s="9" t="str">
        <f t="shared" ca="1" si="43"/>
        <v/>
      </c>
    </row>
    <row r="1075" spans="1:28">
      <c r="A1075" s="3" t="s">
        <v>554</v>
      </c>
      <c r="D1075" s="3" t="s">
        <v>2791</v>
      </c>
      <c r="E1075" s="3" t="s">
        <v>2792</v>
      </c>
      <c r="J1075" s="9" t="s">
        <v>8729</v>
      </c>
      <c r="S1075" s="9" t="s">
        <v>8739</v>
      </c>
      <c r="T1075" s="9" t="str">
        <f t="shared" ca="1" si="42"/>
        <v/>
      </c>
      <c r="U1075" s="9" t="str">
        <f t="shared" ca="1" si="43"/>
        <v/>
      </c>
      <c r="Z1075" s="9" t="s">
        <v>8742</v>
      </c>
      <c r="AA1075" s="9" t="s">
        <v>3884</v>
      </c>
      <c r="AB1075" s="9" t="s">
        <v>8697</v>
      </c>
    </row>
    <row r="1076" spans="1:28">
      <c r="A1076" s="3" t="s">
        <v>554</v>
      </c>
      <c r="D1076" s="3" t="s">
        <v>2793</v>
      </c>
      <c r="E1076" s="3" t="s">
        <v>2794</v>
      </c>
      <c r="J1076" s="9" t="s">
        <v>8731</v>
      </c>
      <c r="T1076" s="9" t="str">
        <f t="shared" ca="1" si="42"/>
        <v/>
      </c>
      <c r="U1076" s="9" t="str">
        <f t="shared" ca="1" si="43"/>
        <v/>
      </c>
      <c r="AB1076" s="9" t="s">
        <v>8697</v>
      </c>
    </row>
    <row r="1077" spans="1:28">
      <c r="A1077" s="3" t="s">
        <v>554</v>
      </c>
      <c r="D1077" s="3" t="s">
        <v>2795</v>
      </c>
      <c r="E1077" s="3" t="s">
        <v>2796</v>
      </c>
      <c r="J1077" s="9" t="s">
        <v>8731</v>
      </c>
      <c r="T1077" s="9" t="str">
        <f t="shared" ca="1" si="42"/>
        <v/>
      </c>
      <c r="U1077" s="9" t="str">
        <f t="shared" ca="1" si="43"/>
        <v/>
      </c>
      <c r="Z1077" s="9" t="s">
        <v>8885</v>
      </c>
      <c r="AA1077" s="9" t="s">
        <v>3884</v>
      </c>
      <c r="AB1077" s="9" t="s">
        <v>8688</v>
      </c>
    </row>
    <row r="1078" spans="1:28">
      <c r="A1078" s="3" t="s">
        <v>555</v>
      </c>
      <c r="D1078" s="3" t="s">
        <v>4798</v>
      </c>
      <c r="E1078" s="3" t="s">
        <v>4799</v>
      </c>
      <c r="J1078" s="9" t="s">
        <v>3889</v>
      </c>
      <c r="K1078" s="9">
        <v>1</v>
      </c>
      <c r="L1078" s="9">
        <v>4</v>
      </c>
      <c r="M1078" s="9" t="s">
        <v>8705</v>
      </c>
      <c r="N1078" s="9" t="s">
        <v>8684</v>
      </c>
      <c r="O1078" s="9" t="s">
        <v>8777</v>
      </c>
      <c r="P1078" s="10" t="s">
        <v>8772</v>
      </c>
      <c r="Q1078" s="9" t="s">
        <v>8685</v>
      </c>
      <c r="R1078" s="9">
        <v>3678</v>
      </c>
      <c r="T1078" s="9" t="str">
        <f t="shared" ca="1" si="42"/>
        <v/>
      </c>
      <c r="U1078" s="9" t="str">
        <f t="shared" ca="1" si="43"/>
        <v/>
      </c>
      <c r="AB1078" s="9" t="s">
        <v>8700</v>
      </c>
    </row>
    <row r="1079" spans="1:28">
      <c r="A1079" s="3" t="s">
        <v>555</v>
      </c>
      <c r="D1079" s="3" t="s">
        <v>4800</v>
      </c>
      <c r="E1079" s="3" t="s">
        <v>4801</v>
      </c>
      <c r="J1079" s="9" t="s">
        <v>3885</v>
      </c>
      <c r="K1079" s="9">
        <v>1</v>
      </c>
      <c r="L1079" s="9">
        <v>3</v>
      </c>
      <c r="M1079" s="9" t="s">
        <v>8705</v>
      </c>
      <c r="N1079" s="9" t="s">
        <v>8690</v>
      </c>
      <c r="R1079" s="9">
        <v>1485</v>
      </c>
      <c r="T1079" s="9" t="str">
        <f t="shared" ca="1" si="42"/>
        <v/>
      </c>
      <c r="U1079" s="9" t="str">
        <f t="shared" ca="1" si="43"/>
        <v/>
      </c>
    </row>
    <row r="1080" spans="1:28">
      <c r="A1080" s="3" t="s">
        <v>555</v>
      </c>
      <c r="D1080" s="3" t="s">
        <v>4802</v>
      </c>
      <c r="E1080" s="3" t="s">
        <v>4803</v>
      </c>
      <c r="I1080" t="s">
        <v>9220</v>
      </c>
      <c r="J1080" s="9" t="s">
        <v>3889</v>
      </c>
      <c r="K1080" s="9">
        <v>1</v>
      </c>
      <c r="L1080" s="9">
        <v>1</v>
      </c>
      <c r="M1080" s="9" t="s">
        <v>8689</v>
      </c>
      <c r="N1080" s="9" t="s">
        <v>8730</v>
      </c>
      <c r="R1080" s="9">
        <v>10929</v>
      </c>
      <c r="T1080" s="9" t="str">
        <f t="shared" ca="1" si="42"/>
        <v/>
      </c>
      <c r="U1080" s="9" t="str">
        <f t="shared" ca="1" si="43"/>
        <v/>
      </c>
      <c r="V1080" s="9" t="s">
        <v>8728</v>
      </c>
    </row>
    <row r="1081" spans="1:28">
      <c r="A1081" s="3" t="s">
        <v>556</v>
      </c>
      <c r="D1081" s="3" t="s">
        <v>2797</v>
      </c>
      <c r="E1081" s="3" t="s">
        <v>2798</v>
      </c>
      <c r="H1081" t="s">
        <v>3892</v>
      </c>
      <c r="I1081" t="s">
        <v>4804</v>
      </c>
      <c r="J1081" s="9" t="s">
        <v>8731</v>
      </c>
      <c r="T1081" s="9" t="str">
        <f t="shared" ca="1" si="42"/>
        <v/>
      </c>
      <c r="U1081" s="9" t="str">
        <f t="shared" ca="1" si="43"/>
        <v/>
      </c>
    </row>
    <row r="1082" spans="1:28">
      <c r="A1082" s="3" t="s">
        <v>556</v>
      </c>
      <c r="D1082" s="3" t="s">
        <v>2799</v>
      </c>
      <c r="E1082" s="3" t="s">
        <v>2800</v>
      </c>
      <c r="J1082" s="9" t="s">
        <v>8729</v>
      </c>
      <c r="S1082" s="9" t="s">
        <v>8730</v>
      </c>
      <c r="T1082" s="9" t="str">
        <f t="shared" ca="1" si="42"/>
        <v/>
      </c>
      <c r="U1082" s="9" t="str">
        <f t="shared" ca="1" si="43"/>
        <v/>
      </c>
      <c r="Y1082" s="9" t="s">
        <v>8735</v>
      </c>
      <c r="AA1082" s="9" t="s">
        <v>3884</v>
      </c>
    </row>
    <row r="1083" spans="1:28">
      <c r="A1083" s="3" t="s">
        <v>556</v>
      </c>
      <c r="D1083" s="3" t="s">
        <v>4805</v>
      </c>
      <c r="E1083" s="3" t="s">
        <v>2801</v>
      </c>
      <c r="H1083" t="s">
        <v>3884</v>
      </c>
      <c r="J1083" s="9" t="s">
        <v>8729</v>
      </c>
      <c r="S1083" s="9" t="s">
        <v>8730</v>
      </c>
      <c r="T1083" s="9" t="str">
        <f t="shared" ca="1" si="42"/>
        <v/>
      </c>
      <c r="U1083" s="9" t="str">
        <f t="shared" ca="1" si="43"/>
        <v/>
      </c>
      <c r="Z1083" s="9" t="s">
        <v>9280</v>
      </c>
      <c r="AA1083" s="9" t="s">
        <v>3884</v>
      </c>
      <c r="AB1083" s="9" t="s">
        <v>8688</v>
      </c>
    </row>
    <row r="1084" spans="1:28">
      <c r="A1084" s="3" t="s">
        <v>556</v>
      </c>
      <c r="D1084" s="3" t="s">
        <v>2802</v>
      </c>
      <c r="E1084" s="3" t="s">
        <v>2803</v>
      </c>
      <c r="J1084" s="9" t="s">
        <v>8729</v>
      </c>
      <c r="S1084" s="9">
        <f>37-0</f>
        <v>37</v>
      </c>
      <c r="T1084" s="9">
        <f t="shared" ca="1" si="42"/>
        <v>0</v>
      </c>
      <c r="U1084" s="9">
        <f t="shared" ca="1" si="43"/>
        <v>37</v>
      </c>
    </row>
    <row r="1085" spans="1:28">
      <c r="A1085" s="3" t="s">
        <v>557</v>
      </c>
      <c r="D1085" s="3" t="s">
        <v>2420</v>
      </c>
      <c r="E1085" s="3" t="s">
        <v>2421</v>
      </c>
      <c r="J1085" s="9" t="s">
        <v>8731</v>
      </c>
      <c r="T1085" s="9" t="str">
        <f t="shared" ca="1" si="42"/>
        <v/>
      </c>
      <c r="U1085" s="9" t="str">
        <f t="shared" ca="1" si="43"/>
        <v/>
      </c>
      <c r="Z1085" s="9" t="s">
        <v>8741</v>
      </c>
      <c r="AA1085" s="9" t="s">
        <v>3884</v>
      </c>
    </row>
    <row r="1086" spans="1:28">
      <c r="A1086" s="3" t="s">
        <v>558</v>
      </c>
      <c r="D1086" s="3" t="s">
        <v>2804</v>
      </c>
      <c r="E1086" s="3" t="s">
        <v>2805</v>
      </c>
      <c r="J1086" s="9" t="s">
        <v>8729</v>
      </c>
      <c r="S1086" s="9" t="s">
        <v>8739</v>
      </c>
      <c r="T1086" s="9" t="str">
        <f t="shared" ca="1" si="42"/>
        <v/>
      </c>
      <c r="U1086" s="9" t="str">
        <f t="shared" ca="1" si="43"/>
        <v/>
      </c>
      <c r="Y1086" s="9" t="s">
        <v>8735</v>
      </c>
      <c r="Z1086" s="9" t="s">
        <v>8742</v>
      </c>
      <c r="AA1086" s="9" t="s">
        <v>3884</v>
      </c>
    </row>
    <row r="1087" spans="1:28">
      <c r="A1087" s="3" t="s">
        <v>559</v>
      </c>
      <c r="D1087" s="3" t="s">
        <v>2806</v>
      </c>
      <c r="E1087" s="3" t="s">
        <v>2255</v>
      </c>
      <c r="J1087" s="9" t="s">
        <v>8729</v>
      </c>
      <c r="S1087" s="9" t="s">
        <v>8739</v>
      </c>
      <c r="T1087" s="9" t="str">
        <f t="shared" ca="1" si="42"/>
        <v/>
      </c>
      <c r="U1087" s="9" t="str">
        <f t="shared" ca="1" si="43"/>
        <v/>
      </c>
      <c r="Z1087" s="9" t="s">
        <v>8742</v>
      </c>
      <c r="AA1087" s="9" t="s">
        <v>3884</v>
      </c>
      <c r="AB1087" s="9" t="s">
        <v>8700</v>
      </c>
    </row>
    <row r="1088" spans="1:28">
      <c r="A1088" s="3" t="s">
        <v>560</v>
      </c>
      <c r="D1088" s="3" t="s">
        <v>4806</v>
      </c>
      <c r="E1088" s="3" t="s">
        <v>4807</v>
      </c>
      <c r="J1088" s="9" t="s">
        <v>3889</v>
      </c>
      <c r="K1088" s="9">
        <v>1</v>
      </c>
      <c r="L1088" s="9">
        <v>5</v>
      </c>
      <c r="M1088" s="9" t="s">
        <v>8705</v>
      </c>
      <c r="N1088" s="9" t="s">
        <v>8690</v>
      </c>
      <c r="R1088" s="9">
        <v>3678</v>
      </c>
      <c r="T1088" s="9" t="str">
        <f t="shared" ca="1" si="42"/>
        <v/>
      </c>
      <c r="U1088" s="9" t="str">
        <f t="shared" ca="1" si="43"/>
        <v/>
      </c>
    </row>
    <row r="1089" spans="1:28">
      <c r="A1089" s="3" t="s">
        <v>560</v>
      </c>
      <c r="D1089" s="3" t="s">
        <v>4809</v>
      </c>
      <c r="E1089" s="3" t="s">
        <v>4810</v>
      </c>
      <c r="F1089" t="s">
        <v>3881</v>
      </c>
      <c r="T1089" s="9" t="str">
        <f t="shared" ca="1" si="42"/>
        <v/>
      </c>
      <c r="U1089" s="9" t="str">
        <f t="shared" ca="1" si="43"/>
        <v/>
      </c>
    </row>
    <row r="1090" spans="1:28">
      <c r="A1090" s="3" t="s">
        <v>560</v>
      </c>
      <c r="D1090" s="3" t="s">
        <v>4811</v>
      </c>
      <c r="E1090" s="3" t="s">
        <v>4812</v>
      </c>
      <c r="J1090" s="9" t="s">
        <v>8729</v>
      </c>
      <c r="S1090" s="9" t="s">
        <v>8739</v>
      </c>
      <c r="T1090" s="9" t="str">
        <f t="shared" ca="1" si="42"/>
        <v/>
      </c>
      <c r="U1090" s="9" t="str">
        <f t="shared" ca="1" si="43"/>
        <v/>
      </c>
      <c r="Z1090" s="9" t="s">
        <v>8758</v>
      </c>
      <c r="AA1090" s="9" t="s">
        <v>3884</v>
      </c>
      <c r="AB1090" s="9" t="s">
        <v>8688</v>
      </c>
    </row>
    <row r="1091" spans="1:28">
      <c r="A1091" s="3" t="s">
        <v>560</v>
      </c>
      <c r="D1091" s="3" t="s">
        <v>4808</v>
      </c>
      <c r="E1091" s="3" t="s">
        <v>4813</v>
      </c>
      <c r="H1091" t="s">
        <v>3884</v>
      </c>
      <c r="J1091" s="9" t="s">
        <v>3885</v>
      </c>
      <c r="K1091" s="9">
        <v>1</v>
      </c>
      <c r="L1091" s="9">
        <v>3</v>
      </c>
      <c r="M1091" s="9" t="s">
        <v>8698</v>
      </c>
      <c r="N1091" s="9" t="s">
        <v>8690</v>
      </c>
      <c r="R1091" s="9">
        <v>653</v>
      </c>
      <c r="T1091" s="9" t="str">
        <f t="shared" ca="1" si="42"/>
        <v/>
      </c>
      <c r="U1091" s="9" t="str">
        <f t="shared" ca="1" si="43"/>
        <v/>
      </c>
    </row>
    <row r="1092" spans="1:28">
      <c r="A1092" s="3" t="s">
        <v>560</v>
      </c>
      <c r="D1092" s="3" t="s">
        <v>2807</v>
      </c>
      <c r="E1092" s="3" t="s">
        <v>2808</v>
      </c>
      <c r="J1092" s="9" t="s">
        <v>8729</v>
      </c>
      <c r="S1092" s="9" t="s">
        <v>8739</v>
      </c>
      <c r="T1092" s="9" t="str">
        <f t="shared" ca="1" si="42"/>
        <v/>
      </c>
      <c r="U1092" s="9" t="str">
        <f t="shared" ca="1" si="43"/>
        <v/>
      </c>
      <c r="Z1092" s="9" t="s">
        <v>8741</v>
      </c>
      <c r="AA1092" s="9" t="s">
        <v>3884</v>
      </c>
      <c r="AB1092" s="9" t="s">
        <v>8697</v>
      </c>
    </row>
    <row r="1093" spans="1:28">
      <c r="A1093" s="3" t="s">
        <v>560</v>
      </c>
      <c r="D1093" s="3" t="s">
        <v>2809</v>
      </c>
      <c r="E1093" s="3" t="s">
        <v>2809</v>
      </c>
      <c r="F1093" t="s">
        <v>3932</v>
      </c>
      <c r="I1093" t="s">
        <v>4814</v>
      </c>
      <c r="T1093" s="9" t="str">
        <f t="shared" ca="1" si="42"/>
        <v/>
      </c>
      <c r="U1093" s="9" t="str">
        <f t="shared" ca="1" si="43"/>
        <v/>
      </c>
    </row>
    <row r="1094" spans="1:28">
      <c r="A1094" s="3" t="s">
        <v>560</v>
      </c>
      <c r="D1094" s="3" t="s">
        <v>4815</v>
      </c>
      <c r="E1094" s="3" t="s">
        <v>4816</v>
      </c>
      <c r="J1094" s="9" t="s">
        <v>3889</v>
      </c>
      <c r="K1094" s="9">
        <v>1</v>
      </c>
      <c r="L1094" s="9">
        <v>4</v>
      </c>
      <c r="M1094" s="9" t="s">
        <v>8705</v>
      </c>
      <c r="N1094" s="9" t="s">
        <v>8690</v>
      </c>
      <c r="R1094" s="9">
        <v>3678</v>
      </c>
      <c r="T1094" s="9" t="str">
        <f t="shared" ref="T1094:T1157" ca="1" si="44">IF(ISNUMBER(S1094),VALUE(MID(_xlfn.FORMULATEXT(S1094),SEARCH("-",_xlfn.FORMULATEXT(S1094))+1,LEN(_xlfn.FORMULATEXT(S1094))-SEARCH("-",_xlfn.FORMULATEXT(S1094)))), "")</f>
        <v/>
      </c>
      <c r="U1094" s="9" t="str">
        <f t="shared" ref="U1094:U1157" ca="1" si="45">IF(ISNUMBER(S1094), VALUE(MID(_xlfn.FORMULATEXT(S1094), 2, SEARCH("-", _xlfn.FORMULATEXT(S1094)) - 2)), "")</f>
        <v/>
      </c>
    </row>
    <row r="1095" spans="1:28">
      <c r="A1095" s="3" t="s">
        <v>560</v>
      </c>
      <c r="D1095" s="3" t="s">
        <v>4817</v>
      </c>
      <c r="E1095" s="3" t="s">
        <v>4817</v>
      </c>
      <c r="F1095" t="s">
        <v>3932</v>
      </c>
      <c r="I1095" t="s">
        <v>4818</v>
      </c>
      <c r="T1095" s="9" t="str">
        <f t="shared" ca="1" si="44"/>
        <v/>
      </c>
      <c r="U1095" s="9" t="str">
        <f t="shared" ca="1" si="45"/>
        <v/>
      </c>
    </row>
    <row r="1096" spans="1:28" ht="29">
      <c r="A1096" s="3" t="s">
        <v>561</v>
      </c>
      <c r="D1096" s="3" t="s">
        <v>4819</v>
      </c>
      <c r="E1096" s="3" t="s">
        <v>4819</v>
      </c>
      <c r="F1096" t="s">
        <v>3932</v>
      </c>
      <c r="I1096" s="3" t="s">
        <v>4820</v>
      </c>
      <c r="T1096" s="9" t="str">
        <f t="shared" ca="1" si="44"/>
        <v/>
      </c>
      <c r="U1096" s="9" t="str">
        <f t="shared" ca="1" si="45"/>
        <v/>
      </c>
    </row>
    <row r="1097" spans="1:28">
      <c r="A1097" s="3" t="s">
        <v>562</v>
      </c>
      <c r="D1097" s="3" t="s">
        <v>2810</v>
      </c>
      <c r="E1097" s="3" t="s">
        <v>2811</v>
      </c>
      <c r="J1097" s="9" t="s">
        <v>8729</v>
      </c>
      <c r="S1097" s="9" t="s">
        <v>8739</v>
      </c>
      <c r="T1097" s="9" t="str">
        <f t="shared" ca="1" si="44"/>
        <v/>
      </c>
      <c r="U1097" s="9" t="str">
        <f t="shared" ca="1" si="45"/>
        <v/>
      </c>
      <c r="Z1097" s="9" t="s">
        <v>8741</v>
      </c>
      <c r="AA1097" s="9" t="s">
        <v>3884</v>
      </c>
      <c r="AB1097" s="9" t="s">
        <v>8697</v>
      </c>
    </row>
    <row r="1098" spans="1:28">
      <c r="A1098" s="3" t="s">
        <v>562</v>
      </c>
      <c r="D1098" s="3" t="s">
        <v>4821</v>
      </c>
      <c r="E1098" s="3" t="s">
        <v>4821</v>
      </c>
      <c r="F1098" t="s">
        <v>3932</v>
      </c>
      <c r="I1098" t="s">
        <v>4822</v>
      </c>
      <c r="T1098" s="9" t="str">
        <f t="shared" ca="1" si="44"/>
        <v/>
      </c>
      <c r="U1098" s="9" t="str">
        <f t="shared" ca="1" si="45"/>
        <v/>
      </c>
    </row>
    <row r="1099" spans="1:28">
      <c r="A1099" s="3" t="s">
        <v>563</v>
      </c>
      <c r="D1099" s="3" t="s">
        <v>2761</v>
      </c>
      <c r="E1099" s="3" t="s">
        <v>2762</v>
      </c>
      <c r="J1099" s="9" t="s">
        <v>8729</v>
      </c>
      <c r="S1099" s="9" t="s">
        <v>8739</v>
      </c>
      <c r="T1099" s="9" t="str">
        <f t="shared" ca="1" si="44"/>
        <v/>
      </c>
      <c r="U1099" s="9" t="str">
        <f t="shared" ca="1" si="45"/>
        <v/>
      </c>
      <c r="Y1099" s="9" t="s">
        <v>8735</v>
      </c>
      <c r="Z1099" s="9" t="s">
        <v>8742</v>
      </c>
      <c r="AA1099" s="9" t="s">
        <v>3884</v>
      </c>
    </row>
    <row r="1100" spans="1:28">
      <c r="A1100" s="3" t="s">
        <v>564</v>
      </c>
      <c r="D1100" t="s">
        <v>4569</v>
      </c>
      <c r="E1100" t="s">
        <v>4570</v>
      </c>
      <c r="J1100" s="9" t="s">
        <v>3885</v>
      </c>
      <c r="K1100" s="9">
        <v>1</v>
      </c>
      <c r="L1100" s="9">
        <v>3</v>
      </c>
      <c r="M1100" s="9" t="s">
        <v>8689</v>
      </c>
      <c r="N1100" s="9" t="s">
        <v>8690</v>
      </c>
      <c r="R1100" s="9">
        <v>10929</v>
      </c>
      <c r="T1100" s="9" t="str">
        <f t="shared" ca="1" si="44"/>
        <v/>
      </c>
      <c r="U1100" s="9" t="str">
        <f t="shared" ca="1" si="45"/>
        <v/>
      </c>
    </row>
    <row r="1101" spans="1:28">
      <c r="A1101" s="3" t="s">
        <v>565</v>
      </c>
      <c r="D1101" s="3" t="s">
        <v>4823</v>
      </c>
      <c r="E1101" s="3" t="s">
        <v>2812</v>
      </c>
      <c r="H1101" t="s">
        <v>3884</v>
      </c>
      <c r="J1101" s="9" t="s">
        <v>8731</v>
      </c>
      <c r="T1101" s="9" t="str">
        <f t="shared" ca="1" si="44"/>
        <v/>
      </c>
      <c r="U1101" s="9" t="str">
        <f t="shared" ca="1" si="45"/>
        <v/>
      </c>
      <c r="AB1101" s="9" t="s">
        <v>8688</v>
      </c>
    </row>
    <row r="1102" spans="1:28">
      <c r="A1102" s="3" t="s">
        <v>565</v>
      </c>
      <c r="D1102" s="3" t="s">
        <v>2813</v>
      </c>
      <c r="E1102" s="3" t="s">
        <v>2813</v>
      </c>
      <c r="F1102" t="s">
        <v>3932</v>
      </c>
      <c r="I1102" t="s">
        <v>4824</v>
      </c>
      <c r="T1102" s="9" t="str">
        <f t="shared" ca="1" si="44"/>
        <v/>
      </c>
      <c r="U1102" s="9" t="str">
        <f t="shared" ca="1" si="45"/>
        <v/>
      </c>
    </row>
    <row r="1103" spans="1:28" ht="29">
      <c r="A1103" s="3" t="s">
        <v>566</v>
      </c>
      <c r="D1103" s="3" t="s">
        <v>4825</v>
      </c>
      <c r="E1103" s="3" t="s">
        <v>4825</v>
      </c>
      <c r="F1103" t="s">
        <v>3932</v>
      </c>
      <c r="I1103" t="s">
        <v>4826</v>
      </c>
      <c r="T1103" s="9" t="str">
        <f t="shared" ca="1" si="44"/>
        <v/>
      </c>
      <c r="U1103" s="9" t="str">
        <f t="shared" ca="1" si="45"/>
        <v/>
      </c>
    </row>
    <row r="1104" spans="1:28" ht="29">
      <c r="A1104" s="3" t="s">
        <v>566</v>
      </c>
      <c r="D1104" s="3" t="s">
        <v>9608</v>
      </c>
      <c r="E1104" s="3" t="s">
        <v>9608</v>
      </c>
      <c r="F1104" t="s">
        <v>3932</v>
      </c>
      <c r="I1104" t="s">
        <v>4827</v>
      </c>
      <c r="T1104" s="9" t="str">
        <f t="shared" ca="1" si="44"/>
        <v/>
      </c>
      <c r="U1104" s="9" t="str">
        <f t="shared" ca="1" si="45"/>
        <v/>
      </c>
    </row>
    <row r="1105" spans="1:28">
      <c r="A1105" s="3" t="s">
        <v>566</v>
      </c>
      <c r="D1105" s="3" t="s">
        <v>2814</v>
      </c>
      <c r="E1105" s="3" t="s">
        <v>2815</v>
      </c>
      <c r="H1105" t="s">
        <v>3888</v>
      </c>
      <c r="I1105" t="s">
        <v>4828</v>
      </c>
      <c r="J1105" s="9" t="s">
        <v>8729</v>
      </c>
      <c r="S1105" s="9" t="s">
        <v>8739</v>
      </c>
      <c r="T1105" s="9" t="str">
        <f t="shared" ca="1" si="44"/>
        <v/>
      </c>
      <c r="U1105" s="9" t="str">
        <f t="shared" ca="1" si="45"/>
        <v/>
      </c>
      <c r="AB1105" s="9" t="s">
        <v>8688</v>
      </c>
    </row>
    <row r="1106" spans="1:28">
      <c r="A1106" s="3" t="s">
        <v>566</v>
      </c>
      <c r="D1106" s="3" t="s">
        <v>4829</v>
      </c>
      <c r="E1106" s="3" t="s">
        <v>2816</v>
      </c>
      <c r="H1106" t="s">
        <v>3884</v>
      </c>
      <c r="J1106" s="9" t="s">
        <v>8729</v>
      </c>
      <c r="S1106" s="9" t="s">
        <v>8739</v>
      </c>
      <c r="T1106" s="9" t="str">
        <f t="shared" ca="1" si="44"/>
        <v/>
      </c>
      <c r="U1106" s="9" t="str">
        <f t="shared" ca="1" si="45"/>
        <v/>
      </c>
      <c r="Z1106" s="9" t="s">
        <v>8832</v>
      </c>
      <c r="AA1106" s="9" t="s">
        <v>3884</v>
      </c>
      <c r="AB1106" s="9" t="s">
        <v>8688</v>
      </c>
    </row>
    <row r="1107" spans="1:28" ht="29">
      <c r="A1107" s="3" t="s">
        <v>566</v>
      </c>
      <c r="D1107" s="3" t="s">
        <v>4831</v>
      </c>
      <c r="E1107" s="3" t="s">
        <v>4830</v>
      </c>
      <c r="H1107" t="s">
        <v>3884</v>
      </c>
      <c r="J1107" s="9" t="s">
        <v>3889</v>
      </c>
      <c r="K1107" s="9">
        <v>1</v>
      </c>
      <c r="L1107" s="9">
        <v>3</v>
      </c>
      <c r="M1107" s="9" t="s">
        <v>8689</v>
      </c>
      <c r="N1107" s="9" t="s">
        <v>8684</v>
      </c>
      <c r="O1107" s="9" t="s">
        <v>8771</v>
      </c>
      <c r="P1107" s="10" t="s">
        <v>8778</v>
      </c>
      <c r="R1107" s="9">
        <v>10929</v>
      </c>
      <c r="T1107" s="9" t="str">
        <f t="shared" ca="1" si="44"/>
        <v/>
      </c>
      <c r="U1107" s="9" t="str">
        <f t="shared" ca="1" si="45"/>
        <v/>
      </c>
    </row>
    <row r="1108" spans="1:28" ht="29">
      <c r="A1108" s="3" t="s">
        <v>566</v>
      </c>
      <c r="D1108" s="3" t="s">
        <v>4832</v>
      </c>
      <c r="E1108" s="3" t="s">
        <v>4833</v>
      </c>
      <c r="J1108" s="9" t="s">
        <v>8729</v>
      </c>
      <c r="S1108" s="9" t="s">
        <v>8730</v>
      </c>
      <c r="T1108" s="9" t="str">
        <f t="shared" ca="1" si="44"/>
        <v/>
      </c>
      <c r="U1108" s="9" t="str">
        <f t="shared" ca="1" si="45"/>
        <v/>
      </c>
      <c r="AB1108" s="9" t="s">
        <v>8697</v>
      </c>
    </row>
    <row r="1109" spans="1:28">
      <c r="A1109" s="3" t="s">
        <v>567</v>
      </c>
      <c r="D1109" s="3" t="s">
        <v>2817</v>
      </c>
      <c r="E1109" s="3" t="s">
        <v>2818</v>
      </c>
      <c r="J1109" s="9" t="s">
        <v>8729</v>
      </c>
      <c r="S1109" s="9" t="s">
        <v>8739</v>
      </c>
      <c r="T1109" s="9" t="str">
        <f t="shared" ca="1" si="44"/>
        <v/>
      </c>
      <c r="U1109" s="9" t="str">
        <f t="shared" ca="1" si="45"/>
        <v/>
      </c>
      <c r="Z1109" s="9" t="s">
        <v>8742</v>
      </c>
      <c r="AA1109" s="9" t="s">
        <v>3884</v>
      </c>
      <c r="AB1109" s="9" t="s">
        <v>8697</v>
      </c>
    </row>
    <row r="1110" spans="1:28">
      <c r="A1110" s="3" t="s">
        <v>567</v>
      </c>
      <c r="D1110" s="11" t="s">
        <v>4834</v>
      </c>
      <c r="E1110" s="3" t="s">
        <v>4835</v>
      </c>
      <c r="F1110" t="s">
        <v>3890</v>
      </c>
      <c r="J1110" s="9" t="s">
        <v>8731</v>
      </c>
      <c r="T1110" s="9" t="str">
        <f t="shared" ca="1" si="44"/>
        <v/>
      </c>
      <c r="U1110" s="9" t="str">
        <f t="shared" ca="1" si="45"/>
        <v/>
      </c>
    </row>
    <row r="1111" spans="1:28">
      <c r="A1111" s="3" t="s">
        <v>567</v>
      </c>
      <c r="D1111" s="3" t="s">
        <v>2819</v>
      </c>
      <c r="E1111" s="3" t="s">
        <v>2820</v>
      </c>
      <c r="J1111" s="9" t="s">
        <v>8729</v>
      </c>
      <c r="S1111" s="9">
        <f>3-0</f>
        <v>3</v>
      </c>
      <c r="T1111" s="9">
        <f t="shared" ca="1" si="44"/>
        <v>0</v>
      </c>
      <c r="U1111" s="9">
        <f t="shared" ca="1" si="45"/>
        <v>3</v>
      </c>
      <c r="Z1111" s="9" t="s">
        <v>8757</v>
      </c>
      <c r="AA1111" s="9" t="s">
        <v>3884</v>
      </c>
      <c r="AB1111" s="9" t="s">
        <v>8700</v>
      </c>
    </row>
    <row r="1112" spans="1:28">
      <c r="A1112" s="3" t="s">
        <v>567</v>
      </c>
      <c r="D1112" s="3" t="s">
        <v>2821</v>
      </c>
      <c r="E1112" s="3" t="s">
        <v>2821</v>
      </c>
      <c r="F1112" t="s">
        <v>3932</v>
      </c>
      <c r="I1112" t="s">
        <v>4836</v>
      </c>
      <c r="T1112" s="9" t="str">
        <f t="shared" ca="1" si="44"/>
        <v/>
      </c>
      <c r="U1112" s="9" t="str">
        <f t="shared" ca="1" si="45"/>
        <v/>
      </c>
    </row>
    <row r="1113" spans="1:28">
      <c r="A1113" s="3" t="s">
        <v>568</v>
      </c>
      <c r="D1113" s="3" t="s">
        <v>4837</v>
      </c>
      <c r="E1113" s="3" t="s">
        <v>4838</v>
      </c>
      <c r="H1113" t="s">
        <v>3884</v>
      </c>
      <c r="J1113" s="9" t="s">
        <v>8731</v>
      </c>
      <c r="T1113" s="9" t="str">
        <f t="shared" ca="1" si="44"/>
        <v/>
      </c>
      <c r="U1113" s="9" t="str">
        <f t="shared" ca="1" si="45"/>
        <v/>
      </c>
      <c r="AB1113" s="9" t="s">
        <v>8694</v>
      </c>
    </row>
    <row r="1114" spans="1:28">
      <c r="A1114" s="3" t="s">
        <v>568</v>
      </c>
      <c r="D1114" s="3" t="s">
        <v>2822</v>
      </c>
      <c r="E1114" s="3" t="s">
        <v>2822</v>
      </c>
      <c r="F1114" t="s">
        <v>3932</v>
      </c>
      <c r="I1114" t="s">
        <v>4839</v>
      </c>
      <c r="T1114" s="9" t="str">
        <f t="shared" ca="1" si="44"/>
        <v/>
      </c>
      <c r="U1114" s="9" t="str">
        <f t="shared" ca="1" si="45"/>
        <v/>
      </c>
    </row>
    <row r="1115" spans="1:28" ht="29">
      <c r="A1115" s="3" t="s">
        <v>569</v>
      </c>
      <c r="D1115" s="3" t="s">
        <v>4840</v>
      </c>
      <c r="E1115" s="3" t="s">
        <v>4841</v>
      </c>
      <c r="J1115" s="9" t="s">
        <v>8731</v>
      </c>
      <c r="T1115" s="9" t="str">
        <f t="shared" ca="1" si="44"/>
        <v/>
      </c>
      <c r="U1115" s="9" t="str">
        <f t="shared" ca="1" si="45"/>
        <v/>
      </c>
    </row>
    <row r="1116" spans="1:28">
      <c r="A1116" s="3" t="s">
        <v>570</v>
      </c>
      <c r="D1116" s="3" t="s">
        <v>2823</v>
      </c>
      <c r="E1116" s="3" t="s">
        <v>2824</v>
      </c>
      <c r="J1116" s="9" t="s">
        <v>8731</v>
      </c>
      <c r="T1116" s="9" t="str">
        <f t="shared" ca="1" si="44"/>
        <v/>
      </c>
      <c r="U1116" s="9" t="str">
        <f t="shared" ca="1" si="45"/>
        <v/>
      </c>
      <c r="Z1116" s="9" t="s">
        <v>8757</v>
      </c>
      <c r="AA1116" s="9" t="s">
        <v>3884</v>
      </c>
      <c r="AB1116" s="9" t="s">
        <v>8700</v>
      </c>
    </row>
    <row r="1117" spans="1:28">
      <c r="A1117" s="3" t="s">
        <v>570</v>
      </c>
      <c r="D1117" s="3" t="s">
        <v>2825</v>
      </c>
      <c r="E1117" s="3" t="s">
        <v>2825</v>
      </c>
      <c r="F1117" t="s">
        <v>3932</v>
      </c>
      <c r="I1117" t="s">
        <v>4842</v>
      </c>
      <c r="T1117" s="9" t="str">
        <f t="shared" ca="1" si="44"/>
        <v/>
      </c>
      <c r="U1117" s="9" t="str">
        <f t="shared" ca="1" si="45"/>
        <v/>
      </c>
    </row>
    <row r="1118" spans="1:28">
      <c r="A1118" s="3" t="s">
        <v>571</v>
      </c>
      <c r="D1118" s="3" t="s">
        <v>2813</v>
      </c>
      <c r="E1118" s="3" t="s">
        <v>2813</v>
      </c>
      <c r="F1118" t="s">
        <v>3932</v>
      </c>
      <c r="I1118" t="s">
        <v>4824</v>
      </c>
      <c r="T1118" s="9" t="str">
        <f t="shared" ca="1" si="44"/>
        <v/>
      </c>
      <c r="U1118" s="9" t="str">
        <f t="shared" ca="1" si="45"/>
        <v/>
      </c>
    </row>
    <row r="1119" spans="1:28">
      <c r="A1119" s="3" t="s">
        <v>572</v>
      </c>
      <c r="D1119" s="3" t="s">
        <v>2826</v>
      </c>
      <c r="E1119" s="3" t="s">
        <v>2827</v>
      </c>
      <c r="J1119" s="9" t="s">
        <v>8732</v>
      </c>
      <c r="S1119" s="9">
        <f>2-21</f>
        <v>-19</v>
      </c>
      <c r="T1119" s="9">
        <f t="shared" ca="1" si="44"/>
        <v>21</v>
      </c>
      <c r="U1119" s="9">
        <f t="shared" ca="1" si="45"/>
        <v>2</v>
      </c>
      <c r="Z1119" s="9" t="s">
        <v>8742</v>
      </c>
      <c r="AA1119" s="9" t="s">
        <v>3884</v>
      </c>
      <c r="AB1119" s="9" t="s">
        <v>8700</v>
      </c>
    </row>
    <row r="1120" spans="1:28">
      <c r="A1120" s="3" t="s">
        <v>573</v>
      </c>
      <c r="D1120" s="3" t="s">
        <v>2813</v>
      </c>
      <c r="E1120" s="3" t="s">
        <v>2813</v>
      </c>
      <c r="F1120" t="s">
        <v>3932</v>
      </c>
      <c r="I1120" t="s">
        <v>4824</v>
      </c>
      <c r="T1120" s="9" t="str">
        <f t="shared" ca="1" si="44"/>
        <v/>
      </c>
      <c r="U1120" s="9" t="str">
        <f t="shared" ca="1" si="45"/>
        <v/>
      </c>
    </row>
    <row r="1121" spans="1:28">
      <c r="A1121" s="3" t="s">
        <v>573</v>
      </c>
      <c r="D1121" s="3" t="s">
        <v>2226</v>
      </c>
      <c r="E1121" s="3" t="s">
        <v>2828</v>
      </c>
      <c r="J1121" s="9" t="s">
        <v>8731</v>
      </c>
      <c r="T1121" s="9" t="str">
        <f t="shared" ca="1" si="44"/>
        <v/>
      </c>
      <c r="U1121" s="9" t="str">
        <f t="shared" ca="1" si="45"/>
        <v/>
      </c>
    </row>
    <row r="1122" spans="1:28">
      <c r="A1122" s="3" t="s">
        <v>573</v>
      </c>
      <c r="D1122" s="3" t="s">
        <v>2829</v>
      </c>
      <c r="E1122" s="3" t="s">
        <v>2830</v>
      </c>
      <c r="J1122" s="9" t="s">
        <v>8729</v>
      </c>
      <c r="S1122" s="9" t="s">
        <v>8739</v>
      </c>
      <c r="T1122" s="9" t="str">
        <f t="shared" ca="1" si="44"/>
        <v/>
      </c>
      <c r="U1122" s="9" t="str">
        <f t="shared" ca="1" si="45"/>
        <v/>
      </c>
      <c r="Z1122" s="9" t="s">
        <v>8742</v>
      </c>
      <c r="AA1122" s="9" t="s">
        <v>3884</v>
      </c>
      <c r="AB1122" s="9" t="s">
        <v>8697</v>
      </c>
    </row>
    <row r="1123" spans="1:28">
      <c r="A1123" s="3" t="s">
        <v>574</v>
      </c>
      <c r="D1123" s="3" t="s">
        <v>4843</v>
      </c>
      <c r="E1123" s="3" t="s">
        <v>4844</v>
      </c>
      <c r="H1123" t="s">
        <v>3884</v>
      </c>
      <c r="J1123" s="9" t="s">
        <v>8729</v>
      </c>
      <c r="S1123" s="9">
        <f>872-428</f>
        <v>444</v>
      </c>
      <c r="T1123" s="9">
        <f t="shared" ca="1" si="44"/>
        <v>428</v>
      </c>
      <c r="U1123" s="9">
        <f t="shared" ca="1" si="45"/>
        <v>872</v>
      </c>
    </row>
    <row r="1124" spans="1:28">
      <c r="A1124" s="3" t="s">
        <v>574</v>
      </c>
      <c r="D1124" s="3" t="s">
        <v>2831</v>
      </c>
      <c r="E1124" s="3" t="s">
        <v>2832</v>
      </c>
      <c r="J1124" s="9" t="s">
        <v>8731</v>
      </c>
      <c r="T1124" s="9" t="str">
        <f t="shared" ca="1" si="44"/>
        <v/>
      </c>
      <c r="U1124" s="9" t="str">
        <f t="shared" ca="1" si="45"/>
        <v/>
      </c>
      <c r="Z1124" s="9" t="s">
        <v>8833</v>
      </c>
      <c r="AA1124" s="9" t="s">
        <v>3884</v>
      </c>
      <c r="AB1124" s="9" t="s">
        <v>8688</v>
      </c>
    </row>
    <row r="1125" spans="1:28">
      <c r="A1125" s="3" t="s">
        <v>574</v>
      </c>
      <c r="D1125" t="s">
        <v>4845</v>
      </c>
      <c r="E1125" t="s">
        <v>4846</v>
      </c>
      <c r="H1125" t="s">
        <v>3884</v>
      </c>
      <c r="J1125" s="9" t="s">
        <v>3885</v>
      </c>
      <c r="K1125" s="9">
        <v>1</v>
      </c>
      <c r="L1125" s="9">
        <v>5</v>
      </c>
      <c r="M1125" s="9" t="s">
        <v>8703</v>
      </c>
      <c r="N1125" s="9" t="s">
        <v>8690</v>
      </c>
      <c r="R1125" s="9">
        <v>655</v>
      </c>
      <c r="T1125" s="9" t="str">
        <f t="shared" ca="1" si="44"/>
        <v/>
      </c>
      <c r="U1125" s="9" t="str">
        <f t="shared" ca="1" si="45"/>
        <v/>
      </c>
    </row>
    <row r="1126" spans="1:28">
      <c r="A1126" s="3" t="s">
        <v>575</v>
      </c>
      <c r="D1126" s="3" t="s">
        <v>2833</v>
      </c>
      <c r="E1126" s="3" t="s">
        <v>2374</v>
      </c>
      <c r="J1126" s="9" t="s">
        <v>8729</v>
      </c>
      <c r="S1126" s="9" t="s">
        <v>8739</v>
      </c>
      <c r="T1126" s="9" t="str">
        <f t="shared" ca="1" si="44"/>
        <v/>
      </c>
      <c r="U1126" s="9" t="str">
        <f t="shared" ca="1" si="45"/>
        <v/>
      </c>
      <c r="Y1126" s="9" t="s">
        <v>8735</v>
      </c>
      <c r="AA1126" s="9" t="s">
        <v>3884</v>
      </c>
    </row>
    <row r="1127" spans="1:28">
      <c r="A1127" s="3" t="s">
        <v>575</v>
      </c>
      <c r="D1127" s="3" t="s">
        <v>2748</v>
      </c>
      <c r="E1127" s="3" t="s">
        <v>2834</v>
      </c>
      <c r="J1127" s="9" t="s">
        <v>8729</v>
      </c>
      <c r="S1127" s="9" t="s">
        <v>8739</v>
      </c>
      <c r="T1127" s="9" t="str">
        <f t="shared" ca="1" si="44"/>
        <v/>
      </c>
      <c r="U1127" s="9" t="str">
        <f t="shared" ca="1" si="45"/>
        <v/>
      </c>
      <c r="Y1127" s="9" t="s">
        <v>8735</v>
      </c>
      <c r="Z1127" s="9" t="s">
        <v>8742</v>
      </c>
      <c r="AA1127" s="9" t="s">
        <v>3884</v>
      </c>
    </row>
    <row r="1128" spans="1:28">
      <c r="A1128" s="3" t="s">
        <v>575</v>
      </c>
      <c r="D1128" s="3" t="s">
        <v>2835</v>
      </c>
      <c r="E1128" s="3" t="s">
        <v>2836</v>
      </c>
      <c r="H1128" t="s">
        <v>3892</v>
      </c>
      <c r="I1128" t="s">
        <v>4847</v>
      </c>
      <c r="J1128" s="9" t="s">
        <v>8729</v>
      </c>
      <c r="S1128" s="9" t="s">
        <v>8739</v>
      </c>
      <c r="T1128" s="9" t="str">
        <f t="shared" ca="1" si="44"/>
        <v/>
      </c>
      <c r="U1128" s="9" t="str">
        <f t="shared" ca="1" si="45"/>
        <v/>
      </c>
      <c r="Y1128" s="9" t="s">
        <v>8735</v>
      </c>
      <c r="Z1128" s="9" t="s">
        <v>8742</v>
      </c>
      <c r="AA1128" s="9" t="s">
        <v>3884</v>
      </c>
    </row>
    <row r="1129" spans="1:28" ht="29">
      <c r="A1129" s="3" t="s">
        <v>576</v>
      </c>
      <c r="D1129" s="3" t="s">
        <v>4848</v>
      </c>
      <c r="E1129" s="3" t="s">
        <v>4849</v>
      </c>
      <c r="J1129" s="9" t="s">
        <v>8731</v>
      </c>
      <c r="T1129" s="9" t="str">
        <f t="shared" ca="1" si="44"/>
        <v/>
      </c>
      <c r="U1129" s="9" t="str">
        <f t="shared" ca="1" si="45"/>
        <v/>
      </c>
    </row>
    <row r="1130" spans="1:28">
      <c r="A1130" s="3" t="s">
        <v>577</v>
      </c>
      <c r="D1130" s="3" t="s">
        <v>4850</v>
      </c>
      <c r="E1130" s="3" t="s">
        <v>4851</v>
      </c>
      <c r="J1130" s="9" t="s">
        <v>3885</v>
      </c>
      <c r="K1130" s="9">
        <v>1</v>
      </c>
      <c r="L1130" s="9">
        <v>2</v>
      </c>
      <c r="M1130" s="9" t="s">
        <v>8689</v>
      </c>
      <c r="N1130" s="9" t="s">
        <v>8730</v>
      </c>
      <c r="R1130" s="9">
        <v>10929</v>
      </c>
      <c r="T1130" s="9" t="str">
        <f t="shared" ca="1" si="44"/>
        <v/>
      </c>
      <c r="U1130" s="9" t="str">
        <f t="shared" ca="1" si="45"/>
        <v/>
      </c>
    </row>
    <row r="1131" spans="1:28">
      <c r="A1131" s="3" t="s">
        <v>577</v>
      </c>
      <c r="D1131" s="3" t="s">
        <v>2295</v>
      </c>
      <c r="E1131" s="3" t="s">
        <v>2296</v>
      </c>
      <c r="J1131" s="9" t="s">
        <v>8729</v>
      </c>
      <c r="S1131" s="9" t="s">
        <v>8739</v>
      </c>
      <c r="T1131" s="9" t="str">
        <f t="shared" ca="1" si="44"/>
        <v/>
      </c>
      <c r="U1131" s="9" t="str">
        <f t="shared" ca="1" si="45"/>
        <v/>
      </c>
      <c r="Y1131" s="9" t="s">
        <v>8735</v>
      </c>
      <c r="Z1131" s="9" t="s">
        <v>8742</v>
      </c>
      <c r="AA1131" s="9" t="s">
        <v>3884</v>
      </c>
    </row>
    <row r="1132" spans="1:28">
      <c r="A1132" s="3" t="s">
        <v>578</v>
      </c>
      <c r="D1132" s="3" t="s">
        <v>2295</v>
      </c>
      <c r="E1132" s="3" t="s">
        <v>2296</v>
      </c>
      <c r="J1132" s="9" t="s">
        <v>8729</v>
      </c>
      <c r="S1132" s="9" t="s">
        <v>8739</v>
      </c>
      <c r="T1132" s="9" t="str">
        <f t="shared" ca="1" si="44"/>
        <v/>
      </c>
      <c r="U1132" s="9" t="str">
        <f t="shared" ca="1" si="45"/>
        <v/>
      </c>
      <c r="Y1132" s="9" t="s">
        <v>8735</v>
      </c>
      <c r="Z1132" s="9" t="s">
        <v>8742</v>
      </c>
      <c r="AA1132" s="9" t="s">
        <v>3884</v>
      </c>
    </row>
    <row r="1133" spans="1:28">
      <c r="A1133" s="3" t="s">
        <v>578</v>
      </c>
      <c r="D1133" s="3" t="s">
        <v>2386</v>
      </c>
      <c r="E1133" s="3" t="s">
        <v>2387</v>
      </c>
      <c r="J1133" s="9" t="s">
        <v>8729</v>
      </c>
      <c r="S1133" s="9">
        <f>21-0</f>
        <v>21</v>
      </c>
      <c r="T1133" s="9">
        <f t="shared" ca="1" si="44"/>
        <v>0</v>
      </c>
      <c r="U1133" s="9">
        <f t="shared" ca="1" si="45"/>
        <v>21</v>
      </c>
      <c r="Z1133" s="9" t="s">
        <v>8757</v>
      </c>
      <c r="AA1133" s="9" t="s">
        <v>3884</v>
      </c>
    </row>
    <row r="1134" spans="1:28" ht="29">
      <c r="A1134" s="3" t="s">
        <v>578</v>
      </c>
      <c r="D1134" s="3" t="s">
        <v>4853</v>
      </c>
      <c r="E1134" s="4" t="s">
        <v>4852</v>
      </c>
      <c r="F1134" t="s">
        <v>3897</v>
      </c>
      <c r="T1134" s="9" t="str">
        <f t="shared" ca="1" si="44"/>
        <v/>
      </c>
      <c r="U1134" s="9" t="str">
        <f t="shared" ca="1" si="45"/>
        <v/>
      </c>
    </row>
    <row r="1135" spans="1:28">
      <c r="A1135" s="3" t="s">
        <v>579</v>
      </c>
      <c r="D1135" s="3" t="s">
        <v>2386</v>
      </c>
      <c r="E1135" s="3" t="s">
        <v>2387</v>
      </c>
      <c r="J1135" s="9" t="s">
        <v>8729</v>
      </c>
      <c r="S1135" s="9">
        <f>21-0</f>
        <v>21</v>
      </c>
      <c r="T1135" s="9">
        <f t="shared" ca="1" si="44"/>
        <v>0</v>
      </c>
      <c r="U1135" s="9">
        <f t="shared" ca="1" si="45"/>
        <v>21</v>
      </c>
      <c r="Z1135" s="9" t="s">
        <v>8757</v>
      </c>
      <c r="AA1135" s="9" t="s">
        <v>3884</v>
      </c>
    </row>
    <row r="1136" spans="1:28">
      <c r="A1136" s="3" t="s">
        <v>580</v>
      </c>
      <c r="D1136" s="3" t="s">
        <v>2052</v>
      </c>
      <c r="E1136" s="3" t="s">
        <v>2053</v>
      </c>
      <c r="J1136" s="9" t="s">
        <v>8731</v>
      </c>
      <c r="T1136" s="9" t="str">
        <f t="shared" ca="1" si="44"/>
        <v/>
      </c>
      <c r="U1136" s="9" t="str">
        <f t="shared" ca="1" si="45"/>
        <v/>
      </c>
      <c r="Z1136" s="9" t="s">
        <v>8757</v>
      </c>
      <c r="AA1136" s="9" t="s">
        <v>3884</v>
      </c>
    </row>
    <row r="1137" spans="1:28">
      <c r="A1137" s="3" t="s">
        <v>581</v>
      </c>
      <c r="D1137" s="3" t="s">
        <v>2838</v>
      </c>
      <c r="E1137" s="3" t="s">
        <v>2839</v>
      </c>
      <c r="J1137" s="9" t="s">
        <v>8729</v>
      </c>
      <c r="S1137" s="9" t="s">
        <v>8739</v>
      </c>
      <c r="T1137" s="9" t="str">
        <f t="shared" ca="1" si="44"/>
        <v/>
      </c>
      <c r="U1137" s="9" t="str">
        <f t="shared" ca="1" si="45"/>
        <v/>
      </c>
      <c r="Y1137" s="9" t="s">
        <v>8735</v>
      </c>
      <c r="Z1137" s="9" t="s">
        <v>8757</v>
      </c>
      <c r="AA1137" s="9" t="s">
        <v>3884</v>
      </c>
    </row>
    <row r="1138" spans="1:28">
      <c r="A1138" s="3" t="s">
        <v>582</v>
      </c>
      <c r="D1138" s="3" t="s">
        <v>2840</v>
      </c>
      <c r="E1138" s="3" t="s">
        <v>2841</v>
      </c>
      <c r="J1138" s="9" t="s">
        <v>8729</v>
      </c>
      <c r="S1138" s="9" t="s">
        <v>8739</v>
      </c>
      <c r="T1138" s="9" t="str">
        <f t="shared" ca="1" si="44"/>
        <v/>
      </c>
      <c r="U1138" s="9" t="str">
        <f t="shared" ca="1" si="45"/>
        <v/>
      </c>
      <c r="Y1138" s="9" t="s">
        <v>8735</v>
      </c>
      <c r="AA1138" s="9" t="s">
        <v>3884</v>
      </c>
    </row>
    <row r="1139" spans="1:28">
      <c r="A1139" s="3" t="s">
        <v>582</v>
      </c>
      <c r="D1139" s="11" t="s">
        <v>4854</v>
      </c>
      <c r="E1139" s="3" t="s">
        <v>4855</v>
      </c>
      <c r="F1139" t="s">
        <v>3890</v>
      </c>
      <c r="J1139" s="9" t="s">
        <v>8731</v>
      </c>
      <c r="T1139" s="9" t="str">
        <f t="shared" ca="1" si="44"/>
        <v/>
      </c>
      <c r="U1139" s="9" t="str">
        <f t="shared" ca="1" si="45"/>
        <v/>
      </c>
    </row>
    <row r="1140" spans="1:28" ht="29">
      <c r="A1140" s="3" t="s">
        <v>583</v>
      </c>
      <c r="D1140" s="3" t="s">
        <v>4857</v>
      </c>
      <c r="E1140" s="3" t="s">
        <v>4858</v>
      </c>
      <c r="J1140" s="9" t="s">
        <v>8729</v>
      </c>
      <c r="S1140" s="9" t="s">
        <v>8739</v>
      </c>
      <c r="T1140" s="9" t="str">
        <f t="shared" ca="1" si="44"/>
        <v/>
      </c>
      <c r="U1140" s="9" t="str">
        <f t="shared" ca="1" si="45"/>
        <v/>
      </c>
      <c r="Y1140" s="9" t="s">
        <v>8735</v>
      </c>
      <c r="Z1140" s="9" t="s">
        <v>8742</v>
      </c>
      <c r="AA1140" s="9" t="s">
        <v>3884</v>
      </c>
    </row>
    <row r="1141" spans="1:28" ht="29">
      <c r="A1141" s="3" t="s">
        <v>583</v>
      </c>
      <c r="D1141" s="3" t="s">
        <v>4859</v>
      </c>
      <c r="E1141" s="3" t="s">
        <v>4856</v>
      </c>
      <c r="J1141" s="9" t="s">
        <v>3889</v>
      </c>
      <c r="K1141" s="9">
        <v>2</v>
      </c>
      <c r="L1141" s="9">
        <v>9</v>
      </c>
      <c r="N1141" s="9" t="s">
        <v>8690</v>
      </c>
      <c r="R1141" s="9">
        <v>336</v>
      </c>
      <c r="T1141" s="9" t="str">
        <f t="shared" ca="1" si="44"/>
        <v/>
      </c>
      <c r="U1141" s="9" t="str">
        <f t="shared" ca="1" si="45"/>
        <v/>
      </c>
    </row>
    <row r="1142" spans="1:28" ht="29">
      <c r="A1142" s="3" t="s">
        <v>583</v>
      </c>
      <c r="D1142" s="3" t="s">
        <v>4860</v>
      </c>
      <c r="E1142" s="3" t="s">
        <v>4861</v>
      </c>
      <c r="J1142" s="9" t="s">
        <v>8729</v>
      </c>
      <c r="S1142" s="9" t="s">
        <v>8739</v>
      </c>
      <c r="T1142" s="9" t="str">
        <f t="shared" ca="1" si="44"/>
        <v/>
      </c>
      <c r="U1142" s="9" t="str">
        <f t="shared" ca="1" si="45"/>
        <v/>
      </c>
      <c r="Z1142" s="9" t="s">
        <v>8757</v>
      </c>
      <c r="AA1142" s="9" t="s">
        <v>3884</v>
      </c>
      <c r="AB1142" s="9" t="s">
        <v>8697</v>
      </c>
    </row>
    <row r="1143" spans="1:28" ht="29">
      <c r="A1143" s="3" t="s">
        <v>584</v>
      </c>
      <c r="D1143" s="3" t="s">
        <v>4862</v>
      </c>
      <c r="E1143" s="3" t="s">
        <v>4863</v>
      </c>
      <c r="I1143" t="s">
        <v>8865</v>
      </c>
      <c r="J1143" s="9" t="s">
        <v>3894</v>
      </c>
      <c r="T1143" s="9" t="str">
        <f t="shared" ca="1" si="44"/>
        <v/>
      </c>
      <c r="U1143" s="9" t="str">
        <f t="shared" ca="1" si="45"/>
        <v/>
      </c>
    </row>
    <row r="1144" spans="1:28">
      <c r="A1144" s="3" t="s">
        <v>585</v>
      </c>
      <c r="D1144" s="3" t="s">
        <v>2061</v>
      </c>
      <c r="E1144" s="3" t="s">
        <v>2842</v>
      </c>
      <c r="H1144" t="s">
        <v>3884</v>
      </c>
      <c r="J1144" s="9" t="s">
        <v>8729</v>
      </c>
      <c r="Q1144" s="9" t="s">
        <v>8685</v>
      </c>
      <c r="S1144" s="9" t="s">
        <v>8730</v>
      </c>
      <c r="T1144" s="9" t="str">
        <f t="shared" ca="1" si="44"/>
        <v/>
      </c>
      <c r="U1144" s="9" t="str">
        <f t="shared" ca="1" si="45"/>
        <v/>
      </c>
      <c r="AB1144" s="9" t="s">
        <v>8688</v>
      </c>
    </row>
    <row r="1145" spans="1:28">
      <c r="A1145" s="3" t="s">
        <v>585</v>
      </c>
      <c r="D1145" s="3" t="s">
        <v>2838</v>
      </c>
      <c r="E1145" s="3" t="s">
        <v>2839</v>
      </c>
      <c r="J1145" s="9" t="s">
        <v>8729</v>
      </c>
      <c r="S1145" s="9" t="s">
        <v>8739</v>
      </c>
      <c r="T1145" s="9" t="str">
        <f t="shared" ca="1" si="44"/>
        <v/>
      </c>
      <c r="U1145" s="9" t="str">
        <f t="shared" ca="1" si="45"/>
        <v/>
      </c>
      <c r="Y1145" s="9" t="s">
        <v>8735</v>
      </c>
      <c r="Z1145" s="9" t="s">
        <v>8757</v>
      </c>
      <c r="AA1145" s="9" t="s">
        <v>3884</v>
      </c>
    </row>
    <row r="1146" spans="1:28">
      <c r="A1146" s="3" t="s">
        <v>586</v>
      </c>
      <c r="D1146" s="3" t="s">
        <v>2843</v>
      </c>
      <c r="E1146" s="3" t="s">
        <v>2844</v>
      </c>
      <c r="J1146" s="9" t="s">
        <v>8731</v>
      </c>
      <c r="T1146" s="9" t="str">
        <f t="shared" ca="1" si="44"/>
        <v/>
      </c>
      <c r="U1146" s="9" t="str">
        <f t="shared" ca="1" si="45"/>
        <v/>
      </c>
      <c r="Z1146" s="9" t="s">
        <v>8833</v>
      </c>
      <c r="AA1146" s="9" t="s">
        <v>3884</v>
      </c>
      <c r="AB1146" s="9" t="s">
        <v>8688</v>
      </c>
    </row>
    <row r="1147" spans="1:28">
      <c r="A1147" s="3" t="s">
        <v>587</v>
      </c>
      <c r="D1147" s="3" t="s">
        <v>2376</v>
      </c>
      <c r="E1147" s="3" t="s">
        <v>2693</v>
      </c>
      <c r="J1147" s="9" t="s">
        <v>8729</v>
      </c>
      <c r="S1147" s="9" t="s">
        <v>8739</v>
      </c>
      <c r="T1147" s="9" t="str">
        <f t="shared" ca="1" si="44"/>
        <v/>
      </c>
      <c r="U1147" s="9" t="str">
        <f t="shared" ca="1" si="45"/>
        <v/>
      </c>
      <c r="Y1147" s="9" t="s">
        <v>8735</v>
      </c>
      <c r="Z1147" s="9" t="s">
        <v>9280</v>
      </c>
      <c r="AA1147" s="9" t="s">
        <v>3884</v>
      </c>
    </row>
    <row r="1148" spans="1:28" ht="29">
      <c r="A1148" s="3" t="s">
        <v>587</v>
      </c>
      <c r="D1148" s="3" t="s">
        <v>4864</v>
      </c>
      <c r="E1148" s="3" t="s">
        <v>4865</v>
      </c>
      <c r="H1148" t="s">
        <v>3884</v>
      </c>
      <c r="J1148" s="9" t="s">
        <v>3885</v>
      </c>
      <c r="K1148" s="9">
        <v>2</v>
      </c>
      <c r="L1148" s="9">
        <v>8</v>
      </c>
      <c r="N1148" s="9" t="s">
        <v>8690</v>
      </c>
      <c r="R1148" s="9">
        <v>106</v>
      </c>
      <c r="T1148" s="9" t="str">
        <f t="shared" ca="1" si="44"/>
        <v/>
      </c>
      <c r="U1148" s="9" t="str">
        <f t="shared" ca="1" si="45"/>
        <v/>
      </c>
    </row>
    <row r="1149" spans="1:28">
      <c r="A1149" s="3" t="s">
        <v>587</v>
      </c>
      <c r="D1149" s="3" t="s">
        <v>2846</v>
      </c>
      <c r="E1149" s="3" t="s">
        <v>2847</v>
      </c>
      <c r="J1149" s="9" t="s">
        <v>8729</v>
      </c>
      <c r="S1149" s="9" t="s">
        <v>8739</v>
      </c>
      <c r="T1149" s="9" t="str">
        <f t="shared" ca="1" si="44"/>
        <v/>
      </c>
      <c r="U1149" s="9" t="str">
        <f t="shared" ca="1" si="45"/>
        <v/>
      </c>
      <c r="Z1149" s="9" t="s">
        <v>8747</v>
      </c>
      <c r="AA1149" s="9" t="s">
        <v>3884</v>
      </c>
      <c r="AB1149" s="9" t="s">
        <v>8697</v>
      </c>
    </row>
    <row r="1150" spans="1:28">
      <c r="A1150" s="3" t="s">
        <v>587</v>
      </c>
      <c r="D1150" s="3" t="s">
        <v>2848</v>
      </c>
      <c r="E1150" s="3" t="s">
        <v>2345</v>
      </c>
      <c r="G1150" t="s">
        <v>3884</v>
      </c>
      <c r="J1150" s="9" t="s">
        <v>8729</v>
      </c>
      <c r="S1150" s="9" t="s">
        <v>8739</v>
      </c>
      <c r="T1150" s="9" t="str">
        <f t="shared" ca="1" si="44"/>
        <v/>
      </c>
      <c r="U1150" s="9" t="str">
        <f t="shared" ca="1" si="45"/>
        <v/>
      </c>
      <c r="AB1150" s="9" t="s">
        <v>8697</v>
      </c>
    </row>
    <row r="1151" spans="1:28">
      <c r="A1151" s="3" t="s">
        <v>588</v>
      </c>
      <c r="D1151" s="3" t="s">
        <v>4866</v>
      </c>
      <c r="E1151" s="3" t="s">
        <v>4867</v>
      </c>
      <c r="H1151" t="s">
        <v>3892</v>
      </c>
      <c r="I1151" t="s">
        <v>2889</v>
      </c>
      <c r="J1151" s="9" t="s">
        <v>8729</v>
      </c>
      <c r="S1151" s="9" t="s">
        <v>8739</v>
      </c>
      <c r="T1151" s="9" t="str">
        <f t="shared" ca="1" si="44"/>
        <v/>
      </c>
      <c r="U1151" s="9" t="str">
        <f t="shared" ca="1" si="45"/>
        <v/>
      </c>
      <c r="Y1151" s="9" t="s">
        <v>8735</v>
      </c>
      <c r="Z1151" s="9" t="s">
        <v>8993</v>
      </c>
      <c r="AA1151" s="9" t="s">
        <v>3884</v>
      </c>
    </row>
    <row r="1152" spans="1:28">
      <c r="A1152" s="3" t="s">
        <v>588</v>
      </c>
      <c r="D1152" s="3" t="s">
        <v>4868</v>
      </c>
      <c r="E1152" s="3" t="s">
        <v>4869</v>
      </c>
      <c r="H1152" t="s">
        <v>3884</v>
      </c>
      <c r="J1152" s="9" t="s">
        <v>8731</v>
      </c>
      <c r="T1152" s="9" t="str">
        <f t="shared" ca="1" si="44"/>
        <v/>
      </c>
      <c r="U1152" s="9" t="str">
        <f t="shared" ca="1" si="45"/>
        <v/>
      </c>
      <c r="AB1152" s="9" t="s">
        <v>8694</v>
      </c>
    </row>
    <row r="1153" spans="1:28">
      <c r="A1153" s="3" t="s">
        <v>589</v>
      </c>
      <c r="D1153" s="3" t="s">
        <v>2849</v>
      </c>
      <c r="E1153" s="3" t="s">
        <v>2849</v>
      </c>
      <c r="F1153" t="s">
        <v>3932</v>
      </c>
      <c r="I1153" t="s">
        <v>2945</v>
      </c>
      <c r="T1153" s="9" t="str">
        <f t="shared" ca="1" si="44"/>
        <v/>
      </c>
      <c r="U1153" s="9" t="str">
        <f t="shared" ca="1" si="45"/>
        <v/>
      </c>
    </row>
    <row r="1154" spans="1:28">
      <c r="A1154" s="3" t="s">
        <v>590</v>
      </c>
      <c r="D1154" s="3" t="s">
        <v>2308</v>
      </c>
      <c r="E1154" s="3" t="s">
        <v>2850</v>
      </c>
      <c r="J1154" s="9" t="s">
        <v>8729</v>
      </c>
      <c r="S1154" s="9" t="s">
        <v>8739</v>
      </c>
      <c r="T1154" s="9" t="str">
        <f t="shared" ca="1" si="44"/>
        <v/>
      </c>
      <c r="U1154" s="9" t="str">
        <f t="shared" ca="1" si="45"/>
        <v/>
      </c>
      <c r="Y1154" s="9" t="s">
        <v>8735</v>
      </c>
      <c r="Z1154" s="9" t="s">
        <v>8742</v>
      </c>
      <c r="AA1154" s="9" t="s">
        <v>3884</v>
      </c>
    </row>
    <row r="1155" spans="1:28">
      <c r="A1155" s="3" t="s">
        <v>590</v>
      </c>
      <c r="D1155" s="3" t="s">
        <v>4870</v>
      </c>
      <c r="E1155" s="3" t="s">
        <v>4871</v>
      </c>
      <c r="J1155" s="9" t="s">
        <v>3885</v>
      </c>
      <c r="K1155" s="9">
        <v>1</v>
      </c>
      <c r="L1155" s="9">
        <v>2</v>
      </c>
      <c r="M1155" s="9" t="s">
        <v>8689</v>
      </c>
      <c r="N1155" s="9" t="s">
        <v>8730</v>
      </c>
      <c r="R1155" s="9">
        <v>10929</v>
      </c>
      <c r="T1155" s="9" t="str">
        <f t="shared" ca="1" si="44"/>
        <v/>
      </c>
      <c r="U1155" s="9" t="str">
        <f t="shared" ca="1" si="45"/>
        <v/>
      </c>
    </row>
    <row r="1156" spans="1:28">
      <c r="A1156" s="3" t="s">
        <v>591</v>
      </c>
      <c r="D1156" s="3" t="s">
        <v>4873</v>
      </c>
      <c r="E1156" s="3" t="s">
        <v>4874</v>
      </c>
      <c r="J1156" s="9" t="s">
        <v>8729</v>
      </c>
      <c r="S1156" s="9">
        <f>9-0</f>
        <v>9</v>
      </c>
      <c r="T1156" s="9">
        <f t="shared" ca="1" si="44"/>
        <v>0</v>
      </c>
      <c r="U1156" s="9">
        <f t="shared" ca="1" si="45"/>
        <v>9</v>
      </c>
    </row>
    <row r="1157" spans="1:28">
      <c r="A1157" s="3" t="s">
        <v>591</v>
      </c>
      <c r="D1157" s="3" t="s">
        <v>4872</v>
      </c>
      <c r="E1157" s="3" t="s">
        <v>4875</v>
      </c>
      <c r="H1157" t="s">
        <v>3884</v>
      </c>
      <c r="J1157" s="9" t="s">
        <v>3885</v>
      </c>
      <c r="K1157" s="9">
        <v>1</v>
      </c>
      <c r="L1157" s="9">
        <v>1</v>
      </c>
      <c r="M1157" s="9" t="s">
        <v>8689</v>
      </c>
      <c r="N1157" s="9" t="s">
        <v>8730</v>
      </c>
      <c r="R1157" s="9">
        <v>10929</v>
      </c>
      <c r="T1157" s="9" t="str">
        <f t="shared" ca="1" si="44"/>
        <v/>
      </c>
      <c r="U1157" s="9" t="str">
        <f t="shared" ca="1" si="45"/>
        <v/>
      </c>
    </row>
    <row r="1158" spans="1:28">
      <c r="A1158" s="3" t="s">
        <v>592</v>
      </c>
      <c r="D1158" s="3" t="s">
        <v>2654</v>
      </c>
      <c r="E1158" s="3" t="s">
        <v>2655</v>
      </c>
      <c r="J1158" s="9" t="s">
        <v>8729</v>
      </c>
      <c r="S1158" s="9" t="s">
        <v>8739</v>
      </c>
      <c r="T1158" s="9" t="str">
        <f t="shared" ref="T1158:T1221" ca="1" si="46">IF(ISNUMBER(S1158),VALUE(MID(_xlfn.FORMULATEXT(S1158),SEARCH("-",_xlfn.FORMULATEXT(S1158))+1,LEN(_xlfn.FORMULATEXT(S1158))-SEARCH("-",_xlfn.FORMULATEXT(S1158)))), "")</f>
        <v/>
      </c>
      <c r="U1158" s="9" t="str">
        <f t="shared" ref="U1158:U1221" ca="1" si="47">IF(ISNUMBER(S1158), VALUE(MID(_xlfn.FORMULATEXT(S1158), 2, SEARCH("-", _xlfn.FORMULATEXT(S1158)) - 2)), "")</f>
        <v/>
      </c>
      <c r="Z1158" s="9" t="s">
        <v>8742</v>
      </c>
      <c r="AA1158" s="9" t="s">
        <v>3884</v>
      </c>
      <c r="AB1158" s="9" t="s">
        <v>8697</v>
      </c>
    </row>
    <row r="1159" spans="1:28">
      <c r="A1159" s="3" t="s">
        <v>593</v>
      </c>
      <c r="D1159" s="4" t="s">
        <v>4876</v>
      </c>
      <c r="E1159" s="3" t="s">
        <v>4877</v>
      </c>
      <c r="F1159" t="s">
        <v>3883</v>
      </c>
      <c r="T1159" s="9" t="str">
        <f t="shared" ca="1" si="46"/>
        <v/>
      </c>
      <c r="U1159" s="9" t="str">
        <f t="shared" ca="1" si="47"/>
        <v/>
      </c>
    </row>
    <row r="1160" spans="1:28">
      <c r="A1160" s="3" t="s">
        <v>594</v>
      </c>
      <c r="D1160" s="3" t="s">
        <v>2851</v>
      </c>
      <c r="E1160" s="3" t="s">
        <v>2852</v>
      </c>
      <c r="J1160" s="9" t="s">
        <v>8729</v>
      </c>
      <c r="S1160" s="9" t="s">
        <v>8739</v>
      </c>
      <c r="T1160" s="9" t="str">
        <f t="shared" ca="1" si="46"/>
        <v/>
      </c>
      <c r="U1160" s="9" t="str">
        <f t="shared" ca="1" si="47"/>
        <v/>
      </c>
      <c r="Z1160" s="9" t="s">
        <v>8742</v>
      </c>
      <c r="AA1160" s="9" t="s">
        <v>3884</v>
      </c>
      <c r="AB1160" s="9" t="s">
        <v>8697</v>
      </c>
    </row>
    <row r="1161" spans="1:28">
      <c r="A1161" s="3" t="s">
        <v>594</v>
      </c>
      <c r="D1161" s="3" t="s">
        <v>4878</v>
      </c>
      <c r="E1161" s="3" t="s">
        <v>4879</v>
      </c>
      <c r="J1161" s="9" t="s">
        <v>3889</v>
      </c>
      <c r="K1161" s="9">
        <v>1</v>
      </c>
      <c r="L1161" s="9">
        <v>2</v>
      </c>
      <c r="M1161" s="9" t="s">
        <v>8689</v>
      </c>
      <c r="N1161" s="9" t="s">
        <v>8730</v>
      </c>
      <c r="R1161" s="9">
        <v>10929</v>
      </c>
      <c r="T1161" s="9" t="str">
        <f t="shared" ca="1" si="46"/>
        <v/>
      </c>
      <c r="U1161" s="9" t="str">
        <f t="shared" ca="1" si="47"/>
        <v/>
      </c>
    </row>
    <row r="1162" spans="1:28">
      <c r="A1162" s="3" t="s">
        <v>594</v>
      </c>
      <c r="D1162" s="3" t="s">
        <v>4880</v>
      </c>
      <c r="E1162" s="3" t="s">
        <v>4881</v>
      </c>
      <c r="J1162" s="9" t="s">
        <v>8731</v>
      </c>
      <c r="T1162" s="9" t="str">
        <f t="shared" ca="1" si="46"/>
        <v/>
      </c>
      <c r="U1162" s="9" t="str">
        <f t="shared" ca="1" si="47"/>
        <v/>
      </c>
    </row>
    <row r="1163" spans="1:28">
      <c r="A1163" s="3" t="s">
        <v>594</v>
      </c>
      <c r="D1163" s="3" t="s">
        <v>2853</v>
      </c>
      <c r="E1163" s="3" t="s">
        <v>2854</v>
      </c>
      <c r="J1163" s="9" t="s">
        <v>8731</v>
      </c>
      <c r="T1163" s="9" t="str">
        <f t="shared" ca="1" si="46"/>
        <v/>
      </c>
      <c r="U1163" s="9" t="str">
        <f t="shared" ca="1" si="47"/>
        <v/>
      </c>
      <c r="Z1163" s="9" t="s">
        <v>8833</v>
      </c>
      <c r="AA1163" s="9" t="s">
        <v>3884</v>
      </c>
      <c r="AB1163" s="9" t="s">
        <v>8688</v>
      </c>
    </row>
    <row r="1164" spans="1:28">
      <c r="A1164" s="3" t="s">
        <v>594</v>
      </c>
      <c r="D1164" s="3" t="s">
        <v>2855</v>
      </c>
      <c r="E1164" s="3" t="s">
        <v>2856</v>
      </c>
      <c r="G1164" t="s">
        <v>3887</v>
      </c>
      <c r="I1164" t="s">
        <v>4882</v>
      </c>
      <c r="J1164" s="9" t="s">
        <v>8732</v>
      </c>
      <c r="S1164" s="9" t="s">
        <v>8739</v>
      </c>
      <c r="T1164" s="9" t="str">
        <f t="shared" ca="1" si="46"/>
        <v/>
      </c>
      <c r="U1164" s="9" t="str">
        <f t="shared" ca="1" si="47"/>
        <v/>
      </c>
      <c r="Z1164" s="9" t="s">
        <v>9032</v>
      </c>
      <c r="AA1164" s="9" t="s">
        <v>3884</v>
      </c>
      <c r="AB1164" s="9" t="s">
        <v>8697</v>
      </c>
    </row>
    <row r="1165" spans="1:28">
      <c r="A1165" s="3" t="s">
        <v>594</v>
      </c>
      <c r="D1165" s="3" t="s">
        <v>2857</v>
      </c>
      <c r="E1165" s="3" t="s">
        <v>2617</v>
      </c>
      <c r="J1165" s="9" t="s">
        <v>8729</v>
      </c>
      <c r="S1165" s="9" t="s">
        <v>8739</v>
      </c>
      <c r="T1165" s="9" t="str">
        <f t="shared" ca="1" si="46"/>
        <v/>
      </c>
      <c r="U1165" s="9" t="str">
        <f t="shared" ca="1" si="47"/>
        <v/>
      </c>
      <c r="AB1165" s="9" t="s">
        <v>8697</v>
      </c>
    </row>
    <row r="1166" spans="1:28" ht="29">
      <c r="A1166" s="3" t="s">
        <v>595</v>
      </c>
      <c r="D1166" s="3" t="s">
        <v>4883</v>
      </c>
      <c r="E1166" s="3" t="s">
        <v>4884</v>
      </c>
      <c r="H1166" t="s">
        <v>3884</v>
      </c>
      <c r="J1166" s="9" t="s">
        <v>3885</v>
      </c>
      <c r="K1166" s="9">
        <v>1</v>
      </c>
      <c r="L1166" s="9">
        <v>3</v>
      </c>
      <c r="M1166" s="9" t="s">
        <v>8698</v>
      </c>
      <c r="N1166" s="9" t="s">
        <v>8684</v>
      </c>
      <c r="O1166" s="9" t="s">
        <v>8777</v>
      </c>
      <c r="P1166" s="10" t="s">
        <v>8778</v>
      </c>
      <c r="Q1166" s="9" t="s">
        <v>8685</v>
      </c>
      <c r="R1166" s="9">
        <v>9418</v>
      </c>
      <c r="T1166" s="9" t="str">
        <f t="shared" ca="1" si="46"/>
        <v/>
      </c>
      <c r="U1166" s="9" t="str">
        <f t="shared" ca="1" si="47"/>
        <v/>
      </c>
      <c r="AB1166" s="9" t="s">
        <v>8694</v>
      </c>
    </row>
    <row r="1167" spans="1:28">
      <c r="A1167" s="3" t="s">
        <v>595</v>
      </c>
      <c r="D1167" s="3" t="s">
        <v>2858</v>
      </c>
      <c r="E1167" s="3" t="s">
        <v>2859</v>
      </c>
      <c r="J1167" s="9" t="s">
        <v>8731</v>
      </c>
      <c r="T1167" s="9" t="str">
        <f t="shared" ca="1" si="46"/>
        <v/>
      </c>
      <c r="U1167" s="9" t="str">
        <f t="shared" ca="1" si="47"/>
        <v/>
      </c>
      <c r="Z1167" s="9" t="s">
        <v>8742</v>
      </c>
      <c r="AA1167" s="9" t="s">
        <v>3884</v>
      </c>
      <c r="AB1167" s="9" t="s">
        <v>8697</v>
      </c>
    </row>
    <row r="1168" spans="1:28">
      <c r="A1168" s="3" t="s">
        <v>595</v>
      </c>
      <c r="D1168" s="3" t="s">
        <v>2860</v>
      </c>
      <c r="E1168" s="3" t="s">
        <v>2860</v>
      </c>
      <c r="F1168" t="s">
        <v>3932</v>
      </c>
      <c r="T1168" s="9" t="str">
        <f t="shared" ca="1" si="46"/>
        <v/>
      </c>
      <c r="U1168" s="9" t="str">
        <f t="shared" ca="1" si="47"/>
        <v/>
      </c>
    </row>
    <row r="1169" spans="1:28">
      <c r="A1169" s="3" t="s">
        <v>596</v>
      </c>
      <c r="D1169" s="3" t="s">
        <v>4885</v>
      </c>
      <c r="E1169" s="3" t="s">
        <v>4885</v>
      </c>
      <c r="F1169" t="s">
        <v>3932</v>
      </c>
      <c r="T1169" s="9" t="str">
        <f t="shared" ca="1" si="46"/>
        <v/>
      </c>
      <c r="U1169" s="9" t="str">
        <f t="shared" ca="1" si="47"/>
        <v/>
      </c>
    </row>
    <row r="1170" spans="1:28">
      <c r="A1170" s="3" t="s">
        <v>597</v>
      </c>
      <c r="D1170" s="3" t="s">
        <v>2211</v>
      </c>
      <c r="E1170" s="3" t="s">
        <v>2336</v>
      </c>
      <c r="J1170" s="9" t="s">
        <v>8731</v>
      </c>
      <c r="T1170" s="9" t="str">
        <f t="shared" ca="1" si="46"/>
        <v/>
      </c>
      <c r="U1170" s="9" t="str">
        <f t="shared" ca="1" si="47"/>
        <v/>
      </c>
    </row>
    <row r="1171" spans="1:28">
      <c r="A1171" s="3" t="s">
        <v>598</v>
      </c>
      <c r="D1171" t="s">
        <v>4886</v>
      </c>
      <c r="E1171" t="s">
        <v>4887</v>
      </c>
      <c r="H1171" t="s">
        <v>3884</v>
      </c>
      <c r="J1171" s="9" t="s">
        <v>3885</v>
      </c>
      <c r="K1171" s="9">
        <v>1</v>
      </c>
      <c r="L1171" s="9">
        <v>2</v>
      </c>
      <c r="M1171" s="9" t="s">
        <v>8689</v>
      </c>
      <c r="N1171" s="9" t="s">
        <v>8730</v>
      </c>
      <c r="R1171" s="9">
        <v>10929</v>
      </c>
      <c r="T1171" s="9" t="str">
        <f t="shared" ca="1" si="46"/>
        <v/>
      </c>
      <c r="U1171" s="9" t="str">
        <f t="shared" ca="1" si="47"/>
        <v/>
      </c>
    </row>
    <row r="1172" spans="1:28">
      <c r="A1172" s="3" t="s">
        <v>598</v>
      </c>
      <c r="D1172" s="3" t="s">
        <v>2861</v>
      </c>
      <c r="E1172" s="3" t="s">
        <v>2862</v>
      </c>
      <c r="J1172" s="9" t="s">
        <v>8731</v>
      </c>
      <c r="T1172" s="9" t="str">
        <f t="shared" ca="1" si="46"/>
        <v/>
      </c>
      <c r="U1172" s="9" t="str">
        <f t="shared" ca="1" si="47"/>
        <v/>
      </c>
      <c r="AB1172" s="9" t="s">
        <v>8688</v>
      </c>
    </row>
    <row r="1173" spans="1:28">
      <c r="A1173" s="3" t="s">
        <v>599</v>
      </c>
      <c r="D1173" s="3" t="s">
        <v>4888</v>
      </c>
      <c r="E1173" s="3" t="s">
        <v>2863</v>
      </c>
      <c r="H1173" t="s">
        <v>3884</v>
      </c>
      <c r="J1173" s="9" t="s">
        <v>8729</v>
      </c>
      <c r="S1173" s="9">
        <f>0-1</f>
        <v>-1</v>
      </c>
      <c r="T1173" s="9">
        <f t="shared" ca="1" si="46"/>
        <v>1</v>
      </c>
      <c r="U1173" s="9">
        <f t="shared" ca="1" si="47"/>
        <v>0</v>
      </c>
      <c r="Z1173" s="9" t="s">
        <v>8741</v>
      </c>
      <c r="AA1173" s="9" t="s">
        <v>3884</v>
      </c>
    </row>
    <row r="1174" spans="1:28">
      <c r="A1174" s="3" t="s">
        <v>599</v>
      </c>
      <c r="D1174" s="4" t="s">
        <v>4890</v>
      </c>
      <c r="E1174" s="3" t="s">
        <v>4889</v>
      </c>
      <c r="F1174" t="s">
        <v>3883</v>
      </c>
      <c r="J1174" s="9" t="s">
        <v>3889</v>
      </c>
      <c r="K1174" s="9">
        <v>1</v>
      </c>
      <c r="L1174" s="9">
        <v>1</v>
      </c>
      <c r="M1174" s="9" t="s">
        <v>8689</v>
      </c>
      <c r="N1174" s="9" t="s">
        <v>8730</v>
      </c>
      <c r="R1174" s="9">
        <v>10929</v>
      </c>
      <c r="T1174" s="9" t="str">
        <f t="shared" ca="1" si="46"/>
        <v/>
      </c>
      <c r="U1174" s="9" t="str">
        <f t="shared" ca="1" si="47"/>
        <v/>
      </c>
    </row>
    <row r="1175" spans="1:28" ht="29">
      <c r="A1175" s="3" t="s">
        <v>599</v>
      </c>
      <c r="D1175" s="3" t="s">
        <v>4891</v>
      </c>
      <c r="E1175" s="3" t="s">
        <v>4892</v>
      </c>
      <c r="J1175" s="9" t="s">
        <v>8729</v>
      </c>
      <c r="S1175" s="9" t="s">
        <v>8739</v>
      </c>
      <c r="T1175" s="9" t="str">
        <f t="shared" ca="1" si="46"/>
        <v/>
      </c>
      <c r="U1175" s="9" t="str">
        <f t="shared" ca="1" si="47"/>
        <v/>
      </c>
      <c r="AB1175" s="9" t="s">
        <v>8697</v>
      </c>
    </row>
    <row r="1176" spans="1:28" ht="29">
      <c r="A1176" s="3" t="s">
        <v>599</v>
      </c>
      <c r="D1176" s="3" t="s">
        <v>4893</v>
      </c>
      <c r="E1176" s="3" t="s">
        <v>4894</v>
      </c>
      <c r="H1176" t="s">
        <v>3884</v>
      </c>
      <c r="I1176" t="s">
        <v>8994</v>
      </c>
      <c r="J1176" s="9" t="s">
        <v>8729</v>
      </c>
      <c r="S1176" s="9">
        <f>645-43</f>
        <v>602</v>
      </c>
      <c r="T1176" s="9">
        <f t="shared" ca="1" si="46"/>
        <v>43</v>
      </c>
      <c r="U1176" s="9">
        <f t="shared" ca="1" si="47"/>
        <v>645</v>
      </c>
    </row>
    <row r="1177" spans="1:28">
      <c r="A1177" s="3" t="s">
        <v>599</v>
      </c>
      <c r="D1177" s="3" t="s">
        <v>2864</v>
      </c>
      <c r="E1177" s="3" t="s">
        <v>2865</v>
      </c>
      <c r="J1177" s="9" t="s">
        <v>8729</v>
      </c>
      <c r="S1177" s="9">
        <f xml:space="preserve"> 50-128</f>
        <v>-78</v>
      </c>
      <c r="T1177" s="9">
        <f t="shared" ca="1" si="46"/>
        <v>128</v>
      </c>
      <c r="U1177" s="9">
        <f t="shared" ca="1" si="47"/>
        <v>50</v>
      </c>
    </row>
    <row r="1178" spans="1:28">
      <c r="A1178" s="3" t="s">
        <v>600</v>
      </c>
      <c r="D1178" s="3" t="s">
        <v>2866</v>
      </c>
      <c r="E1178" s="3" t="s">
        <v>2867</v>
      </c>
      <c r="J1178" s="9" t="s">
        <v>8732</v>
      </c>
      <c r="S1178" s="9" t="s">
        <v>8739</v>
      </c>
      <c r="T1178" s="9" t="str">
        <f t="shared" ca="1" si="46"/>
        <v/>
      </c>
      <c r="U1178" s="9" t="str">
        <f t="shared" ca="1" si="47"/>
        <v/>
      </c>
      <c r="Z1178" s="9" t="s">
        <v>8993</v>
      </c>
      <c r="AA1178" s="9" t="s">
        <v>3884</v>
      </c>
      <c r="AB1178" s="9" t="s">
        <v>8688</v>
      </c>
    </row>
    <row r="1179" spans="1:28">
      <c r="A1179" s="3" t="s">
        <v>601</v>
      </c>
      <c r="D1179" s="3" t="s">
        <v>2868</v>
      </c>
      <c r="E1179" s="3" t="s">
        <v>2869</v>
      </c>
      <c r="J1179" s="9" t="s">
        <v>8731</v>
      </c>
      <c r="T1179" s="9" t="str">
        <f t="shared" ca="1" si="46"/>
        <v/>
      </c>
      <c r="U1179" s="9" t="str">
        <f t="shared" ca="1" si="47"/>
        <v/>
      </c>
      <c r="Z1179" s="9" t="s">
        <v>8742</v>
      </c>
      <c r="AA1179" s="9" t="s">
        <v>3884</v>
      </c>
      <c r="AB1179" s="9" t="s">
        <v>8697</v>
      </c>
    </row>
    <row r="1180" spans="1:28" ht="29">
      <c r="A1180" s="3" t="s">
        <v>601</v>
      </c>
      <c r="D1180" s="3" t="s">
        <v>4895</v>
      </c>
      <c r="E1180" s="3" t="s">
        <v>4896</v>
      </c>
      <c r="J1180" s="9" t="s">
        <v>8729</v>
      </c>
      <c r="S1180" s="9">
        <f>872-78</f>
        <v>794</v>
      </c>
      <c r="T1180" s="9">
        <f t="shared" ca="1" si="46"/>
        <v>78</v>
      </c>
      <c r="U1180" s="9">
        <f t="shared" ca="1" si="47"/>
        <v>872</v>
      </c>
    </row>
    <row r="1181" spans="1:28">
      <c r="A1181" s="3" t="s">
        <v>602</v>
      </c>
      <c r="D1181" s="3" t="s">
        <v>4897</v>
      </c>
      <c r="E1181" s="3" t="s">
        <v>4898</v>
      </c>
      <c r="J1181" s="9" t="s">
        <v>8731</v>
      </c>
      <c r="T1181" s="9" t="str">
        <f t="shared" ca="1" si="46"/>
        <v/>
      </c>
      <c r="U1181" s="9" t="str">
        <f t="shared" ca="1" si="47"/>
        <v/>
      </c>
    </row>
    <row r="1182" spans="1:28">
      <c r="A1182" s="3" t="s">
        <v>603</v>
      </c>
      <c r="D1182" s="3" t="s">
        <v>4899</v>
      </c>
      <c r="E1182" s="3" t="s">
        <v>4900</v>
      </c>
      <c r="J1182" s="9" t="s">
        <v>3889</v>
      </c>
      <c r="K1182" s="9">
        <v>1</v>
      </c>
      <c r="L1182" s="9">
        <v>3</v>
      </c>
      <c r="M1182" s="9" t="s">
        <v>8689</v>
      </c>
      <c r="N1182" s="9" t="s">
        <v>8690</v>
      </c>
      <c r="R1182" s="9">
        <v>10929</v>
      </c>
      <c r="T1182" s="9" t="str">
        <f t="shared" ca="1" si="46"/>
        <v/>
      </c>
      <c r="U1182" s="9" t="str">
        <f t="shared" ca="1" si="47"/>
        <v/>
      </c>
    </row>
    <row r="1183" spans="1:28" ht="29">
      <c r="A1183" s="3" t="s">
        <v>604</v>
      </c>
      <c r="D1183" s="3" t="s">
        <v>4901</v>
      </c>
      <c r="E1183" s="3" t="s">
        <v>4902</v>
      </c>
      <c r="H1183" t="s">
        <v>3884</v>
      </c>
      <c r="J1183" s="9" t="s">
        <v>3885</v>
      </c>
      <c r="K1183" s="9">
        <v>1</v>
      </c>
      <c r="L1183" s="9">
        <v>3</v>
      </c>
      <c r="M1183" s="9" t="s">
        <v>8698</v>
      </c>
      <c r="N1183" s="9" t="s">
        <v>8690</v>
      </c>
      <c r="R1183" s="9">
        <v>9418</v>
      </c>
      <c r="T1183" s="9" t="str">
        <f t="shared" ca="1" si="46"/>
        <v/>
      </c>
      <c r="U1183" s="9" t="str">
        <f t="shared" ca="1" si="47"/>
        <v/>
      </c>
    </row>
    <row r="1184" spans="1:28">
      <c r="A1184" s="3" t="s">
        <v>605</v>
      </c>
      <c r="D1184" s="3" t="s">
        <v>2870</v>
      </c>
      <c r="E1184" s="3" t="s">
        <v>2871</v>
      </c>
      <c r="J1184" s="9" t="s">
        <v>8729</v>
      </c>
      <c r="S1184" s="9">
        <f>2-0</f>
        <v>2</v>
      </c>
      <c r="T1184" s="9">
        <f t="shared" ca="1" si="46"/>
        <v>0</v>
      </c>
      <c r="U1184" s="9">
        <f t="shared" ca="1" si="47"/>
        <v>2</v>
      </c>
      <c r="Z1184" s="9" t="s">
        <v>8747</v>
      </c>
      <c r="AA1184" s="9" t="s">
        <v>3884</v>
      </c>
    </row>
    <row r="1185" spans="1:28" ht="29">
      <c r="A1185" s="3" t="s">
        <v>605</v>
      </c>
      <c r="D1185" s="3" t="s">
        <v>4903</v>
      </c>
      <c r="E1185" s="3" t="s">
        <v>4904</v>
      </c>
      <c r="J1185" s="9" t="s">
        <v>3885</v>
      </c>
      <c r="K1185" s="9">
        <v>1</v>
      </c>
      <c r="L1185" s="9">
        <v>2</v>
      </c>
      <c r="M1185" s="9" t="s">
        <v>8707</v>
      </c>
      <c r="N1185" s="9" t="s">
        <v>8730</v>
      </c>
      <c r="R1185" s="9">
        <v>1942</v>
      </c>
      <c r="T1185" s="9" t="str">
        <f t="shared" ca="1" si="46"/>
        <v/>
      </c>
      <c r="U1185" s="9" t="str">
        <f t="shared" ca="1" si="47"/>
        <v/>
      </c>
    </row>
    <row r="1186" spans="1:28">
      <c r="A1186" s="3" t="s">
        <v>606</v>
      </c>
      <c r="D1186" s="3" t="s">
        <v>4905</v>
      </c>
      <c r="E1186" s="3" t="s">
        <v>4906</v>
      </c>
      <c r="H1186" t="s">
        <v>3884</v>
      </c>
      <c r="J1186" s="9" t="s">
        <v>8729</v>
      </c>
      <c r="Q1186" s="9" t="s">
        <v>8685</v>
      </c>
      <c r="S1186" s="9" t="s">
        <v>8739</v>
      </c>
      <c r="T1186" s="9" t="str">
        <f t="shared" ca="1" si="46"/>
        <v/>
      </c>
      <c r="U1186" s="9" t="str">
        <f t="shared" ca="1" si="47"/>
        <v/>
      </c>
      <c r="AB1186" s="9" t="s">
        <v>8688</v>
      </c>
    </row>
    <row r="1187" spans="1:28">
      <c r="A1187" s="3" t="s">
        <v>607</v>
      </c>
      <c r="D1187" s="3" t="s">
        <v>2872</v>
      </c>
      <c r="E1187" s="3" t="s">
        <v>2873</v>
      </c>
      <c r="J1187" s="9" t="s">
        <v>8729</v>
      </c>
      <c r="S1187" s="9" t="s">
        <v>8739</v>
      </c>
      <c r="T1187" s="9" t="str">
        <f t="shared" ca="1" si="46"/>
        <v/>
      </c>
      <c r="U1187" s="9" t="str">
        <f t="shared" ca="1" si="47"/>
        <v/>
      </c>
      <c r="Y1187" s="9" t="s">
        <v>8735</v>
      </c>
      <c r="AA1187" s="9" t="s">
        <v>3884</v>
      </c>
    </row>
    <row r="1188" spans="1:28">
      <c r="A1188" s="3" t="s">
        <v>608</v>
      </c>
      <c r="D1188" s="11" t="s">
        <v>2874</v>
      </c>
      <c r="E1188" s="3" t="s">
        <v>2875</v>
      </c>
      <c r="F1188" t="s">
        <v>3890</v>
      </c>
      <c r="J1188" s="9" t="s">
        <v>8729</v>
      </c>
      <c r="S1188" s="9" t="s">
        <v>8739</v>
      </c>
      <c r="T1188" s="9" t="str">
        <f t="shared" ca="1" si="46"/>
        <v/>
      </c>
      <c r="U1188" s="9" t="str">
        <f t="shared" ca="1" si="47"/>
        <v/>
      </c>
      <c r="AB1188" s="9" t="s">
        <v>8697</v>
      </c>
    </row>
    <row r="1189" spans="1:28">
      <c r="A1189" s="3" t="s">
        <v>608</v>
      </c>
      <c r="D1189" s="3" t="s">
        <v>2876</v>
      </c>
      <c r="E1189" s="3" t="s">
        <v>2877</v>
      </c>
      <c r="J1189" s="9" t="s">
        <v>8729</v>
      </c>
      <c r="S1189" s="9" t="s">
        <v>8739</v>
      </c>
      <c r="T1189" s="9" t="str">
        <f t="shared" ca="1" si="46"/>
        <v/>
      </c>
      <c r="U1189" s="9" t="str">
        <f t="shared" ca="1" si="47"/>
        <v/>
      </c>
      <c r="Y1189" s="9" t="s">
        <v>8735</v>
      </c>
      <c r="Z1189" s="9" t="s">
        <v>8742</v>
      </c>
      <c r="AA1189" s="9" t="s">
        <v>3884</v>
      </c>
    </row>
    <row r="1190" spans="1:28">
      <c r="A1190" s="3" t="s">
        <v>608</v>
      </c>
      <c r="D1190" s="3" t="s">
        <v>2212</v>
      </c>
      <c r="E1190" s="3" t="s">
        <v>2878</v>
      </c>
      <c r="H1190" t="s">
        <v>3884</v>
      </c>
      <c r="J1190" s="9" t="s">
        <v>8731</v>
      </c>
      <c r="T1190" s="9" t="str">
        <f t="shared" ca="1" si="46"/>
        <v/>
      </c>
      <c r="U1190" s="9" t="str">
        <f t="shared" ca="1" si="47"/>
        <v/>
      </c>
      <c r="AB1190" s="9" t="s">
        <v>8688</v>
      </c>
    </row>
    <row r="1191" spans="1:28">
      <c r="A1191" s="3" t="s">
        <v>609</v>
      </c>
      <c r="D1191" s="3" t="s">
        <v>2879</v>
      </c>
      <c r="E1191" s="3" t="s">
        <v>2880</v>
      </c>
      <c r="J1191" s="9" t="s">
        <v>8729</v>
      </c>
      <c r="S1191" s="9" t="s">
        <v>8739</v>
      </c>
      <c r="T1191" s="9" t="str">
        <f t="shared" ca="1" si="46"/>
        <v/>
      </c>
      <c r="U1191" s="9" t="str">
        <f t="shared" ca="1" si="47"/>
        <v/>
      </c>
      <c r="Y1191" s="9" t="s">
        <v>8735</v>
      </c>
      <c r="Z1191" s="9" t="s">
        <v>9285</v>
      </c>
      <c r="AA1191" s="9" t="s">
        <v>3884</v>
      </c>
    </row>
    <row r="1192" spans="1:28">
      <c r="A1192" s="3" t="s">
        <v>610</v>
      </c>
      <c r="D1192" s="3" t="s">
        <v>2881</v>
      </c>
      <c r="E1192" s="3" t="s">
        <v>2882</v>
      </c>
      <c r="J1192" s="9" t="s">
        <v>8729</v>
      </c>
      <c r="S1192" s="9" t="s">
        <v>8739</v>
      </c>
      <c r="T1192" s="9" t="str">
        <f t="shared" ca="1" si="46"/>
        <v/>
      </c>
      <c r="U1192" s="9" t="str">
        <f t="shared" ca="1" si="47"/>
        <v/>
      </c>
      <c r="Y1192" s="9" t="s">
        <v>8735</v>
      </c>
      <c r="Z1192" s="9" t="s">
        <v>8742</v>
      </c>
      <c r="AA1192" s="9" t="s">
        <v>3884</v>
      </c>
    </row>
    <row r="1193" spans="1:28" ht="43.5">
      <c r="A1193" s="3" t="s">
        <v>611</v>
      </c>
      <c r="D1193" s="3" t="s">
        <v>4907</v>
      </c>
      <c r="E1193" s="3" t="s">
        <v>4909</v>
      </c>
      <c r="H1193" t="s">
        <v>3884</v>
      </c>
      <c r="J1193" s="9" t="s">
        <v>3885</v>
      </c>
      <c r="K1193" s="9">
        <v>1</v>
      </c>
      <c r="L1193" s="9">
        <v>2</v>
      </c>
      <c r="M1193" s="9" t="s">
        <v>8705</v>
      </c>
      <c r="N1193" s="9" t="s">
        <v>8730</v>
      </c>
      <c r="R1193" s="9">
        <v>615</v>
      </c>
      <c r="T1193" s="9" t="str">
        <f t="shared" ca="1" si="46"/>
        <v/>
      </c>
      <c r="U1193" s="9" t="str">
        <f t="shared" ca="1" si="47"/>
        <v/>
      </c>
    </row>
    <row r="1194" spans="1:28" ht="43.5">
      <c r="A1194" s="3" t="s">
        <v>611</v>
      </c>
      <c r="D1194" s="3" t="s">
        <v>4910</v>
      </c>
      <c r="E1194" s="3" t="s">
        <v>4911</v>
      </c>
      <c r="H1194" t="s">
        <v>3884</v>
      </c>
      <c r="J1194" s="9" t="s">
        <v>8729</v>
      </c>
      <c r="S1194" s="9">
        <f>655-336</f>
        <v>319</v>
      </c>
      <c r="T1194" s="9">
        <f t="shared" ca="1" si="46"/>
        <v>336</v>
      </c>
      <c r="U1194" s="9">
        <f t="shared" ca="1" si="47"/>
        <v>655</v>
      </c>
      <c r="AB1194" s="9" t="s">
        <v>8694</v>
      </c>
    </row>
    <row r="1195" spans="1:28" ht="43.5">
      <c r="A1195" s="3" t="s">
        <v>611</v>
      </c>
      <c r="D1195" s="4" t="s">
        <v>4912</v>
      </c>
      <c r="E1195" s="3" t="s">
        <v>4908</v>
      </c>
      <c r="F1195" t="s">
        <v>3883</v>
      </c>
      <c r="T1195" s="9" t="str">
        <f t="shared" ca="1" si="46"/>
        <v/>
      </c>
      <c r="U1195" s="9" t="str">
        <f t="shared" ca="1" si="47"/>
        <v/>
      </c>
    </row>
    <row r="1196" spans="1:28" ht="43.5">
      <c r="A1196" s="3" t="s">
        <v>611</v>
      </c>
      <c r="D1196" s="3" t="s">
        <v>4907</v>
      </c>
      <c r="E1196" s="3" t="s">
        <v>4913</v>
      </c>
      <c r="H1196" t="s">
        <v>3884</v>
      </c>
      <c r="J1196" s="9" t="s">
        <v>3885</v>
      </c>
      <c r="K1196" s="9">
        <v>1</v>
      </c>
      <c r="L1196" s="9">
        <v>5</v>
      </c>
      <c r="M1196" s="9" t="s">
        <v>8703</v>
      </c>
      <c r="N1196" s="9" t="s">
        <v>8690</v>
      </c>
      <c r="R1196" s="9">
        <v>336</v>
      </c>
      <c r="T1196" s="9" t="str">
        <f t="shared" ca="1" si="46"/>
        <v/>
      </c>
      <c r="U1196" s="9" t="str">
        <f t="shared" ca="1" si="47"/>
        <v/>
      </c>
      <c r="AB1196" s="9" t="s">
        <v>8694</v>
      </c>
    </row>
    <row r="1197" spans="1:28" ht="29">
      <c r="A1197" s="3" t="s">
        <v>611</v>
      </c>
      <c r="D1197" s="3" t="s">
        <v>4914</v>
      </c>
      <c r="E1197" s="3" t="s">
        <v>4915</v>
      </c>
      <c r="H1197" t="s">
        <v>3884</v>
      </c>
      <c r="J1197" s="9" t="s">
        <v>3885</v>
      </c>
      <c r="K1197" s="9">
        <v>1</v>
      </c>
      <c r="L1197" s="9">
        <v>4</v>
      </c>
      <c r="M1197" s="9" t="s">
        <v>8734</v>
      </c>
      <c r="N1197" s="9" t="s">
        <v>8684</v>
      </c>
      <c r="O1197" s="9" t="s">
        <v>8777</v>
      </c>
      <c r="P1197" s="10" t="s">
        <v>8778</v>
      </c>
      <c r="R1197" s="9" t="s">
        <v>8730</v>
      </c>
      <c r="T1197" s="9" t="str">
        <f t="shared" ca="1" si="46"/>
        <v/>
      </c>
      <c r="U1197" s="9" t="str">
        <f t="shared" ca="1" si="47"/>
        <v/>
      </c>
      <c r="AB1197" s="9" t="s">
        <v>8688</v>
      </c>
    </row>
    <row r="1198" spans="1:28">
      <c r="A1198" s="3" t="s">
        <v>612</v>
      </c>
      <c r="D1198" s="3" t="s">
        <v>2883</v>
      </c>
      <c r="E1198" s="3" t="s">
        <v>2884</v>
      </c>
      <c r="J1198" s="9" t="s">
        <v>8729</v>
      </c>
      <c r="S1198" s="9" t="s">
        <v>8730</v>
      </c>
      <c r="T1198" s="9" t="str">
        <f t="shared" ca="1" si="46"/>
        <v/>
      </c>
      <c r="U1198" s="9" t="str">
        <f t="shared" ca="1" si="47"/>
        <v/>
      </c>
      <c r="Y1198" s="9" t="s">
        <v>8735</v>
      </c>
      <c r="AA1198" s="9" t="s">
        <v>3884</v>
      </c>
    </row>
    <row r="1199" spans="1:28">
      <c r="A1199" s="3" t="s">
        <v>612</v>
      </c>
      <c r="D1199" s="3" t="s">
        <v>2839</v>
      </c>
      <c r="E1199" s="3" t="s">
        <v>2839</v>
      </c>
      <c r="F1199" t="s">
        <v>3932</v>
      </c>
      <c r="T1199" s="9" t="str">
        <f t="shared" ca="1" si="46"/>
        <v/>
      </c>
      <c r="U1199" s="9" t="str">
        <f t="shared" ca="1" si="47"/>
        <v/>
      </c>
    </row>
    <row r="1200" spans="1:28" ht="58">
      <c r="A1200" s="3" t="s">
        <v>613</v>
      </c>
      <c r="D1200" s="3" t="s">
        <v>4917</v>
      </c>
      <c r="E1200" s="3" t="s">
        <v>4916</v>
      </c>
      <c r="G1200" t="s">
        <v>3884</v>
      </c>
      <c r="I1200" t="s">
        <v>8995</v>
      </c>
      <c r="J1200" s="9" t="s">
        <v>3885</v>
      </c>
      <c r="K1200" s="9">
        <v>8</v>
      </c>
      <c r="L1200" s="9">
        <v>42</v>
      </c>
      <c r="N1200" s="9" t="s">
        <v>8684</v>
      </c>
      <c r="O1200" s="9" t="s">
        <v>8740</v>
      </c>
      <c r="P1200" s="10" t="s">
        <v>8813</v>
      </c>
      <c r="R1200" s="9">
        <v>5</v>
      </c>
      <c r="T1200" s="9" t="str">
        <f t="shared" ca="1" si="46"/>
        <v/>
      </c>
      <c r="U1200" s="9" t="str">
        <f t="shared" ca="1" si="47"/>
        <v/>
      </c>
    </row>
    <row r="1201" spans="1:28">
      <c r="A1201" s="3" t="s">
        <v>613</v>
      </c>
      <c r="D1201" s="3" t="s">
        <v>2386</v>
      </c>
      <c r="E1201" s="3" t="s">
        <v>2387</v>
      </c>
      <c r="J1201" s="9" t="s">
        <v>8729</v>
      </c>
      <c r="S1201" s="9">
        <f>21-0</f>
        <v>21</v>
      </c>
      <c r="T1201" s="9">
        <f t="shared" ca="1" si="46"/>
        <v>0</v>
      </c>
      <c r="U1201" s="9">
        <f t="shared" ca="1" si="47"/>
        <v>21</v>
      </c>
      <c r="Z1201" s="9" t="s">
        <v>8757</v>
      </c>
      <c r="AA1201" s="9" t="s">
        <v>3884</v>
      </c>
    </row>
    <row r="1202" spans="1:28">
      <c r="A1202" s="3" t="s">
        <v>614</v>
      </c>
      <c r="D1202" s="3" t="s">
        <v>2649</v>
      </c>
      <c r="E1202" s="3" t="s">
        <v>2885</v>
      </c>
      <c r="J1202" s="9" t="s">
        <v>8729</v>
      </c>
      <c r="S1202" s="9" t="s">
        <v>8739</v>
      </c>
      <c r="T1202" s="9" t="str">
        <f t="shared" ca="1" si="46"/>
        <v/>
      </c>
      <c r="U1202" s="9" t="str">
        <f t="shared" ca="1" si="47"/>
        <v/>
      </c>
      <c r="Z1202" s="9" t="s">
        <v>8832</v>
      </c>
      <c r="AA1202" s="9" t="s">
        <v>3884</v>
      </c>
      <c r="AB1202" s="9" t="s">
        <v>8688</v>
      </c>
    </row>
    <row r="1203" spans="1:28">
      <c r="A1203" s="3" t="s">
        <v>615</v>
      </c>
      <c r="D1203" s="3" t="s">
        <v>4918</v>
      </c>
      <c r="E1203" s="3" t="s">
        <v>4918</v>
      </c>
      <c r="F1203" t="s">
        <v>3932</v>
      </c>
      <c r="T1203" s="9" t="str">
        <f t="shared" ca="1" si="46"/>
        <v/>
      </c>
      <c r="U1203" s="9" t="str">
        <f t="shared" ca="1" si="47"/>
        <v/>
      </c>
    </row>
    <row r="1204" spans="1:28">
      <c r="A1204" s="3" t="s">
        <v>616</v>
      </c>
      <c r="D1204" s="3" t="s">
        <v>2886</v>
      </c>
      <c r="E1204" s="3" t="s">
        <v>2887</v>
      </c>
      <c r="J1204" s="9" t="s">
        <v>8731</v>
      </c>
      <c r="T1204" s="9" t="str">
        <f t="shared" ca="1" si="46"/>
        <v/>
      </c>
      <c r="U1204" s="9" t="str">
        <f t="shared" ca="1" si="47"/>
        <v/>
      </c>
      <c r="Z1204" s="9" t="s">
        <v>8804</v>
      </c>
      <c r="AA1204" s="9" t="s">
        <v>3884</v>
      </c>
    </row>
    <row r="1205" spans="1:28">
      <c r="A1205" s="3" t="s">
        <v>616</v>
      </c>
      <c r="D1205" s="3" t="s">
        <v>2888</v>
      </c>
      <c r="E1205" s="3" t="s">
        <v>2889</v>
      </c>
      <c r="J1205" s="9" t="s">
        <v>8729</v>
      </c>
      <c r="S1205" s="9" t="s">
        <v>8739</v>
      </c>
      <c r="T1205" s="9" t="str">
        <f t="shared" ca="1" si="46"/>
        <v/>
      </c>
      <c r="U1205" s="9" t="str">
        <f t="shared" ca="1" si="47"/>
        <v/>
      </c>
      <c r="Z1205" s="9" t="s">
        <v>8757</v>
      </c>
      <c r="AA1205" s="9" t="s">
        <v>3884</v>
      </c>
    </row>
    <row r="1206" spans="1:28" ht="29">
      <c r="A1206" s="3" t="s">
        <v>617</v>
      </c>
      <c r="D1206" s="3" t="s">
        <v>4919</v>
      </c>
      <c r="E1206" s="3" t="s">
        <v>9609</v>
      </c>
      <c r="F1206" t="s">
        <v>3932</v>
      </c>
      <c r="T1206" s="9" t="str">
        <f t="shared" ca="1" si="46"/>
        <v/>
      </c>
      <c r="U1206" s="9" t="str">
        <f t="shared" ca="1" si="47"/>
        <v/>
      </c>
    </row>
    <row r="1207" spans="1:28">
      <c r="A1207" s="3" t="s">
        <v>617</v>
      </c>
      <c r="D1207" s="3" t="s">
        <v>2890</v>
      </c>
      <c r="E1207" s="3" t="s">
        <v>2891</v>
      </c>
      <c r="J1207" s="9" t="s">
        <v>8731</v>
      </c>
      <c r="T1207" s="9" t="str">
        <f t="shared" ca="1" si="46"/>
        <v/>
      </c>
      <c r="U1207" s="9" t="str">
        <f t="shared" ca="1" si="47"/>
        <v/>
      </c>
      <c r="Z1207" s="9" t="s">
        <v>8757</v>
      </c>
      <c r="AA1207" s="9" t="s">
        <v>3884</v>
      </c>
      <c r="AB1207" s="9" t="s">
        <v>8688</v>
      </c>
    </row>
    <row r="1208" spans="1:28">
      <c r="A1208" s="3" t="s">
        <v>618</v>
      </c>
      <c r="D1208" s="3" t="s">
        <v>2888</v>
      </c>
      <c r="E1208" s="3" t="s">
        <v>2889</v>
      </c>
      <c r="J1208" s="9" t="s">
        <v>8729</v>
      </c>
      <c r="S1208" s="9" t="s">
        <v>8739</v>
      </c>
      <c r="T1208" s="9" t="str">
        <f t="shared" ca="1" si="46"/>
        <v/>
      </c>
      <c r="U1208" s="9" t="str">
        <f t="shared" ca="1" si="47"/>
        <v/>
      </c>
      <c r="Z1208" s="9" t="s">
        <v>8757</v>
      </c>
      <c r="AA1208" s="9" t="s">
        <v>3884</v>
      </c>
    </row>
    <row r="1209" spans="1:28">
      <c r="A1209" s="3" t="s">
        <v>619</v>
      </c>
      <c r="D1209" s="3" t="s">
        <v>2257</v>
      </c>
      <c r="E1209" s="3" t="s">
        <v>2892</v>
      </c>
      <c r="J1209" s="9" t="s">
        <v>8729</v>
      </c>
      <c r="S1209" s="9">
        <f>0-251</f>
        <v>-251</v>
      </c>
      <c r="T1209" s="9">
        <f t="shared" ca="1" si="46"/>
        <v>251</v>
      </c>
      <c r="U1209" s="9">
        <f t="shared" ca="1" si="47"/>
        <v>0</v>
      </c>
    </row>
    <row r="1210" spans="1:28">
      <c r="A1210" s="3" t="s">
        <v>619</v>
      </c>
      <c r="D1210" s="3" t="s">
        <v>4920</v>
      </c>
      <c r="E1210" s="3" t="s">
        <v>4921</v>
      </c>
      <c r="H1210" t="s">
        <v>3884</v>
      </c>
      <c r="J1210" s="9" t="s">
        <v>3885</v>
      </c>
      <c r="K1210" s="9">
        <v>1</v>
      </c>
      <c r="L1210" s="9">
        <v>2</v>
      </c>
      <c r="M1210" s="9" t="s">
        <v>8734</v>
      </c>
      <c r="N1210" s="9" t="s">
        <v>8730</v>
      </c>
      <c r="Q1210" s="9" t="s">
        <v>8685</v>
      </c>
      <c r="R1210" s="9" t="s">
        <v>8739</v>
      </c>
      <c r="T1210" s="9" t="str">
        <f t="shared" ca="1" si="46"/>
        <v/>
      </c>
      <c r="U1210" s="9" t="str">
        <f t="shared" ca="1" si="47"/>
        <v/>
      </c>
      <c r="AB1210" s="9" t="s">
        <v>8688</v>
      </c>
    </row>
    <row r="1211" spans="1:28">
      <c r="A1211" s="3" t="s">
        <v>620</v>
      </c>
      <c r="D1211" s="3" t="s">
        <v>3091</v>
      </c>
      <c r="E1211" s="3" t="s">
        <v>2893</v>
      </c>
      <c r="H1211" t="s">
        <v>3884</v>
      </c>
      <c r="J1211" s="9" t="s">
        <v>8729</v>
      </c>
      <c r="S1211" s="9" t="s">
        <v>8739</v>
      </c>
      <c r="T1211" s="9" t="str">
        <f t="shared" ca="1" si="46"/>
        <v/>
      </c>
      <c r="U1211" s="9" t="str">
        <f t="shared" ca="1" si="47"/>
        <v/>
      </c>
      <c r="Y1211" s="9" t="s">
        <v>8735</v>
      </c>
      <c r="AA1211" s="9" t="s">
        <v>3884</v>
      </c>
    </row>
    <row r="1212" spans="1:28" ht="29">
      <c r="A1212" s="3" t="s">
        <v>621</v>
      </c>
      <c r="D1212" s="3" t="s">
        <v>4922</v>
      </c>
      <c r="E1212" s="3" t="s">
        <v>4923</v>
      </c>
      <c r="J1212" s="9" t="s">
        <v>3889</v>
      </c>
      <c r="K1212" s="9">
        <v>1</v>
      </c>
      <c r="L1212" s="9">
        <v>3</v>
      </c>
      <c r="M1212" s="9" t="s">
        <v>8703</v>
      </c>
      <c r="N1212" s="9" t="s">
        <v>8690</v>
      </c>
      <c r="R1212" s="9">
        <f>627</f>
        <v>627</v>
      </c>
      <c r="T1212" s="9" t="str">
        <f t="shared" ca="1" si="46"/>
        <v/>
      </c>
      <c r="U1212" s="9" t="str">
        <f t="shared" ca="1" si="47"/>
        <v/>
      </c>
    </row>
    <row r="1213" spans="1:28">
      <c r="A1213" s="3" t="s">
        <v>622</v>
      </c>
      <c r="D1213" s="4" t="s">
        <v>4924</v>
      </c>
      <c r="E1213" s="3" t="s">
        <v>9610</v>
      </c>
      <c r="F1213" t="s">
        <v>3883</v>
      </c>
      <c r="J1213" s="9" t="s">
        <v>3889</v>
      </c>
      <c r="K1213" s="9">
        <v>1</v>
      </c>
      <c r="L1213" s="9">
        <v>3</v>
      </c>
      <c r="M1213" s="9" t="s">
        <v>8689</v>
      </c>
      <c r="N1213" s="9" t="s">
        <v>8690</v>
      </c>
      <c r="R1213" s="9">
        <v>10929</v>
      </c>
      <c r="T1213" s="9" t="str">
        <f t="shared" ca="1" si="46"/>
        <v/>
      </c>
      <c r="U1213" s="9" t="str">
        <f t="shared" ca="1" si="47"/>
        <v/>
      </c>
    </row>
    <row r="1214" spans="1:28">
      <c r="A1214" s="3" t="s">
        <v>623</v>
      </c>
      <c r="D1214" s="3" t="s">
        <v>9221</v>
      </c>
      <c r="E1214" s="3" t="s">
        <v>9222</v>
      </c>
      <c r="G1214" t="s">
        <v>3884</v>
      </c>
      <c r="J1214" s="9" t="s">
        <v>3885</v>
      </c>
      <c r="K1214" s="9">
        <v>1</v>
      </c>
      <c r="L1214" s="9">
        <v>3</v>
      </c>
      <c r="M1214" s="9" t="s">
        <v>8703</v>
      </c>
      <c r="N1214" s="9" t="s">
        <v>8690</v>
      </c>
      <c r="R1214" s="9">
        <v>10929</v>
      </c>
      <c r="T1214" s="9" t="str">
        <f t="shared" ca="1" si="46"/>
        <v/>
      </c>
      <c r="U1214" s="9" t="str">
        <f t="shared" ca="1" si="47"/>
        <v/>
      </c>
    </row>
    <row r="1215" spans="1:28">
      <c r="A1215" s="3" t="s">
        <v>623</v>
      </c>
      <c r="D1215" s="4" t="s">
        <v>4925</v>
      </c>
      <c r="E1215" s="3" t="s">
        <v>4926</v>
      </c>
      <c r="F1215" t="s">
        <v>3883</v>
      </c>
      <c r="T1215" s="9" t="str">
        <f t="shared" ca="1" si="46"/>
        <v/>
      </c>
      <c r="U1215" s="9" t="str">
        <f t="shared" ca="1" si="47"/>
        <v/>
      </c>
    </row>
    <row r="1216" spans="1:28">
      <c r="A1216" s="3" t="s">
        <v>623</v>
      </c>
      <c r="D1216" s="3" t="s">
        <v>2235</v>
      </c>
      <c r="E1216" s="3" t="s">
        <v>2235</v>
      </c>
      <c r="F1216" t="s">
        <v>3932</v>
      </c>
      <c r="T1216" s="9" t="str">
        <f t="shared" ca="1" si="46"/>
        <v/>
      </c>
      <c r="U1216" s="9" t="str">
        <f t="shared" ca="1" si="47"/>
        <v/>
      </c>
    </row>
    <row r="1217" spans="1:28">
      <c r="A1217" s="3" t="s">
        <v>624</v>
      </c>
      <c r="D1217" s="3" t="s">
        <v>2894</v>
      </c>
      <c r="E1217" s="3" t="s">
        <v>2895</v>
      </c>
      <c r="J1217" s="9" t="s">
        <v>8731</v>
      </c>
      <c r="T1217" s="9" t="str">
        <f t="shared" ca="1" si="46"/>
        <v/>
      </c>
      <c r="U1217" s="9" t="str">
        <f t="shared" ca="1" si="47"/>
        <v/>
      </c>
    </row>
    <row r="1218" spans="1:28">
      <c r="A1218" s="3" t="s">
        <v>625</v>
      </c>
      <c r="D1218" s="3" t="s">
        <v>3608</v>
      </c>
      <c r="E1218" s="3" t="s">
        <v>2896</v>
      </c>
      <c r="H1218" t="s">
        <v>3884</v>
      </c>
      <c r="J1218" s="9" t="s">
        <v>8729</v>
      </c>
      <c r="S1218" s="9" t="s">
        <v>8739</v>
      </c>
      <c r="T1218" s="9" t="str">
        <f t="shared" ca="1" si="46"/>
        <v/>
      </c>
      <c r="U1218" s="9" t="str">
        <f t="shared" ca="1" si="47"/>
        <v/>
      </c>
      <c r="AB1218" s="9" t="s">
        <v>8688</v>
      </c>
    </row>
    <row r="1219" spans="1:28">
      <c r="A1219" s="3" t="s">
        <v>626</v>
      </c>
      <c r="D1219" s="3" t="s">
        <v>4927</v>
      </c>
      <c r="E1219" s="3" t="s">
        <v>4928</v>
      </c>
      <c r="F1219" t="s">
        <v>4397</v>
      </c>
      <c r="H1219" t="s">
        <v>3884</v>
      </c>
      <c r="J1219" s="9" t="s">
        <v>3885</v>
      </c>
      <c r="K1219" s="9">
        <v>1</v>
      </c>
      <c r="L1219" s="9">
        <v>3</v>
      </c>
      <c r="M1219" s="9" t="s">
        <v>8695</v>
      </c>
      <c r="N1219" s="9" t="s">
        <v>8684</v>
      </c>
      <c r="O1219" s="9" t="s">
        <v>8777</v>
      </c>
      <c r="P1219" s="10" t="s">
        <v>8778</v>
      </c>
      <c r="R1219" s="9">
        <v>78</v>
      </c>
      <c r="T1219" s="9" t="str">
        <f t="shared" ca="1" si="46"/>
        <v/>
      </c>
      <c r="U1219" s="9" t="str">
        <f t="shared" ca="1" si="47"/>
        <v/>
      </c>
    </row>
    <row r="1220" spans="1:28">
      <c r="A1220" s="3" t="s">
        <v>626</v>
      </c>
      <c r="D1220" s="3" t="s">
        <v>4929</v>
      </c>
      <c r="E1220" s="3" t="s">
        <v>4930</v>
      </c>
      <c r="H1220" t="s">
        <v>3884</v>
      </c>
      <c r="J1220" s="9" t="s">
        <v>3889</v>
      </c>
      <c r="K1220" s="9">
        <v>1</v>
      </c>
      <c r="L1220" s="9">
        <v>5</v>
      </c>
      <c r="M1220" s="9" t="s">
        <v>8736</v>
      </c>
      <c r="N1220" s="9" t="s">
        <v>8690</v>
      </c>
      <c r="R1220" s="9">
        <v>206</v>
      </c>
      <c r="T1220" s="9" t="str">
        <f t="shared" ca="1" si="46"/>
        <v/>
      </c>
      <c r="U1220" s="9" t="str">
        <f t="shared" ca="1" si="47"/>
        <v/>
      </c>
    </row>
    <row r="1221" spans="1:28" ht="29">
      <c r="A1221" s="3" t="s">
        <v>626</v>
      </c>
      <c r="D1221" s="3" t="s">
        <v>9473</v>
      </c>
      <c r="E1221" s="3" t="s">
        <v>9472</v>
      </c>
      <c r="J1221" s="9" t="s">
        <v>3889</v>
      </c>
      <c r="K1221" s="9">
        <v>2</v>
      </c>
      <c r="L1221" s="9">
        <v>6</v>
      </c>
      <c r="N1221" s="9" t="s">
        <v>8690</v>
      </c>
      <c r="R1221" s="9">
        <v>886</v>
      </c>
      <c r="T1221" s="9" t="str">
        <f t="shared" ca="1" si="46"/>
        <v/>
      </c>
      <c r="U1221" s="9" t="str">
        <f t="shared" ca="1" si="47"/>
        <v/>
      </c>
    </row>
    <row r="1222" spans="1:28" ht="29">
      <c r="A1222" s="3" t="s">
        <v>626</v>
      </c>
      <c r="D1222" s="3" t="s">
        <v>9474</v>
      </c>
      <c r="E1222" s="3" t="s">
        <v>9475</v>
      </c>
      <c r="I1222" t="s">
        <v>9223</v>
      </c>
      <c r="J1222" s="9" t="s">
        <v>8729</v>
      </c>
      <c r="S1222" s="9">
        <f>183-44</f>
        <v>139</v>
      </c>
      <c r="T1222" s="9">
        <f t="shared" ref="T1222:T1285" ca="1" si="48">IF(ISNUMBER(S1222),VALUE(MID(_xlfn.FORMULATEXT(S1222),SEARCH("-",_xlfn.FORMULATEXT(S1222))+1,LEN(_xlfn.FORMULATEXT(S1222))-SEARCH("-",_xlfn.FORMULATEXT(S1222)))), "")</f>
        <v>44</v>
      </c>
      <c r="U1222" s="9">
        <f t="shared" ref="U1222:U1285" ca="1" si="49">IF(ISNUMBER(S1222), VALUE(MID(_xlfn.FORMULATEXT(S1222), 2, SEARCH("-", _xlfn.FORMULATEXT(S1222)) - 2)), "")</f>
        <v>183</v>
      </c>
      <c r="V1222" s="9" t="s">
        <v>4</v>
      </c>
    </row>
    <row r="1223" spans="1:28" ht="29">
      <c r="A1223" s="3" t="s">
        <v>627</v>
      </c>
      <c r="D1223" s="3" t="s">
        <v>8996</v>
      </c>
      <c r="E1223" s="3" t="s">
        <v>8997</v>
      </c>
      <c r="H1223" t="s">
        <v>3884</v>
      </c>
      <c r="J1223" s="9" t="s">
        <v>3885</v>
      </c>
      <c r="K1223" s="9">
        <v>1</v>
      </c>
      <c r="L1223" s="9">
        <v>2</v>
      </c>
      <c r="M1223" s="9" t="s">
        <v>8705</v>
      </c>
      <c r="N1223" s="9" t="s">
        <v>8730</v>
      </c>
      <c r="Q1223" s="9" t="s">
        <v>8685</v>
      </c>
      <c r="R1223" s="9">
        <v>615</v>
      </c>
      <c r="T1223" s="9" t="str">
        <f t="shared" ca="1" si="48"/>
        <v/>
      </c>
      <c r="U1223" s="9" t="str">
        <f t="shared" ca="1" si="49"/>
        <v/>
      </c>
    </row>
    <row r="1224" spans="1:28">
      <c r="A1224" s="3" t="s">
        <v>627</v>
      </c>
      <c r="D1224" s="3" t="s">
        <v>4931</v>
      </c>
      <c r="E1224" t="s">
        <v>4932</v>
      </c>
      <c r="J1224" s="9" t="s">
        <v>3889</v>
      </c>
      <c r="K1224" s="9">
        <v>1</v>
      </c>
      <c r="L1224" s="9">
        <v>6</v>
      </c>
      <c r="M1224" s="9" t="s">
        <v>8683</v>
      </c>
      <c r="N1224" s="9" t="s">
        <v>8690</v>
      </c>
      <c r="R1224" s="9">
        <v>4</v>
      </c>
      <c r="T1224" s="9" t="str">
        <f t="shared" ca="1" si="48"/>
        <v/>
      </c>
      <c r="U1224" s="9" t="str">
        <f t="shared" ca="1" si="49"/>
        <v/>
      </c>
    </row>
    <row r="1225" spans="1:28" ht="29">
      <c r="A1225" s="3" t="s">
        <v>628</v>
      </c>
      <c r="D1225" s="4" t="s">
        <v>4934</v>
      </c>
      <c r="E1225" s="3" t="s">
        <v>4933</v>
      </c>
      <c r="F1225" t="s">
        <v>3883</v>
      </c>
      <c r="T1225" s="9" t="str">
        <f t="shared" ca="1" si="48"/>
        <v/>
      </c>
      <c r="U1225" s="9" t="str">
        <f t="shared" ca="1" si="49"/>
        <v/>
      </c>
    </row>
    <row r="1226" spans="1:28">
      <c r="A1226" s="3" t="s">
        <v>629</v>
      </c>
      <c r="D1226" s="3" t="s">
        <v>2897</v>
      </c>
      <c r="E1226" s="3" t="s">
        <v>2898</v>
      </c>
      <c r="J1226" s="9" t="s">
        <v>8731</v>
      </c>
      <c r="T1226" s="9" t="str">
        <f t="shared" ca="1" si="48"/>
        <v/>
      </c>
      <c r="U1226" s="9" t="str">
        <f t="shared" ca="1" si="49"/>
        <v/>
      </c>
      <c r="Z1226" s="9" t="s">
        <v>8741</v>
      </c>
      <c r="AA1226" s="9" t="s">
        <v>3884</v>
      </c>
    </row>
    <row r="1227" spans="1:28">
      <c r="A1227" s="3" t="s">
        <v>629</v>
      </c>
      <c r="D1227" s="3" t="s">
        <v>2899</v>
      </c>
      <c r="E1227" s="3" t="s">
        <v>2899</v>
      </c>
      <c r="F1227" t="s">
        <v>3932</v>
      </c>
      <c r="I1227" t="s">
        <v>4935</v>
      </c>
      <c r="T1227" s="9" t="str">
        <f t="shared" ca="1" si="48"/>
        <v/>
      </c>
      <c r="U1227" s="9" t="str">
        <f t="shared" ca="1" si="49"/>
        <v/>
      </c>
    </row>
    <row r="1228" spans="1:28">
      <c r="A1228" s="3" t="s">
        <v>629</v>
      </c>
      <c r="D1228" s="3" t="s">
        <v>8998</v>
      </c>
      <c r="E1228" s="3" t="s">
        <v>8999</v>
      </c>
      <c r="J1228" s="9" t="s">
        <v>8731</v>
      </c>
      <c r="T1228" s="9" t="str">
        <f t="shared" ca="1" si="48"/>
        <v/>
      </c>
      <c r="U1228" s="9" t="str">
        <f t="shared" ca="1" si="49"/>
        <v/>
      </c>
      <c r="AB1228" s="9" t="s">
        <v>8700</v>
      </c>
    </row>
    <row r="1229" spans="1:28">
      <c r="A1229" s="3" t="s">
        <v>630</v>
      </c>
      <c r="D1229" s="3" t="s">
        <v>2900</v>
      </c>
      <c r="E1229" s="3" t="s">
        <v>2901</v>
      </c>
      <c r="J1229" s="9" t="s">
        <v>8729</v>
      </c>
      <c r="S1229" s="9">
        <f>20-2</f>
        <v>18</v>
      </c>
      <c r="T1229" s="9">
        <f t="shared" ca="1" si="48"/>
        <v>2</v>
      </c>
      <c r="U1229" s="9">
        <f t="shared" ca="1" si="49"/>
        <v>20</v>
      </c>
    </row>
    <row r="1230" spans="1:28">
      <c r="A1230" s="3" t="s">
        <v>631</v>
      </c>
      <c r="D1230" s="3" t="s">
        <v>4936</v>
      </c>
      <c r="E1230" s="3" t="s">
        <v>4937</v>
      </c>
      <c r="H1230" t="s">
        <v>3884</v>
      </c>
      <c r="J1230" s="9" t="s">
        <v>3889</v>
      </c>
      <c r="K1230" s="9">
        <v>1</v>
      </c>
      <c r="L1230" s="9">
        <v>3</v>
      </c>
      <c r="M1230" s="9" t="s">
        <v>8689</v>
      </c>
      <c r="N1230" s="9" t="s">
        <v>8690</v>
      </c>
      <c r="R1230" s="9">
        <v>10929</v>
      </c>
      <c r="T1230" s="9" t="str">
        <f t="shared" ca="1" si="48"/>
        <v/>
      </c>
      <c r="U1230" s="9" t="str">
        <f t="shared" ca="1" si="49"/>
        <v/>
      </c>
    </row>
    <row r="1231" spans="1:28" ht="29">
      <c r="A1231" s="3" t="s">
        <v>631</v>
      </c>
      <c r="D1231" s="3" t="s">
        <v>2902</v>
      </c>
      <c r="E1231" s="3" t="s">
        <v>2903</v>
      </c>
      <c r="H1231" t="s">
        <v>3888</v>
      </c>
      <c r="I1231" s="3" t="s">
        <v>4938</v>
      </c>
      <c r="J1231" s="9" t="s">
        <v>8731</v>
      </c>
      <c r="T1231" s="9" t="str">
        <f t="shared" ca="1" si="48"/>
        <v/>
      </c>
      <c r="U1231" s="9" t="str">
        <f t="shared" ca="1" si="49"/>
        <v/>
      </c>
      <c r="Z1231" s="9" t="s">
        <v>8757</v>
      </c>
      <c r="AA1231" s="9" t="s">
        <v>3891</v>
      </c>
    </row>
    <row r="1232" spans="1:28" ht="29">
      <c r="A1232" s="3" t="s">
        <v>631</v>
      </c>
      <c r="D1232" s="3" t="s">
        <v>4940</v>
      </c>
      <c r="E1232" s="3" t="s">
        <v>4941</v>
      </c>
      <c r="J1232" s="9" t="s">
        <v>8731</v>
      </c>
      <c r="T1232" s="9" t="str">
        <f t="shared" ca="1" si="48"/>
        <v/>
      </c>
      <c r="U1232" s="9" t="str">
        <f t="shared" ca="1" si="49"/>
        <v/>
      </c>
      <c r="Z1232" s="9" t="s">
        <v>8757</v>
      </c>
      <c r="AA1232" s="9" t="s">
        <v>3884</v>
      </c>
    </row>
    <row r="1233" spans="1:28" ht="29">
      <c r="A1233" s="3" t="s">
        <v>631</v>
      </c>
      <c r="D1233" s="3" t="s">
        <v>4942</v>
      </c>
      <c r="E1233" s="3" t="s">
        <v>4939</v>
      </c>
      <c r="F1233" t="s">
        <v>3932</v>
      </c>
      <c r="I1233" t="s">
        <v>4943</v>
      </c>
      <c r="T1233" s="9" t="str">
        <f t="shared" ca="1" si="48"/>
        <v/>
      </c>
      <c r="U1233" s="9" t="str">
        <f t="shared" ca="1" si="49"/>
        <v/>
      </c>
    </row>
    <row r="1234" spans="1:28">
      <c r="A1234" s="3" t="s">
        <v>632</v>
      </c>
      <c r="D1234" s="4" t="s">
        <v>4944</v>
      </c>
      <c r="E1234" s="3" t="s">
        <v>4945</v>
      </c>
      <c r="F1234" t="s">
        <v>3883</v>
      </c>
      <c r="T1234" s="9" t="str">
        <f t="shared" ca="1" si="48"/>
        <v/>
      </c>
      <c r="U1234" s="9" t="str">
        <f t="shared" ca="1" si="49"/>
        <v/>
      </c>
    </row>
    <row r="1235" spans="1:28" ht="29">
      <c r="A1235" s="3" t="s">
        <v>633</v>
      </c>
      <c r="D1235" s="3" t="s">
        <v>4946</v>
      </c>
      <c r="E1235" s="3" t="s">
        <v>4946</v>
      </c>
      <c r="F1235" t="s">
        <v>3932</v>
      </c>
      <c r="I1235" t="s">
        <v>4947</v>
      </c>
      <c r="T1235" s="9" t="str">
        <f t="shared" ca="1" si="48"/>
        <v/>
      </c>
      <c r="U1235" s="9" t="str">
        <f t="shared" ca="1" si="49"/>
        <v/>
      </c>
    </row>
    <row r="1236" spans="1:28">
      <c r="A1236" s="3" t="s">
        <v>633</v>
      </c>
      <c r="D1236" s="3" t="s">
        <v>4948</v>
      </c>
      <c r="E1236" s="3" t="s">
        <v>4948</v>
      </c>
      <c r="F1236" t="s">
        <v>3932</v>
      </c>
      <c r="I1236" t="s">
        <v>4949</v>
      </c>
      <c r="T1236" s="9" t="str">
        <f t="shared" ca="1" si="48"/>
        <v/>
      </c>
      <c r="U1236" s="9" t="str">
        <f t="shared" ca="1" si="49"/>
        <v/>
      </c>
    </row>
    <row r="1237" spans="1:28">
      <c r="A1237" s="3" t="s">
        <v>634</v>
      </c>
      <c r="D1237" s="3" t="s">
        <v>2904</v>
      </c>
      <c r="E1237" s="3" t="s">
        <v>9611</v>
      </c>
      <c r="J1237" s="9" t="s">
        <v>3885</v>
      </c>
      <c r="K1237" s="9">
        <v>1</v>
      </c>
      <c r="L1237" s="9">
        <v>3</v>
      </c>
      <c r="M1237" s="9" t="s">
        <v>8689</v>
      </c>
      <c r="N1237" s="9" t="s">
        <v>8690</v>
      </c>
      <c r="R1237" s="9">
        <v>10929</v>
      </c>
      <c r="T1237" s="9" t="str">
        <f t="shared" ca="1" si="48"/>
        <v/>
      </c>
      <c r="U1237" s="9" t="str">
        <f t="shared" ca="1" si="49"/>
        <v/>
      </c>
    </row>
    <row r="1238" spans="1:28">
      <c r="A1238" s="3" t="s">
        <v>634</v>
      </c>
      <c r="D1238" s="6" t="s">
        <v>2904</v>
      </c>
      <c r="E1238" s="3" t="s">
        <v>9612</v>
      </c>
      <c r="J1238" s="9" t="s">
        <v>8729</v>
      </c>
      <c r="S1238" s="9" t="s">
        <v>8739</v>
      </c>
      <c r="T1238" s="9" t="str">
        <f t="shared" ca="1" si="48"/>
        <v/>
      </c>
      <c r="U1238" s="9" t="str">
        <f t="shared" ca="1" si="49"/>
        <v/>
      </c>
      <c r="Z1238" s="9" t="s">
        <v>8924</v>
      </c>
      <c r="AA1238" s="9" t="s">
        <v>3891</v>
      </c>
      <c r="AB1238" s="9" t="s">
        <v>8688</v>
      </c>
    </row>
    <row r="1239" spans="1:28">
      <c r="A1239" s="3" t="s">
        <v>635</v>
      </c>
      <c r="D1239" s="3" t="s">
        <v>2905</v>
      </c>
      <c r="E1239" s="3" t="s">
        <v>2905</v>
      </c>
      <c r="F1239" t="s">
        <v>3932</v>
      </c>
      <c r="I1239" t="s">
        <v>4643</v>
      </c>
      <c r="T1239" s="9" t="str">
        <f t="shared" ca="1" si="48"/>
        <v/>
      </c>
      <c r="U1239" s="9" t="str">
        <f t="shared" ca="1" si="49"/>
        <v/>
      </c>
    </row>
    <row r="1240" spans="1:28" ht="29">
      <c r="A1240" s="3" t="s">
        <v>635</v>
      </c>
      <c r="D1240" s="3" t="s">
        <v>4950</v>
      </c>
      <c r="E1240" s="3" t="s">
        <v>4951</v>
      </c>
      <c r="H1240" t="s">
        <v>3884</v>
      </c>
      <c r="J1240" s="9" t="s">
        <v>3885</v>
      </c>
      <c r="K1240" s="9">
        <v>1</v>
      </c>
      <c r="L1240" s="9">
        <v>2</v>
      </c>
      <c r="M1240" s="9" t="s">
        <v>8707</v>
      </c>
      <c r="N1240" s="9" t="s">
        <v>8730</v>
      </c>
      <c r="R1240" s="9">
        <v>329</v>
      </c>
      <c r="T1240" s="9" t="str">
        <f t="shared" ca="1" si="48"/>
        <v/>
      </c>
      <c r="U1240" s="9" t="str">
        <f t="shared" ca="1" si="49"/>
        <v/>
      </c>
      <c r="AB1240" s="9" t="s">
        <v>8694</v>
      </c>
    </row>
    <row r="1241" spans="1:28" ht="29">
      <c r="A1241" s="3" t="s">
        <v>635</v>
      </c>
      <c r="D1241" s="4" t="s">
        <v>4952</v>
      </c>
      <c r="E1241" s="3" t="s">
        <v>4953</v>
      </c>
      <c r="F1241" t="s">
        <v>4196</v>
      </c>
      <c r="I1241" t="s">
        <v>9476</v>
      </c>
      <c r="J1241" s="9" t="s">
        <v>8731</v>
      </c>
      <c r="T1241" s="9" t="str">
        <f t="shared" ca="1" si="48"/>
        <v/>
      </c>
      <c r="U1241" s="9" t="str">
        <f t="shared" ca="1" si="49"/>
        <v/>
      </c>
    </row>
    <row r="1242" spans="1:28">
      <c r="A1242" s="3" t="s">
        <v>636</v>
      </c>
      <c r="D1242" s="3" t="s">
        <v>2888</v>
      </c>
      <c r="E1242" s="3" t="s">
        <v>2889</v>
      </c>
      <c r="J1242" s="9" t="s">
        <v>8729</v>
      </c>
      <c r="S1242" s="9" t="s">
        <v>8739</v>
      </c>
      <c r="T1242" s="9" t="str">
        <f t="shared" ca="1" si="48"/>
        <v/>
      </c>
      <c r="U1242" s="9" t="str">
        <f t="shared" ca="1" si="49"/>
        <v/>
      </c>
      <c r="Y1242" s="9" t="s">
        <v>8735</v>
      </c>
      <c r="Z1242" s="9" t="s">
        <v>8757</v>
      </c>
      <c r="AA1242" s="9" t="s">
        <v>3884</v>
      </c>
    </row>
    <row r="1243" spans="1:28" ht="29">
      <c r="A1243" s="3" t="s">
        <v>637</v>
      </c>
      <c r="D1243" s="3" t="s">
        <v>4954</v>
      </c>
      <c r="E1243" s="3" t="s">
        <v>4955</v>
      </c>
      <c r="F1243" t="s">
        <v>3893</v>
      </c>
      <c r="T1243" s="9" t="str">
        <f t="shared" ca="1" si="48"/>
        <v/>
      </c>
      <c r="U1243" s="9" t="str">
        <f t="shared" ca="1" si="49"/>
        <v/>
      </c>
    </row>
    <row r="1244" spans="1:28" ht="29">
      <c r="A1244" s="3" t="s">
        <v>637</v>
      </c>
      <c r="D1244" s="4" t="s">
        <v>4956</v>
      </c>
      <c r="E1244" s="3" t="s">
        <v>4957</v>
      </c>
      <c r="F1244" t="s">
        <v>3883</v>
      </c>
      <c r="T1244" s="9" t="str">
        <f t="shared" ca="1" si="48"/>
        <v/>
      </c>
      <c r="U1244" s="9" t="str">
        <f t="shared" ca="1" si="49"/>
        <v/>
      </c>
    </row>
    <row r="1245" spans="1:28" ht="29">
      <c r="A1245" s="3" t="s">
        <v>637</v>
      </c>
      <c r="D1245" s="3" t="s">
        <v>4958</v>
      </c>
      <c r="E1245" s="3" t="s">
        <v>4959</v>
      </c>
      <c r="J1245" s="9" t="s">
        <v>8729</v>
      </c>
      <c r="S1245" s="9" t="s">
        <v>8739</v>
      </c>
      <c r="T1245" s="9" t="str">
        <f t="shared" ca="1" si="48"/>
        <v/>
      </c>
      <c r="U1245" s="9" t="str">
        <f t="shared" ca="1" si="49"/>
        <v/>
      </c>
      <c r="Y1245" s="9" t="s">
        <v>8735</v>
      </c>
      <c r="Z1245" s="9" t="s">
        <v>8757</v>
      </c>
      <c r="AA1245" s="9" t="s">
        <v>3884</v>
      </c>
    </row>
    <row r="1246" spans="1:28">
      <c r="A1246" s="3" t="s">
        <v>637</v>
      </c>
      <c r="D1246" s="3" t="s">
        <v>4960</v>
      </c>
      <c r="E1246" s="3" t="s">
        <v>4961</v>
      </c>
      <c r="J1246" s="9" t="s">
        <v>8731</v>
      </c>
      <c r="T1246" s="9" t="str">
        <f t="shared" ca="1" si="48"/>
        <v/>
      </c>
      <c r="U1246" s="9" t="str">
        <f t="shared" ca="1" si="49"/>
        <v/>
      </c>
    </row>
    <row r="1247" spans="1:28">
      <c r="A1247" s="3" t="s">
        <v>638</v>
      </c>
      <c r="D1247" s="3" t="s">
        <v>2581</v>
      </c>
      <c r="E1247" s="3" t="s">
        <v>2906</v>
      </c>
      <c r="H1247" t="s">
        <v>3884</v>
      </c>
      <c r="J1247" s="9" t="s">
        <v>8731</v>
      </c>
      <c r="T1247" s="9" t="str">
        <f t="shared" ca="1" si="48"/>
        <v/>
      </c>
      <c r="U1247" s="9" t="str">
        <f t="shared" ca="1" si="49"/>
        <v/>
      </c>
    </row>
    <row r="1248" spans="1:28">
      <c r="A1248" s="3" t="s">
        <v>638</v>
      </c>
      <c r="D1248" s="3" t="s">
        <v>2907</v>
      </c>
      <c r="E1248" s="3" t="s">
        <v>2908</v>
      </c>
      <c r="J1248" s="9" t="s">
        <v>8729</v>
      </c>
      <c r="S1248" s="9" t="s">
        <v>8739</v>
      </c>
      <c r="T1248" s="9" t="str">
        <f t="shared" ca="1" si="48"/>
        <v/>
      </c>
      <c r="U1248" s="9" t="str">
        <f t="shared" ca="1" si="49"/>
        <v/>
      </c>
      <c r="AB1248" s="9" t="s">
        <v>8697</v>
      </c>
    </row>
    <row r="1249" spans="1:28">
      <c r="A1249" s="3" t="s">
        <v>638</v>
      </c>
      <c r="D1249" s="3" t="s">
        <v>2888</v>
      </c>
      <c r="E1249" s="3" t="s">
        <v>2889</v>
      </c>
      <c r="J1249" s="9" t="s">
        <v>8729</v>
      </c>
      <c r="S1249" s="9" t="s">
        <v>8739</v>
      </c>
      <c r="T1249" s="9" t="str">
        <f t="shared" ca="1" si="48"/>
        <v/>
      </c>
      <c r="U1249" s="9" t="str">
        <f t="shared" ca="1" si="49"/>
        <v/>
      </c>
      <c r="Y1249" s="9" t="s">
        <v>8735</v>
      </c>
      <c r="Z1249" s="9" t="s">
        <v>8757</v>
      </c>
      <c r="AA1249" s="9" t="s">
        <v>3884</v>
      </c>
    </row>
    <row r="1250" spans="1:28">
      <c r="A1250" s="3" t="s">
        <v>639</v>
      </c>
      <c r="D1250" s="3" t="s">
        <v>2888</v>
      </c>
      <c r="E1250" s="3" t="s">
        <v>2889</v>
      </c>
      <c r="J1250" s="9" t="s">
        <v>8729</v>
      </c>
      <c r="S1250" s="9" t="s">
        <v>8739</v>
      </c>
      <c r="T1250" s="9" t="str">
        <f t="shared" ca="1" si="48"/>
        <v/>
      </c>
      <c r="U1250" s="9" t="str">
        <f t="shared" ca="1" si="49"/>
        <v/>
      </c>
      <c r="Y1250" s="9" t="s">
        <v>8735</v>
      </c>
      <c r="Z1250" s="9" t="s">
        <v>8757</v>
      </c>
      <c r="AA1250" s="9" t="s">
        <v>3884</v>
      </c>
    </row>
    <row r="1251" spans="1:28">
      <c r="A1251" s="3" t="s">
        <v>640</v>
      </c>
      <c r="D1251" s="3" t="s">
        <v>4962</v>
      </c>
      <c r="E1251" s="3" t="s">
        <v>4963</v>
      </c>
      <c r="J1251" s="9" t="s">
        <v>3889</v>
      </c>
      <c r="K1251" s="9">
        <v>1</v>
      </c>
      <c r="L1251" s="9">
        <v>4</v>
      </c>
      <c r="M1251" s="9" t="s">
        <v>8710</v>
      </c>
      <c r="N1251" s="9" t="s">
        <v>8690</v>
      </c>
      <c r="R1251" s="9">
        <v>266</v>
      </c>
      <c r="T1251" s="9" t="str">
        <f t="shared" ca="1" si="48"/>
        <v/>
      </c>
      <c r="U1251" s="9" t="str">
        <f t="shared" ca="1" si="49"/>
        <v/>
      </c>
    </row>
    <row r="1252" spans="1:28">
      <c r="A1252" s="3" t="s">
        <v>640</v>
      </c>
      <c r="D1252" s="3" t="s">
        <v>2909</v>
      </c>
      <c r="E1252" s="3" t="s">
        <v>2910</v>
      </c>
      <c r="J1252" s="9" t="s">
        <v>8729</v>
      </c>
      <c r="S1252" s="9" t="s">
        <v>8739</v>
      </c>
      <c r="T1252" s="9" t="str">
        <f t="shared" ca="1" si="48"/>
        <v/>
      </c>
      <c r="U1252" s="9" t="str">
        <f t="shared" ca="1" si="49"/>
        <v/>
      </c>
      <c r="Z1252" s="9" t="s">
        <v>8747</v>
      </c>
      <c r="AA1252" s="9" t="s">
        <v>3884</v>
      </c>
      <c r="AB1252" s="9" t="s">
        <v>8697</v>
      </c>
    </row>
    <row r="1253" spans="1:28">
      <c r="A1253" s="3" t="s">
        <v>641</v>
      </c>
      <c r="D1253" s="3" t="s">
        <v>2888</v>
      </c>
      <c r="E1253" s="3" t="s">
        <v>2889</v>
      </c>
      <c r="J1253" s="9" t="s">
        <v>8729</v>
      </c>
      <c r="S1253" s="9" t="s">
        <v>8739</v>
      </c>
      <c r="T1253" s="9" t="str">
        <f t="shared" ca="1" si="48"/>
        <v/>
      </c>
      <c r="U1253" s="9" t="str">
        <f t="shared" ca="1" si="49"/>
        <v/>
      </c>
      <c r="Y1253" s="9" t="s">
        <v>8735</v>
      </c>
      <c r="Z1253" s="9" t="s">
        <v>8757</v>
      </c>
      <c r="AA1253" s="9" t="s">
        <v>3884</v>
      </c>
    </row>
    <row r="1254" spans="1:28" ht="72.5">
      <c r="A1254" s="3" t="s">
        <v>641</v>
      </c>
      <c r="D1254" s="3" t="s">
        <v>4965</v>
      </c>
      <c r="E1254" s="3" t="s">
        <v>4966</v>
      </c>
      <c r="J1254" s="9" t="s">
        <v>8729</v>
      </c>
      <c r="S1254" s="9" t="s">
        <v>8739</v>
      </c>
      <c r="T1254" s="9" t="str">
        <f t="shared" ca="1" si="48"/>
        <v/>
      </c>
      <c r="U1254" s="9" t="str">
        <f t="shared" ca="1" si="49"/>
        <v/>
      </c>
      <c r="Z1254" s="9" t="s">
        <v>8747</v>
      </c>
      <c r="AA1254" s="9" t="s">
        <v>3884</v>
      </c>
      <c r="AB1254" s="9" t="s">
        <v>8697</v>
      </c>
    </row>
    <row r="1255" spans="1:28" ht="72.5">
      <c r="A1255" s="3" t="s">
        <v>641</v>
      </c>
      <c r="D1255" s="3" t="s">
        <v>4967</v>
      </c>
      <c r="E1255" s="3" t="s">
        <v>4964</v>
      </c>
      <c r="I1255" t="s">
        <v>9001</v>
      </c>
      <c r="J1255" s="9" t="s">
        <v>3889</v>
      </c>
      <c r="K1255" s="9">
        <v>5</v>
      </c>
      <c r="L1255" s="9">
        <v>24</v>
      </c>
      <c r="N1255" s="9" t="s">
        <v>8684</v>
      </c>
      <c r="O1255" s="9" t="s">
        <v>8944</v>
      </c>
      <c r="P1255" s="10" t="s">
        <v>9000</v>
      </c>
      <c r="R1255" s="9">
        <v>74</v>
      </c>
      <c r="T1255" s="9" t="str">
        <f t="shared" ca="1" si="48"/>
        <v/>
      </c>
      <c r="U1255" s="9" t="str">
        <f t="shared" ca="1" si="49"/>
        <v/>
      </c>
    </row>
    <row r="1256" spans="1:28">
      <c r="A1256" s="3" t="s">
        <v>641</v>
      </c>
      <c r="D1256" s="3" t="s">
        <v>2366</v>
      </c>
      <c r="E1256" s="3" t="s">
        <v>2366</v>
      </c>
      <c r="F1256" t="s">
        <v>3932</v>
      </c>
      <c r="I1256" t="s">
        <v>2530</v>
      </c>
      <c r="T1256" s="9" t="str">
        <f t="shared" ca="1" si="48"/>
        <v/>
      </c>
      <c r="U1256" s="9" t="str">
        <f t="shared" ca="1" si="49"/>
        <v/>
      </c>
    </row>
    <row r="1257" spans="1:28">
      <c r="A1257" s="3" t="s">
        <v>642</v>
      </c>
      <c r="D1257" s="3" t="s">
        <v>4968</v>
      </c>
      <c r="E1257" s="3" t="s">
        <v>4969</v>
      </c>
      <c r="J1257" s="9" t="s">
        <v>8729</v>
      </c>
      <c r="S1257" s="9" t="s">
        <v>8739</v>
      </c>
      <c r="T1257" s="9" t="str">
        <f t="shared" ca="1" si="48"/>
        <v/>
      </c>
      <c r="U1257" s="9" t="str">
        <f t="shared" ca="1" si="49"/>
        <v/>
      </c>
      <c r="Y1257" s="9" t="s">
        <v>8735</v>
      </c>
      <c r="Z1257" s="9" t="s">
        <v>8757</v>
      </c>
      <c r="AA1257" s="9" t="s">
        <v>3884</v>
      </c>
    </row>
    <row r="1258" spans="1:28" ht="29">
      <c r="A1258" s="3" t="s">
        <v>642</v>
      </c>
      <c r="D1258" s="3" t="s">
        <v>4970</v>
      </c>
      <c r="E1258" s="3" t="s">
        <v>4971</v>
      </c>
      <c r="J1258" s="9" t="s">
        <v>8729</v>
      </c>
      <c r="S1258" s="9" t="s">
        <v>8739</v>
      </c>
      <c r="T1258" s="9" t="str">
        <f t="shared" ca="1" si="48"/>
        <v/>
      </c>
      <c r="U1258" s="9" t="str">
        <f t="shared" ca="1" si="49"/>
        <v/>
      </c>
      <c r="Y1258" s="9" t="s">
        <v>8735</v>
      </c>
      <c r="Z1258" s="9" t="s">
        <v>8757</v>
      </c>
      <c r="AA1258" s="9" t="s">
        <v>3884</v>
      </c>
    </row>
    <row r="1259" spans="1:28">
      <c r="A1259" s="3" t="s">
        <v>642</v>
      </c>
      <c r="D1259" s="3" t="s">
        <v>4972</v>
      </c>
      <c r="E1259" s="3" t="s">
        <v>4973</v>
      </c>
      <c r="J1259" s="9" t="s">
        <v>3889</v>
      </c>
      <c r="K1259" s="9">
        <v>1</v>
      </c>
      <c r="L1259" s="9">
        <v>3</v>
      </c>
      <c r="M1259" s="9" t="s">
        <v>8689</v>
      </c>
      <c r="N1259" s="9" t="s">
        <v>8690</v>
      </c>
      <c r="R1259" s="9">
        <v>10929</v>
      </c>
      <c r="T1259" s="9" t="str">
        <f t="shared" ca="1" si="48"/>
        <v/>
      </c>
      <c r="U1259" s="9" t="str">
        <f t="shared" ca="1" si="49"/>
        <v/>
      </c>
    </row>
    <row r="1260" spans="1:28">
      <c r="A1260" s="3" t="s">
        <v>642</v>
      </c>
      <c r="D1260" s="3" t="s">
        <v>4974</v>
      </c>
      <c r="E1260" s="3" t="s">
        <v>4975</v>
      </c>
      <c r="J1260" s="9" t="s">
        <v>3889</v>
      </c>
      <c r="K1260" s="9">
        <v>1</v>
      </c>
      <c r="L1260" s="9">
        <v>1</v>
      </c>
      <c r="M1260" s="9" t="s">
        <v>8689</v>
      </c>
      <c r="N1260" s="9" t="s">
        <v>8730</v>
      </c>
      <c r="Q1260" s="9" t="s">
        <v>8685</v>
      </c>
      <c r="R1260" s="9">
        <v>10929</v>
      </c>
      <c r="T1260" s="9" t="str">
        <f t="shared" ca="1" si="48"/>
        <v/>
      </c>
      <c r="U1260" s="9" t="str">
        <f t="shared" ca="1" si="49"/>
        <v/>
      </c>
    </row>
    <row r="1261" spans="1:28">
      <c r="A1261" s="3" t="s">
        <v>643</v>
      </c>
      <c r="D1261" s="3" t="s">
        <v>4976</v>
      </c>
      <c r="E1261" s="3" t="s">
        <v>2911</v>
      </c>
      <c r="H1261" t="s">
        <v>3884</v>
      </c>
      <c r="J1261" s="9" t="s">
        <v>8729</v>
      </c>
      <c r="Q1261" s="9" t="s">
        <v>8685</v>
      </c>
      <c r="S1261" s="9" t="s">
        <v>8739</v>
      </c>
      <c r="T1261" s="9" t="str">
        <f t="shared" ca="1" si="48"/>
        <v/>
      </c>
      <c r="U1261" s="9" t="str">
        <f t="shared" ca="1" si="49"/>
        <v/>
      </c>
      <c r="AB1261" s="9" t="s">
        <v>8688</v>
      </c>
    </row>
    <row r="1262" spans="1:28">
      <c r="A1262" s="3" t="s">
        <v>644</v>
      </c>
      <c r="D1262" s="3" t="s">
        <v>4977</v>
      </c>
      <c r="E1262" s="3" t="s">
        <v>4978</v>
      </c>
      <c r="J1262" s="9" t="s">
        <v>8731</v>
      </c>
      <c r="T1262" s="9" t="str">
        <f t="shared" ca="1" si="48"/>
        <v/>
      </c>
      <c r="U1262" s="9" t="str">
        <f t="shared" ca="1" si="49"/>
        <v/>
      </c>
    </row>
    <row r="1263" spans="1:28" ht="29">
      <c r="A1263" s="3" t="s">
        <v>644</v>
      </c>
      <c r="D1263" s="3" t="s">
        <v>4979</v>
      </c>
      <c r="E1263" s="4" t="s">
        <v>4980</v>
      </c>
      <c r="F1263" t="s">
        <v>3897</v>
      </c>
      <c r="T1263" s="9" t="str">
        <f t="shared" ca="1" si="48"/>
        <v/>
      </c>
      <c r="U1263" s="9" t="str">
        <f t="shared" ca="1" si="49"/>
        <v/>
      </c>
    </row>
    <row r="1264" spans="1:28">
      <c r="A1264" s="3" t="s">
        <v>645</v>
      </c>
      <c r="D1264" s="3" t="s">
        <v>2912</v>
      </c>
      <c r="E1264" s="3" t="s">
        <v>2913</v>
      </c>
      <c r="J1264" s="9" t="s">
        <v>8729</v>
      </c>
      <c r="S1264" s="9" t="s">
        <v>8739</v>
      </c>
      <c r="T1264" s="9" t="str">
        <f t="shared" ca="1" si="48"/>
        <v/>
      </c>
      <c r="U1264" s="9" t="str">
        <f t="shared" ca="1" si="49"/>
        <v/>
      </c>
      <c r="Z1264" s="9" t="s">
        <v>9285</v>
      </c>
      <c r="AA1264" s="9" t="s">
        <v>3884</v>
      </c>
      <c r="AB1264" s="9" t="s">
        <v>8697</v>
      </c>
    </row>
    <row r="1265" spans="1:28">
      <c r="A1265" s="3" t="s">
        <v>645</v>
      </c>
      <c r="D1265" s="3" t="s">
        <v>2014</v>
      </c>
      <c r="E1265" s="3" t="s">
        <v>2013</v>
      </c>
      <c r="J1265" s="9" t="s">
        <v>8731</v>
      </c>
      <c r="T1265" s="9" t="str">
        <f t="shared" ca="1" si="48"/>
        <v/>
      </c>
      <c r="U1265" s="9" t="str">
        <f t="shared" ca="1" si="49"/>
        <v/>
      </c>
    </row>
    <row r="1266" spans="1:28">
      <c r="A1266" s="3" t="s">
        <v>646</v>
      </c>
      <c r="D1266" s="3" t="s">
        <v>2914</v>
      </c>
      <c r="E1266" s="3" t="s">
        <v>2915</v>
      </c>
      <c r="H1266" t="s">
        <v>3892</v>
      </c>
      <c r="I1266" t="s">
        <v>4981</v>
      </c>
      <c r="J1266" s="9" t="s">
        <v>8729</v>
      </c>
      <c r="S1266" s="9">
        <f>1-24</f>
        <v>-23</v>
      </c>
      <c r="T1266" s="9">
        <f t="shared" ca="1" si="48"/>
        <v>24</v>
      </c>
      <c r="U1266" s="9">
        <f t="shared" ca="1" si="49"/>
        <v>1</v>
      </c>
      <c r="AB1266" s="9" t="s">
        <v>8694</v>
      </c>
    </row>
    <row r="1267" spans="1:28">
      <c r="A1267" s="3" t="s">
        <v>646</v>
      </c>
      <c r="D1267" s="3" t="s">
        <v>2888</v>
      </c>
      <c r="E1267" s="3" t="s">
        <v>2889</v>
      </c>
      <c r="J1267" s="9" t="s">
        <v>8729</v>
      </c>
      <c r="S1267" s="9" t="s">
        <v>8739</v>
      </c>
      <c r="T1267" s="9" t="str">
        <f t="shared" ca="1" si="48"/>
        <v/>
      </c>
      <c r="U1267" s="9" t="str">
        <f t="shared" ca="1" si="49"/>
        <v/>
      </c>
      <c r="Y1267" s="9" t="s">
        <v>8735</v>
      </c>
      <c r="Z1267" s="9" t="s">
        <v>8757</v>
      </c>
      <c r="AA1267" s="9" t="s">
        <v>3884</v>
      </c>
    </row>
    <row r="1268" spans="1:28">
      <c r="A1268" s="3" t="s">
        <v>647</v>
      </c>
      <c r="D1268" s="3" t="s">
        <v>4982</v>
      </c>
      <c r="E1268" s="3" t="s">
        <v>4983</v>
      </c>
      <c r="J1268" s="9" t="s">
        <v>3885</v>
      </c>
      <c r="K1268" s="9">
        <v>1</v>
      </c>
      <c r="L1268" s="9">
        <v>2</v>
      </c>
      <c r="M1268" s="9" t="s">
        <v>8689</v>
      </c>
      <c r="N1268" s="9" t="s">
        <v>8730</v>
      </c>
      <c r="Q1268" s="9" t="s">
        <v>8685</v>
      </c>
      <c r="R1268" s="9">
        <v>10929</v>
      </c>
      <c r="T1268" s="9" t="str">
        <f t="shared" ca="1" si="48"/>
        <v/>
      </c>
      <c r="U1268" s="9" t="str">
        <f t="shared" ca="1" si="49"/>
        <v/>
      </c>
    </row>
    <row r="1269" spans="1:28" ht="29">
      <c r="A1269" s="3" t="s">
        <v>648</v>
      </c>
      <c r="D1269" s="3" t="s">
        <v>4984</v>
      </c>
      <c r="E1269" s="4" t="s">
        <v>4985</v>
      </c>
      <c r="F1269" t="s">
        <v>4986</v>
      </c>
      <c r="H1269" t="s">
        <v>3892</v>
      </c>
      <c r="I1269" t="s">
        <v>4987</v>
      </c>
      <c r="J1269" s="9" t="s">
        <v>8729</v>
      </c>
      <c r="S1269" s="9" t="s">
        <v>8739</v>
      </c>
      <c r="T1269" s="9" t="str">
        <f t="shared" ca="1" si="48"/>
        <v/>
      </c>
      <c r="U1269" s="9" t="str">
        <f t="shared" ca="1" si="49"/>
        <v/>
      </c>
      <c r="AB1269" s="9" t="s">
        <v>8688</v>
      </c>
    </row>
    <row r="1270" spans="1:28">
      <c r="A1270" s="3" t="s">
        <v>648</v>
      </c>
      <c r="D1270" s="3" t="s">
        <v>2916</v>
      </c>
      <c r="E1270" s="3" t="s">
        <v>2917</v>
      </c>
      <c r="J1270" s="9" t="s">
        <v>8729</v>
      </c>
      <c r="T1270" s="9" t="str">
        <f t="shared" ca="1" si="48"/>
        <v/>
      </c>
      <c r="U1270" s="9" t="str">
        <f t="shared" ca="1" si="49"/>
        <v/>
      </c>
      <c r="AB1270" s="9" t="s">
        <v>8688</v>
      </c>
    </row>
    <row r="1271" spans="1:28" ht="29">
      <c r="A1271" s="3" t="s">
        <v>649</v>
      </c>
      <c r="D1271" s="3" t="s">
        <v>4988</v>
      </c>
      <c r="E1271" s="3" t="s">
        <v>9613</v>
      </c>
      <c r="G1271" t="s">
        <v>3884</v>
      </c>
      <c r="J1271" s="9" t="s">
        <v>3885</v>
      </c>
      <c r="K1271" s="9">
        <v>1</v>
      </c>
      <c r="L1271" s="9">
        <v>8</v>
      </c>
      <c r="M1271" s="9" t="s">
        <v>8703</v>
      </c>
      <c r="N1271" s="9" t="s">
        <v>8690</v>
      </c>
      <c r="R1271" s="9">
        <v>41</v>
      </c>
      <c r="T1271" s="9" t="str">
        <f t="shared" ca="1" si="48"/>
        <v/>
      </c>
      <c r="U1271" s="9" t="str">
        <f t="shared" ca="1" si="49"/>
        <v/>
      </c>
    </row>
    <row r="1272" spans="1:28">
      <c r="A1272" s="3" t="s">
        <v>650</v>
      </c>
      <c r="D1272" s="3" t="s">
        <v>2790</v>
      </c>
      <c r="E1272" s="3" t="s">
        <v>2425</v>
      </c>
      <c r="J1272" s="9" t="s">
        <v>8729</v>
      </c>
      <c r="S1272" s="9" t="s">
        <v>8739</v>
      </c>
      <c r="T1272" s="9" t="str">
        <f t="shared" ca="1" si="48"/>
        <v/>
      </c>
      <c r="U1272" s="9" t="str">
        <f t="shared" ca="1" si="49"/>
        <v/>
      </c>
      <c r="Y1272" s="9" t="s">
        <v>8735</v>
      </c>
      <c r="Z1272" s="9" t="s">
        <v>8742</v>
      </c>
      <c r="AA1272" s="9" t="s">
        <v>3884</v>
      </c>
    </row>
    <row r="1273" spans="1:28" ht="29">
      <c r="A1273" s="3" t="s">
        <v>651</v>
      </c>
      <c r="D1273" s="3" t="s">
        <v>4989</v>
      </c>
      <c r="E1273" s="3" t="s">
        <v>4990</v>
      </c>
      <c r="H1273" t="s">
        <v>3884</v>
      </c>
      <c r="I1273" t="s">
        <v>9002</v>
      </c>
      <c r="J1273" s="9" t="s">
        <v>3889</v>
      </c>
      <c r="K1273" s="9">
        <v>3</v>
      </c>
      <c r="L1273" s="9">
        <v>12</v>
      </c>
      <c r="N1273" s="9" t="s">
        <v>8690</v>
      </c>
      <c r="R1273" s="9">
        <v>2</v>
      </c>
      <c r="T1273" s="9" t="str">
        <f t="shared" ca="1" si="48"/>
        <v/>
      </c>
      <c r="U1273" s="9" t="str">
        <f t="shared" ca="1" si="49"/>
        <v/>
      </c>
    </row>
    <row r="1274" spans="1:28">
      <c r="A1274" s="3" t="s">
        <v>652</v>
      </c>
      <c r="D1274" s="3" t="s">
        <v>2919</v>
      </c>
      <c r="E1274" s="4" t="s">
        <v>2920</v>
      </c>
      <c r="F1274" t="s">
        <v>3897</v>
      </c>
      <c r="T1274" s="9" t="str">
        <f t="shared" ca="1" si="48"/>
        <v/>
      </c>
      <c r="U1274" s="9" t="str">
        <f t="shared" ca="1" si="49"/>
        <v/>
      </c>
    </row>
    <row r="1275" spans="1:28" ht="43.5">
      <c r="A1275" s="3" t="s">
        <v>652</v>
      </c>
      <c r="D1275" s="3" t="s">
        <v>4991</v>
      </c>
      <c r="E1275" s="3" t="s">
        <v>4991</v>
      </c>
      <c r="F1275" t="s">
        <v>3932</v>
      </c>
      <c r="I1275" s="3" t="s">
        <v>4992</v>
      </c>
      <c r="T1275" s="9" t="str">
        <f t="shared" ca="1" si="48"/>
        <v/>
      </c>
      <c r="U1275" s="9" t="str">
        <f t="shared" ca="1" si="49"/>
        <v/>
      </c>
    </row>
    <row r="1276" spans="1:28">
      <c r="A1276" s="3" t="s">
        <v>653</v>
      </c>
      <c r="D1276" s="3" t="s">
        <v>4994</v>
      </c>
      <c r="E1276" s="3" t="s">
        <v>4993</v>
      </c>
      <c r="H1276" t="s">
        <v>3884</v>
      </c>
      <c r="J1276" s="9" t="s">
        <v>3889</v>
      </c>
      <c r="K1276" s="9">
        <v>1</v>
      </c>
      <c r="L1276" s="9">
        <v>1</v>
      </c>
      <c r="M1276" s="9" t="s">
        <v>8689</v>
      </c>
      <c r="N1276" s="9" t="s">
        <v>8730</v>
      </c>
      <c r="R1276" s="9">
        <v>10929</v>
      </c>
      <c r="T1276" s="9" t="str">
        <f t="shared" ca="1" si="48"/>
        <v/>
      </c>
      <c r="U1276" s="9" t="str">
        <f t="shared" ca="1" si="49"/>
        <v/>
      </c>
    </row>
    <row r="1277" spans="1:28">
      <c r="A1277" s="3" t="s">
        <v>653</v>
      </c>
      <c r="D1277" s="3" t="s">
        <v>4995</v>
      </c>
      <c r="E1277" s="3" t="s">
        <v>4993</v>
      </c>
      <c r="H1277" t="s">
        <v>3884</v>
      </c>
      <c r="J1277" s="9" t="s">
        <v>3889</v>
      </c>
      <c r="K1277" s="9">
        <v>1</v>
      </c>
      <c r="L1277" s="9">
        <v>3</v>
      </c>
      <c r="M1277" s="9" t="s">
        <v>8689</v>
      </c>
      <c r="N1277" s="9" t="s">
        <v>8690</v>
      </c>
      <c r="R1277" s="9">
        <v>10929</v>
      </c>
      <c r="T1277" s="9" t="str">
        <f t="shared" ca="1" si="48"/>
        <v/>
      </c>
      <c r="U1277" s="9" t="str">
        <f t="shared" ca="1" si="49"/>
        <v/>
      </c>
    </row>
    <row r="1278" spans="1:28">
      <c r="A1278" s="3" t="s">
        <v>654</v>
      </c>
      <c r="D1278" s="4" t="s">
        <v>2921</v>
      </c>
      <c r="E1278" s="3" t="s">
        <v>2922</v>
      </c>
      <c r="F1278" t="s">
        <v>3883</v>
      </c>
      <c r="T1278" s="9" t="str">
        <f t="shared" ca="1" si="48"/>
        <v/>
      </c>
      <c r="U1278" s="9" t="str">
        <f t="shared" ca="1" si="49"/>
        <v/>
      </c>
    </row>
    <row r="1279" spans="1:28">
      <c r="A1279" s="3" t="s">
        <v>655</v>
      </c>
      <c r="D1279" s="3" t="s">
        <v>4996</v>
      </c>
      <c r="E1279" s="3" t="s">
        <v>4996</v>
      </c>
      <c r="F1279" t="s">
        <v>3932</v>
      </c>
      <c r="I1279" t="s">
        <v>4997</v>
      </c>
      <c r="T1279" s="9" t="str">
        <f t="shared" ca="1" si="48"/>
        <v/>
      </c>
      <c r="U1279" s="9" t="str">
        <f t="shared" ca="1" si="49"/>
        <v/>
      </c>
    </row>
    <row r="1280" spans="1:28">
      <c r="A1280" s="3" t="s">
        <v>656</v>
      </c>
      <c r="D1280" s="3" t="s">
        <v>2923</v>
      </c>
      <c r="E1280" s="3" t="s">
        <v>2924</v>
      </c>
      <c r="J1280" s="9" t="s">
        <v>8729</v>
      </c>
      <c r="S1280" s="9" t="s">
        <v>8739</v>
      </c>
      <c r="T1280" s="9" t="str">
        <f t="shared" ca="1" si="48"/>
        <v/>
      </c>
      <c r="U1280" s="9" t="str">
        <f t="shared" ca="1" si="49"/>
        <v/>
      </c>
      <c r="Y1280" s="9" t="s">
        <v>8735</v>
      </c>
      <c r="AA1280" s="9" t="s">
        <v>3884</v>
      </c>
    </row>
    <row r="1281" spans="1:28">
      <c r="A1281" s="3" t="s">
        <v>657</v>
      </c>
      <c r="D1281" s="3" t="s">
        <v>4998</v>
      </c>
      <c r="E1281" s="3" t="s">
        <v>2925</v>
      </c>
      <c r="H1281" t="s">
        <v>3884</v>
      </c>
      <c r="J1281" s="9" t="s">
        <v>8729</v>
      </c>
      <c r="S1281" s="9" t="s">
        <v>8739</v>
      </c>
      <c r="T1281" s="9" t="str">
        <f t="shared" ca="1" si="48"/>
        <v/>
      </c>
      <c r="U1281" s="9" t="str">
        <f t="shared" ca="1" si="49"/>
        <v/>
      </c>
      <c r="Y1281" s="9" t="s">
        <v>8735</v>
      </c>
      <c r="AA1281" s="9" t="s">
        <v>3884</v>
      </c>
    </row>
    <row r="1282" spans="1:28">
      <c r="A1282" s="3" t="s">
        <v>658</v>
      </c>
      <c r="D1282" s="3" t="s">
        <v>4999</v>
      </c>
      <c r="E1282" s="3" t="s">
        <v>2926</v>
      </c>
      <c r="H1282" t="s">
        <v>3884</v>
      </c>
      <c r="I1282" t="s">
        <v>9224</v>
      </c>
      <c r="J1282" s="9" t="s">
        <v>8729</v>
      </c>
      <c r="S1282" s="9">
        <f>2-4</f>
        <v>-2</v>
      </c>
      <c r="T1282" s="9">
        <f t="shared" ca="1" si="48"/>
        <v>4</v>
      </c>
      <c r="U1282" s="9">
        <f t="shared" ca="1" si="49"/>
        <v>2</v>
      </c>
      <c r="V1282" s="9" t="s">
        <v>4</v>
      </c>
    </row>
    <row r="1283" spans="1:28">
      <c r="A1283" s="3" t="s">
        <v>658</v>
      </c>
      <c r="D1283" s="3" t="s">
        <v>2927</v>
      </c>
      <c r="E1283" s="3" t="s">
        <v>2927</v>
      </c>
      <c r="F1283" t="s">
        <v>3932</v>
      </c>
      <c r="I1283" t="s">
        <v>5000</v>
      </c>
      <c r="T1283" s="9" t="str">
        <f t="shared" ca="1" si="48"/>
        <v/>
      </c>
      <c r="U1283" s="9" t="str">
        <f t="shared" ca="1" si="49"/>
        <v/>
      </c>
    </row>
    <row r="1284" spans="1:28">
      <c r="A1284" s="3" t="s">
        <v>659</v>
      </c>
      <c r="D1284" s="3" t="s">
        <v>5001</v>
      </c>
      <c r="E1284" s="3" t="s">
        <v>2928</v>
      </c>
      <c r="H1284" t="s">
        <v>3884</v>
      </c>
      <c r="J1284" s="9" t="s">
        <v>8731</v>
      </c>
      <c r="T1284" s="9" t="str">
        <f t="shared" ca="1" si="48"/>
        <v/>
      </c>
      <c r="U1284" s="9" t="str">
        <f t="shared" ca="1" si="49"/>
        <v/>
      </c>
    </row>
    <row r="1285" spans="1:28">
      <c r="A1285" s="3" t="s">
        <v>660</v>
      </c>
      <c r="D1285" s="3" t="s">
        <v>5002</v>
      </c>
      <c r="E1285" s="3" t="s">
        <v>5003</v>
      </c>
      <c r="H1285" t="s">
        <v>3884</v>
      </c>
      <c r="J1285" s="9" t="s">
        <v>3885</v>
      </c>
      <c r="K1285" s="9">
        <v>1</v>
      </c>
      <c r="L1285" s="9">
        <v>2</v>
      </c>
      <c r="M1285" s="9" t="s">
        <v>8689</v>
      </c>
      <c r="N1285" s="9" t="s">
        <v>8730</v>
      </c>
      <c r="R1285" s="9">
        <v>10929</v>
      </c>
      <c r="T1285" s="9" t="str">
        <f t="shared" ca="1" si="48"/>
        <v/>
      </c>
      <c r="U1285" s="9" t="str">
        <f t="shared" ca="1" si="49"/>
        <v/>
      </c>
    </row>
    <row r="1286" spans="1:28">
      <c r="A1286" s="3" t="s">
        <v>661</v>
      </c>
      <c r="D1286" s="3" t="s">
        <v>2831</v>
      </c>
      <c r="E1286" s="3" t="s">
        <v>2832</v>
      </c>
      <c r="J1286" s="9" t="s">
        <v>8731</v>
      </c>
      <c r="T1286" s="9" t="str">
        <f t="shared" ref="T1286:T1349" ca="1" si="50">IF(ISNUMBER(S1286),VALUE(MID(_xlfn.FORMULATEXT(S1286),SEARCH("-",_xlfn.FORMULATEXT(S1286))+1,LEN(_xlfn.FORMULATEXT(S1286))-SEARCH("-",_xlfn.FORMULATEXT(S1286)))), "")</f>
        <v/>
      </c>
      <c r="U1286" s="9" t="str">
        <f t="shared" ref="U1286:U1349" ca="1" si="51">IF(ISNUMBER(S1286), VALUE(MID(_xlfn.FORMULATEXT(S1286), 2, SEARCH("-", _xlfn.FORMULATEXT(S1286)) - 2)), "")</f>
        <v/>
      </c>
      <c r="Z1286" s="9" t="s">
        <v>8833</v>
      </c>
      <c r="AA1286" s="9" t="s">
        <v>3884</v>
      </c>
      <c r="AB1286" s="9" t="s">
        <v>8688</v>
      </c>
    </row>
    <row r="1287" spans="1:28">
      <c r="A1287" s="3" t="s">
        <v>661</v>
      </c>
      <c r="D1287" s="3" t="s">
        <v>5004</v>
      </c>
      <c r="E1287" s="3" t="s">
        <v>5005</v>
      </c>
      <c r="J1287" s="9" t="s">
        <v>3885</v>
      </c>
      <c r="K1287" s="9">
        <v>1</v>
      </c>
      <c r="L1287" s="9">
        <v>2</v>
      </c>
      <c r="M1287" s="9" t="s">
        <v>8707</v>
      </c>
      <c r="N1287" s="9" t="s">
        <v>8730</v>
      </c>
      <c r="R1287" s="9">
        <v>329</v>
      </c>
      <c r="T1287" s="9" t="str">
        <f t="shared" ca="1" si="50"/>
        <v/>
      </c>
      <c r="U1287" s="9" t="str">
        <f t="shared" ca="1" si="51"/>
        <v/>
      </c>
    </row>
    <row r="1288" spans="1:28">
      <c r="A1288" s="3" t="s">
        <v>662</v>
      </c>
      <c r="D1288" s="3" t="s">
        <v>5006</v>
      </c>
      <c r="E1288" s="3" t="s">
        <v>5007</v>
      </c>
      <c r="J1288" s="9" t="s">
        <v>8732</v>
      </c>
      <c r="S1288" s="9">
        <f>1485-165</f>
        <v>1320</v>
      </c>
      <c r="T1288" s="9">
        <f t="shared" ca="1" si="50"/>
        <v>165</v>
      </c>
      <c r="U1288" s="9">
        <f t="shared" ca="1" si="51"/>
        <v>1485</v>
      </c>
      <c r="AB1288" s="9" t="s">
        <v>8697</v>
      </c>
    </row>
    <row r="1289" spans="1:28">
      <c r="A1289" s="3" t="s">
        <v>662</v>
      </c>
      <c r="D1289" s="3" t="s">
        <v>2929</v>
      </c>
      <c r="E1289" s="3" t="s">
        <v>2930</v>
      </c>
      <c r="J1289" s="9" t="s">
        <v>8729</v>
      </c>
      <c r="S1289" s="9" t="s">
        <v>8739</v>
      </c>
      <c r="T1289" s="9" t="str">
        <f t="shared" ca="1" si="50"/>
        <v/>
      </c>
      <c r="U1289" s="9" t="str">
        <f t="shared" ca="1" si="51"/>
        <v/>
      </c>
      <c r="Z1289" s="9" t="s">
        <v>8741</v>
      </c>
      <c r="AA1289" s="9" t="s">
        <v>3884</v>
      </c>
      <c r="AB1289" s="9" t="s">
        <v>8697</v>
      </c>
    </row>
    <row r="1290" spans="1:28">
      <c r="A1290" s="3" t="s">
        <v>662</v>
      </c>
      <c r="D1290" s="3" t="s">
        <v>2931</v>
      </c>
      <c r="E1290" s="3" t="s">
        <v>2932</v>
      </c>
      <c r="J1290" s="9" t="s">
        <v>8729</v>
      </c>
      <c r="S1290" s="9" t="s">
        <v>8739</v>
      </c>
      <c r="T1290" s="9" t="str">
        <f t="shared" ca="1" si="50"/>
        <v/>
      </c>
      <c r="U1290" s="9" t="str">
        <f t="shared" ca="1" si="51"/>
        <v/>
      </c>
      <c r="AB1290" s="9" t="s">
        <v>8697</v>
      </c>
    </row>
    <row r="1291" spans="1:28" ht="29">
      <c r="A1291" s="3" t="s">
        <v>663</v>
      </c>
      <c r="D1291" s="3" t="s">
        <v>5008</v>
      </c>
      <c r="E1291" s="3" t="s">
        <v>5009</v>
      </c>
      <c r="H1291" t="s">
        <v>3884</v>
      </c>
      <c r="J1291" s="9" t="s">
        <v>3885</v>
      </c>
      <c r="K1291" s="9">
        <v>2</v>
      </c>
      <c r="L1291" s="9">
        <v>5</v>
      </c>
      <c r="N1291" s="9" t="s">
        <v>8690</v>
      </c>
      <c r="R1291" s="9" t="s">
        <v>8739</v>
      </c>
      <c r="T1291" s="9" t="str">
        <f t="shared" ca="1" si="50"/>
        <v/>
      </c>
      <c r="U1291" s="9" t="str">
        <f t="shared" ca="1" si="51"/>
        <v/>
      </c>
      <c r="AB1291" s="9" t="s">
        <v>8688</v>
      </c>
    </row>
    <row r="1292" spans="1:28">
      <c r="A1292" s="3" t="s">
        <v>663</v>
      </c>
      <c r="D1292" s="3" t="s">
        <v>2933</v>
      </c>
      <c r="E1292" s="3" t="s">
        <v>2934</v>
      </c>
      <c r="J1292" s="9" t="s">
        <v>8729</v>
      </c>
      <c r="S1292" s="9">
        <f>79-24</f>
        <v>55</v>
      </c>
      <c r="T1292" s="9">
        <f t="shared" ca="1" si="50"/>
        <v>24</v>
      </c>
      <c r="U1292" s="9">
        <f t="shared" ca="1" si="51"/>
        <v>79</v>
      </c>
    </row>
    <row r="1293" spans="1:28">
      <c r="A1293" s="3" t="s">
        <v>663</v>
      </c>
      <c r="D1293" s="3" t="s">
        <v>2935</v>
      </c>
      <c r="E1293" s="3" t="s">
        <v>2936</v>
      </c>
      <c r="F1293" t="s">
        <v>3881</v>
      </c>
      <c r="J1293" s="9" t="s">
        <v>8731</v>
      </c>
      <c r="T1293" s="9" t="str">
        <f t="shared" ca="1" si="50"/>
        <v/>
      </c>
      <c r="U1293" s="9" t="str">
        <f t="shared" ca="1" si="51"/>
        <v/>
      </c>
      <c r="Z1293" s="9" t="s">
        <v>8833</v>
      </c>
      <c r="AA1293" s="9" t="s">
        <v>3884</v>
      </c>
      <c r="AB1293" s="9" t="s">
        <v>8697</v>
      </c>
    </row>
    <row r="1294" spans="1:28">
      <c r="A1294" s="3" t="s">
        <v>663</v>
      </c>
      <c r="D1294" s="3" t="s">
        <v>2937</v>
      </c>
      <c r="E1294" s="3" t="s">
        <v>2938</v>
      </c>
      <c r="J1294" s="9" t="s">
        <v>8729</v>
      </c>
      <c r="S1294" s="9" t="s">
        <v>8739</v>
      </c>
      <c r="T1294" s="9" t="str">
        <f t="shared" ca="1" si="50"/>
        <v/>
      </c>
      <c r="U1294" s="9" t="str">
        <f t="shared" ca="1" si="51"/>
        <v/>
      </c>
      <c r="AB1294" s="9" t="s">
        <v>8688</v>
      </c>
    </row>
    <row r="1295" spans="1:28">
      <c r="A1295" s="3" t="s">
        <v>664</v>
      </c>
      <c r="D1295" s="3" t="s">
        <v>2939</v>
      </c>
      <c r="E1295" s="3" t="s">
        <v>2939</v>
      </c>
      <c r="F1295" t="s">
        <v>3932</v>
      </c>
      <c r="I1295" t="s">
        <v>5010</v>
      </c>
      <c r="T1295" s="9" t="str">
        <f t="shared" ca="1" si="50"/>
        <v/>
      </c>
      <c r="U1295" s="9" t="str">
        <f t="shared" ca="1" si="51"/>
        <v/>
      </c>
    </row>
    <row r="1296" spans="1:28">
      <c r="A1296" s="3" t="s">
        <v>664</v>
      </c>
      <c r="D1296" s="4" t="s">
        <v>5011</v>
      </c>
      <c r="E1296" s="3" t="s">
        <v>5012</v>
      </c>
      <c r="F1296" t="s">
        <v>3883</v>
      </c>
      <c r="T1296" s="9" t="str">
        <f t="shared" ca="1" si="50"/>
        <v/>
      </c>
      <c r="U1296" s="9" t="str">
        <f t="shared" ca="1" si="51"/>
        <v/>
      </c>
    </row>
    <row r="1297" spans="1:28">
      <c r="A1297" s="3" t="s">
        <v>664</v>
      </c>
      <c r="D1297" s="3" t="s">
        <v>2644</v>
      </c>
      <c r="E1297" s="3" t="s">
        <v>2644</v>
      </c>
      <c r="F1297" t="s">
        <v>3932</v>
      </c>
      <c r="I1297" t="s">
        <v>3878</v>
      </c>
      <c r="T1297" s="9" t="str">
        <f t="shared" ca="1" si="50"/>
        <v/>
      </c>
      <c r="U1297" s="9" t="str">
        <f t="shared" ca="1" si="51"/>
        <v/>
      </c>
    </row>
    <row r="1298" spans="1:28">
      <c r="A1298" s="3" t="s">
        <v>664</v>
      </c>
      <c r="D1298" s="3" t="s">
        <v>5013</v>
      </c>
      <c r="E1298" s="3" t="s">
        <v>5014</v>
      </c>
      <c r="H1298" t="s">
        <v>3892</v>
      </c>
      <c r="I1298" t="s">
        <v>2222</v>
      </c>
      <c r="J1298" s="9" t="s">
        <v>8729</v>
      </c>
      <c r="S1298" s="9" t="s">
        <v>8739</v>
      </c>
      <c r="T1298" s="9" t="str">
        <f t="shared" ca="1" si="50"/>
        <v/>
      </c>
      <c r="U1298" s="9" t="str">
        <f t="shared" ca="1" si="51"/>
        <v/>
      </c>
      <c r="AB1298" s="9" t="s">
        <v>8688</v>
      </c>
    </row>
    <row r="1299" spans="1:28">
      <c r="A1299" s="3" t="s">
        <v>664</v>
      </c>
      <c r="D1299" s="3" t="s">
        <v>5015</v>
      </c>
      <c r="E1299" s="3" t="s">
        <v>5016</v>
      </c>
      <c r="J1299" s="9" t="s">
        <v>8731</v>
      </c>
      <c r="T1299" s="9" t="str">
        <f t="shared" ca="1" si="50"/>
        <v/>
      </c>
      <c r="U1299" s="9" t="str">
        <f t="shared" ca="1" si="51"/>
        <v/>
      </c>
      <c r="AB1299" s="9" t="s">
        <v>8694</v>
      </c>
    </row>
    <row r="1300" spans="1:28">
      <c r="A1300" s="3" t="s">
        <v>664</v>
      </c>
      <c r="D1300" s="3" t="s">
        <v>5017</v>
      </c>
      <c r="E1300" s="3" t="s">
        <v>5018</v>
      </c>
      <c r="H1300" t="s">
        <v>3884</v>
      </c>
      <c r="J1300" s="9" t="s">
        <v>8729</v>
      </c>
      <c r="S1300" s="9">
        <f>1-5</f>
        <v>-4</v>
      </c>
      <c r="T1300" s="9">
        <f t="shared" ca="1" si="50"/>
        <v>5</v>
      </c>
      <c r="U1300" s="9">
        <f t="shared" ca="1" si="51"/>
        <v>1</v>
      </c>
    </row>
    <row r="1301" spans="1:28">
      <c r="A1301" s="3" t="s">
        <v>664</v>
      </c>
      <c r="D1301" s="3" t="s">
        <v>2940</v>
      </c>
      <c r="E1301" s="3" t="s">
        <v>2940</v>
      </c>
      <c r="F1301" t="s">
        <v>3932</v>
      </c>
      <c r="I1301" t="s">
        <v>2944</v>
      </c>
      <c r="T1301" s="9" t="str">
        <f t="shared" ca="1" si="50"/>
        <v/>
      </c>
      <c r="U1301" s="9" t="str">
        <f t="shared" ca="1" si="51"/>
        <v/>
      </c>
    </row>
    <row r="1302" spans="1:28">
      <c r="A1302" s="3" t="s">
        <v>665</v>
      </c>
      <c r="D1302" s="3" t="s">
        <v>5019</v>
      </c>
      <c r="E1302" s="3" t="s">
        <v>5020</v>
      </c>
      <c r="F1302" t="s">
        <v>3932</v>
      </c>
      <c r="I1302" t="s">
        <v>5021</v>
      </c>
      <c r="T1302" s="9" t="str">
        <f t="shared" ca="1" si="50"/>
        <v/>
      </c>
      <c r="U1302" s="9" t="str">
        <f t="shared" ca="1" si="51"/>
        <v/>
      </c>
    </row>
    <row r="1303" spans="1:28">
      <c r="A1303" s="3" t="s">
        <v>665</v>
      </c>
      <c r="D1303" s="3" t="s">
        <v>5022</v>
      </c>
      <c r="E1303" s="3" t="s">
        <v>5023</v>
      </c>
      <c r="J1303" s="9" t="s">
        <v>8731</v>
      </c>
      <c r="T1303" s="9" t="str">
        <f t="shared" ca="1" si="50"/>
        <v/>
      </c>
      <c r="U1303" s="9" t="str">
        <f t="shared" ca="1" si="51"/>
        <v/>
      </c>
    </row>
    <row r="1304" spans="1:28">
      <c r="A1304" s="3" t="s">
        <v>666</v>
      </c>
      <c r="D1304" s="3" t="s">
        <v>2941</v>
      </c>
      <c r="E1304" s="3" t="s">
        <v>2941</v>
      </c>
      <c r="F1304" t="s">
        <v>3932</v>
      </c>
      <c r="I1304" t="s">
        <v>3598</v>
      </c>
      <c r="T1304" s="9" t="str">
        <f t="shared" ca="1" si="50"/>
        <v/>
      </c>
      <c r="U1304" s="9" t="str">
        <f t="shared" ca="1" si="51"/>
        <v/>
      </c>
    </row>
    <row r="1305" spans="1:28">
      <c r="A1305" s="3" t="s">
        <v>666</v>
      </c>
      <c r="D1305" s="3" t="s">
        <v>5024</v>
      </c>
      <c r="E1305" s="3" t="s">
        <v>2942</v>
      </c>
      <c r="H1305" t="s">
        <v>3884</v>
      </c>
      <c r="J1305" s="9" t="s">
        <v>8729</v>
      </c>
      <c r="S1305" s="9" t="s">
        <v>8739</v>
      </c>
      <c r="T1305" s="9" t="str">
        <f t="shared" ca="1" si="50"/>
        <v/>
      </c>
      <c r="U1305" s="9" t="str">
        <f t="shared" ca="1" si="51"/>
        <v/>
      </c>
      <c r="Y1305" s="9" t="s">
        <v>8735</v>
      </c>
      <c r="AA1305" s="9" t="s">
        <v>3884</v>
      </c>
    </row>
    <row r="1306" spans="1:28">
      <c r="A1306" s="3" t="s">
        <v>666</v>
      </c>
      <c r="D1306" s="3" t="s">
        <v>2946</v>
      </c>
      <c r="E1306" s="3" t="s">
        <v>2947</v>
      </c>
      <c r="J1306" s="9" t="s">
        <v>8731</v>
      </c>
      <c r="T1306" s="9" t="str">
        <f t="shared" ca="1" si="50"/>
        <v/>
      </c>
      <c r="U1306" s="9" t="str">
        <f t="shared" ca="1" si="51"/>
        <v/>
      </c>
      <c r="AB1306" s="9" t="s">
        <v>8697</v>
      </c>
    </row>
    <row r="1307" spans="1:28">
      <c r="A1307" s="3" t="s">
        <v>667</v>
      </c>
      <c r="D1307" s="3" t="s">
        <v>2948</v>
      </c>
      <c r="E1307" s="3" t="s">
        <v>2944</v>
      </c>
      <c r="J1307" s="9" t="s">
        <v>8731</v>
      </c>
      <c r="T1307" s="9" t="str">
        <f t="shared" ca="1" si="50"/>
        <v/>
      </c>
      <c r="U1307" s="9" t="str">
        <f t="shared" ca="1" si="51"/>
        <v/>
      </c>
      <c r="Y1307" s="9" t="s">
        <v>8735</v>
      </c>
      <c r="AA1307" s="9" t="s">
        <v>3884</v>
      </c>
    </row>
    <row r="1308" spans="1:28">
      <c r="A1308" s="3" t="s">
        <v>667</v>
      </c>
      <c r="D1308" s="3" t="s">
        <v>5025</v>
      </c>
      <c r="E1308" s="3" t="s">
        <v>5026</v>
      </c>
      <c r="F1308" t="s">
        <v>3893</v>
      </c>
      <c r="J1308" s="9" t="s">
        <v>3885</v>
      </c>
      <c r="K1308" s="9">
        <v>1</v>
      </c>
      <c r="L1308" s="9">
        <v>2</v>
      </c>
      <c r="M1308" s="9" t="s">
        <v>8689</v>
      </c>
      <c r="N1308" s="9" t="s">
        <v>8730</v>
      </c>
      <c r="R1308" s="9">
        <v>10929</v>
      </c>
      <c r="T1308" s="9" t="str">
        <f t="shared" ca="1" si="50"/>
        <v/>
      </c>
      <c r="U1308" s="9" t="str">
        <f t="shared" ca="1" si="51"/>
        <v/>
      </c>
    </row>
    <row r="1309" spans="1:28">
      <c r="A1309" s="3" t="s">
        <v>667</v>
      </c>
      <c r="D1309" s="3" t="s">
        <v>2110</v>
      </c>
      <c r="E1309" s="3" t="s">
        <v>2111</v>
      </c>
      <c r="J1309" s="9" t="s">
        <v>8729</v>
      </c>
      <c r="S1309" s="9" t="s">
        <v>8739</v>
      </c>
      <c r="T1309" s="9" t="str">
        <f t="shared" ca="1" si="50"/>
        <v/>
      </c>
      <c r="U1309" s="9" t="str">
        <f t="shared" ca="1" si="51"/>
        <v/>
      </c>
      <c r="Z1309" s="9" t="s">
        <v>8742</v>
      </c>
      <c r="AA1309" s="9" t="s">
        <v>3884</v>
      </c>
      <c r="AB1309" s="9" t="s">
        <v>8697</v>
      </c>
    </row>
    <row r="1310" spans="1:28">
      <c r="A1310" s="3" t="s">
        <v>668</v>
      </c>
      <c r="D1310" s="4" t="s">
        <v>2392</v>
      </c>
      <c r="E1310" s="3" t="s">
        <v>2949</v>
      </c>
      <c r="F1310" t="s">
        <v>3883</v>
      </c>
      <c r="T1310" s="9" t="str">
        <f t="shared" ca="1" si="50"/>
        <v/>
      </c>
      <c r="U1310" s="9" t="str">
        <f t="shared" ca="1" si="51"/>
        <v/>
      </c>
    </row>
    <row r="1311" spans="1:28">
      <c r="A1311" s="3" t="s">
        <v>669</v>
      </c>
      <c r="D1311" s="3" t="s">
        <v>2950</v>
      </c>
      <c r="E1311" s="3" t="s">
        <v>2951</v>
      </c>
      <c r="J1311" s="9" t="s">
        <v>8729</v>
      </c>
      <c r="S1311" s="9" t="s">
        <v>8739</v>
      </c>
      <c r="T1311" s="9" t="str">
        <f t="shared" ca="1" si="50"/>
        <v/>
      </c>
      <c r="U1311" s="9" t="str">
        <f t="shared" ca="1" si="51"/>
        <v/>
      </c>
      <c r="Z1311" s="9" t="s">
        <v>8742</v>
      </c>
      <c r="AA1311" s="9" t="s">
        <v>3884</v>
      </c>
      <c r="AB1311" s="9" t="s">
        <v>8697</v>
      </c>
    </row>
    <row r="1312" spans="1:28">
      <c r="A1312" s="3" t="s">
        <v>669</v>
      </c>
      <c r="D1312" s="3" t="s">
        <v>5027</v>
      </c>
      <c r="E1312" s="3" t="s">
        <v>5028</v>
      </c>
      <c r="H1312" t="s">
        <v>3884</v>
      </c>
      <c r="J1312" s="9" t="s">
        <v>3889</v>
      </c>
      <c r="K1312" s="9">
        <v>1</v>
      </c>
      <c r="L1312" s="9">
        <v>3</v>
      </c>
      <c r="M1312" s="9" t="s">
        <v>8689</v>
      </c>
      <c r="N1312" s="9" t="s">
        <v>8690</v>
      </c>
      <c r="R1312" s="9">
        <v>10929</v>
      </c>
      <c r="T1312" s="9" t="str">
        <f t="shared" ca="1" si="50"/>
        <v/>
      </c>
      <c r="U1312" s="9" t="str">
        <f t="shared" ca="1" si="51"/>
        <v/>
      </c>
    </row>
    <row r="1313" spans="1:28">
      <c r="A1313" s="3" t="s">
        <v>669</v>
      </c>
      <c r="D1313" s="3" t="s">
        <v>2952</v>
      </c>
      <c r="E1313" s="3" t="s">
        <v>2953</v>
      </c>
      <c r="J1313" s="9" t="s">
        <v>8729</v>
      </c>
      <c r="S1313" s="9" t="s">
        <v>8739</v>
      </c>
      <c r="T1313" s="9" t="str">
        <f t="shared" ca="1" si="50"/>
        <v/>
      </c>
      <c r="U1313" s="9" t="str">
        <f t="shared" ca="1" si="51"/>
        <v/>
      </c>
      <c r="Y1313" s="9" t="s">
        <v>8735</v>
      </c>
      <c r="AA1313" s="9" t="s">
        <v>3884</v>
      </c>
    </row>
    <row r="1314" spans="1:28">
      <c r="A1314" s="3" t="s">
        <v>670</v>
      </c>
      <c r="D1314" s="3" t="s">
        <v>2952</v>
      </c>
      <c r="E1314" s="3" t="s">
        <v>2952</v>
      </c>
      <c r="F1314" t="s">
        <v>3932</v>
      </c>
      <c r="I1314" t="s">
        <v>2953</v>
      </c>
      <c r="T1314" s="9" t="str">
        <f t="shared" ca="1" si="50"/>
        <v/>
      </c>
      <c r="U1314" s="9" t="str">
        <f t="shared" ca="1" si="51"/>
        <v/>
      </c>
    </row>
    <row r="1315" spans="1:28">
      <c r="A1315" s="3" t="s">
        <v>671</v>
      </c>
      <c r="D1315" s="3" t="s">
        <v>5029</v>
      </c>
      <c r="E1315" s="3" t="s">
        <v>9614</v>
      </c>
      <c r="F1315" t="s">
        <v>3893</v>
      </c>
      <c r="I1315" t="s">
        <v>5030</v>
      </c>
      <c r="J1315" s="9" t="s">
        <v>8729</v>
      </c>
      <c r="S1315" s="9" t="s">
        <v>8739</v>
      </c>
      <c r="T1315" s="9" t="str">
        <f t="shared" ca="1" si="50"/>
        <v/>
      </c>
      <c r="U1315" s="9" t="str">
        <f t="shared" ca="1" si="51"/>
        <v/>
      </c>
      <c r="Y1315" s="9" t="s">
        <v>8735</v>
      </c>
      <c r="AA1315" s="9" t="s">
        <v>3884</v>
      </c>
    </row>
    <row r="1316" spans="1:28">
      <c r="A1316" s="3" t="s">
        <v>671</v>
      </c>
      <c r="D1316" s="3" t="s">
        <v>3961</v>
      </c>
      <c r="E1316" s="3" t="s">
        <v>5031</v>
      </c>
      <c r="J1316" s="9" t="s">
        <v>8729</v>
      </c>
      <c r="S1316" s="9">
        <f>335-1225</f>
        <v>-890</v>
      </c>
      <c r="T1316" s="9">
        <f t="shared" ca="1" si="50"/>
        <v>1225</v>
      </c>
      <c r="U1316" s="9">
        <f t="shared" ca="1" si="51"/>
        <v>335</v>
      </c>
    </row>
    <row r="1317" spans="1:28">
      <c r="A1317" s="3" t="s">
        <v>671</v>
      </c>
      <c r="D1317" s="3" t="s">
        <v>5032</v>
      </c>
      <c r="E1317" s="3" t="s">
        <v>5032</v>
      </c>
      <c r="F1317" t="s">
        <v>3932</v>
      </c>
      <c r="I1317" t="s">
        <v>5033</v>
      </c>
      <c r="T1317" s="9" t="str">
        <f t="shared" ca="1" si="50"/>
        <v/>
      </c>
      <c r="U1317" s="9" t="str">
        <f t="shared" ca="1" si="51"/>
        <v/>
      </c>
    </row>
    <row r="1318" spans="1:28">
      <c r="A1318" s="3" t="s">
        <v>672</v>
      </c>
      <c r="D1318" s="3" t="s">
        <v>5034</v>
      </c>
      <c r="E1318" s="3" t="s">
        <v>2954</v>
      </c>
      <c r="H1318" t="s">
        <v>3892</v>
      </c>
      <c r="I1318" t="s">
        <v>5035</v>
      </c>
      <c r="J1318" s="9" t="s">
        <v>8731</v>
      </c>
      <c r="T1318" s="9" t="str">
        <f t="shared" ca="1" si="50"/>
        <v/>
      </c>
      <c r="U1318" s="9" t="str">
        <f t="shared" ca="1" si="51"/>
        <v/>
      </c>
      <c r="AB1318" s="9" t="s">
        <v>8688</v>
      </c>
    </row>
    <row r="1319" spans="1:28">
      <c r="A1319" s="3" t="s">
        <v>673</v>
      </c>
      <c r="D1319" s="3" t="s">
        <v>2837</v>
      </c>
      <c r="E1319" s="3" t="s">
        <v>2837</v>
      </c>
      <c r="F1319" t="s">
        <v>3932</v>
      </c>
      <c r="I1319" t="s">
        <v>2195</v>
      </c>
      <c r="T1319" s="9" t="str">
        <f t="shared" ca="1" si="50"/>
        <v/>
      </c>
      <c r="U1319" s="9" t="str">
        <f t="shared" ca="1" si="51"/>
        <v/>
      </c>
    </row>
    <row r="1320" spans="1:28">
      <c r="A1320" s="3" t="s">
        <v>674</v>
      </c>
      <c r="D1320" s="3" t="s">
        <v>5036</v>
      </c>
      <c r="E1320" s="3" t="s">
        <v>5036</v>
      </c>
      <c r="F1320" t="s">
        <v>3893</v>
      </c>
      <c r="H1320" t="s">
        <v>3892</v>
      </c>
      <c r="I1320" t="s">
        <v>5037</v>
      </c>
      <c r="T1320" s="9" t="str">
        <f t="shared" ca="1" si="50"/>
        <v/>
      </c>
      <c r="U1320" s="9" t="str">
        <f t="shared" ca="1" si="51"/>
        <v/>
      </c>
    </row>
    <row r="1321" spans="1:28">
      <c r="A1321" s="3" t="s">
        <v>675</v>
      </c>
      <c r="D1321" s="3" t="s">
        <v>5038</v>
      </c>
      <c r="E1321" s="3" t="s">
        <v>5038</v>
      </c>
      <c r="F1321" t="s">
        <v>3932</v>
      </c>
      <c r="I1321" t="s">
        <v>5039</v>
      </c>
      <c r="T1321" s="9" t="str">
        <f t="shared" ca="1" si="50"/>
        <v/>
      </c>
      <c r="U1321" s="9" t="str">
        <f t="shared" ca="1" si="51"/>
        <v/>
      </c>
    </row>
    <row r="1322" spans="1:28">
      <c r="A1322" s="3" t="s">
        <v>675</v>
      </c>
      <c r="D1322" s="3" t="s">
        <v>2837</v>
      </c>
      <c r="E1322" s="3" t="s">
        <v>2837</v>
      </c>
      <c r="F1322" t="s">
        <v>3932</v>
      </c>
      <c r="I1322" t="s">
        <v>3191</v>
      </c>
      <c r="T1322" s="9" t="str">
        <f t="shared" ca="1" si="50"/>
        <v/>
      </c>
      <c r="U1322" s="9" t="str">
        <f t="shared" ca="1" si="51"/>
        <v/>
      </c>
    </row>
    <row r="1323" spans="1:28">
      <c r="A1323" s="3" t="s">
        <v>676</v>
      </c>
      <c r="D1323" s="3" t="s">
        <v>5040</v>
      </c>
      <c r="E1323" s="3" t="s">
        <v>5041</v>
      </c>
      <c r="H1323" t="s">
        <v>3884</v>
      </c>
      <c r="J1323" s="9" t="s">
        <v>3885</v>
      </c>
      <c r="K1323" s="9">
        <v>1</v>
      </c>
      <c r="L1323" s="9">
        <v>3</v>
      </c>
      <c r="M1323" s="9" t="s">
        <v>8698</v>
      </c>
      <c r="N1323" s="9" t="s">
        <v>8690</v>
      </c>
      <c r="R1323" s="9">
        <v>9418</v>
      </c>
      <c r="T1323" s="9" t="str">
        <f t="shared" ca="1" si="50"/>
        <v/>
      </c>
      <c r="U1323" s="9" t="str">
        <f t="shared" ca="1" si="51"/>
        <v/>
      </c>
    </row>
    <row r="1324" spans="1:28">
      <c r="A1324" s="3" t="s">
        <v>676</v>
      </c>
      <c r="D1324" s="3" t="s">
        <v>5042</v>
      </c>
      <c r="E1324" s="3" t="s">
        <v>5043</v>
      </c>
      <c r="J1324" s="9" t="s">
        <v>8732</v>
      </c>
      <c r="S1324" s="9">
        <f>0-234</f>
        <v>-234</v>
      </c>
      <c r="T1324" s="9">
        <f t="shared" ca="1" si="50"/>
        <v>234</v>
      </c>
      <c r="U1324" s="9">
        <f t="shared" ca="1" si="51"/>
        <v>0</v>
      </c>
      <c r="AB1324" s="9" t="s">
        <v>8694</v>
      </c>
    </row>
    <row r="1325" spans="1:28" ht="29">
      <c r="A1325" s="3" t="s">
        <v>677</v>
      </c>
      <c r="D1325" s="3" t="s">
        <v>5044</v>
      </c>
      <c r="E1325" s="3" t="s">
        <v>5045</v>
      </c>
      <c r="J1325" s="9" t="s">
        <v>3889</v>
      </c>
      <c r="K1325" s="9">
        <v>1</v>
      </c>
      <c r="L1325" s="9">
        <v>3</v>
      </c>
      <c r="M1325" s="9" t="s">
        <v>8689</v>
      </c>
      <c r="N1325" s="9" t="s">
        <v>8684</v>
      </c>
      <c r="O1325" s="9" t="s">
        <v>8777</v>
      </c>
      <c r="P1325" s="10" t="s">
        <v>8778</v>
      </c>
      <c r="Q1325" s="9" t="s">
        <v>8685</v>
      </c>
      <c r="R1325" s="9">
        <v>10929</v>
      </c>
      <c r="T1325" s="9" t="str">
        <f t="shared" ca="1" si="50"/>
        <v/>
      </c>
      <c r="U1325" s="9" t="str">
        <f t="shared" ca="1" si="51"/>
        <v/>
      </c>
    </row>
    <row r="1326" spans="1:28" ht="29">
      <c r="A1326" s="3" t="s">
        <v>677</v>
      </c>
      <c r="D1326" s="3" t="s">
        <v>5046</v>
      </c>
      <c r="E1326" s="3" t="s">
        <v>5047</v>
      </c>
      <c r="H1326" t="s">
        <v>3884</v>
      </c>
      <c r="J1326" s="9" t="s">
        <v>3885</v>
      </c>
      <c r="K1326" s="9">
        <v>1</v>
      </c>
      <c r="L1326" s="9">
        <v>4</v>
      </c>
      <c r="M1326" s="9" t="s">
        <v>8707</v>
      </c>
      <c r="N1326" s="9" t="s">
        <v>8690</v>
      </c>
      <c r="R1326" s="9">
        <v>87</v>
      </c>
      <c r="T1326" s="9" t="str">
        <f t="shared" ca="1" si="50"/>
        <v/>
      </c>
      <c r="U1326" s="9" t="str">
        <f t="shared" ca="1" si="51"/>
        <v/>
      </c>
      <c r="AB1326" s="9" t="s">
        <v>8694</v>
      </c>
    </row>
    <row r="1327" spans="1:28">
      <c r="A1327" s="3" t="s">
        <v>678</v>
      </c>
      <c r="D1327" s="3" t="s">
        <v>5048</v>
      </c>
      <c r="E1327" s="3" t="s">
        <v>3947</v>
      </c>
      <c r="J1327" s="9" t="s">
        <v>8731</v>
      </c>
      <c r="T1327" s="9" t="str">
        <f t="shared" ca="1" si="50"/>
        <v/>
      </c>
      <c r="U1327" s="9" t="str">
        <f t="shared" ca="1" si="51"/>
        <v/>
      </c>
      <c r="Y1327" s="9" t="s">
        <v>9282</v>
      </c>
      <c r="AA1327" s="9" t="s">
        <v>3884</v>
      </c>
    </row>
    <row r="1328" spans="1:28">
      <c r="A1328" s="3" t="s">
        <v>679</v>
      </c>
      <c r="D1328" s="3" t="s">
        <v>5049</v>
      </c>
      <c r="E1328" s="4" t="s">
        <v>5050</v>
      </c>
      <c r="F1328" t="s">
        <v>3897</v>
      </c>
      <c r="T1328" s="9" t="str">
        <f t="shared" ca="1" si="50"/>
        <v/>
      </c>
      <c r="U1328" s="9" t="str">
        <f t="shared" ca="1" si="51"/>
        <v/>
      </c>
    </row>
    <row r="1329" spans="1:28">
      <c r="A1329" s="3" t="s">
        <v>680</v>
      </c>
      <c r="D1329" s="3" t="s">
        <v>5051</v>
      </c>
      <c r="E1329" s="3" t="s">
        <v>5052</v>
      </c>
      <c r="H1329" t="s">
        <v>3884</v>
      </c>
      <c r="J1329" s="9" t="s">
        <v>3889</v>
      </c>
      <c r="K1329" s="9">
        <v>1</v>
      </c>
      <c r="L1329" s="9">
        <v>3</v>
      </c>
      <c r="M1329" s="9" t="s">
        <v>8689</v>
      </c>
      <c r="N1329" s="9" t="s">
        <v>8690</v>
      </c>
      <c r="R1329" s="9">
        <v>10929</v>
      </c>
      <c r="T1329" s="9" t="str">
        <f t="shared" ca="1" si="50"/>
        <v/>
      </c>
      <c r="U1329" s="9" t="str">
        <f t="shared" ca="1" si="51"/>
        <v/>
      </c>
    </row>
    <row r="1330" spans="1:28">
      <c r="A1330" s="3" t="s">
        <v>680</v>
      </c>
      <c r="D1330" s="3" t="s">
        <v>5053</v>
      </c>
      <c r="E1330" s="3" t="s">
        <v>5054</v>
      </c>
      <c r="F1330" t="s">
        <v>3932</v>
      </c>
      <c r="I1330" t="s">
        <v>5055</v>
      </c>
      <c r="T1330" s="9" t="str">
        <f t="shared" ca="1" si="50"/>
        <v/>
      </c>
      <c r="U1330" s="9" t="str">
        <f t="shared" ca="1" si="51"/>
        <v/>
      </c>
    </row>
    <row r="1331" spans="1:28">
      <c r="A1331" s="3" t="s">
        <v>680</v>
      </c>
      <c r="D1331" s="3" t="s">
        <v>5056</v>
      </c>
      <c r="E1331" s="3" t="s">
        <v>2955</v>
      </c>
      <c r="H1331" t="s">
        <v>3884</v>
      </c>
      <c r="J1331" s="9" t="s">
        <v>8731</v>
      </c>
      <c r="T1331" s="9" t="str">
        <f t="shared" ca="1" si="50"/>
        <v/>
      </c>
      <c r="U1331" s="9" t="str">
        <f t="shared" ca="1" si="51"/>
        <v/>
      </c>
    </row>
    <row r="1332" spans="1:28" ht="29">
      <c r="A1332" s="3" t="s">
        <v>681</v>
      </c>
      <c r="D1332" s="3" t="s">
        <v>5057</v>
      </c>
      <c r="E1332" s="3" t="s">
        <v>9615</v>
      </c>
      <c r="J1332" s="9" t="s">
        <v>3885</v>
      </c>
      <c r="K1332" s="9">
        <v>1</v>
      </c>
      <c r="L1332" s="9">
        <v>3</v>
      </c>
      <c r="M1332" s="9" t="s">
        <v>8689</v>
      </c>
      <c r="N1332" s="9" t="s">
        <v>8690</v>
      </c>
      <c r="R1332" s="9">
        <v>10929</v>
      </c>
      <c r="T1332" s="9" t="str">
        <f t="shared" ca="1" si="50"/>
        <v/>
      </c>
      <c r="U1332" s="9" t="str">
        <f t="shared" ca="1" si="51"/>
        <v/>
      </c>
    </row>
    <row r="1333" spans="1:28" ht="29">
      <c r="A1333" s="3" t="s">
        <v>681</v>
      </c>
      <c r="D1333" s="3" t="s">
        <v>5057</v>
      </c>
      <c r="E1333" s="3" t="s">
        <v>9616</v>
      </c>
      <c r="F1333" t="s">
        <v>3932</v>
      </c>
      <c r="I1333" t="s">
        <v>5058</v>
      </c>
      <c r="T1333" s="9" t="str">
        <f t="shared" ca="1" si="50"/>
        <v/>
      </c>
      <c r="U1333" s="9" t="str">
        <f t="shared" ca="1" si="51"/>
        <v/>
      </c>
    </row>
    <row r="1334" spans="1:28" ht="72.5">
      <c r="A1334" s="3" t="s">
        <v>682</v>
      </c>
      <c r="D1334" s="3" t="s">
        <v>5059</v>
      </c>
      <c r="E1334" s="3" t="s">
        <v>5060</v>
      </c>
      <c r="H1334" t="s">
        <v>3884</v>
      </c>
      <c r="I1334" t="s">
        <v>9004</v>
      </c>
      <c r="J1334" s="9" t="s">
        <v>3889</v>
      </c>
      <c r="K1334" s="9">
        <v>9</v>
      </c>
      <c r="L1334" s="9">
        <v>38</v>
      </c>
      <c r="N1334" s="9" t="s">
        <v>8684</v>
      </c>
      <c r="O1334" s="9" t="s">
        <v>8944</v>
      </c>
      <c r="P1334" s="10" t="s">
        <v>9003</v>
      </c>
      <c r="R1334" s="9">
        <v>27</v>
      </c>
      <c r="T1334" s="9" t="str">
        <f t="shared" ca="1" si="50"/>
        <v/>
      </c>
      <c r="U1334" s="9" t="str">
        <f t="shared" ca="1" si="51"/>
        <v/>
      </c>
    </row>
    <row r="1335" spans="1:28">
      <c r="A1335" s="3" t="s">
        <v>683</v>
      </c>
      <c r="D1335" s="3" t="s">
        <v>5061</v>
      </c>
      <c r="E1335" s="3" t="s">
        <v>5062</v>
      </c>
      <c r="H1335" t="s">
        <v>3884</v>
      </c>
      <c r="J1335" s="9" t="s">
        <v>3889</v>
      </c>
      <c r="K1335" s="9">
        <v>1</v>
      </c>
      <c r="L1335" s="9">
        <v>2</v>
      </c>
      <c r="M1335" s="9" t="s">
        <v>8689</v>
      </c>
      <c r="N1335" s="9" t="s">
        <v>8730</v>
      </c>
      <c r="R1335" s="9">
        <v>10929</v>
      </c>
      <c r="T1335" s="9" t="str">
        <f t="shared" ca="1" si="50"/>
        <v/>
      </c>
      <c r="U1335" s="9" t="str">
        <f t="shared" ca="1" si="51"/>
        <v/>
      </c>
    </row>
    <row r="1336" spans="1:28">
      <c r="A1336" s="3" t="s">
        <v>683</v>
      </c>
      <c r="D1336" s="3" t="s">
        <v>9477</v>
      </c>
      <c r="E1336" s="3" t="s">
        <v>5063</v>
      </c>
      <c r="J1336" s="9" t="s">
        <v>8729</v>
      </c>
      <c r="S1336" s="9">
        <f>79-3678</f>
        <v>-3599</v>
      </c>
      <c r="T1336" s="9">
        <f t="shared" ca="1" si="50"/>
        <v>3678</v>
      </c>
      <c r="U1336" s="9">
        <f t="shared" ca="1" si="51"/>
        <v>79</v>
      </c>
    </row>
    <row r="1337" spans="1:28">
      <c r="A1337" s="3" t="s">
        <v>683</v>
      </c>
      <c r="D1337" s="3" t="s">
        <v>2956</v>
      </c>
      <c r="E1337" s="3" t="s">
        <v>2957</v>
      </c>
      <c r="J1337" s="9" t="s">
        <v>8729</v>
      </c>
      <c r="S1337" s="9" t="s">
        <v>8739</v>
      </c>
      <c r="T1337" s="9" t="str">
        <f t="shared" ca="1" si="50"/>
        <v/>
      </c>
      <c r="U1337" s="9" t="str">
        <f t="shared" ca="1" si="51"/>
        <v/>
      </c>
      <c r="Z1337" s="9" t="s">
        <v>8742</v>
      </c>
      <c r="AA1337" s="9" t="s">
        <v>3884</v>
      </c>
      <c r="AB1337" s="9" t="s">
        <v>8697</v>
      </c>
    </row>
    <row r="1338" spans="1:28" ht="29">
      <c r="A1338" s="3" t="s">
        <v>684</v>
      </c>
      <c r="D1338" s="3" t="s">
        <v>5064</v>
      </c>
      <c r="E1338" s="3" t="s">
        <v>5065</v>
      </c>
      <c r="F1338" t="s">
        <v>3893</v>
      </c>
      <c r="J1338" s="9" t="s">
        <v>3885</v>
      </c>
      <c r="K1338" s="9">
        <v>1</v>
      </c>
      <c r="L1338" s="9">
        <v>3</v>
      </c>
      <c r="M1338" s="9" t="s">
        <v>8698</v>
      </c>
      <c r="N1338" s="9" t="s">
        <v>8690</v>
      </c>
      <c r="R1338" s="9">
        <v>9418</v>
      </c>
      <c r="T1338" s="9" t="str">
        <f t="shared" ca="1" si="50"/>
        <v/>
      </c>
      <c r="U1338" s="9" t="str">
        <f t="shared" ca="1" si="51"/>
        <v/>
      </c>
    </row>
    <row r="1339" spans="1:28">
      <c r="A1339" s="3" t="s">
        <v>684</v>
      </c>
      <c r="D1339" s="3" t="s">
        <v>5066</v>
      </c>
      <c r="E1339" s="3" t="s">
        <v>5067</v>
      </c>
      <c r="J1339" s="9" t="s">
        <v>8729</v>
      </c>
      <c r="S1339" s="9">
        <f>1485-7</f>
        <v>1478</v>
      </c>
      <c r="T1339" s="9">
        <f t="shared" ca="1" si="50"/>
        <v>7</v>
      </c>
      <c r="U1339" s="9">
        <f t="shared" ca="1" si="51"/>
        <v>1485</v>
      </c>
      <c r="Z1339" s="9" t="s">
        <v>8757</v>
      </c>
      <c r="AA1339" s="9" t="s">
        <v>3884</v>
      </c>
      <c r="AB1339" s="9" t="s">
        <v>8700</v>
      </c>
    </row>
    <row r="1340" spans="1:28">
      <c r="A1340" s="3" t="s">
        <v>685</v>
      </c>
      <c r="D1340" s="3" t="s">
        <v>5068</v>
      </c>
      <c r="E1340" s="3" t="s">
        <v>5069</v>
      </c>
      <c r="H1340" t="s">
        <v>3884</v>
      </c>
      <c r="J1340" s="9" t="s">
        <v>3885</v>
      </c>
      <c r="K1340" s="9">
        <v>1</v>
      </c>
      <c r="L1340" s="9">
        <v>2</v>
      </c>
      <c r="M1340" s="9" t="s">
        <v>8734</v>
      </c>
      <c r="N1340" s="9" t="s">
        <v>8730</v>
      </c>
      <c r="R1340" s="9" t="s">
        <v>8739</v>
      </c>
      <c r="T1340" s="9" t="str">
        <f t="shared" ca="1" si="50"/>
        <v/>
      </c>
      <c r="U1340" s="9" t="str">
        <f t="shared" ca="1" si="51"/>
        <v/>
      </c>
      <c r="AB1340" s="9" t="s">
        <v>8688</v>
      </c>
    </row>
    <row r="1341" spans="1:28">
      <c r="A1341" s="3" t="s">
        <v>685</v>
      </c>
      <c r="D1341" s="3" t="s">
        <v>2033</v>
      </c>
      <c r="E1341" s="3" t="s">
        <v>2958</v>
      </c>
      <c r="J1341" s="9" t="s">
        <v>8729</v>
      </c>
      <c r="S1341" s="9" t="s">
        <v>8739</v>
      </c>
      <c r="T1341" s="9" t="str">
        <f t="shared" ca="1" si="50"/>
        <v/>
      </c>
      <c r="U1341" s="9" t="str">
        <f t="shared" ca="1" si="51"/>
        <v/>
      </c>
      <c r="Z1341" s="9" t="s">
        <v>8742</v>
      </c>
      <c r="AA1341" s="9" t="s">
        <v>3884</v>
      </c>
      <c r="AB1341" s="9" t="s">
        <v>8697</v>
      </c>
    </row>
    <row r="1342" spans="1:28">
      <c r="A1342" s="3" t="s">
        <v>685</v>
      </c>
      <c r="D1342" s="3" t="s">
        <v>2959</v>
      </c>
      <c r="E1342" s="3" t="s">
        <v>2959</v>
      </c>
      <c r="F1342" t="s">
        <v>3932</v>
      </c>
      <c r="I1342" t="s">
        <v>5070</v>
      </c>
      <c r="T1342" s="9" t="str">
        <f t="shared" ca="1" si="50"/>
        <v/>
      </c>
      <c r="U1342" s="9" t="str">
        <f t="shared" ca="1" si="51"/>
        <v/>
      </c>
    </row>
    <row r="1343" spans="1:28">
      <c r="A1343" s="3" t="s">
        <v>686</v>
      </c>
      <c r="D1343" s="3" t="s">
        <v>5071</v>
      </c>
      <c r="E1343" s="3" t="s">
        <v>5072</v>
      </c>
      <c r="J1343" s="9" t="s">
        <v>3889</v>
      </c>
      <c r="K1343" s="9">
        <v>1</v>
      </c>
      <c r="L1343" s="9">
        <v>1</v>
      </c>
      <c r="M1343" s="9" t="s">
        <v>8689</v>
      </c>
      <c r="N1343" s="9" t="s">
        <v>8730</v>
      </c>
      <c r="R1343" s="9">
        <v>10929</v>
      </c>
      <c r="T1343" s="9" t="str">
        <f t="shared" ca="1" si="50"/>
        <v/>
      </c>
      <c r="U1343" s="9" t="str">
        <f t="shared" ca="1" si="51"/>
        <v/>
      </c>
    </row>
    <row r="1344" spans="1:28">
      <c r="A1344" s="3" t="s">
        <v>686</v>
      </c>
      <c r="D1344" s="3" t="s">
        <v>2960</v>
      </c>
      <c r="E1344" s="4" t="s">
        <v>2961</v>
      </c>
      <c r="F1344" t="s">
        <v>3932</v>
      </c>
      <c r="T1344" s="9" t="str">
        <f t="shared" ca="1" si="50"/>
        <v/>
      </c>
      <c r="U1344" s="9" t="str">
        <f t="shared" ca="1" si="51"/>
        <v/>
      </c>
    </row>
    <row r="1345" spans="1:28">
      <c r="A1345" s="3" t="s">
        <v>687</v>
      </c>
      <c r="D1345" s="3" t="s">
        <v>5073</v>
      </c>
      <c r="E1345" s="3" t="s">
        <v>5074</v>
      </c>
      <c r="J1345" s="9" t="s">
        <v>3889</v>
      </c>
      <c r="K1345" s="9">
        <v>1</v>
      </c>
      <c r="L1345" s="9">
        <v>3</v>
      </c>
      <c r="M1345" s="9" t="s">
        <v>8689</v>
      </c>
      <c r="N1345" s="9" t="s">
        <v>8690</v>
      </c>
      <c r="R1345" s="9">
        <v>10929</v>
      </c>
      <c r="T1345" s="9" t="str">
        <f t="shared" ca="1" si="50"/>
        <v/>
      </c>
      <c r="U1345" s="9" t="str">
        <f t="shared" ca="1" si="51"/>
        <v/>
      </c>
    </row>
    <row r="1346" spans="1:28">
      <c r="A1346" s="3" t="s">
        <v>688</v>
      </c>
      <c r="D1346" s="4" t="s">
        <v>2962</v>
      </c>
      <c r="E1346" s="3" t="s">
        <v>2963</v>
      </c>
      <c r="F1346" t="s">
        <v>3883</v>
      </c>
      <c r="T1346" s="9" t="str">
        <f t="shared" ca="1" si="50"/>
        <v/>
      </c>
      <c r="U1346" s="9" t="str">
        <f t="shared" ca="1" si="51"/>
        <v/>
      </c>
    </row>
    <row r="1347" spans="1:28">
      <c r="A1347" s="3" t="s">
        <v>688</v>
      </c>
      <c r="D1347" s="3" t="s">
        <v>2964</v>
      </c>
      <c r="E1347" s="3" t="s">
        <v>2965</v>
      </c>
      <c r="J1347" s="9" t="s">
        <v>8731</v>
      </c>
      <c r="T1347" s="9" t="str">
        <f t="shared" ca="1" si="50"/>
        <v/>
      </c>
      <c r="U1347" s="9" t="str">
        <f t="shared" ca="1" si="51"/>
        <v/>
      </c>
    </row>
    <row r="1348" spans="1:28">
      <c r="A1348" s="3" t="s">
        <v>689</v>
      </c>
      <c r="D1348" s="3" t="s">
        <v>5075</v>
      </c>
      <c r="E1348" s="3" t="s">
        <v>5076</v>
      </c>
      <c r="F1348" t="s">
        <v>3932</v>
      </c>
      <c r="I1348" t="s">
        <v>5077</v>
      </c>
      <c r="T1348" s="9" t="str">
        <f t="shared" ca="1" si="50"/>
        <v/>
      </c>
      <c r="U1348" s="9" t="str">
        <f t="shared" ca="1" si="51"/>
        <v/>
      </c>
    </row>
    <row r="1349" spans="1:28">
      <c r="A1349" s="3" t="s">
        <v>690</v>
      </c>
      <c r="D1349" s="3" t="s">
        <v>5078</v>
      </c>
      <c r="E1349" s="3" t="s">
        <v>5079</v>
      </c>
      <c r="J1349" s="9" t="s">
        <v>3889</v>
      </c>
      <c r="K1349" s="9">
        <v>1</v>
      </c>
      <c r="L1349" s="9">
        <v>3</v>
      </c>
      <c r="M1349" s="9" t="s">
        <v>8689</v>
      </c>
      <c r="N1349" s="9" t="s">
        <v>8690</v>
      </c>
      <c r="R1349" s="9">
        <v>10929</v>
      </c>
      <c r="T1349" s="9" t="str">
        <f t="shared" ca="1" si="50"/>
        <v/>
      </c>
      <c r="U1349" s="9" t="str">
        <f t="shared" ca="1" si="51"/>
        <v/>
      </c>
    </row>
    <row r="1350" spans="1:28">
      <c r="A1350" s="3" t="s">
        <v>691</v>
      </c>
      <c r="D1350" s="3" t="s">
        <v>2967</v>
      </c>
      <c r="E1350" s="3" t="s">
        <v>2968</v>
      </c>
      <c r="J1350" s="9" t="s">
        <v>8729</v>
      </c>
      <c r="S1350" s="9" t="s">
        <v>8739</v>
      </c>
      <c r="T1350" s="9" t="str">
        <f t="shared" ref="T1350:T1413" ca="1" si="52">IF(ISNUMBER(S1350),VALUE(MID(_xlfn.FORMULATEXT(S1350),SEARCH("-",_xlfn.FORMULATEXT(S1350))+1,LEN(_xlfn.FORMULATEXT(S1350))-SEARCH("-",_xlfn.FORMULATEXT(S1350)))), "")</f>
        <v/>
      </c>
      <c r="U1350" s="9" t="str">
        <f t="shared" ref="U1350:U1413" ca="1" si="53">IF(ISNUMBER(S1350), VALUE(MID(_xlfn.FORMULATEXT(S1350), 2, SEARCH("-", _xlfn.FORMULATEXT(S1350)) - 2)), "")</f>
        <v/>
      </c>
      <c r="AB1350" s="9" t="s">
        <v>8697</v>
      </c>
    </row>
    <row r="1351" spans="1:28">
      <c r="A1351" s="3" t="s">
        <v>692</v>
      </c>
      <c r="D1351" s="3" t="s">
        <v>2969</v>
      </c>
      <c r="E1351" s="3" t="s">
        <v>2970</v>
      </c>
      <c r="J1351" s="9" t="s">
        <v>8729</v>
      </c>
      <c r="S1351" s="9" t="s">
        <v>8739</v>
      </c>
      <c r="T1351" s="9" t="str">
        <f t="shared" ca="1" si="52"/>
        <v/>
      </c>
      <c r="U1351" s="9" t="str">
        <f t="shared" ca="1" si="53"/>
        <v/>
      </c>
      <c r="Z1351" s="9" t="s">
        <v>8742</v>
      </c>
      <c r="AA1351" s="9" t="s">
        <v>3884</v>
      </c>
      <c r="AB1351" s="9" t="s">
        <v>8697</v>
      </c>
    </row>
    <row r="1352" spans="1:28">
      <c r="A1352" s="3" t="s">
        <v>693</v>
      </c>
      <c r="D1352" s="3" t="s">
        <v>5080</v>
      </c>
      <c r="E1352" s="3" t="s">
        <v>5081</v>
      </c>
      <c r="F1352" t="s">
        <v>3932</v>
      </c>
      <c r="I1352" t="s">
        <v>5082</v>
      </c>
      <c r="T1352" s="9" t="str">
        <f t="shared" ca="1" si="52"/>
        <v/>
      </c>
      <c r="U1352" s="9" t="str">
        <f t="shared" ca="1" si="53"/>
        <v/>
      </c>
    </row>
    <row r="1353" spans="1:28">
      <c r="A1353" s="3" t="s">
        <v>694</v>
      </c>
      <c r="D1353" s="3" t="s">
        <v>4843</v>
      </c>
      <c r="E1353" s="3" t="s">
        <v>5083</v>
      </c>
      <c r="H1353" t="s">
        <v>3884</v>
      </c>
      <c r="J1353" s="9" t="s">
        <v>3889</v>
      </c>
      <c r="K1353" s="9">
        <v>1</v>
      </c>
      <c r="L1353" s="9">
        <v>4</v>
      </c>
      <c r="M1353" s="9" t="s">
        <v>8707</v>
      </c>
      <c r="N1353" s="9" t="s">
        <v>8690</v>
      </c>
      <c r="R1353" s="9">
        <v>428</v>
      </c>
      <c r="T1353" s="9" t="str">
        <f t="shared" ca="1" si="52"/>
        <v/>
      </c>
      <c r="U1353" s="9" t="str">
        <f t="shared" ca="1" si="53"/>
        <v/>
      </c>
    </row>
    <row r="1354" spans="1:28" ht="29">
      <c r="A1354" s="3" t="s">
        <v>695</v>
      </c>
      <c r="D1354" s="3" t="s">
        <v>9617</v>
      </c>
      <c r="E1354" s="4" t="s">
        <v>9478</v>
      </c>
      <c r="F1354" t="s">
        <v>3897</v>
      </c>
      <c r="T1354" s="9" t="str">
        <f t="shared" ca="1" si="52"/>
        <v/>
      </c>
      <c r="U1354" s="9" t="str">
        <f t="shared" ca="1" si="53"/>
        <v/>
      </c>
    </row>
    <row r="1355" spans="1:28" ht="29">
      <c r="A1355" s="3" t="s">
        <v>695</v>
      </c>
      <c r="D1355" s="3" t="s">
        <v>9618</v>
      </c>
      <c r="E1355" s="3" t="s">
        <v>9005</v>
      </c>
      <c r="J1355" s="9" t="s">
        <v>8729</v>
      </c>
      <c r="S1355" s="9">
        <f>991-10929</f>
        <v>-9938</v>
      </c>
      <c r="T1355" s="9">
        <f t="shared" ca="1" si="52"/>
        <v>10929</v>
      </c>
      <c r="U1355" s="9">
        <f t="shared" ca="1" si="53"/>
        <v>991</v>
      </c>
    </row>
    <row r="1356" spans="1:28" ht="29">
      <c r="A1356" s="3" t="s">
        <v>695</v>
      </c>
      <c r="D1356" s="3" t="s">
        <v>5084</v>
      </c>
      <c r="E1356" s="3" t="s">
        <v>5084</v>
      </c>
      <c r="F1356" t="s">
        <v>3932</v>
      </c>
      <c r="I1356" t="s">
        <v>5085</v>
      </c>
      <c r="T1356" s="9" t="str">
        <f t="shared" ca="1" si="52"/>
        <v/>
      </c>
      <c r="U1356" s="9" t="str">
        <f t="shared" ca="1" si="53"/>
        <v/>
      </c>
    </row>
    <row r="1357" spans="1:28">
      <c r="A1357" s="3" t="s">
        <v>696</v>
      </c>
      <c r="D1357" s="3" t="s">
        <v>5086</v>
      </c>
      <c r="E1357" s="3" t="s">
        <v>5087</v>
      </c>
      <c r="H1357" t="s">
        <v>3884</v>
      </c>
      <c r="I1357" t="s">
        <v>9225</v>
      </c>
      <c r="J1357" s="9" t="s">
        <v>8729</v>
      </c>
      <c r="S1357" s="9">
        <f>0-12</f>
        <v>-12</v>
      </c>
      <c r="T1357" s="9">
        <f t="shared" ca="1" si="52"/>
        <v>12</v>
      </c>
      <c r="U1357" s="9">
        <f t="shared" ca="1" si="53"/>
        <v>0</v>
      </c>
      <c r="V1357" s="9" t="s">
        <v>8728</v>
      </c>
    </row>
    <row r="1358" spans="1:28" ht="29">
      <c r="A1358" s="3" t="s">
        <v>697</v>
      </c>
      <c r="D1358" s="3" t="s">
        <v>9007</v>
      </c>
      <c r="E1358" s="3" t="s">
        <v>9006</v>
      </c>
      <c r="H1358" t="s">
        <v>3884</v>
      </c>
      <c r="J1358" s="9" t="s">
        <v>8731</v>
      </c>
      <c r="T1358" s="9" t="str">
        <f t="shared" ca="1" si="52"/>
        <v/>
      </c>
      <c r="U1358" s="9" t="str">
        <f t="shared" ca="1" si="53"/>
        <v/>
      </c>
      <c r="AB1358" s="9" t="s">
        <v>8694</v>
      </c>
    </row>
    <row r="1359" spans="1:28" ht="29">
      <c r="A1359" s="3" t="s">
        <v>698</v>
      </c>
      <c r="D1359" s="3" t="s">
        <v>5088</v>
      </c>
      <c r="E1359" s="3" t="s">
        <v>5089</v>
      </c>
      <c r="H1359" t="s">
        <v>3884</v>
      </c>
      <c r="J1359" s="9" t="s">
        <v>3885</v>
      </c>
      <c r="K1359" s="9">
        <v>1</v>
      </c>
      <c r="L1359" s="9">
        <v>2</v>
      </c>
      <c r="M1359" s="9" t="s">
        <v>8689</v>
      </c>
      <c r="N1359" s="9" t="s">
        <v>8730</v>
      </c>
      <c r="R1359" s="9">
        <v>10929</v>
      </c>
      <c r="T1359" s="9" t="str">
        <f t="shared" ca="1" si="52"/>
        <v/>
      </c>
      <c r="U1359" s="9" t="str">
        <f t="shared" ca="1" si="53"/>
        <v/>
      </c>
    </row>
    <row r="1360" spans="1:28" ht="43.5">
      <c r="A1360" s="3" t="s">
        <v>699</v>
      </c>
      <c r="D1360" s="3" t="s">
        <v>5090</v>
      </c>
      <c r="E1360" s="3" t="s">
        <v>5092</v>
      </c>
      <c r="F1360" t="s">
        <v>3932</v>
      </c>
      <c r="I1360" t="s">
        <v>5091</v>
      </c>
      <c r="T1360" s="9" t="str">
        <f t="shared" ca="1" si="52"/>
        <v/>
      </c>
      <c r="U1360" s="9" t="str">
        <f t="shared" ca="1" si="53"/>
        <v/>
      </c>
    </row>
    <row r="1361" spans="1:28">
      <c r="A1361" s="3" t="s">
        <v>699</v>
      </c>
      <c r="D1361" s="3" t="s">
        <v>2972</v>
      </c>
      <c r="E1361" s="3" t="s">
        <v>2973</v>
      </c>
      <c r="J1361" s="9" t="s">
        <v>8729</v>
      </c>
      <c r="S1361" s="9" t="s">
        <v>8739</v>
      </c>
      <c r="T1361" s="9" t="str">
        <f t="shared" ca="1" si="52"/>
        <v/>
      </c>
      <c r="U1361" s="9" t="str">
        <f t="shared" ca="1" si="53"/>
        <v/>
      </c>
      <c r="Y1361" s="9" t="s">
        <v>8735</v>
      </c>
      <c r="Z1361" s="9" t="s">
        <v>8832</v>
      </c>
      <c r="AA1361" s="9" t="s">
        <v>3884</v>
      </c>
    </row>
    <row r="1362" spans="1:28" ht="43.5">
      <c r="A1362" s="3" t="s">
        <v>700</v>
      </c>
      <c r="D1362" s="3" t="s">
        <v>9008</v>
      </c>
      <c r="E1362" s="3" t="s">
        <v>9009</v>
      </c>
      <c r="H1362" t="s">
        <v>3884</v>
      </c>
      <c r="J1362" s="9" t="s">
        <v>3885</v>
      </c>
      <c r="K1362" s="9">
        <v>1</v>
      </c>
      <c r="L1362" s="9">
        <v>6</v>
      </c>
      <c r="M1362" s="9" t="s">
        <v>8703</v>
      </c>
      <c r="N1362" s="9" t="s">
        <v>8684</v>
      </c>
      <c r="O1362" s="9" t="s">
        <v>8771</v>
      </c>
      <c r="P1362" s="10" t="s">
        <v>8772</v>
      </c>
      <c r="Q1362" s="9" t="s">
        <v>8691</v>
      </c>
      <c r="R1362" s="9">
        <v>221</v>
      </c>
      <c r="T1362" s="9" t="str">
        <f t="shared" ca="1" si="52"/>
        <v/>
      </c>
      <c r="U1362" s="9" t="str">
        <f t="shared" ca="1" si="53"/>
        <v/>
      </c>
    </row>
    <row r="1363" spans="1:28" ht="72.5">
      <c r="A1363" s="3" t="s">
        <v>701</v>
      </c>
      <c r="D1363" s="3" t="s">
        <v>5093</v>
      </c>
      <c r="E1363" s="3" t="s">
        <v>9010</v>
      </c>
      <c r="H1363" t="s">
        <v>3884</v>
      </c>
      <c r="I1363" t="s">
        <v>9012</v>
      </c>
      <c r="J1363" s="9" t="s">
        <v>3889</v>
      </c>
      <c r="K1363" s="9">
        <v>8</v>
      </c>
      <c r="L1363" s="9">
        <v>43</v>
      </c>
      <c r="N1363" s="9" t="s">
        <v>8684</v>
      </c>
      <c r="O1363" s="9" t="s">
        <v>8944</v>
      </c>
      <c r="P1363" s="10" t="s">
        <v>9011</v>
      </c>
      <c r="R1363" s="9">
        <v>1</v>
      </c>
      <c r="T1363" s="9" t="str">
        <f t="shared" ca="1" si="52"/>
        <v/>
      </c>
      <c r="U1363" s="9" t="str">
        <f t="shared" ca="1" si="53"/>
        <v/>
      </c>
    </row>
    <row r="1364" spans="1:28" ht="58">
      <c r="A1364" s="3" t="s">
        <v>702</v>
      </c>
      <c r="D1364" s="3" t="s">
        <v>5094</v>
      </c>
      <c r="E1364" s="3" t="s">
        <v>5095</v>
      </c>
      <c r="F1364" t="s">
        <v>3932</v>
      </c>
      <c r="I1364" t="s">
        <v>5097</v>
      </c>
      <c r="T1364" s="9" t="str">
        <f t="shared" ca="1" si="52"/>
        <v/>
      </c>
      <c r="U1364" s="9" t="str">
        <f t="shared" ca="1" si="53"/>
        <v/>
      </c>
    </row>
    <row r="1365" spans="1:28" ht="58">
      <c r="A1365" s="3" t="s">
        <v>702</v>
      </c>
      <c r="D1365" s="3" t="s">
        <v>5094</v>
      </c>
      <c r="E1365" s="3" t="s">
        <v>5096</v>
      </c>
      <c r="H1365" t="s">
        <v>3884</v>
      </c>
      <c r="J1365" s="9" t="s">
        <v>3885</v>
      </c>
      <c r="K1365" s="9">
        <v>1</v>
      </c>
      <c r="L1365" s="9">
        <v>3</v>
      </c>
      <c r="M1365" s="9" t="s">
        <v>8689</v>
      </c>
      <c r="N1365" s="9" t="s">
        <v>8690</v>
      </c>
      <c r="R1365" s="9">
        <v>10929</v>
      </c>
      <c r="T1365" s="9" t="str">
        <f t="shared" ca="1" si="52"/>
        <v/>
      </c>
      <c r="U1365" s="9" t="str">
        <f t="shared" ca="1" si="53"/>
        <v/>
      </c>
    </row>
    <row r="1366" spans="1:28">
      <c r="A1366" s="3" t="s">
        <v>703</v>
      </c>
      <c r="D1366" s="3" t="s">
        <v>2974</v>
      </c>
      <c r="E1366" s="3" t="s">
        <v>2975</v>
      </c>
      <c r="J1366" s="9" t="s">
        <v>8731</v>
      </c>
      <c r="T1366" s="9" t="str">
        <f t="shared" ca="1" si="52"/>
        <v/>
      </c>
      <c r="U1366" s="9" t="str">
        <f t="shared" ca="1" si="53"/>
        <v/>
      </c>
      <c r="AB1366" s="9" t="s">
        <v>8697</v>
      </c>
    </row>
    <row r="1367" spans="1:28">
      <c r="A1367" s="3" t="s">
        <v>704</v>
      </c>
      <c r="D1367" s="3" t="s">
        <v>5098</v>
      </c>
      <c r="E1367" s="3" t="s">
        <v>5099</v>
      </c>
      <c r="J1367" s="9" t="s">
        <v>8731</v>
      </c>
      <c r="T1367" s="9" t="str">
        <f t="shared" ca="1" si="52"/>
        <v/>
      </c>
      <c r="U1367" s="9" t="str">
        <f t="shared" ca="1" si="53"/>
        <v/>
      </c>
      <c r="AB1367" s="9" t="s">
        <v>8697</v>
      </c>
    </row>
    <row r="1368" spans="1:28">
      <c r="A1368" s="3" t="s">
        <v>705</v>
      </c>
      <c r="D1368" s="3" t="s">
        <v>5100</v>
      </c>
      <c r="E1368" s="3" t="s">
        <v>5101</v>
      </c>
      <c r="H1368" t="s">
        <v>3884</v>
      </c>
      <c r="J1368" s="9" t="s">
        <v>8729</v>
      </c>
      <c r="S1368" s="9" t="s">
        <v>8739</v>
      </c>
      <c r="T1368" s="9" t="str">
        <f t="shared" ca="1" si="52"/>
        <v/>
      </c>
      <c r="U1368" s="9" t="str">
        <f t="shared" ca="1" si="53"/>
        <v/>
      </c>
      <c r="Y1368" s="9" t="s">
        <v>8735</v>
      </c>
      <c r="AA1368" s="9" t="s">
        <v>3884</v>
      </c>
    </row>
    <row r="1369" spans="1:28">
      <c r="A1369" s="3" t="s">
        <v>705</v>
      </c>
      <c r="D1369" s="4" t="s">
        <v>5102</v>
      </c>
      <c r="E1369" s="3" t="s">
        <v>5103</v>
      </c>
      <c r="F1369" t="s">
        <v>3883</v>
      </c>
      <c r="T1369" s="9" t="str">
        <f t="shared" ca="1" si="52"/>
        <v/>
      </c>
      <c r="U1369" s="9" t="str">
        <f t="shared" ca="1" si="53"/>
        <v/>
      </c>
    </row>
    <row r="1370" spans="1:28">
      <c r="A1370" s="3" t="s">
        <v>705</v>
      </c>
      <c r="D1370" s="3" t="s">
        <v>5104</v>
      </c>
      <c r="E1370" s="3" t="s">
        <v>5105</v>
      </c>
      <c r="H1370" t="s">
        <v>3884</v>
      </c>
      <c r="J1370" s="9" t="s">
        <v>8731</v>
      </c>
      <c r="T1370" s="9" t="str">
        <f t="shared" ca="1" si="52"/>
        <v/>
      </c>
      <c r="U1370" s="9" t="str">
        <f t="shared" ca="1" si="53"/>
        <v/>
      </c>
      <c r="Y1370" s="9" t="s">
        <v>8735</v>
      </c>
      <c r="AA1370" s="9" t="s">
        <v>3891</v>
      </c>
    </row>
    <row r="1371" spans="1:28">
      <c r="A1371" s="3" t="s">
        <v>705</v>
      </c>
      <c r="D1371" s="3" t="s">
        <v>5108</v>
      </c>
      <c r="E1371" s="3" t="s">
        <v>5109</v>
      </c>
      <c r="H1371" t="s">
        <v>3884</v>
      </c>
      <c r="J1371" s="9" t="s">
        <v>8731</v>
      </c>
      <c r="T1371" s="9" t="str">
        <f t="shared" ca="1" si="52"/>
        <v/>
      </c>
      <c r="U1371" s="9" t="str">
        <f t="shared" ca="1" si="53"/>
        <v/>
      </c>
      <c r="Y1371" s="9" t="s">
        <v>8735</v>
      </c>
      <c r="Z1371" s="9" t="s">
        <v>9280</v>
      </c>
      <c r="AA1371" s="9" t="s">
        <v>3884</v>
      </c>
    </row>
    <row r="1372" spans="1:28">
      <c r="A1372" s="3" t="s">
        <v>705</v>
      </c>
      <c r="D1372" s="3" t="s">
        <v>5106</v>
      </c>
      <c r="E1372" s="3" t="s">
        <v>5107</v>
      </c>
      <c r="F1372" t="s">
        <v>3932</v>
      </c>
      <c r="I1372" t="s">
        <v>5110</v>
      </c>
      <c r="T1372" s="9" t="str">
        <f t="shared" ca="1" si="52"/>
        <v/>
      </c>
      <c r="U1372" s="9" t="str">
        <f t="shared" ca="1" si="53"/>
        <v/>
      </c>
    </row>
    <row r="1373" spans="1:28">
      <c r="A1373" s="3" t="s">
        <v>706</v>
      </c>
      <c r="D1373" s="3" t="s">
        <v>2978</v>
      </c>
      <c r="E1373" s="3" t="s">
        <v>2979</v>
      </c>
      <c r="J1373" s="9" t="s">
        <v>8729</v>
      </c>
      <c r="S1373" s="9" t="s">
        <v>8739</v>
      </c>
      <c r="T1373" s="9" t="str">
        <f t="shared" ca="1" si="52"/>
        <v/>
      </c>
      <c r="U1373" s="9" t="str">
        <f t="shared" ca="1" si="53"/>
        <v/>
      </c>
      <c r="Z1373" s="9" t="s">
        <v>8741</v>
      </c>
      <c r="AA1373" s="9" t="s">
        <v>3884</v>
      </c>
      <c r="AB1373" s="9" t="s">
        <v>8697</v>
      </c>
    </row>
    <row r="1374" spans="1:28">
      <c r="A1374" s="3" t="s">
        <v>706</v>
      </c>
      <c r="D1374" s="3" t="s">
        <v>2386</v>
      </c>
      <c r="E1374" s="3" t="s">
        <v>2387</v>
      </c>
      <c r="J1374" s="9" t="s">
        <v>8729</v>
      </c>
      <c r="S1374" s="9">
        <f>21-0</f>
        <v>21</v>
      </c>
      <c r="T1374" s="9">
        <f t="shared" ca="1" si="52"/>
        <v>0</v>
      </c>
      <c r="U1374" s="9">
        <f t="shared" ca="1" si="53"/>
        <v>21</v>
      </c>
      <c r="Z1374" s="9" t="s">
        <v>8757</v>
      </c>
      <c r="AA1374" s="9" t="s">
        <v>3884</v>
      </c>
      <c r="AB1374" s="9" t="s">
        <v>8694</v>
      </c>
    </row>
    <row r="1375" spans="1:28">
      <c r="A1375" s="3" t="s">
        <v>706</v>
      </c>
      <c r="D1375" s="3" t="s">
        <v>5111</v>
      </c>
      <c r="E1375" s="3" t="s">
        <v>5112</v>
      </c>
      <c r="H1375" t="s">
        <v>3884</v>
      </c>
      <c r="J1375" s="9" t="s">
        <v>3885</v>
      </c>
      <c r="K1375" s="9">
        <v>1</v>
      </c>
      <c r="L1375" s="9">
        <v>3</v>
      </c>
      <c r="M1375" s="9" t="s">
        <v>8698</v>
      </c>
      <c r="N1375" s="9" t="s">
        <v>8690</v>
      </c>
      <c r="R1375" s="9">
        <v>9418</v>
      </c>
      <c r="T1375" s="9" t="str">
        <f t="shared" ca="1" si="52"/>
        <v/>
      </c>
      <c r="U1375" s="9" t="str">
        <f t="shared" ca="1" si="53"/>
        <v/>
      </c>
    </row>
    <row r="1376" spans="1:28">
      <c r="A1376" s="3" t="s">
        <v>707</v>
      </c>
      <c r="D1376" s="3" t="s">
        <v>2980</v>
      </c>
      <c r="E1376" s="4" t="s">
        <v>2981</v>
      </c>
      <c r="F1376" t="s">
        <v>3897</v>
      </c>
      <c r="T1376" s="9" t="str">
        <f t="shared" ca="1" si="52"/>
        <v/>
      </c>
      <c r="U1376" s="9" t="str">
        <f t="shared" ca="1" si="53"/>
        <v/>
      </c>
    </row>
    <row r="1377" spans="1:28" ht="29">
      <c r="A1377" s="3" t="s">
        <v>708</v>
      </c>
      <c r="D1377" s="3" t="s">
        <v>5115</v>
      </c>
      <c r="E1377" s="3" t="s">
        <v>5116</v>
      </c>
      <c r="J1377" s="9" t="s">
        <v>8729</v>
      </c>
      <c r="S1377" s="9" t="s">
        <v>8739</v>
      </c>
      <c r="T1377" s="9" t="str">
        <f t="shared" ca="1" si="52"/>
        <v/>
      </c>
      <c r="U1377" s="9" t="str">
        <f t="shared" ca="1" si="53"/>
        <v/>
      </c>
      <c r="Y1377" s="9" t="s">
        <v>8735</v>
      </c>
      <c r="Z1377" s="9" t="s">
        <v>8757</v>
      </c>
      <c r="AA1377" s="9" t="s">
        <v>3884</v>
      </c>
    </row>
    <row r="1378" spans="1:28">
      <c r="A1378" s="3" t="s">
        <v>708</v>
      </c>
      <c r="D1378" s="3" t="s">
        <v>5113</v>
      </c>
      <c r="E1378" s="3" t="s">
        <v>5114</v>
      </c>
      <c r="J1378" s="9" t="s">
        <v>8731</v>
      </c>
      <c r="T1378" s="9" t="str">
        <f t="shared" ca="1" si="52"/>
        <v/>
      </c>
      <c r="U1378" s="9" t="str">
        <f t="shared" ca="1" si="53"/>
        <v/>
      </c>
      <c r="AB1378" s="9" t="s">
        <v>8700</v>
      </c>
    </row>
    <row r="1379" spans="1:28" ht="29">
      <c r="A1379" s="3" t="s">
        <v>708</v>
      </c>
      <c r="D1379" s="3" t="s">
        <v>5117</v>
      </c>
      <c r="E1379" s="3" t="s">
        <v>5118</v>
      </c>
      <c r="J1379" s="9" t="s">
        <v>8729</v>
      </c>
      <c r="S1379" s="9" t="s">
        <v>8730</v>
      </c>
      <c r="T1379" s="9" t="str">
        <f t="shared" ca="1" si="52"/>
        <v/>
      </c>
      <c r="U1379" s="9" t="str">
        <f t="shared" ca="1" si="53"/>
        <v/>
      </c>
      <c r="Y1379" s="9" t="s">
        <v>8735</v>
      </c>
      <c r="Z1379" s="9" t="s">
        <v>8757</v>
      </c>
      <c r="AA1379" s="9" t="s">
        <v>3884</v>
      </c>
    </row>
    <row r="1380" spans="1:28">
      <c r="A1380" s="3" t="s">
        <v>709</v>
      </c>
      <c r="D1380" s="3" t="s">
        <v>2386</v>
      </c>
      <c r="E1380" s="3" t="s">
        <v>2387</v>
      </c>
      <c r="J1380" s="9" t="s">
        <v>8729</v>
      </c>
      <c r="S1380" s="9">
        <f>21-0</f>
        <v>21</v>
      </c>
      <c r="T1380" s="9">
        <f t="shared" ca="1" si="52"/>
        <v>0</v>
      </c>
      <c r="U1380" s="9">
        <f t="shared" ca="1" si="53"/>
        <v>21</v>
      </c>
      <c r="Z1380" s="9" t="s">
        <v>8757</v>
      </c>
      <c r="AA1380" s="9" t="s">
        <v>3884</v>
      </c>
      <c r="AB1380" s="9" t="s">
        <v>8694</v>
      </c>
    </row>
    <row r="1381" spans="1:28">
      <c r="A1381" s="3" t="s">
        <v>710</v>
      </c>
      <c r="D1381" s="3" t="s">
        <v>2888</v>
      </c>
      <c r="E1381" s="3" t="s">
        <v>2889</v>
      </c>
      <c r="J1381" s="9" t="s">
        <v>8729</v>
      </c>
      <c r="S1381" s="9">
        <f>21-0</f>
        <v>21</v>
      </c>
      <c r="T1381" s="9">
        <f t="shared" ca="1" si="52"/>
        <v>0</v>
      </c>
      <c r="U1381" s="9">
        <f t="shared" ca="1" si="53"/>
        <v>21</v>
      </c>
      <c r="Z1381" s="9" t="s">
        <v>8757</v>
      </c>
      <c r="AA1381" s="9" t="s">
        <v>3884</v>
      </c>
      <c r="AB1381" s="9" t="s">
        <v>8694</v>
      </c>
    </row>
    <row r="1382" spans="1:28" ht="29">
      <c r="A1382" s="3" t="s">
        <v>711</v>
      </c>
      <c r="D1382" s="3" t="s">
        <v>5120</v>
      </c>
      <c r="E1382" s="3" t="s">
        <v>5119</v>
      </c>
      <c r="J1382" s="9" t="s">
        <v>8731</v>
      </c>
      <c r="T1382" s="9" t="str">
        <f t="shared" ca="1" si="52"/>
        <v/>
      </c>
      <c r="U1382" s="9" t="str">
        <f t="shared" ca="1" si="53"/>
        <v/>
      </c>
    </row>
    <row r="1383" spans="1:28" ht="29">
      <c r="A1383" s="3" t="s">
        <v>711</v>
      </c>
      <c r="D1383" s="3" t="s">
        <v>5121</v>
      </c>
      <c r="E1383" s="4" t="s">
        <v>5122</v>
      </c>
      <c r="F1383" t="s">
        <v>3897</v>
      </c>
      <c r="I1383" t="s">
        <v>9013</v>
      </c>
      <c r="T1383" s="9" t="str">
        <f t="shared" ca="1" si="52"/>
        <v/>
      </c>
      <c r="U1383" s="9" t="str">
        <f t="shared" ca="1" si="53"/>
        <v/>
      </c>
    </row>
    <row r="1384" spans="1:28">
      <c r="A1384" s="3" t="s">
        <v>712</v>
      </c>
      <c r="D1384" s="3" t="s">
        <v>2982</v>
      </c>
      <c r="E1384" s="3" t="s">
        <v>2983</v>
      </c>
      <c r="F1384" t="s">
        <v>3932</v>
      </c>
      <c r="I1384" t="s">
        <v>2209</v>
      </c>
      <c r="T1384" s="9" t="str">
        <f t="shared" ca="1" si="52"/>
        <v/>
      </c>
      <c r="U1384" s="9" t="str">
        <f t="shared" ca="1" si="53"/>
        <v/>
      </c>
    </row>
    <row r="1385" spans="1:28">
      <c r="A1385" s="3" t="s">
        <v>712</v>
      </c>
      <c r="D1385" s="3" t="s">
        <v>2888</v>
      </c>
      <c r="E1385" s="3" t="s">
        <v>2889</v>
      </c>
      <c r="J1385" s="9" t="s">
        <v>8729</v>
      </c>
      <c r="S1385" s="9" t="s">
        <v>8730</v>
      </c>
      <c r="T1385" s="9" t="str">
        <f t="shared" ca="1" si="52"/>
        <v/>
      </c>
      <c r="U1385" s="9" t="str">
        <f t="shared" ca="1" si="53"/>
        <v/>
      </c>
      <c r="Y1385" s="9" t="s">
        <v>8735</v>
      </c>
      <c r="Z1385" s="9" t="s">
        <v>8757</v>
      </c>
      <c r="AA1385" s="9" t="s">
        <v>3884</v>
      </c>
    </row>
    <row r="1386" spans="1:28" ht="29">
      <c r="A1386" s="3" t="s">
        <v>712</v>
      </c>
      <c r="D1386" s="3" t="s">
        <v>5123</v>
      </c>
      <c r="E1386" s="3" t="s">
        <v>5125</v>
      </c>
      <c r="F1386" t="s">
        <v>3893</v>
      </c>
      <c r="H1386" t="s">
        <v>3884</v>
      </c>
      <c r="T1386" s="9" t="str">
        <f t="shared" ca="1" si="52"/>
        <v/>
      </c>
      <c r="U1386" s="9" t="str">
        <f t="shared" ca="1" si="53"/>
        <v/>
      </c>
    </row>
    <row r="1387" spans="1:28" ht="29">
      <c r="A1387" s="3" t="s">
        <v>712</v>
      </c>
      <c r="D1387" s="3" t="s">
        <v>5126</v>
      </c>
      <c r="E1387" s="3" t="s">
        <v>5124</v>
      </c>
      <c r="I1387" t="s">
        <v>9226</v>
      </c>
      <c r="J1387" s="9" t="s">
        <v>3889</v>
      </c>
      <c r="K1387" s="9">
        <v>1</v>
      </c>
      <c r="L1387" s="9">
        <v>3</v>
      </c>
      <c r="M1387" s="9" t="s">
        <v>8705</v>
      </c>
      <c r="N1387" s="9" t="s">
        <v>8690</v>
      </c>
      <c r="R1387" s="9">
        <v>1485</v>
      </c>
      <c r="T1387" s="9" t="str">
        <f t="shared" ca="1" si="52"/>
        <v/>
      </c>
      <c r="U1387" s="9" t="str">
        <f t="shared" ca="1" si="53"/>
        <v/>
      </c>
      <c r="V1387" s="9" t="s">
        <v>8728</v>
      </c>
    </row>
    <row r="1388" spans="1:28" ht="29">
      <c r="A1388" s="3" t="s">
        <v>713</v>
      </c>
      <c r="D1388" s="3" t="s">
        <v>5129</v>
      </c>
      <c r="E1388" s="3" t="s">
        <v>5130</v>
      </c>
      <c r="J1388" s="9" t="s">
        <v>8729</v>
      </c>
      <c r="S1388" s="9" t="s">
        <v>8730</v>
      </c>
      <c r="T1388" s="9" t="str">
        <f t="shared" ca="1" si="52"/>
        <v/>
      </c>
      <c r="U1388" s="9" t="str">
        <f t="shared" ca="1" si="53"/>
        <v/>
      </c>
      <c r="AB1388" s="9" t="s">
        <v>8688</v>
      </c>
    </row>
    <row r="1389" spans="1:28" ht="29">
      <c r="A1389" s="3" t="s">
        <v>713</v>
      </c>
      <c r="D1389" s="3" t="s">
        <v>5127</v>
      </c>
      <c r="E1389" s="3" t="s">
        <v>5131</v>
      </c>
      <c r="H1389" t="s">
        <v>3884</v>
      </c>
      <c r="I1389" t="s">
        <v>9287</v>
      </c>
      <c r="J1389" s="9" t="s">
        <v>3885</v>
      </c>
      <c r="K1389" s="9">
        <v>1</v>
      </c>
      <c r="L1389" s="9">
        <v>1</v>
      </c>
      <c r="M1389" s="9" t="s">
        <v>8683</v>
      </c>
      <c r="N1389" s="9" t="s">
        <v>8730</v>
      </c>
      <c r="R1389" s="9">
        <v>36</v>
      </c>
      <c r="T1389" s="9" t="str">
        <f t="shared" ca="1" si="52"/>
        <v/>
      </c>
      <c r="U1389" s="9" t="str">
        <f t="shared" ca="1" si="53"/>
        <v/>
      </c>
    </row>
    <row r="1390" spans="1:28" ht="29">
      <c r="A1390" s="3" t="s">
        <v>713</v>
      </c>
      <c r="D1390" s="3" t="s">
        <v>5132</v>
      </c>
      <c r="E1390" s="3" t="s">
        <v>5128</v>
      </c>
      <c r="H1390" t="s">
        <v>3884</v>
      </c>
      <c r="J1390" s="9" t="s">
        <v>3889</v>
      </c>
      <c r="K1390" s="9">
        <v>1</v>
      </c>
      <c r="L1390" s="9">
        <v>1</v>
      </c>
      <c r="M1390" s="9" t="s">
        <v>8689</v>
      </c>
      <c r="N1390" s="9" t="s">
        <v>8730</v>
      </c>
      <c r="R1390" s="9">
        <v>10929</v>
      </c>
      <c r="T1390" s="9" t="str">
        <f t="shared" ca="1" si="52"/>
        <v/>
      </c>
      <c r="U1390" s="9" t="str">
        <f t="shared" ca="1" si="53"/>
        <v/>
      </c>
    </row>
    <row r="1391" spans="1:28">
      <c r="A1391" s="3" t="s">
        <v>714</v>
      </c>
      <c r="D1391" s="3" t="s">
        <v>5133</v>
      </c>
      <c r="E1391" s="3" t="s">
        <v>5135</v>
      </c>
      <c r="J1391" s="9" t="s">
        <v>8729</v>
      </c>
      <c r="S1391" s="9" t="s">
        <v>8730</v>
      </c>
      <c r="T1391" s="9" t="str">
        <f t="shared" ca="1" si="52"/>
        <v/>
      </c>
      <c r="U1391" s="9" t="str">
        <f t="shared" ca="1" si="53"/>
        <v/>
      </c>
      <c r="Y1391" s="9" t="s">
        <v>8735</v>
      </c>
      <c r="Z1391" s="9" t="s">
        <v>8757</v>
      </c>
      <c r="AA1391" s="9" t="s">
        <v>3884</v>
      </c>
    </row>
    <row r="1392" spans="1:28" ht="29">
      <c r="A1392" s="3" t="s">
        <v>714</v>
      </c>
      <c r="D1392" s="3" t="s">
        <v>5137</v>
      </c>
      <c r="E1392" s="3" t="s">
        <v>5137</v>
      </c>
      <c r="F1392" t="s">
        <v>3932</v>
      </c>
      <c r="I1392" t="s">
        <v>5138</v>
      </c>
      <c r="T1392" s="9" t="str">
        <f t="shared" ca="1" si="52"/>
        <v/>
      </c>
      <c r="U1392" s="9" t="str">
        <f t="shared" ca="1" si="53"/>
        <v/>
      </c>
    </row>
    <row r="1393" spans="1:28">
      <c r="A1393" s="3" t="s">
        <v>714</v>
      </c>
      <c r="D1393" s="3" t="s">
        <v>5134</v>
      </c>
      <c r="E1393" s="3" t="s">
        <v>5136</v>
      </c>
      <c r="J1393" s="9" t="s">
        <v>8729</v>
      </c>
      <c r="S1393" s="9" t="s">
        <v>8730</v>
      </c>
      <c r="T1393" s="9" t="str">
        <f t="shared" ca="1" si="52"/>
        <v/>
      </c>
      <c r="U1393" s="9" t="str">
        <f t="shared" ca="1" si="53"/>
        <v/>
      </c>
      <c r="Y1393" s="9" t="s">
        <v>8735</v>
      </c>
      <c r="Z1393" s="9" t="s">
        <v>8757</v>
      </c>
      <c r="AA1393" s="9" t="s">
        <v>3884</v>
      </c>
    </row>
    <row r="1394" spans="1:28">
      <c r="A1394" s="3" t="s">
        <v>715</v>
      </c>
      <c r="D1394" s="3" t="s">
        <v>2984</v>
      </c>
      <c r="E1394" s="3" t="s">
        <v>2985</v>
      </c>
      <c r="J1394" s="9" t="s">
        <v>8731</v>
      </c>
      <c r="T1394" s="9" t="str">
        <f t="shared" ca="1" si="52"/>
        <v/>
      </c>
      <c r="U1394" s="9" t="str">
        <f t="shared" ca="1" si="53"/>
        <v/>
      </c>
    </row>
    <row r="1395" spans="1:28">
      <c r="A1395" s="3" t="s">
        <v>716</v>
      </c>
      <c r="D1395" s="3" t="s">
        <v>5139</v>
      </c>
      <c r="E1395" s="3" t="s">
        <v>5140</v>
      </c>
      <c r="J1395" s="9" t="s">
        <v>3885</v>
      </c>
      <c r="K1395" s="9">
        <v>1</v>
      </c>
      <c r="L1395" s="9">
        <v>1</v>
      </c>
      <c r="M1395" s="9" t="s">
        <v>8689</v>
      </c>
      <c r="N1395" s="9" t="s">
        <v>8730</v>
      </c>
      <c r="R1395" s="9">
        <v>10929</v>
      </c>
      <c r="T1395" s="9" t="str">
        <f t="shared" ca="1" si="52"/>
        <v/>
      </c>
      <c r="U1395" s="9" t="str">
        <f t="shared" ca="1" si="53"/>
        <v/>
      </c>
    </row>
    <row r="1396" spans="1:28">
      <c r="A1396" s="3" t="s">
        <v>717</v>
      </c>
      <c r="D1396" s="3" t="s">
        <v>2386</v>
      </c>
      <c r="E1396" s="3" t="s">
        <v>2387</v>
      </c>
      <c r="J1396" s="9" t="s">
        <v>8729</v>
      </c>
      <c r="S1396" s="9">
        <f>21-0</f>
        <v>21</v>
      </c>
      <c r="T1396" s="9">
        <f t="shared" ca="1" si="52"/>
        <v>0</v>
      </c>
      <c r="U1396" s="9">
        <f t="shared" ca="1" si="53"/>
        <v>21</v>
      </c>
      <c r="Z1396" s="9" t="s">
        <v>8757</v>
      </c>
      <c r="AA1396" s="9" t="s">
        <v>3884</v>
      </c>
      <c r="AB1396" s="9" t="s">
        <v>8694</v>
      </c>
    </row>
    <row r="1397" spans="1:28" ht="43.5">
      <c r="A1397" s="3" t="s">
        <v>717</v>
      </c>
      <c r="D1397" s="3" t="s">
        <v>5141</v>
      </c>
      <c r="E1397" s="3" t="s">
        <v>9668</v>
      </c>
      <c r="F1397" t="s">
        <v>8675</v>
      </c>
      <c r="J1397" s="9" t="s">
        <v>3896</v>
      </c>
      <c r="S1397" s="9">
        <f>247-0</f>
        <v>247</v>
      </c>
      <c r="T1397" s="9">
        <f t="shared" ref="T1397" ca="1" si="54">IF(ISNUMBER(S1397),VALUE(MID(_xlfn.FORMULATEXT(S1397),SEARCH("-",_xlfn.FORMULATEXT(S1397))+1,LEN(_xlfn.FORMULATEXT(S1397))-SEARCH("-",_xlfn.FORMULATEXT(S1397)))), "")</f>
        <v>0</v>
      </c>
      <c r="U1397" s="9">
        <f t="shared" ref="U1397" ca="1" si="55">IF(ISNUMBER(S1397), VALUE(MID(_xlfn.FORMULATEXT(S1397), 2, SEARCH("-", _xlfn.FORMULATEXT(S1397)) - 2)), "")</f>
        <v>247</v>
      </c>
      <c r="AB1397" s="9" t="s">
        <v>8697</v>
      </c>
    </row>
    <row r="1398" spans="1:28" ht="43.5">
      <c r="A1398" s="3" t="s">
        <v>717</v>
      </c>
      <c r="D1398" s="3" t="s">
        <v>5142</v>
      </c>
      <c r="E1398" s="3" t="s">
        <v>5143</v>
      </c>
      <c r="F1398" t="s">
        <v>8675</v>
      </c>
      <c r="J1398" s="9" t="s">
        <v>8732</v>
      </c>
      <c r="S1398" s="9">
        <f>247-0</f>
        <v>247</v>
      </c>
      <c r="T1398" s="9">
        <f t="shared" ca="1" si="52"/>
        <v>0</v>
      </c>
      <c r="U1398" s="9">
        <f t="shared" ca="1" si="53"/>
        <v>247</v>
      </c>
      <c r="AB1398" s="9" t="s">
        <v>8697</v>
      </c>
    </row>
    <row r="1399" spans="1:28" ht="43.5">
      <c r="A1399" s="3" t="s">
        <v>717</v>
      </c>
      <c r="D1399" s="3" t="s">
        <v>5141</v>
      </c>
      <c r="E1399" s="3" t="s">
        <v>5144</v>
      </c>
      <c r="F1399" t="s">
        <v>8675</v>
      </c>
      <c r="J1399" s="9" t="s">
        <v>3885</v>
      </c>
      <c r="K1399" s="9">
        <v>1</v>
      </c>
      <c r="L1399" s="9">
        <v>5</v>
      </c>
      <c r="M1399" s="9" t="s">
        <v>8705</v>
      </c>
      <c r="N1399" s="9" t="s">
        <v>8690</v>
      </c>
      <c r="R1399" s="9">
        <v>3678</v>
      </c>
      <c r="T1399" s="9" t="str">
        <f t="shared" ca="1" si="52"/>
        <v/>
      </c>
      <c r="U1399" s="9" t="str">
        <f t="shared" ca="1" si="53"/>
        <v/>
      </c>
    </row>
    <row r="1400" spans="1:28" ht="43.5">
      <c r="A1400" s="3" t="s">
        <v>717</v>
      </c>
      <c r="D1400" s="3" t="s">
        <v>9014</v>
      </c>
      <c r="E1400" s="3" t="s">
        <v>5145</v>
      </c>
      <c r="F1400" t="s">
        <v>8675</v>
      </c>
      <c r="H1400" t="s">
        <v>3884</v>
      </c>
      <c r="J1400" s="9" t="s">
        <v>8729</v>
      </c>
      <c r="S1400" s="9">
        <f>3678-1443</f>
        <v>2235</v>
      </c>
      <c r="T1400" s="9">
        <f t="shared" ca="1" si="52"/>
        <v>1443</v>
      </c>
      <c r="U1400" s="9">
        <f t="shared" ca="1" si="53"/>
        <v>3678</v>
      </c>
    </row>
    <row r="1401" spans="1:28">
      <c r="A1401" s="3" t="s">
        <v>717</v>
      </c>
      <c r="D1401" s="3" t="s">
        <v>5146</v>
      </c>
      <c r="E1401" s="3" t="s">
        <v>5147</v>
      </c>
      <c r="J1401" s="9" t="s">
        <v>3885</v>
      </c>
      <c r="K1401" s="9">
        <v>1</v>
      </c>
      <c r="L1401" s="9">
        <v>3</v>
      </c>
      <c r="M1401" s="9" t="s">
        <v>8689</v>
      </c>
      <c r="N1401" s="9" t="s">
        <v>8690</v>
      </c>
      <c r="R1401" s="9">
        <v>10929</v>
      </c>
      <c r="T1401" s="9" t="str">
        <f t="shared" ca="1" si="52"/>
        <v/>
      </c>
      <c r="U1401" s="9" t="str">
        <f t="shared" ca="1" si="53"/>
        <v/>
      </c>
    </row>
    <row r="1402" spans="1:28">
      <c r="A1402" s="3" t="s">
        <v>718</v>
      </c>
      <c r="D1402" s="3" t="s">
        <v>5148</v>
      </c>
      <c r="E1402" s="3" t="s">
        <v>5149</v>
      </c>
      <c r="J1402" s="9" t="s">
        <v>8731</v>
      </c>
      <c r="T1402" s="9" t="str">
        <f t="shared" ca="1" si="52"/>
        <v/>
      </c>
      <c r="U1402" s="9" t="str">
        <f t="shared" ca="1" si="53"/>
        <v/>
      </c>
      <c r="Z1402" s="9" t="s">
        <v>8741</v>
      </c>
      <c r="AA1402" s="9" t="s">
        <v>3884</v>
      </c>
      <c r="AB1402" s="9" t="s">
        <v>8697</v>
      </c>
    </row>
    <row r="1403" spans="1:28">
      <c r="A1403" s="3" t="s">
        <v>719</v>
      </c>
      <c r="D1403" s="3" t="s">
        <v>2986</v>
      </c>
      <c r="E1403" s="3" t="s">
        <v>2987</v>
      </c>
      <c r="J1403" s="9" t="s">
        <v>8729</v>
      </c>
      <c r="S1403" s="9" t="s">
        <v>8739</v>
      </c>
      <c r="T1403" s="9" t="str">
        <f t="shared" ca="1" si="52"/>
        <v/>
      </c>
      <c r="U1403" s="9" t="str">
        <f t="shared" ca="1" si="53"/>
        <v/>
      </c>
      <c r="Z1403" s="9" t="s">
        <v>8742</v>
      </c>
      <c r="AA1403" s="9" t="s">
        <v>3884</v>
      </c>
      <c r="AB1403" s="9" t="s">
        <v>8697</v>
      </c>
    </row>
    <row r="1404" spans="1:28">
      <c r="A1404" s="3" t="s">
        <v>719</v>
      </c>
      <c r="D1404" s="3" t="s">
        <v>5150</v>
      </c>
      <c r="E1404" s="3" t="s">
        <v>5151</v>
      </c>
      <c r="H1404" t="s">
        <v>3884</v>
      </c>
      <c r="J1404" s="9" t="s">
        <v>3885</v>
      </c>
      <c r="K1404" s="9">
        <v>1</v>
      </c>
      <c r="L1404" s="9">
        <v>5</v>
      </c>
      <c r="M1404" s="9" t="s">
        <v>8705</v>
      </c>
      <c r="N1404" s="9" t="s">
        <v>8690</v>
      </c>
      <c r="R1404" s="9">
        <v>3678</v>
      </c>
      <c r="T1404" s="9" t="str">
        <f t="shared" ca="1" si="52"/>
        <v/>
      </c>
      <c r="U1404" s="9" t="str">
        <f t="shared" ca="1" si="53"/>
        <v/>
      </c>
    </row>
    <row r="1405" spans="1:28">
      <c r="A1405" s="3" t="s">
        <v>719</v>
      </c>
      <c r="D1405" s="3" t="s">
        <v>2988</v>
      </c>
      <c r="E1405" s="3" t="s">
        <v>2989</v>
      </c>
      <c r="J1405" s="9" t="s">
        <v>8731</v>
      </c>
      <c r="T1405" s="9" t="str">
        <f t="shared" ca="1" si="52"/>
        <v/>
      </c>
      <c r="U1405" s="9" t="str">
        <f t="shared" ca="1" si="53"/>
        <v/>
      </c>
      <c r="Z1405" s="9" t="s">
        <v>8757</v>
      </c>
      <c r="AA1405" s="9" t="s">
        <v>3884</v>
      </c>
    </row>
    <row r="1406" spans="1:28">
      <c r="A1406" s="3" t="s">
        <v>720</v>
      </c>
      <c r="D1406" s="3" t="s">
        <v>2081</v>
      </c>
      <c r="E1406" s="3" t="s">
        <v>2082</v>
      </c>
      <c r="J1406" s="9" t="s">
        <v>8731</v>
      </c>
      <c r="T1406" s="9" t="str">
        <f t="shared" ca="1" si="52"/>
        <v/>
      </c>
      <c r="U1406" s="9" t="str">
        <f t="shared" ca="1" si="53"/>
        <v/>
      </c>
      <c r="Z1406" s="9" t="s">
        <v>8741</v>
      </c>
      <c r="AA1406" s="9" t="s">
        <v>3884</v>
      </c>
    </row>
    <row r="1407" spans="1:28" ht="43.5">
      <c r="A1407" s="3" t="s">
        <v>720</v>
      </c>
      <c r="D1407" s="3" t="s">
        <v>5152</v>
      </c>
      <c r="E1407" s="3" t="s">
        <v>5153</v>
      </c>
      <c r="H1407" t="s">
        <v>3884</v>
      </c>
      <c r="I1407" t="s">
        <v>9016</v>
      </c>
      <c r="J1407" s="9" t="s">
        <v>3889</v>
      </c>
      <c r="K1407" s="9">
        <v>5</v>
      </c>
      <c r="L1407" s="9">
        <v>28</v>
      </c>
      <c r="N1407" s="9" t="s">
        <v>8684</v>
      </c>
      <c r="O1407" s="9" t="s">
        <v>8944</v>
      </c>
      <c r="P1407" s="10" t="s">
        <v>9015</v>
      </c>
      <c r="R1407" s="9">
        <v>2</v>
      </c>
      <c r="T1407" s="9" t="str">
        <f t="shared" ca="1" si="52"/>
        <v/>
      </c>
      <c r="U1407" s="9" t="str">
        <f t="shared" ca="1" si="53"/>
        <v/>
      </c>
    </row>
    <row r="1408" spans="1:28" ht="29">
      <c r="A1408" s="3" t="s">
        <v>721</v>
      </c>
      <c r="D1408" s="3" t="s">
        <v>5154</v>
      </c>
      <c r="E1408" s="3" t="s">
        <v>5154</v>
      </c>
      <c r="F1408" t="s">
        <v>3932</v>
      </c>
      <c r="I1408" t="s">
        <v>5155</v>
      </c>
      <c r="T1408" s="9" t="str">
        <f t="shared" ca="1" si="52"/>
        <v/>
      </c>
      <c r="U1408" s="9" t="str">
        <f t="shared" ca="1" si="53"/>
        <v/>
      </c>
    </row>
    <row r="1409" spans="1:28">
      <c r="A1409" s="3" t="s">
        <v>722</v>
      </c>
      <c r="D1409" s="3" t="s">
        <v>5157</v>
      </c>
      <c r="E1409" s="3" t="s">
        <v>5156</v>
      </c>
      <c r="J1409" s="9" t="s">
        <v>3889</v>
      </c>
      <c r="K1409" s="9">
        <v>1</v>
      </c>
      <c r="L1409" s="9">
        <v>3</v>
      </c>
      <c r="M1409" s="9" t="s">
        <v>8689</v>
      </c>
      <c r="N1409" s="9" t="s">
        <v>8684</v>
      </c>
      <c r="O1409" s="9" t="s">
        <v>8944</v>
      </c>
      <c r="P1409" s="10" t="s">
        <v>8778</v>
      </c>
      <c r="Q1409" s="9" t="s">
        <v>8685</v>
      </c>
      <c r="R1409" s="9">
        <v>10929</v>
      </c>
      <c r="T1409" s="9" t="str">
        <f t="shared" ca="1" si="52"/>
        <v/>
      </c>
      <c r="U1409" s="9" t="str">
        <f t="shared" ca="1" si="53"/>
        <v/>
      </c>
    </row>
    <row r="1410" spans="1:28">
      <c r="A1410" s="3" t="s">
        <v>722</v>
      </c>
      <c r="D1410" s="3" t="s">
        <v>5158</v>
      </c>
      <c r="E1410" s="3" t="s">
        <v>9619</v>
      </c>
      <c r="H1410" t="s">
        <v>3884</v>
      </c>
      <c r="J1410" s="9" t="s">
        <v>8729</v>
      </c>
      <c r="S1410" s="9">
        <f>3-4</f>
        <v>-1</v>
      </c>
      <c r="T1410" s="9">
        <f t="shared" ca="1" si="52"/>
        <v>4</v>
      </c>
      <c r="U1410" s="9">
        <f t="shared" ca="1" si="53"/>
        <v>3</v>
      </c>
    </row>
    <row r="1411" spans="1:28">
      <c r="A1411" s="3" t="s">
        <v>723</v>
      </c>
      <c r="D1411" s="3" t="s">
        <v>5159</v>
      </c>
      <c r="E1411" s="3" t="s">
        <v>4277</v>
      </c>
      <c r="H1411" t="s">
        <v>3884</v>
      </c>
      <c r="J1411" s="9" t="s">
        <v>3885</v>
      </c>
      <c r="K1411" s="9">
        <v>1</v>
      </c>
      <c r="L1411" s="9">
        <v>2</v>
      </c>
      <c r="M1411" s="9" t="s">
        <v>8689</v>
      </c>
      <c r="N1411" s="9" t="s">
        <v>8730</v>
      </c>
      <c r="R1411" s="9">
        <v>10929</v>
      </c>
      <c r="T1411" s="9" t="str">
        <f t="shared" ca="1" si="52"/>
        <v/>
      </c>
      <c r="U1411" s="9" t="str">
        <f t="shared" ca="1" si="53"/>
        <v/>
      </c>
    </row>
    <row r="1412" spans="1:28">
      <c r="A1412" s="3" t="s">
        <v>724</v>
      </c>
      <c r="D1412" s="3" t="s">
        <v>2054</v>
      </c>
      <c r="E1412" s="3" t="s">
        <v>2210</v>
      </c>
      <c r="J1412" s="9" t="s">
        <v>8731</v>
      </c>
      <c r="T1412" s="9" t="str">
        <f t="shared" ca="1" si="52"/>
        <v/>
      </c>
      <c r="U1412" s="9" t="str">
        <f t="shared" ca="1" si="53"/>
        <v/>
      </c>
      <c r="Z1412" s="9" t="s">
        <v>8757</v>
      </c>
      <c r="AA1412" s="9" t="s">
        <v>3884</v>
      </c>
      <c r="AB1412" s="9" t="s">
        <v>8700</v>
      </c>
    </row>
    <row r="1413" spans="1:28">
      <c r="A1413" s="3" t="s">
        <v>724</v>
      </c>
      <c r="D1413" s="3" t="s">
        <v>2217</v>
      </c>
      <c r="E1413" s="3" t="s">
        <v>2990</v>
      </c>
      <c r="J1413" s="9" t="s">
        <v>8731</v>
      </c>
      <c r="T1413" s="9" t="str">
        <f t="shared" ca="1" si="52"/>
        <v/>
      </c>
      <c r="U1413" s="9" t="str">
        <f t="shared" ca="1" si="53"/>
        <v/>
      </c>
    </row>
    <row r="1414" spans="1:28" ht="29">
      <c r="A1414" s="3" t="s">
        <v>725</v>
      </c>
      <c r="D1414" s="3" t="s">
        <v>5160</v>
      </c>
      <c r="E1414" s="4" t="s">
        <v>5161</v>
      </c>
      <c r="F1414" t="s">
        <v>3897</v>
      </c>
      <c r="T1414" s="9" t="str">
        <f t="shared" ref="T1414:T1477" ca="1" si="56">IF(ISNUMBER(S1414),VALUE(MID(_xlfn.FORMULATEXT(S1414),SEARCH("-",_xlfn.FORMULATEXT(S1414))+1,LEN(_xlfn.FORMULATEXT(S1414))-SEARCH("-",_xlfn.FORMULATEXT(S1414)))), "")</f>
        <v/>
      </c>
      <c r="U1414" s="9" t="str">
        <f t="shared" ref="U1414:U1477" ca="1" si="57">IF(ISNUMBER(S1414), VALUE(MID(_xlfn.FORMULATEXT(S1414), 2, SEARCH("-", _xlfn.FORMULATEXT(S1414)) - 2)), "")</f>
        <v/>
      </c>
    </row>
    <row r="1415" spans="1:28">
      <c r="A1415" s="3" t="s">
        <v>726</v>
      </c>
      <c r="D1415" s="3" t="s">
        <v>9479</v>
      </c>
      <c r="E1415" s="3" t="s">
        <v>9479</v>
      </c>
      <c r="F1415" t="s">
        <v>3932</v>
      </c>
      <c r="I1415" t="s">
        <v>2494</v>
      </c>
      <c r="T1415" s="9" t="str">
        <f t="shared" ca="1" si="56"/>
        <v/>
      </c>
      <c r="U1415" s="9" t="str">
        <f t="shared" ca="1" si="57"/>
        <v/>
      </c>
    </row>
    <row r="1416" spans="1:28">
      <c r="A1416" s="3" t="s">
        <v>726</v>
      </c>
      <c r="D1416" s="3" t="s">
        <v>2991</v>
      </c>
      <c r="E1416" s="3" t="s">
        <v>2991</v>
      </c>
      <c r="F1416" t="s">
        <v>3932</v>
      </c>
      <c r="I1416" t="s">
        <v>2329</v>
      </c>
      <c r="T1416" s="9" t="str">
        <f t="shared" ca="1" si="56"/>
        <v/>
      </c>
      <c r="U1416" s="9" t="str">
        <f t="shared" ca="1" si="57"/>
        <v/>
      </c>
    </row>
    <row r="1417" spans="1:28" ht="29">
      <c r="A1417" s="3" t="s">
        <v>727</v>
      </c>
      <c r="D1417" s="4" t="s">
        <v>5162</v>
      </c>
      <c r="E1417" s="3" t="s">
        <v>5163</v>
      </c>
      <c r="F1417" t="s">
        <v>3883</v>
      </c>
      <c r="T1417" s="9" t="str">
        <f t="shared" ca="1" si="56"/>
        <v/>
      </c>
      <c r="U1417" s="9" t="str">
        <f t="shared" ca="1" si="57"/>
        <v/>
      </c>
    </row>
    <row r="1418" spans="1:28">
      <c r="A1418" s="3" t="s">
        <v>728</v>
      </c>
      <c r="D1418" s="4" t="s">
        <v>5164</v>
      </c>
      <c r="E1418" s="3" t="s">
        <v>5165</v>
      </c>
      <c r="F1418" t="s">
        <v>3883</v>
      </c>
      <c r="T1418" s="9" t="str">
        <f t="shared" ca="1" si="56"/>
        <v/>
      </c>
      <c r="U1418" s="9" t="str">
        <f t="shared" ca="1" si="57"/>
        <v/>
      </c>
    </row>
    <row r="1419" spans="1:28">
      <c r="A1419" s="3" t="s">
        <v>728</v>
      </c>
      <c r="D1419" s="3" t="s">
        <v>2992</v>
      </c>
      <c r="E1419" s="3" t="s">
        <v>2993</v>
      </c>
      <c r="J1419" s="9" t="s">
        <v>8729</v>
      </c>
      <c r="S1419" s="9" t="s">
        <v>8730</v>
      </c>
      <c r="T1419" s="9" t="str">
        <f t="shared" ca="1" si="56"/>
        <v/>
      </c>
      <c r="U1419" s="9" t="str">
        <f t="shared" ca="1" si="57"/>
        <v/>
      </c>
      <c r="Y1419" s="9" t="s">
        <v>8735</v>
      </c>
      <c r="AA1419" s="9" t="s">
        <v>3884</v>
      </c>
    </row>
    <row r="1420" spans="1:28">
      <c r="A1420" s="3" t="s">
        <v>729</v>
      </c>
      <c r="D1420" s="3" t="s">
        <v>2082</v>
      </c>
      <c r="E1420" s="3" t="s">
        <v>2082</v>
      </c>
      <c r="F1420" t="s">
        <v>3932</v>
      </c>
      <c r="I1420" t="s">
        <v>2099</v>
      </c>
      <c r="T1420" s="9" t="str">
        <f t="shared" ca="1" si="56"/>
        <v/>
      </c>
      <c r="U1420" s="9" t="str">
        <f t="shared" ca="1" si="57"/>
        <v/>
      </c>
    </row>
    <row r="1421" spans="1:28">
      <c r="A1421" s="3" t="s">
        <v>730</v>
      </c>
      <c r="D1421" s="3" t="s">
        <v>5166</v>
      </c>
      <c r="E1421" s="3" t="s">
        <v>5167</v>
      </c>
      <c r="J1421" s="9" t="s">
        <v>8729</v>
      </c>
      <c r="S1421" s="9">
        <f>781-4</f>
        <v>777</v>
      </c>
      <c r="T1421" s="9">
        <f t="shared" ca="1" si="56"/>
        <v>4</v>
      </c>
      <c r="U1421" s="9">
        <f t="shared" ca="1" si="57"/>
        <v>781</v>
      </c>
    </row>
    <row r="1422" spans="1:28">
      <c r="A1422" s="3" t="s">
        <v>731</v>
      </c>
      <c r="D1422" s="3" t="s">
        <v>5168</v>
      </c>
      <c r="E1422" s="3" t="s">
        <v>5169</v>
      </c>
      <c r="J1422" s="9" t="s">
        <v>8731</v>
      </c>
      <c r="T1422" s="9" t="str">
        <f t="shared" ca="1" si="56"/>
        <v/>
      </c>
      <c r="U1422" s="9" t="str">
        <f t="shared" ca="1" si="57"/>
        <v/>
      </c>
      <c r="AB1422" s="9" t="s">
        <v>8700</v>
      </c>
    </row>
    <row r="1423" spans="1:28">
      <c r="A1423" s="3" t="s">
        <v>731</v>
      </c>
      <c r="D1423" s="3" t="s">
        <v>2994</v>
      </c>
      <c r="E1423" s="3" t="s">
        <v>2994</v>
      </c>
      <c r="F1423" t="s">
        <v>3932</v>
      </c>
      <c r="I1423" t="s">
        <v>5170</v>
      </c>
      <c r="T1423" s="9" t="str">
        <f t="shared" ca="1" si="56"/>
        <v/>
      </c>
      <c r="U1423" s="9" t="str">
        <f t="shared" ca="1" si="57"/>
        <v/>
      </c>
    </row>
    <row r="1424" spans="1:28">
      <c r="A1424" s="3" t="s">
        <v>732</v>
      </c>
      <c r="D1424" s="3" t="s">
        <v>2995</v>
      </c>
      <c r="E1424" s="4" t="s">
        <v>2039</v>
      </c>
      <c r="F1424" t="s">
        <v>3897</v>
      </c>
      <c r="T1424" s="9" t="str">
        <f t="shared" ca="1" si="56"/>
        <v/>
      </c>
      <c r="U1424" s="9" t="str">
        <f t="shared" ca="1" si="57"/>
        <v/>
      </c>
    </row>
    <row r="1425" spans="1:28">
      <c r="A1425" s="3" t="s">
        <v>732</v>
      </c>
      <c r="D1425" s="4" t="s">
        <v>5171</v>
      </c>
      <c r="E1425" s="3" t="s">
        <v>5172</v>
      </c>
      <c r="F1425" t="s">
        <v>3883</v>
      </c>
      <c r="T1425" s="9" t="str">
        <f t="shared" ca="1" si="56"/>
        <v/>
      </c>
      <c r="U1425" s="9" t="str">
        <f t="shared" ca="1" si="57"/>
        <v/>
      </c>
    </row>
    <row r="1426" spans="1:28" ht="43.5">
      <c r="A1426" s="3" t="s">
        <v>733</v>
      </c>
      <c r="D1426" s="3" t="s">
        <v>5173</v>
      </c>
      <c r="E1426" s="3" t="s">
        <v>5174</v>
      </c>
      <c r="I1426" t="s">
        <v>9017</v>
      </c>
      <c r="J1426" s="9" t="s">
        <v>3889</v>
      </c>
      <c r="K1426" s="9">
        <v>4</v>
      </c>
      <c r="L1426" s="9">
        <v>20</v>
      </c>
      <c r="N1426" s="9" t="s">
        <v>8684</v>
      </c>
      <c r="O1426" s="9" t="s">
        <v>8740</v>
      </c>
      <c r="P1426" s="10" t="s">
        <v>9018</v>
      </c>
      <c r="R1426" s="9">
        <v>160</v>
      </c>
      <c r="T1426" s="9" t="str">
        <f t="shared" ca="1" si="56"/>
        <v/>
      </c>
      <c r="U1426" s="9" t="str">
        <f t="shared" ca="1" si="57"/>
        <v/>
      </c>
    </row>
    <row r="1427" spans="1:28">
      <c r="A1427" s="3" t="s">
        <v>733</v>
      </c>
      <c r="D1427" s="3" t="s">
        <v>5175</v>
      </c>
      <c r="E1427" s="3" t="s">
        <v>5176</v>
      </c>
      <c r="J1427" s="9" t="s">
        <v>8729</v>
      </c>
      <c r="S1427" s="9">
        <f>0-1</f>
        <v>-1</v>
      </c>
      <c r="T1427" s="9">
        <f t="shared" ca="1" si="56"/>
        <v>1</v>
      </c>
      <c r="U1427" s="9">
        <f t="shared" ca="1" si="57"/>
        <v>0</v>
      </c>
    </row>
    <row r="1428" spans="1:28">
      <c r="A1428" s="3" t="s">
        <v>734</v>
      </c>
      <c r="D1428" s="3" t="s">
        <v>2395</v>
      </c>
      <c r="E1428" s="3" t="s">
        <v>2996</v>
      </c>
      <c r="J1428" s="9" t="s">
        <v>8729</v>
      </c>
      <c r="S1428" s="9">
        <f>38-90</f>
        <v>-52</v>
      </c>
      <c r="T1428" s="9">
        <f t="shared" ca="1" si="56"/>
        <v>90</v>
      </c>
      <c r="U1428" s="9">
        <f t="shared" ca="1" si="57"/>
        <v>38</v>
      </c>
    </row>
    <row r="1429" spans="1:28">
      <c r="A1429" s="3" t="s">
        <v>734</v>
      </c>
      <c r="D1429" s="3" t="s">
        <v>5177</v>
      </c>
      <c r="E1429" s="3" t="s">
        <v>5178</v>
      </c>
      <c r="J1429" s="9" t="s">
        <v>8731</v>
      </c>
      <c r="T1429" s="9" t="str">
        <f t="shared" ca="1" si="56"/>
        <v/>
      </c>
      <c r="U1429" s="9" t="str">
        <f t="shared" ca="1" si="57"/>
        <v/>
      </c>
    </row>
    <row r="1430" spans="1:28">
      <c r="A1430" s="3" t="s">
        <v>735</v>
      </c>
      <c r="D1430" s="3" t="s">
        <v>5179</v>
      </c>
      <c r="E1430" s="3" t="s">
        <v>5180</v>
      </c>
      <c r="H1430" t="s">
        <v>3884</v>
      </c>
      <c r="J1430" s="9" t="s">
        <v>3885</v>
      </c>
      <c r="K1430" s="9">
        <v>1</v>
      </c>
      <c r="L1430" s="9">
        <v>1</v>
      </c>
      <c r="M1430" s="9" t="s">
        <v>8689</v>
      </c>
      <c r="N1430" s="9" t="s">
        <v>8730</v>
      </c>
      <c r="R1430" s="9">
        <v>10929</v>
      </c>
      <c r="T1430" s="9" t="str">
        <f t="shared" ca="1" si="56"/>
        <v/>
      </c>
      <c r="U1430" s="9" t="str">
        <f t="shared" ca="1" si="57"/>
        <v/>
      </c>
    </row>
    <row r="1431" spans="1:28">
      <c r="A1431" s="3" t="s">
        <v>736</v>
      </c>
      <c r="D1431" s="3" t="s">
        <v>5181</v>
      </c>
      <c r="E1431" s="3" t="s">
        <v>5182</v>
      </c>
      <c r="H1431" t="s">
        <v>3884</v>
      </c>
      <c r="J1431" s="9" t="s">
        <v>8729</v>
      </c>
      <c r="S1431" s="9" t="s">
        <v>8739</v>
      </c>
      <c r="T1431" s="9" t="str">
        <f t="shared" ca="1" si="56"/>
        <v/>
      </c>
      <c r="U1431" s="9" t="str">
        <f t="shared" ca="1" si="57"/>
        <v/>
      </c>
      <c r="Y1431" s="9" t="s">
        <v>8735</v>
      </c>
      <c r="AA1431" s="9" t="s">
        <v>3884</v>
      </c>
    </row>
    <row r="1432" spans="1:28">
      <c r="A1432" s="3" t="s">
        <v>736</v>
      </c>
      <c r="D1432" s="3" t="s">
        <v>5183</v>
      </c>
      <c r="E1432" s="3" t="s">
        <v>5184</v>
      </c>
      <c r="H1432" t="s">
        <v>3884</v>
      </c>
      <c r="J1432" s="9" t="s">
        <v>3885</v>
      </c>
      <c r="K1432" s="9">
        <v>1</v>
      </c>
      <c r="L1432" s="9">
        <v>3</v>
      </c>
      <c r="M1432" s="9" t="s">
        <v>8703</v>
      </c>
      <c r="N1432" s="9" t="s">
        <v>8690</v>
      </c>
      <c r="R1432" s="9" t="s">
        <v>8739</v>
      </c>
      <c r="T1432" s="9" t="str">
        <f t="shared" ca="1" si="56"/>
        <v/>
      </c>
      <c r="U1432" s="9" t="str">
        <f t="shared" ca="1" si="57"/>
        <v/>
      </c>
      <c r="AB1432" s="9" t="s">
        <v>8688</v>
      </c>
    </row>
    <row r="1433" spans="1:28">
      <c r="A1433" s="3" t="s">
        <v>737</v>
      </c>
      <c r="D1433" s="11" t="s">
        <v>5185</v>
      </c>
      <c r="E1433" s="3" t="s">
        <v>2997</v>
      </c>
      <c r="F1433" t="s">
        <v>3890</v>
      </c>
      <c r="J1433" s="9" t="s">
        <v>8732</v>
      </c>
      <c r="S1433" s="9">
        <f>65-9</f>
        <v>56</v>
      </c>
      <c r="T1433" s="9">
        <f t="shared" ca="1" si="56"/>
        <v>9</v>
      </c>
      <c r="U1433" s="9">
        <f t="shared" ca="1" si="57"/>
        <v>65</v>
      </c>
      <c r="Z1433" s="9" t="s">
        <v>8741</v>
      </c>
      <c r="AA1433" s="9" t="s">
        <v>3884</v>
      </c>
      <c r="AB1433" s="9" t="s">
        <v>8694</v>
      </c>
    </row>
    <row r="1434" spans="1:28">
      <c r="A1434" s="3" t="s">
        <v>738</v>
      </c>
      <c r="D1434" s="3" t="s">
        <v>5186</v>
      </c>
      <c r="E1434" s="3" t="s">
        <v>5186</v>
      </c>
      <c r="F1434" t="s">
        <v>3932</v>
      </c>
      <c r="I1434" t="s">
        <v>5187</v>
      </c>
      <c r="T1434" s="9" t="str">
        <f t="shared" ca="1" si="56"/>
        <v/>
      </c>
      <c r="U1434" s="9" t="str">
        <f t="shared" ca="1" si="57"/>
        <v/>
      </c>
    </row>
    <row r="1435" spans="1:28" ht="87">
      <c r="A1435" s="3" t="s">
        <v>739</v>
      </c>
      <c r="D1435" s="3" t="s">
        <v>9019</v>
      </c>
      <c r="E1435" s="3" t="s">
        <v>9620</v>
      </c>
      <c r="H1435" t="s">
        <v>3884</v>
      </c>
      <c r="I1435" t="s">
        <v>9021</v>
      </c>
      <c r="J1435" s="9" t="s">
        <v>3889</v>
      </c>
      <c r="K1435" s="9">
        <v>13</v>
      </c>
      <c r="L1435" s="9">
        <v>59</v>
      </c>
      <c r="N1435" s="9" t="s">
        <v>8684</v>
      </c>
      <c r="O1435" s="9" t="s">
        <v>8944</v>
      </c>
      <c r="P1435" s="10" t="s">
        <v>9020</v>
      </c>
      <c r="R1435" s="9">
        <v>27</v>
      </c>
      <c r="T1435" s="9" t="str">
        <f t="shared" ca="1" si="56"/>
        <v/>
      </c>
      <c r="U1435" s="9" t="str">
        <f t="shared" ca="1" si="57"/>
        <v/>
      </c>
    </row>
    <row r="1436" spans="1:28">
      <c r="A1436" s="3" t="s">
        <v>739</v>
      </c>
      <c r="D1436" s="3" t="s">
        <v>5188</v>
      </c>
      <c r="E1436" s="3" t="s">
        <v>5189</v>
      </c>
      <c r="I1436" t="s">
        <v>8805</v>
      </c>
      <c r="J1436" s="9" t="s">
        <v>3894</v>
      </c>
      <c r="T1436" s="9" t="str">
        <f t="shared" ca="1" si="56"/>
        <v/>
      </c>
      <c r="U1436" s="9" t="str">
        <f t="shared" ca="1" si="57"/>
        <v/>
      </c>
    </row>
    <row r="1437" spans="1:28">
      <c r="A1437" s="3" t="s">
        <v>739</v>
      </c>
      <c r="D1437" s="4" t="s">
        <v>2627</v>
      </c>
      <c r="E1437" s="3" t="s">
        <v>2998</v>
      </c>
      <c r="F1437" t="s">
        <v>4196</v>
      </c>
      <c r="G1437" t="s">
        <v>3884</v>
      </c>
      <c r="I1437" t="s">
        <v>5190</v>
      </c>
      <c r="J1437" s="9" t="s">
        <v>8731</v>
      </c>
      <c r="T1437" s="9" t="str">
        <f t="shared" ca="1" si="56"/>
        <v/>
      </c>
      <c r="U1437" s="9" t="str">
        <f t="shared" ca="1" si="57"/>
        <v/>
      </c>
    </row>
    <row r="1438" spans="1:28">
      <c r="A1438" s="3" t="s">
        <v>740</v>
      </c>
      <c r="D1438" s="4" t="s">
        <v>5191</v>
      </c>
      <c r="E1438" s="3" t="s">
        <v>5192</v>
      </c>
      <c r="F1438" t="s">
        <v>3883</v>
      </c>
      <c r="T1438" s="9" t="str">
        <f t="shared" ca="1" si="56"/>
        <v/>
      </c>
      <c r="U1438" s="9" t="str">
        <f t="shared" ca="1" si="57"/>
        <v/>
      </c>
    </row>
    <row r="1439" spans="1:28">
      <c r="A1439" s="3" t="s">
        <v>740</v>
      </c>
      <c r="D1439" s="3" t="s">
        <v>2041</v>
      </c>
      <c r="E1439" s="3" t="s">
        <v>2040</v>
      </c>
      <c r="H1439" t="s">
        <v>3884</v>
      </c>
      <c r="J1439" s="9" t="s">
        <v>8731</v>
      </c>
      <c r="T1439" s="9" t="str">
        <f t="shared" ca="1" si="56"/>
        <v/>
      </c>
      <c r="U1439" s="9" t="str">
        <f t="shared" ca="1" si="57"/>
        <v/>
      </c>
      <c r="Z1439" s="9" t="s">
        <v>9280</v>
      </c>
      <c r="AA1439" s="9" t="s">
        <v>3884</v>
      </c>
    </row>
    <row r="1440" spans="1:28">
      <c r="A1440" s="3" t="s">
        <v>740</v>
      </c>
      <c r="D1440" s="4" t="s">
        <v>5193</v>
      </c>
      <c r="E1440" s="3" t="s">
        <v>5194</v>
      </c>
      <c r="F1440" t="s">
        <v>3883</v>
      </c>
      <c r="T1440" s="9" t="str">
        <f t="shared" ca="1" si="56"/>
        <v/>
      </c>
      <c r="U1440" s="9" t="str">
        <f t="shared" ca="1" si="57"/>
        <v/>
      </c>
    </row>
    <row r="1441" spans="1:28">
      <c r="A1441" s="3" t="s">
        <v>741</v>
      </c>
      <c r="D1441" s="3" t="s">
        <v>5195</v>
      </c>
      <c r="E1441" s="3" t="s">
        <v>5196</v>
      </c>
      <c r="J1441" s="9" t="s">
        <v>8729</v>
      </c>
      <c r="S1441" s="9" t="s">
        <v>8739</v>
      </c>
      <c r="T1441" s="9" t="str">
        <f t="shared" ca="1" si="56"/>
        <v/>
      </c>
      <c r="U1441" s="9" t="str">
        <f t="shared" ca="1" si="57"/>
        <v/>
      </c>
      <c r="AB1441" s="9" t="s">
        <v>8697</v>
      </c>
    </row>
    <row r="1442" spans="1:28" ht="29">
      <c r="A1442" s="3" t="s">
        <v>742</v>
      </c>
      <c r="D1442" s="3" t="s">
        <v>5197</v>
      </c>
      <c r="E1442" s="3" t="s">
        <v>5198</v>
      </c>
      <c r="H1442" t="s">
        <v>3884</v>
      </c>
      <c r="J1442" s="9" t="s">
        <v>3885</v>
      </c>
      <c r="K1442" s="9">
        <v>1</v>
      </c>
      <c r="L1442" s="9">
        <v>5</v>
      </c>
      <c r="M1442" s="9" t="s">
        <v>8736</v>
      </c>
      <c r="N1442" s="9" t="s">
        <v>8684</v>
      </c>
      <c r="O1442" s="9" t="s">
        <v>8771</v>
      </c>
      <c r="P1442" s="10" t="s">
        <v>8941</v>
      </c>
      <c r="R1442" s="9">
        <v>340</v>
      </c>
      <c r="T1442" s="9" t="str">
        <f t="shared" ca="1" si="56"/>
        <v/>
      </c>
      <c r="U1442" s="9" t="str">
        <f t="shared" ca="1" si="57"/>
        <v/>
      </c>
    </row>
    <row r="1443" spans="1:28">
      <c r="A1443" s="3" t="s">
        <v>742</v>
      </c>
      <c r="D1443" s="3" t="s">
        <v>5199</v>
      </c>
      <c r="E1443" s="3" t="s">
        <v>5199</v>
      </c>
      <c r="F1443" t="s">
        <v>3932</v>
      </c>
      <c r="I1443" t="s">
        <v>5200</v>
      </c>
      <c r="T1443" s="9" t="str">
        <f t="shared" ca="1" si="56"/>
        <v/>
      </c>
      <c r="U1443" s="9" t="str">
        <f t="shared" ca="1" si="57"/>
        <v/>
      </c>
    </row>
    <row r="1444" spans="1:28" ht="29">
      <c r="A1444" s="3" t="s">
        <v>743</v>
      </c>
      <c r="D1444" s="3" t="s">
        <v>5201</v>
      </c>
      <c r="E1444" s="3" t="s">
        <v>5202</v>
      </c>
      <c r="J1444" s="9" t="s">
        <v>8729</v>
      </c>
      <c r="S1444" s="9">
        <f>9418-10929</f>
        <v>-1511</v>
      </c>
      <c r="T1444" s="9">
        <f t="shared" ca="1" si="56"/>
        <v>10929</v>
      </c>
      <c r="U1444" s="9">
        <f t="shared" ca="1" si="57"/>
        <v>9418</v>
      </c>
    </row>
    <row r="1445" spans="1:28">
      <c r="A1445" s="3" t="s">
        <v>743</v>
      </c>
      <c r="D1445" s="3" t="s">
        <v>2999</v>
      </c>
      <c r="E1445" s="3" t="s">
        <v>5203</v>
      </c>
      <c r="H1445" t="s">
        <v>3884</v>
      </c>
      <c r="J1445" s="9" t="s">
        <v>3885</v>
      </c>
      <c r="K1445" s="9">
        <v>1</v>
      </c>
      <c r="L1445" s="9">
        <v>2</v>
      </c>
      <c r="M1445" s="9" t="s">
        <v>8707</v>
      </c>
      <c r="N1445" s="9" t="s">
        <v>8730</v>
      </c>
      <c r="Q1445" s="9" t="s">
        <v>8685</v>
      </c>
      <c r="R1445" s="9">
        <v>329</v>
      </c>
      <c r="T1445" s="9" t="str">
        <f t="shared" ca="1" si="56"/>
        <v/>
      </c>
      <c r="U1445" s="9" t="str">
        <f t="shared" ca="1" si="57"/>
        <v/>
      </c>
      <c r="AB1445" s="9" t="s">
        <v>8694</v>
      </c>
    </row>
    <row r="1446" spans="1:28">
      <c r="A1446" s="3" t="s">
        <v>743</v>
      </c>
      <c r="D1446" s="6" t="s">
        <v>2999</v>
      </c>
      <c r="E1446" s="3" t="s">
        <v>5204</v>
      </c>
      <c r="J1446" s="9" t="s">
        <v>8731</v>
      </c>
      <c r="T1446" s="9" t="str">
        <f t="shared" ca="1" si="56"/>
        <v/>
      </c>
      <c r="U1446" s="9" t="str">
        <f t="shared" ca="1" si="57"/>
        <v/>
      </c>
      <c r="Z1446" s="9" t="s">
        <v>8757</v>
      </c>
      <c r="AA1446" s="9" t="s">
        <v>3884</v>
      </c>
    </row>
    <row r="1447" spans="1:28" ht="29">
      <c r="A1447" s="3" t="s">
        <v>744</v>
      </c>
      <c r="D1447" s="3" t="s">
        <v>5208</v>
      </c>
      <c r="E1447" s="3" t="s">
        <v>5205</v>
      </c>
      <c r="F1447" t="s">
        <v>3932</v>
      </c>
      <c r="I1447" t="s">
        <v>4824</v>
      </c>
      <c r="T1447" s="9" t="str">
        <f t="shared" ca="1" si="56"/>
        <v/>
      </c>
      <c r="U1447" s="9" t="str">
        <f t="shared" ca="1" si="57"/>
        <v/>
      </c>
    </row>
    <row r="1448" spans="1:28" ht="29">
      <c r="A1448" s="3" t="s">
        <v>744</v>
      </c>
      <c r="D1448" s="3" t="s">
        <v>5207</v>
      </c>
      <c r="E1448" s="3" t="s">
        <v>5206</v>
      </c>
      <c r="H1448" t="s">
        <v>3884</v>
      </c>
      <c r="J1448" s="9" t="s">
        <v>8729</v>
      </c>
      <c r="S1448" s="9">
        <f xml:space="preserve"> 519-329</f>
        <v>190</v>
      </c>
      <c r="T1448" s="9">
        <f t="shared" ca="1" si="56"/>
        <v>329</v>
      </c>
      <c r="U1448" s="9">
        <f t="shared" ca="1" si="57"/>
        <v>519</v>
      </c>
    </row>
    <row r="1449" spans="1:28">
      <c r="A1449" s="3" t="s">
        <v>745</v>
      </c>
      <c r="D1449" s="3" t="s">
        <v>5209</v>
      </c>
      <c r="E1449" s="3" t="s">
        <v>5210</v>
      </c>
      <c r="F1449" t="s">
        <v>3886</v>
      </c>
      <c r="H1449" t="s">
        <v>3888</v>
      </c>
      <c r="I1449" t="s">
        <v>5211</v>
      </c>
      <c r="J1449" s="9" t="s">
        <v>3889</v>
      </c>
      <c r="K1449" s="9">
        <v>1</v>
      </c>
      <c r="L1449" s="9">
        <v>5</v>
      </c>
      <c r="M1449" s="9" t="s">
        <v>8736</v>
      </c>
      <c r="N1449" s="9" t="s">
        <v>8690</v>
      </c>
      <c r="R1449" s="9">
        <v>162</v>
      </c>
      <c r="T1449" s="9" t="str">
        <f t="shared" ca="1" si="56"/>
        <v/>
      </c>
      <c r="U1449" s="9" t="str">
        <f t="shared" ca="1" si="57"/>
        <v/>
      </c>
      <c r="AB1449" s="9" t="s">
        <v>8697</v>
      </c>
    </row>
    <row r="1450" spans="1:28">
      <c r="A1450" s="3" t="s">
        <v>746</v>
      </c>
      <c r="D1450" s="3" t="s">
        <v>5212</v>
      </c>
      <c r="E1450" s="3" t="s">
        <v>5213</v>
      </c>
      <c r="H1450" t="s">
        <v>3892</v>
      </c>
      <c r="I1450" t="s">
        <v>5214</v>
      </c>
      <c r="J1450" s="9" t="s">
        <v>8729</v>
      </c>
      <c r="S1450" s="9" t="s">
        <v>8730</v>
      </c>
      <c r="T1450" s="9" t="str">
        <f t="shared" ca="1" si="56"/>
        <v/>
      </c>
      <c r="U1450" s="9" t="str">
        <f t="shared" ca="1" si="57"/>
        <v/>
      </c>
      <c r="Y1450" s="9" t="s">
        <v>8735</v>
      </c>
      <c r="AA1450" s="9" t="s">
        <v>3891</v>
      </c>
      <c r="AB1450" s="9" t="s">
        <v>8688</v>
      </c>
    </row>
    <row r="1451" spans="1:28">
      <c r="A1451" s="3" t="s">
        <v>746</v>
      </c>
      <c r="D1451" s="3" t="s">
        <v>5215</v>
      </c>
      <c r="E1451" s="3" t="s">
        <v>5216</v>
      </c>
      <c r="H1451" t="s">
        <v>3884</v>
      </c>
      <c r="J1451" s="9" t="s">
        <v>8731</v>
      </c>
      <c r="T1451" s="9" t="str">
        <f t="shared" ca="1" si="56"/>
        <v/>
      </c>
      <c r="U1451" s="9" t="str">
        <f t="shared" ca="1" si="57"/>
        <v/>
      </c>
      <c r="AB1451" s="9" t="s">
        <v>8688</v>
      </c>
    </row>
    <row r="1452" spans="1:28">
      <c r="A1452" s="3" t="s">
        <v>747</v>
      </c>
      <c r="D1452" s="3" t="s">
        <v>2395</v>
      </c>
      <c r="E1452" s="3" t="s">
        <v>3002</v>
      </c>
      <c r="H1452" t="s">
        <v>3884</v>
      </c>
      <c r="J1452" s="9" t="s">
        <v>8729</v>
      </c>
      <c r="S1452" s="9">
        <f xml:space="preserve"> 5-90</f>
        <v>-85</v>
      </c>
      <c r="T1452" s="9">
        <f t="shared" ca="1" si="56"/>
        <v>90</v>
      </c>
      <c r="U1452" s="9">
        <f t="shared" ca="1" si="57"/>
        <v>5</v>
      </c>
    </row>
    <row r="1453" spans="1:28">
      <c r="A1453" s="3" t="s">
        <v>747</v>
      </c>
      <c r="D1453" s="3" t="s">
        <v>3001</v>
      </c>
      <c r="E1453" s="3" t="s">
        <v>3003</v>
      </c>
      <c r="H1453" t="s">
        <v>3884</v>
      </c>
      <c r="J1453" s="9" t="s">
        <v>8729</v>
      </c>
      <c r="S1453" s="9" t="s">
        <v>8739</v>
      </c>
      <c r="T1453" s="9" t="str">
        <f t="shared" ca="1" si="56"/>
        <v/>
      </c>
      <c r="U1453" s="9" t="str">
        <f t="shared" ca="1" si="57"/>
        <v/>
      </c>
      <c r="AB1453" s="9" t="s">
        <v>8688</v>
      </c>
    </row>
    <row r="1454" spans="1:28">
      <c r="A1454" s="3" t="s">
        <v>747</v>
      </c>
      <c r="D1454" s="3" t="s">
        <v>3004</v>
      </c>
      <c r="E1454" s="3" t="s">
        <v>3005</v>
      </c>
      <c r="J1454" s="9" t="s">
        <v>8731</v>
      </c>
      <c r="T1454" s="9" t="str">
        <f t="shared" ca="1" si="56"/>
        <v/>
      </c>
      <c r="U1454" s="9" t="str">
        <f t="shared" ca="1" si="57"/>
        <v/>
      </c>
      <c r="Z1454" s="9" t="s">
        <v>8757</v>
      </c>
      <c r="AA1454" s="9" t="s">
        <v>3884</v>
      </c>
    </row>
    <row r="1455" spans="1:28">
      <c r="A1455" s="3" t="s">
        <v>747</v>
      </c>
      <c r="D1455" s="3" t="s">
        <v>3006</v>
      </c>
      <c r="E1455" s="3" t="s">
        <v>2558</v>
      </c>
      <c r="J1455" s="9" t="s">
        <v>8729</v>
      </c>
      <c r="S1455" s="9" t="s">
        <v>8739</v>
      </c>
      <c r="T1455" s="9" t="str">
        <f t="shared" ca="1" si="56"/>
        <v/>
      </c>
      <c r="U1455" s="9" t="str">
        <f t="shared" ca="1" si="57"/>
        <v/>
      </c>
      <c r="Y1455" s="9" t="s">
        <v>8735</v>
      </c>
      <c r="AA1455" s="9" t="s">
        <v>3884</v>
      </c>
    </row>
    <row r="1456" spans="1:28">
      <c r="A1456" s="3" t="s">
        <v>747</v>
      </c>
      <c r="D1456" s="3" t="s">
        <v>3000</v>
      </c>
      <c r="E1456" s="3" t="s">
        <v>3007</v>
      </c>
      <c r="I1456" t="s">
        <v>9022</v>
      </c>
      <c r="J1456" s="9" t="s">
        <v>8729</v>
      </c>
      <c r="S1456" s="9">
        <f>3-77</f>
        <v>-74</v>
      </c>
      <c r="T1456" s="9">
        <f t="shared" ca="1" si="56"/>
        <v>77</v>
      </c>
      <c r="U1456" s="9">
        <f t="shared" ca="1" si="57"/>
        <v>3</v>
      </c>
    </row>
    <row r="1457" spans="1:28" ht="29">
      <c r="A1457" s="3" t="s">
        <v>748</v>
      </c>
      <c r="D1457" s="3" t="s">
        <v>5218</v>
      </c>
      <c r="E1457" s="3" t="s">
        <v>5220</v>
      </c>
      <c r="F1457" t="s">
        <v>3932</v>
      </c>
      <c r="I1457" t="s">
        <v>2502</v>
      </c>
      <c r="T1457" s="9" t="str">
        <f t="shared" ca="1" si="56"/>
        <v/>
      </c>
      <c r="U1457" s="9" t="str">
        <f t="shared" ca="1" si="57"/>
        <v/>
      </c>
    </row>
    <row r="1458" spans="1:28" ht="29">
      <c r="A1458" s="3" t="s">
        <v>748</v>
      </c>
      <c r="D1458" s="3" t="s">
        <v>5219</v>
      </c>
      <c r="E1458" s="3" t="s">
        <v>5221</v>
      </c>
      <c r="H1458" t="s">
        <v>3884</v>
      </c>
      <c r="J1458" s="9" t="s">
        <v>8729</v>
      </c>
      <c r="S1458" s="9">
        <f>991-886</f>
        <v>105</v>
      </c>
      <c r="T1458" s="9">
        <f t="shared" ca="1" si="56"/>
        <v>886</v>
      </c>
      <c r="U1458" s="9">
        <f t="shared" ca="1" si="57"/>
        <v>991</v>
      </c>
    </row>
    <row r="1459" spans="1:28" ht="29">
      <c r="A1459" s="3" t="s">
        <v>748</v>
      </c>
      <c r="D1459" s="3" t="s">
        <v>5217</v>
      </c>
      <c r="E1459" s="3" t="s">
        <v>5222</v>
      </c>
      <c r="F1459" t="s">
        <v>4397</v>
      </c>
      <c r="I1459" t="s">
        <v>5223</v>
      </c>
      <c r="J1459" s="9" t="s">
        <v>3885</v>
      </c>
      <c r="K1459" s="9">
        <v>1</v>
      </c>
      <c r="L1459" s="9">
        <v>2</v>
      </c>
      <c r="M1459" s="9" t="s">
        <v>8736</v>
      </c>
      <c r="N1459" s="9" t="s">
        <v>8730</v>
      </c>
      <c r="R1459" s="9">
        <v>0</v>
      </c>
      <c r="T1459" s="9" t="str">
        <f t="shared" ca="1" si="56"/>
        <v/>
      </c>
      <c r="U1459" s="9" t="str">
        <f t="shared" ca="1" si="57"/>
        <v/>
      </c>
      <c r="AB1459" s="9" t="s">
        <v>8694</v>
      </c>
    </row>
    <row r="1460" spans="1:28" ht="29">
      <c r="A1460" s="3" t="s">
        <v>748</v>
      </c>
      <c r="D1460" s="3" t="s">
        <v>5224</v>
      </c>
      <c r="E1460" s="3" t="s">
        <v>5225</v>
      </c>
      <c r="H1460" t="s">
        <v>3884</v>
      </c>
      <c r="J1460" s="9" t="s">
        <v>3889</v>
      </c>
      <c r="K1460" s="9">
        <v>2</v>
      </c>
      <c r="L1460" s="9">
        <v>8</v>
      </c>
      <c r="N1460" s="9" t="s">
        <v>8684</v>
      </c>
      <c r="O1460" s="9" t="s">
        <v>8847</v>
      </c>
      <c r="P1460" s="10" t="s">
        <v>8813</v>
      </c>
      <c r="R1460" s="9">
        <v>32</v>
      </c>
      <c r="T1460" s="9" t="str">
        <f t="shared" ca="1" si="56"/>
        <v/>
      </c>
      <c r="U1460" s="9" t="str">
        <f t="shared" ca="1" si="57"/>
        <v/>
      </c>
    </row>
    <row r="1461" spans="1:28" ht="29">
      <c r="A1461" s="3" t="s">
        <v>749</v>
      </c>
      <c r="D1461" s="3" t="s">
        <v>5226</v>
      </c>
      <c r="E1461" s="3" t="s">
        <v>5227</v>
      </c>
      <c r="J1461" s="9" t="s">
        <v>8731</v>
      </c>
      <c r="T1461" s="9" t="str">
        <f t="shared" ca="1" si="56"/>
        <v/>
      </c>
      <c r="U1461" s="9" t="str">
        <f t="shared" ca="1" si="57"/>
        <v/>
      </c>
      <c r="AB1461" s="9" t="s">
        <v>8700</v>
      </c>
    </row>
    <row r="1462" spans="1:28">
      <c r="A1462" s="3" t="s">
        <v>749</v>
      </c>
      <c r="D1462" s="3" t="s">
        <v>9023</v>
      </c>
      <c r="E1462" s="3" t="s">
        <v>9024</v>
      </c>
      <c r="J1462" s="9" t="s">
        <v>8731</v>
      </c>
      <c r="T1462" s="9" t="str">
        <f t="shared" ca="1" si="56"/>
        <v/>
      </c>
      <c r="U1462" s="9" t="str">
        <f t="shared" ca="1" si="57"/>
        <v/>
      </c>
      <c r="Z1462" s="9" t="s">
        <v>8747</v>
      </c>
      <c r="AA1462" s="9" t="s">
        <v>3884</v>
      </c>
      <c r="AB1462" s="9" t="s">
        <v>8694</v>
      </c>
    </row>
    <row r="1463" spans="1:28">
      <c r="A1463" s="3" t="s">
        <v>750</v>
      </c>
      <c r="D1463" s="3" t="s">
        <v>5228</v>
      </c>
      <c r="E1463" s="3" t="s">
        <v>5229</v>
      </c>
      <c r="J1463" s="9" t="s">
        <v>8729</v>
      </c>
      <c r="S1463" s="9">
        <f>26-206</f>
        <v>-180</v>
      </c>
      <c r="T1463" s="9">
        <f t="shared" ca="1" si="56"/>
        <v>206</v>
      </c>
      <c r="U1463" s="9">
        <f t="shared" ca="1" si="57"/>
        <v>26</v>
      </c>
    </row>
    <row r="1464" spans="1:28">
      <c r="A1464" s="3" t="s">
        <v>751</v>
      </c>
      <c r="D1464" s="3" t="s">
        <v>3008</v>
      </c>
      <c r="E1464" s="3" t="s">
        <v>3009</v>
      </c>
      <c r="J1464" s="9" t="s">
        <v>8729</v>
      </c>
      <c r="S1464" s="9" t="s">
        <v>8739</v>
      </c>
      <c r="T1464" s="9" t="str">
        <f t="shared" ca="1" si="56"/>
        <v/>
      </c>
      <c r="U1464" s="9" t="str">
        <f t="shared" ca="1" si="57"/>
        <v/>
      </c>
      <c r="Z1464" s="9" t="s">
        <v>8741</v>
      </c>
      <c r="AA1464" s="9" t="s">
        <v>3884</v>
      </c>
      <c r="AB1464" s="9" t="s">
        <v>8697</v>
      </c>
    </row>
    <row r="1465" spans="1:28" ht="29">
      <c r="A1465" s="3" t="s">
        <v>751</v>
      </c>
      <c r="D1465" s="4" t="s">
        <v>5230</v>
      </c>
      <c r="E1465" s="3" t="s">
        <v>5231</v>
      </c>
      <c r="F1465" t="s">
        <v>3883</v>
      </c>
      <c r="H1465" t="s">
        <v>3884</v>
      </c>
      <c r="J1465" s="9" t="s">
        <v>3885</v>
      </c>
      <c r="K1465" s="9">
        <v>1</v>
      </c>
      <c r="L1465" s="9">
        <v>5</v>
      </c>
      <c r="M1465" s="9" t="s">
        <v>8705</v>
      </c>
      <c r="N1465" s="9" t="s">
        <v>8690</v>
      </c>
      <c r="R1465" s="9">
        <v>3678</v>
      </c>
      <c r="T1465" s="9" t="str">
        <f t="shared" ca="1" si="56"/>
        <v/>
      </c>
      <c r="U1465" s="9" t="str">
        <f t="shared" ca="1" si="57"/>
        <v/>
      </c>
    </row>
    <row r="1466" spans="1:28">
      <c r="A1466" s="3" t="s">
        <v>752</v>
      </c>
      <c r="D1466" s="3" t="s">
        <v>5232</v>
      </c>
      <c r="E1466" s="3" t="s">
        <v>5233</v>
      </c>
      <c r="J1466" s="9" t="s">
        <v>8729</v>
      </c>
      <c r="S1466" s="9" t="s">
        <v>8739</v>
      </c>
      <c r="T1466" s="9" t="str">
        <f t="shared" ca="1" si="56"/>
        <v/>
      </c>
      <c r="U1466" s="9" t="str">
        <f t="shared" ca="1" si="57"/>
        <v/>
      </c>
      <c r="AB1466" s="9" t="s">
        <v>8697</v>
      </c>
    </row>
    <row r="1467" spans="1:28">
      <c r="A1467" s="3" t="s">
        <v>753</v>
      </c>
      <c r="D1467" s="3" t="s">
        <v>5234</v>
      </c>
      <c r="E1467" s="3" t="s">
        <v>5235</v>
      </c>
      <c r="I1467" t="s">
        <v>9227</v>
      </c>
      <c r="J1467" s="9" t="s">
        <v>3889</v>
      </c>
      <c r="K1467" s="9">
        <v>1</v>
      </c>
      <c r="L1467" s="9">
        <v>1</v>
      </c>
      <c r="M1467" s="9" t="s">
        <v>8689</v>
      </c>
      <c r="N1467" s="9" t="s">
        <v>8730</v>
      </c>
      <c r="R1467" s="9">
        <v>10929</v>
      </c>
      <c r="T1467" s="9" t="str">
        <f t="shared" ca="1" si="56"/>
        <v/>
      </c>
      <c r="U1467" s="9" t="str">
        <f t="shared" ca="1" si="57"/>
        <v/>
      </c>
      <c r="V1467" s="9" t="s">
        <v>8728</v>
      </c>
    </row>
    <row r="1468" spans="1:28">
      <c r="A1468" s="3" t="s">
        <v>753</v>
      </c>
      <c r="D1468" s="4" t="s">
        <v>5236</v>
      </c>
      <c r="E1468" s="3" t="s">
        <v>5237</v>
      </c>
      <c r="F1468" t="s">
        <v>3883</v>
      </c>
      <c r="T1468" s="9" t="str">
        <f t="shared" ca="1" si="56"/>
        <v/>
      </c>
      <c r="U1468" s="9" t="str">
        <f t="shared" ca="1" si="57"/>
        <v/>
      </c>
    </row>
    <row r="1469" spans="1:28">
      <c r="A1469" s="3" t="s">
        <v>754</v>
      </c>
      <c r="D1469" s="3" t="s">
        <v>5238</v>
      </c>
      <c r="E1469" s="3" t="s">
        <v>5239</v>
      </c>
      <c r="F1469" t="s">
        <v>4397</v>
      </c>
      <c r="H1469" t="s">
        <v>3884</v>
      </c>
      <c r="I1469" t="s">
        <v>9025</v>
      </c>
      <c r="J1469" s="9" t="s">
        <v>3885</v>
      </c>
      <c r="K1469" s="9">
        <v>1</v>
      </c>
      <c r="L1469" s="9">
        <v>1</v>
      </c>
      <c r="M1469" s="9" t="s">
        <v>8683</v>
      </c>
      <c r="N1469" s="9" t="s">
        <v>8730</v>
      </c>
      <c r="Q1469" s="9" t="s">
        <v>8685</v>
      </c>
      <c r="R1469" s="9">
        <v>51</v>
      </c>
      <c r="T1469" s="9" t="str">
        <f t="shared" ca="1" si="56"/>
        <v/>
      </c>
      <c r="U1469" s="9" t="str">
        <f t="shared" ca="1" si="57"/>
        <v/>
      </c>
      <c r="AB1469" s="9" t="s">
        <v>8694</v>
      </c>
    </row>
    <row r="1470" spans="1:28" ht="29">
      <c r="A1470" s="3" t="s">
        <v>754</v>
      </c>
      <c r="D1470" s="3" t="s">
        <v>9026</v>
      </c>
      <c r="E1470" s="3" t="s">
        <v>9027</v>
      </c>
      <c r="J1470" s="9" t="s">
        <v>3889</v>
      </c>
      <c r="K1470" s="9">
        <v>1</v>
      </c>
      <c r="L1470" s="9">
        <v>2</v>
      </c>
      <c r="M1470" s="9" t="s">
        <v>8698</v>
      </c>
      <c r="N1470" s="9" t="s">
        <v>8730</v>
      </c>
      <c r="R1470" s="9">
        <v>159</v>
      </c>
      <c r="T1470" s="9" t="str">
        <f t="shared" ca="1" si="56"/>
        <v/>
      </c>
      <c r="U1470" s="9" t="str">
        <f t="shared" ca="1" si="57"/>
        <v/>
      </c>
    </row>
    <row r="1471" spans="1:28" ht="29">
      <c r="A1471" s="3" t="s">
        <v>754</v>
      </c>
      <c r="D1471" s="3" t="s">
        <v>9028</v>
      </c>
      <c r="E1471" s="3" t="s">
        <v>5241</v>
      </c>
      <c r="J1471" s="9" t="s">
        <v>8729</v>
      </c>
      <c r="S1471" s="9">
        <f>0-30</f>
        <v>-30</v>
      </c>
      <c r="T1471" s="9">
        <f t="shared" ca="1" si="56"/>
        <v>30</v>
      </c>
      <c r="U1471" s="9">
        <f t="shared" ca="1" si="57"/>
        <v>0</v>
      </c>
    </row>
    <row r="1472" spans="1:28" ht="29">
      <c r="A1472" s="3" t="s">
        <v>754</v>
      </c>
      <c r="D1472" s="3" t="s">
        <v>5240</v>
      </c>
      <c r="E1472" s="4" t="s">
        <v>5242</v>
      </c>
      <c r="F1472" t="s">
        <v>3897</v>
      </c>
      <c r="T1472" s="9" t="str">
        <f t="shared" ca="1" si="56"/>
        <v/>
      </c>
      <c r="U1472" s="9" t="str">
        <f t="shared" ca="1" si="57"/>
        <v/>
      </c>
    </row>
    <row r="1473" spans="1:28">
      <c r="A1473" s="3" t="s">
        <v>755</v>
      </c>
      <c r="D1473" s="3" t="s">
        <v>5244</v>
      </c>
      <c r="E1473" s="3" t="s">
        <v>5243</v>
      </c>
      <c r="H1473" t="s">
        <v>3884</v>
      </c>
      <c r="J1473" s="9" t="s">
        <v>8732</v>
      </c>
      <c r="S1473" s="9">
        <f>0-645</f>
        <v>-645</v>
      </c>
      <c r="T1473" s="9">
        <f t="shared" ca="1" si="56"/>
        <v>645</v>
      </c>
      <c r="U1473" s="9">
        <f t="shared" ca="1" si="57"/>
        <v>0</v>
      </c>
    </row>
    <row r="1474" spans="1:28">
      <c r="A1474" s="3" t="s">
        <v>756</v>
      </c>
      <c r="D1474" s="3" t="s">
        <v>5245</v>
      </c>
      <c r="E1474" s="3" t="s">
        <v>5246</v>
      </c>
      <c r="H1474" t="s">
        <v>3884</v>
      </c>
      <c r="J1474" s="9" t="s">
        <v>3885</v>
      </c>
      <c r="K1474" s="9">
        <v>1</v>
      </c>
      <c r="L1474" s="9">
        <v>3</v>
      </c>
      <c r="M1474" s="9" t="s">
        <v>8705</v>
      </c>
      <c r="N1474" s="9" t="s">
        <v>8690</v>
      </c>
      <c r="R1474" s="9">
        <v>1485</v>
      </c>
      <c r="T1474" s="9" t="str">
        <f t="shared" ca="1" si="56"/>
        <v/>
      </c>
      <c r="U1474" s="9" t="str">
        <f t="shared" ca="1" si="57"/>
        <v/>
      </c>
    </row>
    <row r="1475" spans="1:28">
      <c r="A1475" s="3" t="s">
        <v>756</v>
      </c>
      <c r="D1475" s="3" t="s">
        <v>1997</v>
      </c>
      <c r="E1475" s="3" t="s">
        <v>3010</v>
      </c>
      <c r="J1475" s="9" t="s">
        <v>8731</v>
      </c>
      <c r="T1475" s="9" t="str">
        <f t="shared" ca="1" si="56"/>
        <v/>
      </c>
      <c r="U1475" s="9" t="str">
        <f t="shared" ca="1" si="57"/>
        <v/>
      </c>
      <c r="Z1475" s="9" t="s">
        <v>9279</v>
      </c>
      <c r="AA1475" s="9" t="s">
        <v>3884</v>
      </c>
    </row>
    <row r="1476" spans="1:28" ht="29">
      <c r="A1476" s="3" t="s">
        <v>757</v>
      </c>
      <c r="D1476" s="3" t="s">
        <v>5247</v>
      </c>
      <c r="E1476" s="3" t="s">
        <v>5248</v>
      </c>
      <c r="H1476" t="s">
        <v>3884</v>
      </c>
      <c r="J1476" s="9" t="s">
        <v>8729</v>
      </c>
      <c r="S1476" s="9">
        <f>18-5</f>
        <v>13</v>
      </c>
      <c r="T1476" s="9">
        <f t="shared" ca="1" si="56"/>
        <v>5</v>
      </c>
      <c r="U1476" s="9">
        <f t="shared" ca="1" si="57"/>
        <v>18</v>
      </c>
      <c r="AB1476" s="9" t="s">
        <v>8694</v>
      </c>
    </row>
    <row r="1477" spans="1:28" ht="29">
      <c r="A1477" s="3" t="s">
        <v>757</v>
      </c>
      <c r="D1477" s="3" t="s">
        <v>5250</v>
      </c>
      <c r="E1477" s="3" t="s">
        <v>5249</v>
      </c>
      <c r="H1477" t="s">
        <v>3884</v>
      </c>
      <c r="I1477" t="s">
        <v>8865</v>
      </c>
      <c r="J1477" s="9" t="s">
        <v>3894</v>
      </c>
      <c r="T1477" s="9" t="str">
        <f t="shared" ca="1" si="56"/>
        <v/>
      </c>
      <c r="U1477" s="9" t="str">
        <f t="shared" ca="1" si="57"/>
        <v/>
      </c>
    </row>
    <row r="1478" spans="1:28">
      <c r="A1478" s="3" t="s">
        <v>758</v>
      </c>
      <c r="D1478" s="3" t="s">
        <v>3011</v>
      </c>
      <c r="E1478" s="3" t="s">
        <v>3012</v>
      </c>
      <c r="J1478" s="9" t="s">
        <v>8731</v>
      </c>
      <c r="T1478" s="9" t="str">
        <f t="shared" ref="T1478:T1540" ca="1" si="58">IF(ISNUMBER(S1478),VALUE(MID(_xlfn.FORMULATEXT(S1478),SEARCH("-",_xlfn.FORMULATEXT(S1478))+1,LEN(_xlfn.FORMULATEXT(S1478))-SEARCH("-",_xlfn.FORMULATEXT(S1478)))), "")</f>
        <v/>
      </c>
      <c r="U1478" s="9" t="str">
        <f t="shared" ref="U1478:U1540" ca="1" si="59">IF(ISNUMBER(S1478), VALUE(MID(_xlfn.FORMULATEXT(S1478), 2, SEARCH("-", _xlfn.FORMULATEXT(S1478)) - 2)), "")</f>
        <v/>
      </c>
      <c r="Z1478" s="9" t="s">
        <v>8741</v>
      </c>
      <c r="AA1478" s="9" t="s">
        <v>3884</v>
      </c>
      <c r="AB1478" s="9" t="s">
        <v>8697</v>
      </c>
    </row>
    <row r="1479" spans="1:28">
      <c r="A1479" s="3" t="s">
        <v>759</v>
      </c>
      <c r="D1479" s="3" t="s">
        <v>5251</v>
      </c>
      <c r="E1479" s="3" t="s">
        <v>5252</v>
      </c>
      <c r="J1479" s="9" t="s">
        <v>3889</v>
      </c>
      <c r="K1479" s="9">
        <v>1</v>
      </c>
      <c r="L1479" s="9">
        <v>2</v>
      </c>
      <c r="M1479" s="9" t="s">
        <v>8689</v>
      </c>
      <c r="N1479" s="9" t="s">
        <v>8730</v>
      </c>
      <c r="R1479" s="9">
        <v>10929</v>
      </c>
      <c r="T1479" s="9" t="str">
        <f t="shared" ca="1" si="58"/>
        <v/>
      </c>
      <c r="U1479" s="9" t="str">
        <f t="shared" ca="1" si="59"/>
        <v/>
      </c>
    </row>
    <row r="1480" spans="1:28">
      <c r="A1480" s="3" t="s">
        <v>760</v>
      </c>
      <c r="D1480" s="3" t="s">
        <v>3013</v>
      </c>
      <c r="E1480" s="3" t="s">
        <v>3014</v>
      </c>
      <c r="J1480" s="9" t="s">
        <v>8729</v>
      </c>
      <c r="S1480" s="9" t="s">
        <v>8739</v>
      </c>
      <c r="T1480" s="9" t="str">
        <f t="shared" ca="1" si="58"/>
        <v/>
      </c>
      <c r="U1480" s="9" t="str">
        <f t="shared" ca="1" si="59"/>
        <v/>
      </c>
      <c r="Z1480" s="9" t="s">
        <v>8741</v>
      </c>
      <c r="AA1480" s="9" t="s">
        <v>3884</v>
      </c>
      <c r="AB1480" s="9" t="s">
        <v>8697</v>
      </c>
    </row>
    <row r="1481" spans="1:28">
      <c r="A1481" s="3" t="s">
        <v>760</v>
      </c>
      <c r="D1481" s="3" t="s">
        <v>3015</v>
      </c>
      <c r="E1481" s="3" t="s">
        <v>3016</v>
      </c>
      <c r="J1481" s="9" t="s">
        <v>8731</v>
      </c>
      <c r="T1481" s="9" t="str">
        <f t="shared" ca="1" si="58"/>
        <v/>
      </c>
      <c r="U1481" s="9" t="str">
        <f t="shared" ca="1" si="59"/>
        <v/>
      </c>
    </row>
    <row r="1482" spans="1:28" ht="29">
      <c r="A1482" s="3" t="s">
        <v>761</v>
      </c>
      <c r="D1482" s="3" t="s">
        <v>5253</v>
      </c>
      <c r="E1482" s="3" t="s">
        <v>5254</v>
      </c>
      <c r="F1482" t="s">
        <v>3932</v>
      </c>
      <c r="I1482" t="s">
        <v>1962</v>
      </c>
      <c r="T1482" s="9" t="str">
        <f t="shared" ca="1" si="58"/>
        <v/>
      </c>
      <c r="U1482" s="9" t="str">
        <f t="shared" ca="1" si="59"/>
        <v/>
      </c>
    </row>
    <row r="1483" spans="1:28" ht="29">
      <c r="A1483" s="3" t="s">
        <v>761</v>
      </c>
      <c r="D1483" s="3" t="s">
        <v>5255</v>
      </c>
      <c r="E1483" s="3" t="s">
        <v>5256</v>
      </c>
      <c r="H1483" t="s">
        <v>3884</v>
      </c>
      <c r="J1483" s="9" t="s">
        <v>8731</v>
      </c>
      <c r="T1483" s="9" t="str">
        <f t="shared" ca="1" si="58"/>
        <v/>
      </c>
      <c r="U1483" s="9" t="str">
        <f t="shared" ca="1" si="59"/>
        <v/>
      </c>
    </row>
    <row r="1484" spans="1:28">
      <c r="A1484" s="3" t="s">
        <v>761</v>
      </c>
      <c r="D1484" s="3" t="s">
        <v>5257</v>
      </c>
      <c r="E1484" t="s">
        <v>5258</v>
      </c>
      <c r="J1484" s="9" t="s">
        <v>8729</v>
      </c>
      <c r="S1484" s="9">
        <f>100-112</f>
        <v>-12</v>
      </c>
      <c r="T1484" s="9">
        <f t="shared" ca="1" si="58"/>
        <v>112</v>
      </c>
      <c r="U1484" s="9">
        <f t="shared" ca="1" si="59"/>
        <v>100</v>
      </c>
    </row>
    <row r="1485" spans="1:28" ht="29">
      <c r="A1485" s="3" t="s">
        <v>762</v>
      </c>
      <c r="D1485" s="3" t="s">
        <v>5259</v>
      </c>
      <c r="E1485" s="3" t="s">
        <v>5260</v>
      </c>
      <c r="H1485" t="s">
        <v>3884</v>
      </c>
      <c r="I1485" t="s">
        <v>9228</v>
      </c>
      <c r="J1485" s="9" t="s">
        <v>3889</v>
      </c>
      <c r="K1485" s="9">
        <v>1</v>
      </c>
      <c r="L1485" s="9">
        <v>2</v>
      </c>
      <c r="M1485" s="9" t="s">
        <v>8689</v>
      </c>
      <c r="N1485" s="9" t="s">
        <v>8730</v>
      </c>
      <c r="R1485" s="9">
        <v>10929</v>
      </c>
      <c r="T1485" s="9" t="str">
        <f t="shared" ca="1" si="58"/>
        <v/>
      </c>
      <c r="U1485" s="9" t="str">
        <f t="shared" ca="1" si="59"/>
        <v/>
      </c>
      <c r="V1485" s="9" t="s">
        <v>8728</v>
      </c>
    </row>
    <row r="1486" spans="1:28">
      <c r="A1486" s="3" t="s">
        <v>762</v>
      </c>
      <c r="D1486" s="3" t="s">
        <v>5261</v>
      </c>
      <c r="E1486" s="3" t="s">
        <v>5262</v>
      </c>
      <c r="F1486" t="s">
        <v>3881</v>
      </c>
      <c r="H1486" t="s">
        <v>3884</v>
      </c>
      <c r="T1486" s="9" t="str">
        <f t="shared" ca="1" si="58"/>
        <v/>
      </c>
      <c r="U1486" s="9" t="str">
        <f t="shared" ca="1" si="59"/>
        <v/>
      </c>
    </row>
    <row r="1487" spans="1:28">
      <c r="A1487" s="3" t="s">
        <v>762</v>
      </c>
      <c r="D1487" s="3" t="s">
        <v>5263</v>
      </c>
      <c r="E1487" s="3" t="s">
        <v>5264</v>
      </c>
      <c r="H1487" t="s">
        <v>3884</v>
      </c>
      <c r="J1487" s="9" t="s">
        <v>8731</v>
      </c>
      <c r="T1487" s="9" t="str">
        <f t="shared" ca="1" si="58"/>
        <v/>
      </c>
      <c r="U1487" s="9" t="str">
        <f t="shared" ca="1" si="59"/>
        <v/>
      </c>
    </row>
    <row r="1488" spans="1:28">
      <c r="A1488" s="3" t="s">
        <v>763</v>
      </c>
      <c r="D1488" s="3" t="s">
        <v>5265</v>
      </c>
      <c r="E1488" s="3" t="s">
        <v>5266</v>
      </c>
      <c r="J1488" s="9" t="s">
        <v>8731</v>
      </c>
      <c r="T1488" s="9" t="str">
        <f t="shared" ca="1" si="58"/>
        <v/>
      </c>
      <c r="U1488" s="9" t="str">
        <f t="shared" ca="1" si="59"/>
        <v/>
      </c>
    </row>
    <row r="1489" spans="1:28" ht="29">
      <c r="A1489" s="3" t="s">
        <v>764</v>
      </c>
      <c r="D1489" s="3" t="s">
        <v>5267</v>
      </c>
      <c r="E1489" s="4" t="s">
        <v>5268</v>
      </c>
      <c r="F1489" t="s">
        <v>3897</v>
      </c>
      <c r="T1489" s="9" t="str">
        <f t="shared" ca="1" si="58"/>
        <v/>
      </c>
      <c r="U1489" s="9" t="str">
        <f t="shared" ca="1" si="59"/>
        <v/>
      </c>
    </row>
    <row r="1490" spans="1:28">
      <c r="A1490" s="3" t="s">
        <v>765</v>
      </c>
      <c r="D1490" s="4" t="s">
        <v>3017</v>
      </c>
      <c r="E1490" s="3" t="s">
        <v>3018</v>
      </c>
      <c r="F1490" t="s">
        <v>4196</v>
      </c>
      <c r="I1490" t="s">
        <v>9480</v>
      </c>
      <c r="J1490" s="9" t="s">
        <v>8729</v>
      </c>
      <c r="S1490" s="9" t="s">
        <v>8739</v>
      </c>
      <c r="T1490" s="9" t="str">
        <f t="shared" ca="1" si="58"/>
        <v/>
      </c>
      <c r="U1490" s="9" t="str">
        <f t="shared" ca="1" si="59"/>
        <v/>
      </c>
      <c r="Y1490" s="9" t="s">
        <v>8735</v>
      </c>
      <c r="AA1490" s="9" t="s">
        <v>3884</v>
      </c>
    </row>
    <row r="1491" spans="1:28" ht="29">
      <c r="A1491" s="3" t="s">
        <v>766</v>
      </c>
      <c r="D1491" s="3" t="s">
        <v>9229</v>
      </c>
      <c r="E1491" s="3" t="s">
        <v>5270</v>
      </c>
      <c r="J1491" s="9" t="s">
        <v>8729</v>
      </c>
      <c r="S1491" s="9">
        <f>14-20</f>
        <v>-6</v>
      </c>
      <c r="T1491" s="9">
        <f t="shared" ca="1" si="58"/>
        <v>20</v>
      </c>
      <c r="U1491" s="9">
        <f t="shared" ca="1" si="59"/>
        <v>14</v>
      </c>
    </row>
    <row r="1492" spans="1:28" ht="29">
      <c r="A1492" s="3" t="s">
        <v>766</v>
      </c>
      <c r="D1492" s="3" t="s">
        <v>5269</v>
      </c>
      <c r="E1492" s="3" t="s">
        <v>5271</v>
      </c>
      <c r="J1492" s="9" t="s">
        <v>8729</v>
      </c>
      <c r="S1492" s="9" t="s">
        <v>8739</v>
      </c>
      <c r="T1492" s="9" t="str">
        <f t="shared" ca="1" si="58"/>
        <v/>
      </c>
      <c r="U1492" s="9" t="str">
        <f t="shared" ca="1" si="59"/>
        <v/>
      </c>
      <c r="AB1492" s="9" t="s">
        <v>8697</v>
      </c>
    </row>
    <row r="1493" spans="1:28">
      <c r="A1493" s="3" t="s">
        <v>766</v>
      </c>
      <c r="D1493" s="3" t="s">
        <v>3019</v>
      </c>
      <c r="E1493" s="3" t="s">
        <v>3019</v>
      </c>
      <c r="F1493" t="s">
        <v>3932</v>
      </c>
      <c r="I1493" t="s">
        <v>5272</v>
      </c>
      <c r="T1493" s="9" t="str">
        <f t="shared" ca="1" si="58"/>
        <v/>
      </c>
      <c r="U1493" s="9" t="str">
        <f t="shared" ca="1" si="59"/>
        <v/>
      </c>
    </row>
    <row r="1494" spans="1:28">
      <c r="A1494" s="3" t="s">
        <v>766</v>
      </c>
      <c r="D1494" s="3" t="s">
        <v>5273</v>
      </c>
      <c r="E1494" s="3" t="s">
        <v>5273</v>
      </c>
      <c r="F1494" t="s">
        <v>3932</v>
      </c>
      <c r="I1494" t="s">
        <v>5274</v>
      </c>
      <c r="T1494" s="9" t="str">
        <f t="shared" ca="1" si="58"/>
        <v/>
      </c>
      <c r="U1494" s="9" t="str">
        <f t="shared" ca="1" si="59"/>
        <v/>
      </c>
    </row>
    <row r="1495" spans="1:28">
      <c r="A1495" s="3" t="s">
        <v>767</v>
      </c>
      <c r="D1495" s="3" t="s">
        <v>3020</v>
      </c>
      <c r="E1495" s="3" t="s">
        <v>3021</v>
      </c>
      <c r="J1495" s="9" t="s">
        <v>8731</v>
      </c>
      <c r="T1495" s="9" t="str">
        <f t="shared" ca="1" si="58"/>
        <v/>
      </c>
      <c r="U1495" s="9" t="str">
        <f t="shared" ca="1" si="59"/>
        <v/>
      </c>
    </row>
    <row r="1496" spans="1:28">
      <c r="A1496" s="3" t="s">
        <v>767</v>
      </c>
      <c r="D1496" s="3" t="s">
        <v>3022</v>
      </c>
      <c r="E1496" s="3" t="s">
        <v>3023</v>
      </c>
      <c r="G1496" t="s">
        <v>3884</v>
      </c>
      <c r="J1496" s="9" t="s">
        <v>8729</v>
      </c>
      <c r="S1496" s="9">
        <f>2-12</f>
        <v>-10</v>
      </c>
      <c r="T1496" s="9">
        <f t="shared" ca="1" si="58"/>
        <v>12</v>
      </c>
      <c r="U1496" s="9">
        <f t="shared" ca="1" si="59"/>
        <v>2</v>
      </c>
    </row>
    <row r="1497" spans="1:28" ht="29">
      <c r="A1497" s="3" t="s">
        <v>767</v>
      </c>
      <c r="D1497" s="3" t="s">
        <v>5275</v>
      </c>
      <c r="E1497" s="3" t="s">
        <v>5276</v>
      </c>
      <c r="J1497" s="9" t="s">
        <v>3889</v>
      </c>
      <c r="K1497" s="9">
        <v>1</v>
      </c>
      <c r="L1497" s="9">
        <v>2</v>
      </c>
      <c r="M1497" s="9" t="s">
        <v>8707</v>
      </c>
      <c r="N1497" s="9" t="s">
        <v>8730</v>
      </c>
      <c r="Q1497" s="9" t="s">
        <v>8685</v>
      </c>
      <c r="R1497" s="9">
        <v>1942</v>
      </c>
      <c r="T1497" s="9" t="str">
        <f t="shared" ca="1" si="58"/>
        <v/>
      </c>
      <c r="U1497" s="9" t="str">
        <f t="shared" ca="1" si="59"/>
        <v/>
      </c>
    </row>
    <row r="1498" spans="1:28">
      <c r="A1498" s="3" t="s">
        <v>767</v>
      </c>
      <c r="D1498" s="3" t="s">
        <v>5277</v>
      </c>
      <c r="E1498" s="3" t="s">
        <v>5278</v>
      </c>
      <c r="H1498" t="s">
        <v>3884</v>
      </c>
      <c r="J1498" s="9" t="s">
        <v>8731</v>
      </c>
      <c r="T1498" s="9" t="str">
        <f t="shared" ca="1" si="58"/>
        <v/>
      </c>
      <c r="U1498" s="9" t="str">
        <f t="shared" ca="1" si="59"/>
        <v/>
      </c>
      <c r="Z1498" s="9" t="s">
        <v>8861</v>
      </c>
      <c r="AA1498" s="9" t="s">
        <v>3884</v>
      </c>
    </row>
    <row r="1499" spans="1:28" ht="29">
      <c r="A1499" s="3" t="s">
        <v>768</v>
      </c>
      <c r="D1499" s="3" t="s">
        <v>5279</v>
      </c>
      <c r="E1499" s="3" t="s">
        <v>5280</v>
      </c>
      <c r="J1499" s="9" t="s">
        <v>3889</v>
      </c>
      <c r="K1499" s="9">
        <v>2</v>
      </c>
      <c r="L1499" s="9">
        <v>6</v>
      </c>
      <c r="N1499" s="9" t="s">
        <v>8690</v>
      </c>
      <c r="R1499" s="9">
        <v>655</v>
      </c>
      <c r="T1499" s="9" t="str">
        <f t="shared" ca="1" si="58"/>
        <v/>
      </c>
      <c r="U1499" s="9" t="str">
        <f t="shared" ca="1" si="59"/>
        <v/>
      </c>
    </row>
    <row r="1500" spans="1:28">
      <c r="A1500" s="3" t="s">
        <v>768</v>
      </c>
      <c r="D1500" s="3" t="s">
        <v>5281</v>
      </c>
      <c r="E1500" s="3" t="s">
        <v>5282</v>
      </c>
      <c r="H1500" t="s">
        <v>3884</v>
      </c>
      <c r="J1500" s="9" t="s">
        <v>8731</v>
      </c>
      <c r="T1500" s="9" t="str">
        <f t="shared" ca="1" si="58"/>
        <v/>
      </c>
      <c r="U1500" s="9" t="str">
        <f t="shared" ca="1" si="59"/>
        <v/>
      </c>
    </row>
    <row r="1501" spans="1:28">
      <c r="A1501" s="3" t="s">
        <v>768</v>
      </c>
      <c r="D1501" s="4" t="s">
        <v>5283</v>
      </c>
      <c r="E1501" s="3" t="s">
        <v>5284</v>
      </c>
      <c r="F1501" t="s">
        <v>3883</v>
      </c>
      <c r="J1501" s="9" t="s">
        <v>8729</v>
      </c>
      <c r="S1501" s="9" t="s">
        <v>8739</v>
      </c>
      <c r="T1501" s="9" t="str">
        <f t="shared" ca="1" si="58"/>
        <v/>
      </c>
      <c r="U1501" s="9" t="str">
        <f t="shared" ca="1" si="59"/>
        <v/>
      </c>
      <c r="Y1501" s="9" t="s">
        <v>8735</v>
      </c>
      <c r="AA1501" s="9" t="s">
        <v>3884</v>
      </c>
    </row>
    <row r="1502" spans="1:28">
      <c r="A1502" s="3" t="s">
        <v>769</v>
      </c>
      <c r="D1502" s="3" t="s">
        <v>3026</v>
      </c>
      <c r="E1502" s="3" t="s">
        <v>3027</v>
      </c>
      <c r="J1502" s="9" t="s">
        <v>8731</v>
      </c>
      <c r="T1502" s="9" t="str">
        <f t="shared" ca="1" si="58"/>
        <v/>
      </c>
      <c r="U1502" s="9" t="str">
        <f t="shared" ca="1" si="59"/>
        <v/>
      </c>
      <c r="Z1502" s="9" t="s">
        <v>8741</v>
      </c>
      <c r="AA1502" s="9" t="s">
        <v>3884</v>
      </c>
      <c r="AB1502" s="9" t="s">
        <v>8697</v>
      </c>
    </row>
    <row r="1503" spans="1:28">
      <c r="A1503" s="3" t="s">
        <v>769</v>
      </c>
      <c r="D1503" s="4" t="s">
        <v>3024</v>
      </c>
      <c r="E1503" s="3" t="s">
        <v>3025</v>
      </c>
      <c r="F1503" t="s">
        <v>3883</v>
      </c>
      <c r="T1503" s="9" t="str">
        <f t="shared" ca="1" si="58"/>
        <v/>
      </c>
      <c r="U1503" s="9" t="str">
        <f t="shared" ca="1" si="59"/>
        <v/>
      </c>
    </row>
    <row r="1504" spans="1:28" ht="29">
      <c r="A1504" s="3" t="s">
        <v>769</v>
      </c>
      <c r="D1504" s="3" t="s">
        <v>9029</v>
      </c>
      <c r="E1504" s="3" t="s">
        <v>9030</v>
      </c>
      <c r="J1504" s="9" t="s">
        <v>8731</v>
      </c>
      <c r="T1504" s="9" t="str">
        <f t="shared" ca="1" si="58"/>
        <v/>
      </c>
      <c r="U1504" s="9" t="str">
        <f t="shared" ca="1" si="59"/>
        <v/>
      </c>
    </row>
    <row r="1505" spans="1:28" ht="29">
      <c r="A1505" s="3" t="s">
        <v>769</v>
      </c>
      <c r="D1505" s="3" t="s">
        <v>9031</v>
      </c>
      <c r="E1505" s="3" t="s">
        <v>5285</v>
      </c>
      <c r="J1505" s="9" t="s">
        <v>3889</v>
      </c>
      <c r="K1505" s="9">
        <v>1</v>
      </c>
      <c r="L1505" s="9">
        <v>2</v>
      </c>
      <c r="M1505" s="9" t="s">
        <v>8705</v>
      </c>
      <c r="N1505" s="9" t="s">
        <v>8730</v>
      </c>
      <c r="R1505" s="9">
        <v>16</v>
      </c>
      <c r="T1505" s="9" t="str">
        <f t="shared" ca="1" si="58"/>
        <v/>
      </c>
      <c r="U1505" s="9" t="str">
        <f t="shared" ca="1" si="59"/>
        <v/>
      </c>
    </row>
    <row r="1506" spans="1:28" ht="29">
      <c r="A1506" s="3" t="s">
        <v>770</v>
      </c>
      <c r="D1506" s="3" t="s">
        <v>5286</v>
      </c>
      <c r="E1506" s="3" t="s">
        <v>5287</v>
      </c>
      <c r="H1506" t="s">
        <v>3884</v>
      </c>
      <c r="J1506" s="9" t="s">
        <v>8731</v>
      </c>
      <c r="T1506" s="9" t="str">
        <f t="shared" ca="1" si="58"/>
        <v/>
      </c>
      <c r="U1506" s="9" t="str">
        <f t="shared" ca="1" si="59"/>
        <v/>
      </c>
      <c r="AB1506" s="9" t="s">
        <v>8694</v>
      </c>
    </row>
    <row r="1507" spans="1:28">
      <c r="A1507" s="3" t="s">
        <v>770</v>
      </c>
      <c r="D1507" s="4" t="s">
        <v>3024</v>
      </c>
      <c r="E1507" s="3" t="s">
        <v>3025</v>
      </c>
      <c r="F1507" t="s">
        <v>3883</v>
      </c>
      <c r="T1507" s="9" t="str">
        <f t="shared" ca="1" si="58"/>
        <v/>
      </c>
      <c r="U1507" s="9" t="str">
        <f t="shared" ca="1" si="59"/>
        <v/>
      </c>
    </row>
    <row r="1508" spans="1:28" ht="43.5">
      <c r="A1508" s="3" t="s">
        <v>770</v>
      </c>
      <c r="D1508" s="3" t="s">
        <v>5288</v>
      </c>
      <c r="E1508" s="3" t="s">
        <v>5289</v>
      </c>
      <c r="J1508" s="9" t="s">
        <v>3889</v>
      </c>
      <c r="K1508" s="9">
        <v>1</v>
      </c>
      <c r="L1508" s="9">
        <v>3</v>
      </c>
      <c r="M1508" s="9" t="s">
        <v>8689</v>
      </c>
      <c r="N1508" s="9" t="s">
        <v>8690</v>
      </c>
      <c r="R1508" s="9">
        <v>10929</v>
      </c>
      <c r="T1508" s="9" t="str">
        <f t="shared" ca="1" si="58"/>
        <v/>
      </c>
      <c r="U1508" s="9" t="str">
        <f t="shared" ca="1" si="59"/>
        <v/>
      </c>
    </row>
    <row r="1509" spans="1:28">
      <c r="A1509" s="3" t="s">
        <v>771</v>
      </c>
      <c r="D1509" s="3" t="s">
        <v>3028</v>
      </c>
      <c r="E1509" s="3" t="s">
        <v>3029</v>
      </c>
      <c r="H1509" t="s">
        <v>3892</v>
      </c>
      <c r="I1509" t="s">
        <v>5290</v>
      </c>
      <c r="J1509" s="9" t="s">
        <v>8729</v>
      </c>
      <c r="S1509" s="9" t="s">
        <v>8739</v>
      </c>
      <c r="T1509" s="9" t="str">
        <f t="shared" ca="1" si="58"/>
        <v/>
      </c>
      <c r="U1509" s="9" t="str">
        <f t="shared" ca="1" si="59"/>
        <v/>
      </c>
      <c r="AB1509" s="9" t="s">
        <v>8688</v>
      </c>
    </row>
    <row r="1510" spans="1:28">
      <c r="A1510" s="3" t="s">
        <v>771</v>
      </c>
      <c r="D1510" s="4" t="s">
        <v>3024</v>
      </c>
      <c r="E1510" s="3" t="s">
        <v>3025</v>
      </c>
      <c r="F1510" t="s">
        <v>3883</v>
      </c>
      <c r="I1510" s="7"/>
      <c r="T1510" s="9" t="str">
        <f t="shared" ca="1" si="58"/>
        <v/>
      </c>
      <c r="U1510" s="9" t="str">
        <f t="shared" ca="1" si="59"/>
        <v/>
      </c>
    </row>
    <row r="1511" spans="1:28">
      <c r="A1511" s="3" t="s">
        <v>772</v>
      </c>
      <c r="D1511" s="3" t="s">
        <v>5291</v>
      </c>
      <c r="E1511" s="3" t="s">
        <v>5294</v>
      </c>
      <c r="F1511" t="s">
        <v>3932</v>
      </c>
      <c r="I1511" t="s">
        <v>5290</v>
      </c>
      <c r="T1511" s="9" t="str">
        <f t="shared" ca="1" si="58"/>
        <v/>
      </c>
      <c r="U1511" s="9" t="str">
        <f t="shared" ca="1" si="59"/>
        <v/>
      </c>
    </row>
    <row r="1512" spans="1:28">
      <c r="A1512" s="3" t="s">
        <v>772</v>
      </c>
      <c r="D1512" s="3" t="s">
        <v>5292</v>
      </c>
      <c r="E1512" s="3" t="s">
        <v>5293</v>
      </c>
      <c r="I1512" t="s">
        <v>9230</v>
      </c>
      <c r="J1512" s="9" t="s">
        <v>3889</v>
      </c>
      <c r="K1512" s="9">
        <v>1</v>
      </c>
      <c r="L1512" s="9">
        <v>2</v>
      </c>
      <c r="M1512" s="9" t="s">
        <v>8734</v>
      </c>
      <c r="N1512" s="9" t="s">
        <v>8730</v>
      </c>
      <c r="R1512" s="9">
        <v>120</v>
      </c>
      <c r="T1512" s="9" t="str">
        <f t="shared" ca="1" si="58"/>
        <v/>
      </c>
      <c r="U1512" s="9" t="str">
        <f t="shared" ca="1" si="59"/>
        <v/>
      </c>
      <c r="V1512" s="9" t="s">
        <v>4</v>
      </c>
    </row>
    <row r="1513" spans="1:28">
      <c r="A1513" s="3" t="s">
        <v>772</v>
      </c>
      <c r="D1513" s="4" t="s">
        <v>5295</v>
      </c>
      <c r="E1513" s="3" t="s">
        <v>5296</v>
      </c>
      <c r="F1513" t="s">
        <v>3883</v>
      </c>
      <c r="T1513" s="9" t="str">
        <f t="shared" ca="1" si="58"/>
        <v/>
      </c>
      <c r="U1513" s="9" t="str">
        <f t="shared" ca="1" si="59"/>
        <v/>
      </c>
    </row>
    <row r="1514" spans="1:28">
      <c r="A1514" s="3" t="s">
        <v>773</v>
      </c>
      <c r="D1514" s="4" t="s">
        <v>3024</v>
      </c>
      <c r="E1514" s="3" t="s">
        <v>3025</v>
      </c>
      <c r="F1514" t="s">
        <v>3883</v>
      </c>
      <c r="T1514" s="9" t="str">
        <f t="shared" ca="1" si="58"/>
        <v/>
      </c>
      <c r="U1514" s="9" t="str">
        <f t="shared" ca="1" si="59"/>
        <v/>
      </c>
    </row>
    <row r="1515" spans="1:28">
      <c r="A1515" s="3" t="s">
        <v>773</v>
      </c>
      <c r="D1515" s="3" t="s">
        <v>3030</v>
      </c>
      <c r="E1515" s="3" t="s">
        <v>3031</v>
      </c>
      <c r="J1515" s="9" t="s">
        <v>8729</v>
      </c>
      <c r="S1515" s="9" t="s">
        <v>8739</v>
      </c>
      <c r="T1515" s="9" t="str">
        <f t="shared" ca="1" si="58"/>
        <v/>
      </c>
      <c r="U1515" s="9" t="str">
        <f t="shared" ca="1" si="59"/>
        <v/>
      </c>
      <c r="Y1515" s="9" t="s">
        <v>8735</v>
      </c>
      <c r="AA1515" s="9" t="s">
        <v>3884</v>
      </c>
    </row>
    <row r="1516" spans="1:28">
      <c r="A1516" s="3" t="s">
        <v>774</v>
      </c>
      <c r="D1516" s="4" t="s">
        <v>3024</v>
      </c>
      <c r="E1516" s="3" t="s">
        <v>3025</v>
      </c>
      <c r="F1516" t="s">
        <v>3883</v>
      </c>
      <c r="T1516" s="9" t="str">
        <f t="shared" ca="1" si="58"/>
        <v/>
      </c>
      <c r="U1516" s="9" t="str">
        <f t="shared" ca="1" si="59"/>
        <v/>
      </c>
    </row>
    <row r="1517" spans="1:28">
      <c r="A1517" s="3" t="s">
        <v>774</v>
      </c>
      <c r="D1517" s="3" t="s">
        <v>5297</v>
      </c>
      <c r="E1517" s="3" t="s">
        <v>5298</v>
      </c>
      <c r="I1517" t="s">
        <v>9231</v>
      </c>
      <c r="J1517" s="9" t="s">
        <v>3889</v>
      </c>
      <c r="K1517" s="9">
        <v>1</v>
      </c>
      <c r="L1517" s="9">
        <v>3</v>
      </c>
      <c r="M1517" s="9" t="s">
        <v>8689</v>
      </c>
      <c r="N1517" s="9" t="s">
        <v>8690</v>
      </c>
      <c r="R1517" s="9">
        <v>10929</v>
      </c>
      <c r="T1517" s="9" t="str">
        <f t="shared" ca="1" si="58"/>
        <v/>
      </c>
      <c r="U1517" s="9" t="str">
        <f t="shared" ca="1" si="59"/>
        <v/>
      </c>
      <c r="V1517" s="9" t="s">
        <v>8728</v>
      </c>
    </row>
    <row r="1518" spans="1:28">
      <c r="A1518" s="3" t="s">
        <v>774</v>
      </c>
      <c r="D1518" s="3" t="s">
        <v>3030</v>
      </c>
      <c r="E1518" s="3" t="s">
        <v>3031</v>
      </c>
      <c r="J1518" s="9" t="s">
        <v>8729</v>
      </c>
      <c r="S1518" s="9" t="s">
        <v>8739</v>
      </c>
      <c r="T1518" s="9" t="str">
        <f t="shared" ca="1" si="58"/>
        <v/>
      </c>
      <c r="U1518" s="9" t="str">
        <f t="shared" ca="1" si="59"/>
        <v/>
      </c>
      <c r="Y1518" s="9" t="s">
        <v>8735</v>
      </c>
      <c r="AA1518" s="9" t="s">
        <v>3884</v>
      </c>
    </row>
    <row r="1519" spans="1:28">
      <c r="A1519" s="3" t="s">
        <v>774</v>
      </c>
      <c r="D1519" s="3" t="s">
        <v>5299</v>
      </c>
      <c r="E1519" s="3" t="s">
        <v>5300</v>
      </c>
      <c r="F1519" t="s">
        <v>3893</v>
      </c>
      <c r="H1519" t="s">
        <v>3884</v>
      </c>
      <c r="J1519" s="9" t="s">
        <v>8729</v>
      </c>
      <c r="S1519" s="9" t="s">
        <v>8739</v>
      </c>
      <c r="T1519" s="9" t="str">
        <f t="shared" ca="1" si="58"/>
        <v/>
      </c>
      <c r="U1519" s="9" t="str">
        <f t="shared" ca="1" si="59"/>
        <v/>
      </c>
      <c r="Y1519" s="9" t="s">
        <v>8735</v>
      </c>
      <c r="AA1519" s="9" t="s">
        <v>3884</v>
      </c>
    </row>
    <row r="1520" spans="1:28">
      <c r="A1520" s="3" t="s">
        <v>775</v>
      </c>
      <c r="D1520" s="4" t="s">
        <v>3020</v>
      </c>
      <c r="E1520" s="3" t="s">
        <v>3021</v>
      </c>
      <c r="F1520" t="s">
        <v>3883</v>
      </c>
      <c r="H1520" t="s">
        <v>3892</v>
      </c>
      <c r="I1520" t="s">
        <v>9685</v>
      </c>
      <c r="J1520" s="9" t="s">
        <v>8729</v>
      </c>
      <c r="S1520" s="9" t="s">
        <v>8739</v>
      </c>
      <c r="T1520" s="9" t="str">
        <f t="shared" ca="1" si="58"/>
        <v/>
      </c>
      <c r="U1520" s="9" t="str">
        <f t="shared" ca="1" si="59"/>
        <v/>
      </c>
      <c r="Y1520" s="9" t="s">
        <v>8735</v>
      </c>
      <c r="AA1520" s="9" t="s">
        <v>3884</v>
      </c>
    </row>
    <row r="1521" spans="1:28">
      <c r="A1521" s="3" t="s">
        <v>776</v>
      </c>
      <c r="D1521" s="4" t="s">
        <v>5301</v>
      </c>
      <c r="E1521" s="3" t="s">
        <v>9481</v>
      </c>
      <c r="F1521" t="s">
        <v>3883</v>
      </c>
      <c r="J1521" s="9" t="s">
        <v>8729</v>
      </c>
      <c r="S1521" s="9" t="s">
        <v>8739</v>
      </c>
      <c r="T1521" s="9" t="str">
        <f t="shared" ca="1" si="58"/>
        <v/>
      </c>
      <c r="U1521" s="9" t="str">
        <f t="shared" ca="1" si="59"/>
        <v/>
      </c>
      <c r="Y1521" s="9" t="s">
        <v>8735</v>
      </c>
      <c r="AA1521" s="9" t="s">
        <v>3884</v>
      </c>
    </row>
    <row r="1522" spans="1:28">
      <c r="A1522" s="3" t="s">
        <v>776</v>
      </c>
      <c r="D1522" s="4" t="s">
        <v>5302</v>
      </c>
      <c r="E1522" s="3" t="s">
        <v>9482</v>
      </c>
      <c r="F1522" t="s">
        <v>3883</v>
      </c>
      <c r="J1522" s="9" t="s">
        <v>8729</v>
      </c>
      <c r="S1522" s="9" t="s">
        <v>8739</v>
      </c>
      <c r="T1522" s="9" t="str">
        <f t="shared" ca="1" si="58"/>
        <v/>
      </c>
      <c r="U1522" s="9" t="str">
        <f t="shared" ca="1" si="59"/>
        <v/>
      </c>
      <c r="Y1522" s="9" t="s">
        <v>8735</v>
      </c>
      <c r="AA1522" s="9" t="s">
        <v>3884</v>
      </c>
    </row>
    <row r="1523" spans="1:28">
      <c r="A1523" s="3" t="s">
        <v>776</v>
      </c>
      <c r="D1523" s="3" t="s">
        <v>5303</v>
      </c>
      <c r="E1523" s="3" t="s">
        <v>5304</v>
      </c>
      <c r="H1523" t="s">
        <v>3884</v>
      </c>
      <c r="J1523" s="9" t="s">
        <v>8731</v>
      </c>
      <c r="T1523" s="9" t="str">
        <f t="shared" ca="1" si="58"/>
        <v/>
      </c>
      <c r="U1523" s="9" t="str">
        <f t="shared" ca="1" si="59"/>
        <v/>
      </c>
      <c r="AB1523" s="9" t="s">
        <v>8694</v>
      </c>
    </row>
    <row r="1524" spans="1:28">
      <c r="A1524" s="3" t="s">
        <v>776</v>
      </c>
      <c r="D1524" s="3" t="s">
        <v>5305</v>
      </c>
      <c r="E1524" s="3" t="s">
        <v>5305</v>
      </c>
      <c r="F1524" t="s">
        <v>3932</v>
      </c>
      <c r="I1524" t="s">
        <v>5306</v>
      </c>
      <c r="T1524" s="9" t="str">
        <f t="shared" ca="1" si="58"/>
        <v/>
      </c>
      <c r="U1524" s="9" t="str">
        <f t="shared" ca="1" si="59"/>
        <v/>
      </c>
    </row>
    <row r="1525" spans="1:28">
      <c r="A1525" s="3" t="s">
        <v>777</v>
      </c>
      <c r="D1525" s="3" t="s">
        <v>5308</v>
      </c>
      <c r="E1525" s="3" t="s">
        <v>5309</v>
      </c>
      <c r="H1525" t="s">
        <v>3884</v>
      </c>
      <c r="J1525" s="9" t="s">
        <v>8729</v>
      </c>
      <c r="S1525" s="9" t="s">
        <v>8739</v>
      </c>
      <c r="T1525" s="9" t="str">
        <f t="shared" ca="1" si="58"/>
        <v/>
      </c>
      <c r="U1525" s="9" t="str">
        <f t="shared" ca="1" si="59"/>
        <v/>
      </c>
      <c r="Y1525" s="9" t="s">
        <v>8735</v>
      </c>
      <c r="AA1525" s="9" t="s">
        <v>3884</v>
      </c>
    </row>
    <row r="1526" spans="1:28">
      <c r="A1526" s="3" t="s">
        <v>777</v>
      </c>
      <c r="D1526" s="3" t="s">
        <v>5310</v>
      </c>
      <c r="E1526" s="3" t="s">
        <v>5307</v>
      </c>
      <c r="J1526" s="9" t="s">
        <v>8729</v>
      </c>
      <c r="S1526" s="9" t="s">
        <v>8739</v>
      </c>
      <c r="T1526" s="9" t="str">
        <f t="shared" ca="1" si="58"/>
        <v/>
      </c>
      <c r="U1526" s="9" t="str">
        <f t="shared" ca="1" si="59"/>
        <v/>
      </c>
      <c r="Y1526" s="9" t="s">
        <v>8735</v>
      </c>
      <c r="AA1526" s="9" t="s">
        <v>3884</v>
      </c>
    </row>
    <row r="1527" spans="1:28">
      <c r="A1527" s="3" t="s">
        <v>778</v>
      </c>
      <c r="D1527" s="3" t="s">
        <v>5312</v>
      </c>
      <c r="E1527" s="3" t="s">
        <v>5311</v>
      </c>
      <c r="J1527" s="9" t="s">
        <v>3885</v>
      </c>
      <c r="K1527" s="9">
        <v>1</v>
      </c>
      <c r="L1527" s="9">
        <v>1</v>
      </c>
      <c r="M1527" s="9" t="s">
        <v>8705</v>
      </c>
      <c r="N1527" s="9" t="s">
        <v>8730</v>
      </c>
      <c r="R1527" s="9">
        <v>615</v>
      </c>
      <c r="T1527" s="9" t="str">
        <f t="shared" ca="1" si="58"/>
        <v/>
      </c>
      <c r="U1527" s="9" t="str">
        <f t="shared" ca="1" si="59"/>
        <v/>
      </c>
      <c r="V1527" s="9" t="s">
        <v>4</v>
      </c>
    </row>
    <row r="1528" spans="1:28">
      <c r="A1528" s="3" t="s">
        <v>779</v>
      </c>
      <c r="D1528" s="4" t="s">
        <v>3024</v>
      </c>
      <c r="E1528" s="3" t="s">
        <v>3025</v>
      </c>
      <c r="F1528" t="s">
        <v>3883</v>
      </c>
      <c r="I1528" s="7"/>
      <c r="T1528" s="9" t="str">
        <f t="shared" ca="1" si="58"/>
        <v/>
      </c>
      <c r="U1528" s="9" t="str">
        <f t="shared" ca="1" si="59"/>
        <v/>
      </c>
    </row>
    <row r="1529" spans="1:28">
      <c r="A1529" s="3" t="s">
        <v>779</v>
      </c>
      <c r="D1529" s="3" t="s">
        <v>5313</v>
      </c>
      <c r="E1529" s="3" t="s">
        <v>5314</v>
      </c>
      <c r="F1529" t="s">
        <v>3886</v>
      </c>
      <c r="J1529" s="9" t="s">
        <v>8729</v>
      </c>
      <c r="S1529" s="9" t="s">
        <v>8739</v>
      </c>
      <c r="T1529" s="9" t="str">
        <f t="shared" ca="1" si="58"/>
        <v/>
      </c>
      <c r="U1529" s="9" t="str">
        <f t="shared" ca="1" si="59"/>
        <v/>
      </c>
      <c r="AB1529" s="9" t="s">
        <v>8697</v>
      </c>
    </row>
    <row r="1530" spans="1:28">
      <c r="A1530" s="3" t="s">
        <v>779</v>
      </c>
      <c r="D1530" s="3" t="s">
        <v>5315</v>
      </c>
      <c r="E1530" s="3" t="s">
        <v>5316</v>
      </c>
      <c r="H1530" t="s">
        <v>3884</v>
      </c>
      <c r="J1530" s="9" t="s">
        <v>8731</v>
      </c>
      <c r="T1530" s="9" t="str">
        <f t="shared" ca="1" si="58"/>
        <v/>
      </c>
      <c r="U1530" s="9" t="str">
        <f t="shared" ca="1" si="59"/>
        <v/>
      </c>
      <c r="AB1530" s="9" t="s">
        <v>8694</v>
      </c>
    </row>
    <row r="1531" spans="1:28">
      <c r="A1531" s="3" t="s">
        <v>780</v>
      </c>
      <c r="D1531" s="3" t="s">
        <v>3032</v>
      </c>
      <c r="E1531" s="3" t="s">
        <v>3033</v>
      </c>
      <c r="J1531" s="9" t="s">
        <v>8729</v>
      </c>
      <c r="S1531" s="9" t="s">
        <v>8739</v>
      </c>
      <c r="T1531" s="9" t="str">
        <f t="shared" ca="1" si="58"/>
        <v/>
      </c>
      <c r="U1531" s="9" t="str">
        <f t="shared" ca="1" si="59"/>
        <v/>
      </c>
      <c r="Z1531" s="9" t="s">
        <v>8741</v>
      </c>
      <c r="AA1531" s="9" t="s">
        <v>3884</v>
      </c>
      <c r="AB1531" s="9" t="s">
        <v>8697</v>
      </c>
    </row>
    <row r="1532" spans="1:28">
      <c r="A1532" s="3" t="s">
        <v>781</v>
      </c>
      <c r="D1532" s="3" t="s">
        <v>2646</v>
      </c>
      <c r="E1532" s="3" t="s">
        <v>2647</v>
      </c>
      <c r="J1532" s="9" t="s">
        <v>8729</v>
      </c>
      <c r="S1532" s="9" t="s">
        <v>8739</v>
      </c>
      <c r="T1532" s="9" t="str">
        <f t="shared" ca="1" si="58"/>
        <v/>
      </c>
      <c r="U1532" s="9" t="str">
        <f t="shared" ca="1" si="59"/>
        <v/>
      </c>
      <c r="Z1532" s="9" t="s">
        <v>8741</v>
      </c>
      <c r="AA1532" s="9" t="s">
        <v>3884</v>
      </c>
      <c r="AB1532" s="9" t="s">
        <v>8697</v>
      </c>
    </row>
    <row r="1533" spans="1:28">
      <c r="A1533" s="3" t="s">
        <v>782</v>
      </c>
      <c r="D1533" s="4" t="s">
        <v>3024</v>
      </c>
      <c r="E1533" s="3" t="s">
        <v>3025</v>
      </c>
      <c r="F1533" t="s">
        <v>3883</v>
      </c>
      <c r="T1533" s="9" t="str">
        <f t="shared" ca="1" si="58"/>
        <v/>
      </c>
      <c r="U1533" s="9" t="str">
        <f t="shared" ca="1" si="59"/>
        <v/>
      </c>
    </row>
    <row r="1534" spans="1:28" ht="29">
      <c r="A1534" s="3" t="s">
        <v>782</v>
      </c>
      <c r="D1534" s="3" t="s">
        <v>9483</v>
      </c>
      <c r="E1534" s="3" t="s">
        <v>9484</v>
      </c>
      <c r="I1534" t="s">
        <v>9232</v>
      </c>
      <c r="J1534" s="9" t="s">
        <v>8731</v>
      </c>
      <c r="T1534" s="9" t="str">
        <f t="shared" ca="1" si="58"/>
        <v/>
      </c>
      <c r="U1534" s="9" t="str">
        <f t="shared" ca="1" si="59"/>
        <v/>
      </c>
    </row>
    <row r="1535" spans="1:28">
      <c r="A1535" s="3" t="s">
        <v>782</v>
      </c>
      <c r="D1535" s="3" t="s">
        <v>5317</v>
      </c>
      <c r="E1535" s="3" t="s">
        <v>3034</v>
      </c>
      <c r="H1535" t="s">
        <v>3884</v>
      </c>
      <c r="J1535" s="9" t="s">
        <v>8729</v>
      </c>
      <c r="S1535" s="9">
        <f>0-3</f>
        <v>-3</v>
      </c>
      <c r="T1535" s="9">
        <f t="shared" ca="1" si="58"/>
        <v>3</v>
      </c>
      <c r="U1535" s="9">
        <f t="shared" ca="1" si="59"/>
        <v>0</v>
      </c>
    </row>
    <row r="1536" spans="1:28">
      <c r="A1536" s="3" t="s">
        <v>783</v>
      </c>
      <c r="D1536" s="3" t="s">
        <v>5318</v>
      </c>
      <c r="E1536" s="3" t="s">
        <v>5318</v>
      </c>
      <c r="F1536" t="s">
        <v>3932</v>
      </c>
      <c r="I1536" t="s">
        <v>7403</v>
      </c>
      <c r="T1536" s="9" t="str">
        <f t="shared" ca="1" si="58"/>
        <v/>
      </c>
      <c r="U1536" s="9" t="str">
        <f t="shared" ca="1" si="59"/>
        <v/>
      </c>
    </row>
    <row r="1537" spans="1:28" ht="29">
      <c r="A1537" s="3" t="s">
        <v>783</v>
      </c>
      <c r="D1537" s="3" t="s">
        <v>5319</v>
      </c>
      <c r="E1537" s="3" t="s">
        <v>5320</v>
      </c>
      <c r="H1537" t="s">
        <v>3884</v>
      </c>
      <c r="J1537" s="9" t="s">
        <v>3889</v>
      </c>
      <c r="K1537" s="9">
        <v>2</v>
      </c>
      <c r="L1537" s="9">
        <v>9</v>
      </c>
      <c r="N1537" s="9" t="s">
        <v>8690</v>
      </c>
      <c r="R1537" s="9">
        <v>15</v>
      </c>
      <c r="T1537" s="9" t="str">
        <f t="shared" ca="1" si="58"/>
        <v/>
      </c>
      <c r="U1537" s="9" t="str">
        <f t="shared" ca="1" si="59"/>
        <v/>
      </c>
    </row>
    <row r="1538" spans="1:28">
      <c r="A1538" s="3" t="s">
        <v>783</v>
      </c>
      <c r="D1538" s="4" t="s">
        <v>3024</v>
      </c>
      <c r="E1538" s="3" t="s">
        <v>3025</v>
      </c>
      <c r="F1538" t="s">
        <v>3883</v>
      </c>
      <c r="T1538" s="9" t="str">
        <f t="shared" ca="1" si="58"/>
        <v/>
      </c>
      <c r="U1538" s="9" t="str">
        <f t="shared" ca="1" si="59"/>
        <v/>
      </c>
    </row>
    <row r="1539" spans="1:28" ht="43.5">
      <c r="A1539" s="3" t="s">
        <v>784</v>
      </c>
      <c r="D1539" s="3" t="s">
        <v>5321</v>
      </c>
      <c r="E1539" s="3" t="s">
        <v>5322</v>
      </c>
      <c r="H1539" t="s">
        <v>3884</v>
      </c>
      <c r="J1539" s="9" t="s">
        <v>3885</v>
      </c>
      <c r="K1539" s="9">
        <v>2</v>
      </c>
      <c r="L1539" s="9">
        <v>9</v>
      </c>
      <c r="N1539" s="9" t="s">
        <v>8690</v>
      </c>
      <c r="R1539" s="9">
        <v>29</v>
      </c>
      <c r="T1539" s="9" t="str">
        <f t="shared" ca="1" si="58"/>
        <v/>
      </c>
      <c r="U1539" s="9" t="str">
        <f t="shared" ca="1" si="59"/>
        <v/>
      </c>
      <c r="AB1539" s="9" t="s">
        <v>8694</v>
      </c>
    </row>
    <row r="1540" spans="1:28">
      <c r="A1540" s="3" t="s">
        <v>784</v>
      </c>
      <c r="D1540" s="3" t="s">
        <v>3035</v>
      </c>
      <c r="E1540" s="3" t="s">
        <v>3036</v>
      </c>
      <c r="J1540" s="9" t="s">
        <v>8729</v>
      </c>
      <c r="S1540" s="9" t="s">
        <v>8739</v>
      </c>
      <c r="T1540" s="9" t="str">
        <f t="shared" ca="1" si="58"/>
        <v/>
      </c>
      <c r="U1540" s="9" t="str">
        <f t="shared" ca="1" si="59"/>
        <v/>
      </c>
      <c r="Z1540" s="9" t="s">
        <v>9032</v>
      </c>
      <c r="AA1540" s="9" t="s">
        <v>3884</v>
      </c>
      <c r="AB1540" s="9" t="s">
        <v>8697</v>
      </c>
    </row>
    <row r="1541" spans="1:28">
      <c r="A1541" s="3" t="s">
        <v>784</v>
      </c>
      <c r="D1541" s="4" t="s">
        <v>3024</v>
      </c>
      <c r="E1541" s="3" t="s">
        <v>3025</v>
      </c>
      <c r="F1541" t="s">
        <v>3883</v>
      </c>
      <c r="T1541" s="9" t="str">
        <f t="shared" ref="T1541:T1604" ca="1" si="60">IF(ISNUMBER(S1541),VALUE(MID(_xlfn.FORMULATEXT(S1541),SEARCH("-",_xlfn.FORMULATEXT(S1541))+1,LEN(_xlfn.FORMULATEXT(S1541))-SEARCH("-",_xlfn.FORMULATEXT(S1541)))), "")</f>
        <v/>
      </c>
      <c r="U1541" s="9" t="str">
        <f t="shared" ref="U1541:U1604" ca="1" si="61">IF(ISNUMBER(S1541), VALUE(MID(_xlfn.FORMULATEXT(S1541), 2, SEARCH("-", _xlfn.FORMULATEXT(S1541)) - 2)), "")</f>
        <v/>
      </c>
    </row>
    <row r="1542" spans="1:28">
      <c r="A1542" s="3" t="s">
        <v>785</v>
      </c>
      <c r="D1542" s="3" t="s">
        <v>9485</v>
      </c>
      <c r="E1542" s="3" t="s">
        <v>3037</v>
      </c>
      <c r="H1542" t="s">
        <v>3884</v>
      </c>
      <c r="J1542" s="9" t="s">
        <v>8729</v>
      </c>
      <c r="S1542" s="9" t="s">
        <v>8739</v>
      </c>
      <c r="T1542" s="9" t="str">
        <f t="shared" ca="1" si="60"/>
        <v/>
      </c>
      <c r="U1542" s="9" t="str">
        <f t="shared" ca="1" si="61"/>
        <v/>
      </c>
      <c r="Y1542" s="9" t="s">
        <v>8735</v>
      </c>
      <c r="AA1542" s="9" t="s">
        <v>3884</v>
      </c>
    </row>
    <row r="1543" spans="1:28">
      <c r="A1543" s="3" t="s">
        <v>785</v>
      </c>
      <c r="D1543" s="3" t="s">
        <v>5323</v>
      </c>
      <c r="E1543" s="3" t="s">
        <v>5324</v>
      </c>
      <c r="H1543" t="s">
        <v>3884</v>
      </c>
      <c r="J1543" s="9" t="s">
        <v>8731</v>
      </c>
      <c r="T1543" s="9" t="str">
        <f t="shared" ca="1" si="60"/>
        <v/>
      </c>
      <c r="U1543" s="9" t="str">
        <f t="shared" ca="1" si="61"/>
        <v/>
      </c>
      <c r="AB1543" s="9" t="s">
        <v>8700</v>
      </c>
    </row>
    <row r="1544" spans="1:28">
      <c r="A1544" s="3" t="s">
        <v>786</v>
      </c>
      <c r="D1544" s="3" t="s">
        <v>5325</v>
      </c>
      <c r="E1544" s="3" t="s">
        <v>5326</v>
      </c>
      <c r="J1544" s="9" t="s">
        <v>8732</v>
      </c>
      <c r="S1544" s="9">
        <f>11-2</f>
        <v>9</v>
      </c>
      <c r="T1544" s="9">
        <f t="shared" ca="1" si="60"/>
        <v>2</v>
      </c>
      <c r="U1544" s="9">
        <f t="shared" ca="1" si="61"/>
        <v>11</v>
      </c>
    </row>
    <row r="1545" spans="1:28" ht="29">
      <c r="A1545" s="3" t="s">
        <v>786</v>
      </c>
      <c r="D1545" s="4" t="s">
        <v>5327</v>
      </c>
      <c r="E1545" s="3" t="s">
        <v>5328</v>
      </c>
      <c r="F1545" t="s">
        <v>3883</v>
      </c>
      <c r="T1545" s="9" t="str">
        <f t="shared" ca="1" si="60"/>
        <v/>
      </c>
      <c r="U1545" s="9" t="str">
        <f t="shared" ca="1" si="61"/>
        <v/>
      </c>
    </row>
    <row r="1546" spans="1:28">
      <c r="A1546" s="3" t="s">
        <v>787</v>
      </c>
      <c r="D1546" s="3" t="s">
        <v>5329</v>
      </c>
      <c r="E1546" s="3" t="s">
        <v>5330</v>
      </c>
      <c r="H1546" t="s">
        <v>3884</v>
      </c>
      <c r="J1546" s="9" t="s">
        <v>8731</v>
      </c>
      <c r="T1546" s="9" t="str">
        <f t="shared" ca="1" si="60"/>
        <v/>
      </c>
      <c r="U1546" s="9" t="str">
        <f t="shared" ca="1" si="61"/>
        <v/>
      </c>
      <c r="Y1546" s="9" t="s">
        <v>9282</v>
      </c>
      <c r="AA1546" s="9" t="s">
        <v>3884</v>
      </c>
    </row>
    <row r="1547" spans="1:28">
      <c r="A1547" s="3" t="s">
        <v>788</v>
      </c>
      <c r="D1547" s="3" t="s">
        <v>3038</v>
      </c>
      <c r="E1547" s="3" t="s">
        <v>3039</v>
      </c>
      <c r="J1547" s="9" t="s">
        <v>8731</v>
      </c>
      <c r="T1547" s="9" t="str">
        <f t="shared" ca="1" si="60"/>
        <v/>
      </c>
      <c r="U1547" s="9" t="str">
        <f t="shared" ca="1" si="61"/>
        <v/>
      </c>
      <c r="Z1547" s="9" t="s">
        <v>8757</v>
      </c>
      <c r="AA1547" s="9" t="s">
        <v>3884</v>
      </c>
    </row>
    <row r="1548" spans="1:28">
      <c r="A1548" s="3" t="s">
        <v>788</v>
      </c>
      <c r="D1548" s="3" t="s">
        <v>2052</v>
      </c>
      <c r="E1548" s="3" t="s">
        <v>2053</v>
      </c>
      <c r="J1548" s="9" t="s">
        <v>8731</v>
      </c>
      <c r="T1548" s="9" t="str">
        <f t="shared" ca="1" si="60"/>
        <v/>
      </c>
      <c r="U1548" s="9" t="str">
        <f t="shared" ca="1" si="61"/>
        <v/>
      </c>
      <c r="Z1548" s="9" t="s">
        <v>8757</v>
      </c>
      <c r="AA1548" s="9" t="s">
        <v>3884</v>
      </c>
    </row>
    <row r="1549" spans="1:28">
      <c r="A1549" s="3" t="s">
        <v>789</v>
      </c>
      <c r="D1549" s="3" t="s">
        <v>3040</v>
      </c>
      <c r="E1549" s="3" t="s">
        <v>2124</v>
      </c>
      <c r="J1549" s="9" t="s">
        <v>8729</v>
      </c>
      <c r="S1549" s="9">
        <f>69-9</f>
        <v>60</v>
      </c>
      <c r="T1549" s="9">
        <f t="shared" ca="1" si="60"/>
        <v>9</v>
      </c>
      <c r="U1549" s="9">
        <f t="shared" ca="1" si="61"/>
        <v>69</v>
      </c>
    </row>
    <row r="1550" spans="1:28">
      <c r="A1550" s="3" t="s">
        <v>790</v>
      </c>
      <c r="D1550" s="3" t="s">
        <v>5331</v>
      </c>
      <c r="E1550" s="3" t="s">
        <v>5332</v>
      </c>
      <c r="H1550" t="s">
        <v>3884</v>
      </c>
      <c r="J1550" s="9" t="s">
        <v>8729</v>
      </c>
      <c r="S1550" s="9" t="s">
        <v>8739</v>
      </c>
      <c r="T1550" s="9" t="str">
        <f t="shared" ca="1" si="60"/>
        <v/>
      </c>
      <c r="U1550" s="9" t="str">
        <f t="shared" ca="1" si="61"/>
        <v/>
      </c>
      <c r="Y1550" s="9" t="s">
        <v>8735</v>
      </c>
      <c r="AA1550" s="9" t="s">
        <v>3884</v>
      </c>
    </row>
    <row r="1551" spans="1:28">
      <c r="A1551" s="3" t="s">
        <v>790</v>
      </c>
      <c r="D1551" s="3" t="s">
        <v>5333</v>
      </c>
      <c r="E1551" s="3" t="s">
        <v>5334</v>
      </c>
      <c r="J1551" s="9" t="s">
        <v>8729</v>
      </c>
      <c r="S1551" s="9" t="s">
        <v>8739</v>
      </c>
      <c r="T1551" s="9" t="str">
        <f t="shared" ca="1" si="60"/>
        <v/>
      </c>
      <c r="U1551" s="9" t="str">
        <f t="shared" ca="1" si="61"/>
        <v/>
      </c>
      <c r="Y1551" s="9" t="s">
        <v>8735</v>
      </c>
      <c r="AA1551" s="9" t="s">
        <v>3884</v>
      </c>
    </row>
    <row r="1552" spans="1:28" ht="29">
      <c r="A1552" s="3" t="s">
        <v>790</v>
      </c>
      <c r="D1552" s="3" t="s">
        <v>9033</v>
      </c>
      <c r="E1552" s="3" t="s">
        <v>9034</v>
      </c>
      <c r="H1552" t="s">
        <v>3892</v>
      </c>
      <c r="J1552" s="9" t="s">
        <v>8731</v>
      </c>
      <c r="T1552" s="9" t="str">
        <f t="shared" ca="1" si="60"/>
        <v/>
      </c>
      <c r="U1552" s="9" t="str">
        <f t="shared" ca="1" si="61"/>
        <v/>
      </c>
      <c r="AB1552" s="9" t="s">
        <v>8694</v>
      </c>
    </row>
    <row r="1553" spans="1:28" ht="29">
      <c r="A1553" s="3" t="s">
        <v>790</v>
      </c>
      <c r="D1553" s="3" t="s">
        <v>5335</v>
      </c>
      <c r="E1553" s="3" t="s">
        <v>9035</v>
      </c>
      <c r="J1553" s="9" t="s">
        <v>3885</v>
      </c>
      <c r="K1553" s="9">
        <v>1</v>
      </c>
      <c r="L1553" s="9">
        <v>1</v>
      </c>
      <c r="M1553" s="9" t="s">
        <v>8689</v>
      </c>
      <c r="N1553" s="9" t="s">
        <v>8730</v>
      </c>
      <c r="R1553" s="9">
        <v>10929</v>
      </c>
      <c r="T1553" s="9" t="str">
        <f t="shared" ca="1" si="60"/>
        <v/>
      </c>
      <c r="U1553" s="9" t="str">
        <f t="shared" ca="1" si="61"/>
        <v/>
      </c>
    </row>
    <row r="1554" spans="1:28">
      <c r="A1554" s="3" t="s">
        <v>790</v>
      </c>
      <c r="D1554" s="3" t="s">
        <v>5336</v>
      </c>
      <c r="E1554" s="3" t="s">
        <v>3041</v>
      </c>
      <c r="H1554" t="s">
        <v>3884</v>
      </c>
      <c r="J1554" s="9" t="s">
        <v>8729</v>
      </c>
      <c r="S1554" s="9" t="s">
        <v>8730</v>
      </c>
      <c r="T1554" s="9" t="str">
        <f t="shared" ca="1" si="60"/>
        <v/>
      </c>
      <c r="U1554" s="9" t="str">
        <f t="shared" ca="1" si="61"/>
        <v/>
      </c>
      <c r="Z1554" s="9" t="s">
        <v>8861</v>
      </c>
      <c r="AA1554" s="9" t="s">
        <v>3884</v>
      </c>
      <c r="AB1554" s="9" t="s">
        <v>8688</v>
      </c>
    </row>
    <row r="1555" spans="1:28">
      <c r="A1555" s="3" t="s">
        <v>790</v>
      </c>
      <c r="D1555" s="4" t="s">
        <v>3024</v>
      </c>
      <c r="E1555" s="3" t="s">
        <v>3025</v>
      </c>
      <c r="F1555" t="s">
        <v>3883</v>
      </c>
      <c r="T1555" s="9" t="str">
        <f t="shared" ca="1" si="60"/>
        <v/>
      </c>
      <c r="U1555" s="9" t="str">
        <f t="shared" ca="1" si="61"/>
        <v/>
      </c>
    </row>
    <row r="1556" spans="1:28">
      <c r="A1556" s="3" t="s">
        <v>791</v>
      </c>
      <c r="D1556" s="4" t="s">
        <v>5337</v>
      </c>
      <c r="E1556" s="3" t="s">
        <v>5338</v>
      </c>
      <c r="F1556" t="s">
        <v>3883</v>
      </c>
      <c r="T1556" s="9" t="str">
        <f t="shared" ca="1" si="60"/>
        <v/>
      </c>
      <c r="U1556" s="9" t="str">
        <f t="shared" ca="1" si="61"/>
        <v/>
      </c>
    </row>
    <row r="1557" spans="1:28" ht="29">
      <c r="A1557" s="3" t="s">
        <v>791</v>
      </c>
      <c r="D1557" s="3" t="s">
        <v>5339</v>
      </c>
      <c r="E1557" s="3" t="s">
        <v>5340</v>
      </c>
      <c r="H1557" t="s">
        <v>3884</v>
      </c>
      <c r="J1557" s="9" t="s">
        <v>8731</v>
      </c>
      <c r="T1557" s="9" t="str">
        <f t="shared" ca="1" si="60"/>
        <v/>
      </c>
      <c r="U1557" s="9" t="str">
        <f t="shared" ca="1" si="61"/>
        <v/>
      </c>
      <c r="AB1557" s="9" t="s">
        <v>8694</v>
      </c>
    </row>
    <row r="1558" spans="1:28">
      <c r="A1558" s="3" t="s">
        <v>792</v>
      </c>
      <c r="D1558" s="3" t="s">
        <v>9036</v>
      </c>
      <c r="E1558" s="3" t="s">
        <v>9037</v>
      </c>
      <c r="F1558" t="s">
        <v>4397</v>
      </c>
      <c r="J1558" s="9" t="s">
        <v>8731</v>
      </c>
      <c r="T1558" s="9" t="str">
        <f t="shared" ca="1" si="60"/>
        <v/>
      </c>
      <c r="U1558" s="9" t="str">
        <f t="shared" ca="1" si="61"/>
        <v/>
      </c>
      <c r="AB1558" s="9" t="s">
        <v>8694</v>
      </c>
    </row>
    <row r="1559" spans="1:28">
      <c r="A1559" s="3" t="s">
        <v>792</v>
      </c>
      <c r="D1559" s="3" t="s">
        <v>2414</v>
      </c>
      <c r="E1559" s="3" t="s">
        <v>2415</v>
      </c>
      <c r="J1559" s="9" t="s">
        <v>8731</v>
      </c>
      <c r="T1559" s="9" t="str">
        <f t="shared" ca="1" si="60"/>
        <v/>
      </c>
      <c r="U1559" s="9" t="str">
        <f t="shared" ca="1" si="61"/>
        <v/>
      </c>
      <c r="Z1559" s="9" t="s">
        <v>8861</v>
      </c>
      <c r="AA1559" s="9" t="s">
        <v>3884</v>
      </c>
    </row>
    <row r="1560" spans="1:28">
      <c r="A1560" s="3" t="s">
        <v>792</v>
      </c>
      <c r="D1560" s="4" t="s">
        <v>5342</v>
      </c>
      <c r="E1560" s="3" t="s">
        <v>5341</v>
      </c>
      <c r="F1560" t="s">
        <v>3883</v>
      </c>
      <c r="H1560" t="s">
        <v>3884</v>
      </c>
      <c r="T1560" s="9" t="str">
        <f t="shared" ca="1" si="60"/>
        <v/>
      </c>
      <c r="U1560" s="9" t="str">
        <f t="shared" ca="1" si="61"/>
        <v/>
      </c>
    </row>
    <row r="1561" spans="1:28">
      <c r="A1561" s="3" t="s">
        <v>793</v>
      </c>
      <c r="D1561" s="3" t="s">
        <v>5343</v>
      </c>
      <c r="E1561" s="3" t="s">
        <v>3042</v>
      </c>
      <c r="F1561" t="s">
        <v>4397</v>
      </c>
      <c r="H1561" t="s">
        <v>3884</v>
      </c>
      <c r="J1561" s="9" t="s">
        <v>8731</v>
      </c>
      <c r="T1561" s="9" t="str">
        <f t="shared" ca="1" si="60"/>
        <v/>
      </c>
      <c r="U1561" s="9" t="str">
        <f t="shared" ca="1" si="61"/>
        <v/>
      </c>
      <c r="AB1561" s="9" t="s">
        <v>8688</v>
      </c>
    </row>
    <row r="1562" spans="1:28" ht="29">
      <c r="A1562" s="3" t="s">
        <v>794</v>
      </c>
      <c r="D1562" s="3" t="s">
        <v>5344</v>
      </c>
      <c r="E1562" s="3" t="s">
        <v>5345</v>
      </c>
      <c r="H1562" t="s">
        <v>3884</v>
      </c>
      <c r="J1562" s="9" t="s">
        <v>8731</v>
      </c>
      <c r="T1562" s="9" t="str">
        <f t="shared" ca="1" si="60"/>
        <v/>
      </c>
      <c r="U1562" s="9" t="str">
        <f t="shared" ca="1" si="61"/>
        <v/>
      </c>
      <c r="AB1562" s="9" t="s">
        <v>8694</v>
      </c>
    </row>
    <row r="1563" spans="1:28">
      <c r="A1563" s="3" t="s">
        <v>795</v>
      </c>
      <c r="D1563" s="3" t="s">
        <v>5346</v>
      </c>
      <c r="E1563" s="3" t="s">
        <v>5347</v>
      </c>
      <c r="J1563" s="9" t="s">
        <v>3889</v>
      </c>
      <c r="K1563" s="9">
        <v>1</v>
      </c>
      <c r="L1563" s="9">
        <v>1</v>
      </c>
      <c r="M1563" s="9" t="s">
        <v>8689</v>
      </c>
      <c r="N1563" s="9" t="s">
        <v>8730</v>
      </c>
      <c r="R1563" s="9">
        <v>10929</v>
      </c>
      <c r="T1563" s="9" t="str">
        <f t="shared" ca="1" si="60"/>
        <v/>
      </c>
      <c r="U1563" s="9" t="str">
        <f t="shared" ca="1" si="61"/>
        <v/>
      </c>
    </row>
    <row r="1564" spans="1:28" ht="29">
      <c r="A1564" s="3" t="s">
        <v>795</v>
      </c>
      <c r="D1564" s="3" t="s">
        <v>5348</v>
      </c>
      <c r="E1564" s="3" t="s">
        <v>5348</v>
      </c>
      <c r="F1564" t="s">
        <v>3932</v>
      </c>
      <c r="I1564" t="s">
        <v>5349</v>
      </c>
      <c r="T1564" s="9" t="str">
        <f t="shared" ca="1" si="60"/>
        <v/>
      </c>
      <c r="U1564" s="9" t="str">
        <f t="shared" ca="1" si="61"/>
        <v/>
      </c>
    </row>
    <row r="1565" spans="1:28">
      <c r="A1565" s="3" t="s">
        <v>796</v>
      </c>
      <c r="D1565" s="3" t="s">
        <v>5350</v>
      </c>
      <c r="E1565" s="3" t="s">
        <v>5351</v>
      </c>
      <c r="J1565" s="9" t="s">
        <v>3889</v>
      </c>
      <c r="K1565" s="9">
        <v>1</v>
      </c>
      <c r="L1565" s="9">
        <v>3</v>
      </c>
      <c r="M1565" s="9" t="s">
        <v>8683</v>
      </c>
      <c r="N1565" s="9" t="s">
        <v>8690</v>
      </c>
      <c r="R1565" s="9">
        <v>162</v>
      </c>
      <c r="T1565" s="9" t="str">
        <f t="shared" ca="1" si="60"/>
        <v/>
      </c>
      <c r="U1565" s="9" t="str">
        <f t="shared" ca="1" si="61"/>
        <v/>
      </c>
    </row>
    <row r="1566" spans="1:28">
      <c r="A1566" s="3" t="s">
        <v>797</v>
      </c>
      <c r="D1566" s="3" t="s">
        <v>3044</v>
      </c>
      <c r="E1566" s="3" t="s">
        <v>3045</v>
      </c>
      <c r="J1566" s="9" t="s">
        <v>8729</v>
      </c>
      <c r="S1566" s="9" t="s">
        <v>8739</v>
      </c>
      <c r="T1566" s="9" t="str">
        <f t="shared" ca="1" si="60"/>
        <v/>
      </c>
      <c r="U1566" s="9" t="str">
        <f t="shared" ca="1" si="61"/>
        <v/>
      </c>
      <c r="Z1566" s="9" t="s">
        <v>8747</v>
      </c>
      <c r="AA1566" s="9" t="s">
        <v>3884</v>
      </c>
      <c r="AB1566" s="9" t="s">
        <v>8697</v>
      </c>
    </row>
    <row r="1567" spans="1:28">
      <c r="A1567" s="3" t="s">
        <v>797</v>
      </c>
      <c r="D1567" s="3" t="s">
        <v>5352</v>
      </c>
      <c r="E1567" s="3" t="s">
        <v>3046</v>
      </c>
      <c r="F1567" t="s">
        <v>3893</v>
      </c>
      <c r="T1567" s="9" t="str">
        <f t="shared" ca="1" si="60"/>
        <v/>
      </c>
      <c r="U1567" s="9" t="str">
        <f t="shared" ca="1" si="61"/>
        <v/>
      </c>
    </row>
    <row r="1568" spans="1:28" ht="29">
      <c r="A1568" s="3" t="s">
        <v>797</v>
      </c>
      <c r="D1568" s="3" t="s">
        <v>5353</v>
      </c>
      <c r="E1568" s="3" t="s">
        <v>5354</v>
      </c>
      <c r="J1568" s="9" t="s">
        <v>8731</v>
      </c>
      <c r="T1568" s="9" t="str">
        <f t="shared" ca="1" si="60"/>
        <v/>
      </c>
      <c r="U1568" s="9" t="str">
        <f t="shared" ca="1" si="61"/>
        <v/>
      </c>
      <c r="Y1568" s="9" t="s">
        <v>8693</v>
      </c>
      <c r="AA1568" s="9" t="s">
        <v>3884</v>
      </c>
    </row>
    <row r="1569" spans="1:28" ht="29">
      <c r="A1569" s="3" t="s">
        <v>797</v>
      </c>
      <c r="D1569" s="3" t="s">
        <v>5355</v>
      </c>
      <c r="E1569" s="3" t="s">
        <v>5356</v>
      </c>
      <c r="J1569" s="9" t="s">
        <v>8731</v>
      </c>
      <c r="T1569" s="9" t="str">
        <f t="shared" ca="1" si="60"/>
        <v/>
      </c>
      <c r="U1569" s="9" t="str">
        <f t="shared" ca="1" si="61"/>
        <v/>
      </c>
      <c r="AB1569" s="9" t="s">
        <v>8688</v>
      </c>
    </row>
    <row r="1570" spans="1:28">
      <c r="A1570" s="3" t="s">
        <v>797</v>
      </c>
      <c r="D1570" s="3" t="s">
        <v>3047</v>
      </c>
      <c r="E1570" s="3" t="s">
        <v>3048</v>
      </c>
      <c r="J1570" s="9" t="s">
        <v>8731</v>
      </c>
      <c r="T1570" s="9" t="str">
        <f t="shared" ca="1" si="60"/>
        <v/>
      </c>
      <c r="U1570" s="9" t="str">
        <f t="shared" ca="1" si="61"/>
        <v/>
      </c>
      <c r="Z1570" s="9" t="s">
        <v>8741</v>
      </c>
      <c r="AA1570" s="9" t="s">
        <v>3884</v>
      </c>
    </row>
    <row r="1571" spans="1:28">
      <c r="A1571" s="3" t="s">
        <v>797</v>
      </c>
      <c r="D1571" s="3" t="s">
        <v>3049</v>
      </c>
      <c r="E1571" s="3" t="s">
        <v>3049</v>
      </c>
      <c r="F1571" t="s">
        <v>3932</v>
      </c>
      <c r="I1571" t="s">
        <v>5357</v>
      </c>
      <c r="T1571" s="9" t="str">
        <f t="shared" ca="1" si="60"/>
        <v/>
      </c>
      <c r="U1571" s="9" t="str">
        <f t="shared" ca="1" si="61"/>
        <v/>
      </c>
    </row>
    <row r="1572" spans="1:28">
      <c r="A1572" s="3" t="s">
        <v>798</v>
      </c>
      <c r="D1572" s="3" t="s">
        <v>5358</v>
      </c>
      <c r="E1572" s="3" t="s">
        <v>3050</v>
      </c>
      <c r="H1572" t="s">
        <v>3884</v>
      </c>
      <c r="J1572" s="9" t="s">
        <v>8729</v>
      </c>
      <c r="S1572" s="9" t="s">
        <v>8739</v>
      </c>
      <c r="T1572" s="9" t="str">
        <f t="shared" ca="1" si="60"/>
        <v/>
      </c>
      <c r="U1572" s="9" t="str">
        <f t="shared" ca="1" si="61"/>
        <v/>
      </c>
      <c r="AB1572" s="9" t="s">
        <v>8688</v>
      </c>
    </row>
    <row r="1573" spans="1:28">
      <c r="A1573" s="3" t="s">
        <v>799</v>
      </c>
      <c r="D1573" s="3" t="s">
        <v>5359</v>
      </c>
      <c r="E1573" s="3" t="s">
        <v>5347</v>
      </c>
      <c r="I1573" t="s">
        <v>9233</v>
      </c>
      <c r="J1573" s="9" t="s">
        <v>3889</v>
      </c>
      <c r="K1573" s="9">
        <v>1</v>
      </c>
      <c r="L1573" s="9">
        <v>1</v>
      </c>
      <c r="M1573" s="9" t="s">
        <v>8689</v>
      </c>
      <c r="N1573" s="9" t="s">
        <v>8730</v>
      </c>
      <c r="R1573" s="9">
        <v>10929</v>
      </c>
      <c r="T1573" s="9" t="str">
        <f t="shared" ca="1" si="60"/>
        <v/>
      </c>
      <c r="U1573" s="9" t="str">
        <f t="shared" ca="1" si="61"/>
        <v/>
      </c>
    </row>
    <row r="1574" spans="1:28">
      <c r="A1574" s="3" t="s">
        <v>799</v>
      </c>
      <c r="D1574" s="3" t="s">
        <v>5360</v>
      </c>
      <c r="E1574" s="3" t="s">
        <v>5361</v>
      </c>
      <c r="J1574" s="9" t="s">
        <v>8729</v>
      </c>
      <c r="S1574" s="9" t="s">
        <v>8739</v>
      </c>
      <c r="T1574" s="9" t="str">
        <f t="shared" ca="1" si="60"/>
        <v/>
      </c>
      <c r="U1574" s="9" t="str">
        <f t="shared" ca="1" si="61"/>
        <v/>
      </c>
      <c r="Y1574" s="9" t="s">
        <v>8735</v>
      </c>
      <c r="Z1574" s="9" t="s">
        <v>8742</v>
      </c>
      <c r="AA1574" s="9" t="s">
        <v>3884</v>
      </c>
    </row>
    <row r="1575" spans="1:28">
      <c r="A1575" s="3" t="s">
        <v>799</v>
      </c>
      <c r="D1575" s="3" t="s">
        <v>5362</v>
      </c>
      <c r="E1575" s="3" t="s">
        <v>5363</v>
      </c>
      <c r="J1575" s="9" t="s">
        <v>3889</v>
      </c>
      <c r="K1575" s="9">
        <v>1</v>
      </c>
      <c r="L1575" s="9">
        <v>1</v>
      </c>
      <c r="M1575" s="9" t="s">
        <v>8689</v>
      </c>
      <c r="N1575" s="9" t="s">
        <v>8730</v>
      </c>
      <c r="R1575" s="9">
        <v>10929</v>
      </c>
      <c r="T1575" s="9" t="str">
        <f t="shared" ca="1" si="60"/>
        <v/>
      </c>
      <c r="U1575" s="9" t="str">
        <f t="shared" ca="1" si="61"/>
        <v/>
      </c>
    </row>
    <row r="1576" spans="1:28">
      <c r="A1576" s="3" t="s">
        <v>799</v>
      </c>
      <c r="D1576" s="4" t="s">
        <v>5364</v>
      </c>
      <c r="E1576" s="3" t="s">
        <v>5365</v>
      </c>
      <c r="F1576" t="s">
        <v>3883</v>
      </c>
      <c r="T1576" s="9" t="str">
        <f t="shared" ca="1" si="60"/>
        <v/>
      </c>
      <c r="U1576" s="9" t="str">
        <f t="shared" ca="1" si="61"/>
        <v/>
      </c>
    </row>
    <row r="1577" spans="1:28">
      <c r="A1577" s="3" t="s">
        <v>800</v>
      </c>
      <c r="D1577" s="3" t="s">
        <v>5366</v>
      </c>
      <c r="E1577" s="3" t="s">
        <v>5367</v>
      </c>
      <c r="J1577" s="9" t="s">
        <v>8731</v>
      </c>
      <c r="T1577" s="9" t="str">
        <f t="shared" ca="1" si="60"/>
        <v/>
      </c>
      <c r="U1577" s="9" t="str">
        <f t="shared" ca="1" si="61"/>
        <v/>
      </c>
    </row>
    <row r="1578" spans="1:28">
      <c r="A1578" s="3" t="s">
        <v>800</v>
      </c>
      <c r="D1578" s="3" t="s">
        <v>5368</v>
      </c>
      <c r="E1578" s="3" t="s">
        <v>5368</v>
      </c>
      <c r="F1578" t="s">
        <v>3932</v>
      </c>
      <c r="I1578" t="s">
        <v>5369</v>
      </c>
      <c r="T1578" s="9" t="str">
        <f t="shared" ca="1" si="60"/>
        <v/>
      </c>
      <c r="U1578" s="9" t="str">
        <f t="shared" ca="1" si="61"/>
        <v/>
      </c>
    </row>
    <row r="1579" spans="1:28" ht="29">
      <c r="A1579" s="3" t="s">
        <v>801</v>
      </c>
      <c r="D1579" s="3" t="s">
        <v>5370</v>
      </c>
      <c r="E1579" s="3" t="s">
        <v>5371</v>
      </c>
      <c r="J1579" s="9" t="s">
        <v>8731</v>
      </c>
      <c r="T1579" s="9" t="str">
        <f t="shared" ca="1" si="60"/>
        <v/>
      </c>
      <c r="U1579" s="9" t="str">
        <f t="shared" ca="1" si="61"/>
        <v/>
      </c>
    </row>
    <row r="1580" spans="1:28">
      <c r="A1580" s="3" t="s">
        <v>801</v>
      </c>
      <c r="D1580" s="3" t="s">
        <v>5372</v>
      </c>
      <c r="E1580" s="3" t="s">
        <v>5373</v>
      </c>
      <c r="H1580" t="s">
        <v>3884</v>
      </c>
      <c r="J1580" s="9" t="s">
        <v>3885</v>
      </c>
      <c r="K1580" s="9">
        <v>1</v>
      </c>
      <c r="L1580" s="9">
        <v>1</v>
      </c>
      <c r="M1580" s="9" t="s">
        <v>8683</v>
      </c>
      <c r="N1580" s="9" t="s">
        <v>8730</v>
      </c>
      <c r="Q1580" s="9" t="s">
        <v>8685</v>
      </c>
      <c r="R1580" s="9">
        <v>14</v>
      </c>
      <c r="T1580" s="9" t="str">
        <f t="shared" ca="1" si="60"/>
        <v/>
      </c>
      <c r="U1580" s="9" t="str">
        <f t="shared" ca="1" si="61"/>
        <v/>
      </c>
      <c r="AB1580" s="9" t="s">
        <v>8694</v>
      </c>
    </row>
    <row r="1581" spans="1:28">
      <c r="A1581" s="3" t="s">
        <v>801</v>
      </c>
      <c r="D1581" s="3" t="s">
        <v>2642</v>
      </c>
      <c r="E1581" s="3" t="s">
        <v>2643</v>
      </c>
      <c r="J1581" s="9" t="s">
        <v>8731</v>
      </c>
      <c r="T1581" s="9" t="str">
        <f t="shared" ca="1" si="60"/>
        <v/>
      </c>
      <c r="U1581" s="9" t="str">
        <f t="shared" ca="1" si="61"/>
        <v/>
      </c>
      <c r="Z1581" s="9" t="s">
        <v>8741</v>
      </c>
      <c r="AA1581" s="9" t="s">
        <v>3884</v>
      </c>
    </row>
    <row r="1582" spans="1:28" ht="29">
      <c r="A1582" s="3" t="s">
        <v>801</v>
      </c>
      <c r="D1582" s="4" t="s">
        <v>5374</v>
      </c>
      <c r="E1582" s="3" t="s">
        <v>5375</v>
      </c>
      <c r="F1582" t="s">
        <v>3883</v>
      </c>
      <c r="T1582" s="9" t="str">
        <f t="shared" ca="1" si="60"/>
        <v/>
      </c>
      <c r="U1582" s="9" t="str">
        <f t="shared" ca="1" si="61"/>
        <v/>
      </c>
    </row>
    <row r="1583" spans="1:28">
      <c r="A1583" s="3" t="s">
        <v>802</v>
      </c>
      <c r="D1583" s="3" t="s">
        <v>2203</v>
      </c>
      <c r="E1583" s="3" t="s">
        <v>2204</v>
      </c>
      <c r="J1583" s="9" t="s">
        <v>8731</v>
      </c>
      <c r="T1583" s="9" t="str">
        <f t="shared" ca="1" si="60"/>
        <v/>
      </c>
      <c r="U1583" s="9" t="str">
        <f t="shared" ca="1" si="61"/>
        <v/>
      </c>
      <c r="Z1583" s="9" t="s">
        <v>9279</v>
      </c>
      <c r="AA1583" s="9" t="s">
        <v>3884</v>
      </c>
    </row>
    <row r="1584" spans="1:28">
      <c r="A1584" s="3" t="s">
        <v>803</v>
      </c>
      <c r="D1584" s="3" t="s">
        <v>5376</v>
      </c>
      <c r="E1584" s="3" t="s">
        <v>5376</v>
      </c>
      <c r="F1584" t="s">
        <v>3932</v>
      </c>
      <c r="I1584" t="s">
        <v>5377</v>
      </c>
      <c r="T1584" s="9" t="str">
        <f t="shared" ca="1" si="60"/>
        <v/>
      </c>
      <c r="U1584" s="9" t="str">
        <f t="shared" ca="1" si="61"/>
        <v/>
      </c>
    </row>
    <row r="1585" spans="1:28">
      <c r="A1585" s="3" t="s">
        <v>803</v>
      </c>
      <c r="D1585" s="3" t="s">
        <v>3052</v>
      </c>
      <c r="E1585" s="4" t="s">
        <v>3051</v>
      </c>
      <c r="F1585" t="s">
        <v>3897</v>
      </c>
      <c r="T1585" s="9" t="str">
        <f t="shared" ca="1" si="60"/>
        <v/>
      </c>
      <c r="U1585" s="9" t="str">
        <f t="shared" ca="1" si="61"/>
        <v/>
      </c>
    </row>
    <row r="1586" spans="1:28">
      <c r="A1586" s="3" t="s">
        <v>804</v>
      </c>
      <c r="D1586" s="3" t="s">
        <v>3053</v>
      </c>
      <c r="E1586" s="3" t="s">
        <v>3053</v>
      </c>
      <c r="F1586" t="s">
        <v>3932</v>
      </c>
      <c r="I1586" t="s">
        <v>5378</v>
      </c>
      <c r="T1586" s="9" t="str">
        <f t="shared" ca="1" si="60"/>
        <v/>
      </c>
      <c r="U1586" s="9" t="str">
        <f t="shared" ca="1" si="61"/>
        <v/>
      </c>
    </row>
    <row r="1587" spans="1:28" ht="29">
      <c r="A1587" s="3" t="s">
        <v>805</v>
      </c>
      <c r="D1587" s="3" t="s">
        <v>5379</v>
      </c>
      <c r="E1587" s="3" t="s">
        <v>5379</v>
      </c>
      <c r="F1587" t="s">
        <v>3932</v>
      </c>
      <c r="I1587" t="s">
        <v>5380</v>
      </c>
      <c r="T1587" s="9" t="str">
        <f t="shared" ca="1" si="60"/>
        <v/>
      </c>
      <c r="U1587" s="9" t="str">
        <f t="shared" ca="1" si="61"/>
        <v/>
      </c>
    </row>
    <row r="1588" spans="1:28" ht="29">
      <c r="A1588" s="3" t="s">
        <v>806</v>
      </c>
      <c r="D1588" s="3" t="s">
        <v>5381</v>
      </c>
      <c r="E1588" s="3" t="s">
        <v>5381</v>
      </c>
      <c r="F1588" t="s">
        <v>3932</v>
      </c>
      <c r="I1588" t="s">
        <v>5382</v>
      </c>
      <c r="T1588" s="9" t="str">
        <f t="shared" ca="1" si="60"/>
        <v/>
      </c>
      <c r="U1588" s="9" t="str">
        <f t="shared" ca="1" si="61"/>
        <v/>
      </c>
    </row>
    <row r="1589" spans="1:28" ht="29">
      <c r="A1589" s="3" t="s">
        <v>807</v>
      </c>
      <c r="D1589" s="3" t="s">
        <v>5384</v>
      </c>
      <c r="E1589" s="3" t="s">
        <v>5383</v>
      </c>
      <c r="H1589" t="s">
        <v>3884</v>
      </c>
      <c r="J1589" s="9" t="s">
        <v>3889</v>
      </c>
      <c r="K1589" s="9">
        <v>1</v>
      </c>
      <c r="L1589" s="9">
        <v>3</v>
      </c>
      <c r="M1589" s="9" t="s">
        <v>8705</v>
      </c>
      <c r="N1589" s="9" t="s">
        <v>8690</v>
      </c>
      <c r="R1589" s="9">
        <v>1485</v>
      </c>
      <c r="T1589" s="9" t="str">
        <f t="shared" ca="1" si="60"/>
        <v/>
      </c>
      <c r="U1589" s="9" t="str">
        <f t="shared" ca="1" si="61"/>
        <v/>
      </c>
    </row>
    <row r="1590" spans="1:28" ht="29">
      <c r="A1590" s="3" t="s">
        <v>807</v>
      </c>
      <c r="D1590" s="3" t="s">
        <v>5385</v>
      </c>
      <c r="E1590" s="3" t="s">
        <v>5386</v>
      </c>
      <c r="F1590" t="s">
        <v>3932</v>
      </c>
      <c r="I1590" t="s">
        <v>5387</v>
      </c>
      <c r="T1590" s="9" t="str">
        <f t="shared" ca="1" si="60"/>
        <v/>
      </c>
      <c r="U1590" s="9" t="str">
        <f t="shared" ca="1" si="61"/>
        <v/>
      </c>
    </row>
    <row r="1591" spans="1:28">
      <c r="A1591" s="3" t="s">
        <v>808</v>
      </c>
      <c r="D1591" s="3" t="s">
        <v>5388</v>
      </c>
      <c r="E1591" s="3" t="s">
        <v>5389</v>
      </c>
      <c r="J1591" s="9" t="s">
        <v>8729</v>
      </c>
      <c r="S1591" s="9">
        <f>23-20</f>
        <v>3</v>
      </c>
      <c r="T1591" s="9">
        <f t="shared" ca="1" si="60"/>
        <v>20</v>
      </c>
      <c r="U1591" s="9">
        <f t="shared" ca="1" si="61"/>
        <v>23</v>
      </c>
    </row>
    <row r="1592" spans="1:28" ht="29">
      <c r="A1592" s="3" t="s">
        <v>809</v>
      </c>
      <c r="D1592" s="3" t="s">
        <v>5391</v>
      </c>
      <c r="E1592" s="3" t="s">
        <v>5392</v>
      </c>
      <c r="J1592" s="9" t="s">
        <v>8729</v>
      </c>
      <c r="S1592" s="9">
        <f>50-128</f>
        <v>-78</v>
      </c>
      <c r="T1592" s="9">
        <f t="shared" ca="1" si="60"/>
        <v>128</v>
      </c>
      <c r="U1592" s="9">
        <f t="shared" ca="1" si="61"/>
        <v>50</v>
      </c>
    </row>
    <row r="1593" spans="1:28" ht="29">
      <c r="A1593" s="3" t="s">
        <v>809</v>
      </c>
      <c r="D1593" s="3" t="s">
        <v>5393</v>
      </c>
      <c r="E1593" s="4" t="s">
        <v>5390</v>
      </c>
      <c r="F1593" t="s">
        <v>3897</v>
      </c>
      <c r="T1593" s="9" t="str">
        <f t="shared" ca="1" si="60"/>
        <v/>
      </c>
      <c r="U1593" s="9" t="str">
        <f t="shared" ca="1" si="61"/>
        <v/>
      </c>
    </row>
    <row r="1594" spans="1:28">
      <c r="A1594" s="3" t="s">
        <v>810</v>
      </c>
      <c r="D1594" s="3" t="s">
        <v>5394</v>
      </c>
      <c r="E1594" s="3" t="s">
        <v>5395</v>
      </c>
      <c r="J1594" s="9" t="s">
        <v>3885</v>
      </c>
      <c r="K1594" s="9">
        <v>1</v>
      </c>
      <c r="L1594" s="9">
        <v>3</v>
      </c>
      <c r="M1594" s="9" t="s">
        <v>8689</v>
      </c>
      <c r="N1594" s="9" t="s">
        <v>8690</v>
      </c>
      <c r="R1594" s="9">
        <v>10929</v>
      </c>
      <c r="T1594" s="9" t="str">
        <f t="shared" ca="1" si="60"/>
        <v/>
      </c>
      <c r="U1594" s="9" t="str">
        <f t="shared" ca="1" si="61"/>
        <v/>
      </c>
    </row>
    <row r="1595" spans="1:28">
      <c r="A1595" s="3" t="s">
        <v>811</v>
      </c>
      <c r="D1595" s="3" t="s">
        <v>3054</v>
      </c>
      <c r="E1595" s="3" t="s">
        <v>3055</v>
      </c>
      <c r="J1595" s="9" t="s">
        <v>8729</v>
      </c>
      <c r="S1595" s="9" t="s">
        <v>8739</v>
      </c>
      <c r="T1595" s="9" t="str">
        <f t="shared" ca="1" si="60"/>
        <v/>
      </c>
      <c r="U1595" s="9" t="str">
        <f t="shared" ca="1" si="61"/>
        <v/>
      </c>
      <c r="AB1595" s="9" t="s">
        <v>8697</v>
      </c>
    </row>
    <row r="1596" spans="1:28" ht="29">
      <c r="A1596" s="3" t="s">
        <v>811</v>
      </c>
      <c r="D1596" s="3" t="s">
        <v>5396</v>
      </c>
      <c r="E1596" s="3" t="s">
        <v>5397</v>
      </c>
      <c r="H1596" t="s">
        <v>3884</v>
      </c>
      <c r="J1596" s="9" t="s">
        <v>8729</v>
      </c>
      <c r="S1596" s="9">
        <f>11-2</f>
        <v>9</v>
      </c>
      <c r="T1596" s="9">
        <f t="shared" ca="1" si="60"/>
        <v>2</v>
      </c>
      <c r="U1596" s="9">
        <f t="shared" ca="1" si="61"/>
        <v>11</v>
      </c>
    </row>
    <row r="1597" spans="1:28">
      <c r="A1597" s="3" t="s">
        <v>811</v>
      </c>
      <c r="D1597" s="3" t="s">
        <v>5398</v>
      </c>
      <c r="E1597" s="3" t="s">
        <v>5399</v>
      </c>
      <c r="H1597" t="s">
        <v>3884</v>
      </c>
      <c r="J1597" s="9" t="s">
        <v>3889</v>
      </c>
      <c r="K1597" s="9">
        <v>1</v>
      </c>
      <c r="L1597" s="9">
        <v>2</v>
      </c>
      <c r="M1597" s="9" t="s">
        <v>8689</v>
      </c>
      <c r="N1597" s="9" t="s">
        <v>8730</v>
      </c>
      <c r="R1597" s="9">
        <v>10929</v>
      </c>
      <c r="T1597" s="9" t="str">
        <f t="shared" ca="1" si="60"/>
        <v/>
      </c>
      <c r="U1597" s="9" t="str">
        <f t="shared" ca="1" si="61"/>
        <v/>
      </c>
    </row>
    <row r="1598" spans="1:28">
      <c r="A1598" s="3" t="s">
        <v>812</v>
      </c>
      <c r="D1598" s="3" t="s">
        <v>5400</v>
      </c>
      <c r="E1598" s="3" t="s">
        <v>5400</v>
      </c>
      <c r="F1598" t="s">
        <v>3932</v>
      </c>
      <c r="I1598" t="s">
        <v>5401</v>
      </c>
      <c r="T1598" s="9" t="str">
        <f t="shared" ca="1" si="60"/>
        <v/>
      </c>
      <c r="U1598" s="9" t="str">
        <f t="shared" ca="1" si="61"/>
        <v/>
      </c>
    </row>
    <row r="1599" spans="1:28">
      <c r="A1599" s="3" t="s">
        <v>812</v>
      </c>
      <c r="D1599" s="3" t="s">
        <v>5402</v>
      </c>
      <c r="E1599" s="3" t="s">
        <v>5403</v>
      </c>
      <c r="J1599" s="9" t="s">
        <v>3889</v>
      </c>
      <c r="K1599" s="9">
        <v>1</v>
      </c>
      <c r="L1599" s="9">
        <v>1</v>
      </c>
      <c r="M1599" s="9" t="s">
        <v>8689</v>
      </c>
      <c r="N1599" s="9" t="s">
        <v>8730</v>
      </c>
      <c r="Q1599" s="9" t="s">
        <v>8685</v>
      </c>
      <c r="R1599" s="9">
        <v>10929</v>
      </c>
      <c r="T1599" s="9" t="str">
        <f t="shared" ca="1" si="60"/>
        <v/>
      </c>
      <c r="U1599" s="9" t="str">
        <f t="shared" ca="1" si="61"/>
        <v/>
      </c>
    </row>
    <row r="1600" spans="1:28" ht="29">
      <c r="A1600" s="3" t="s">
        <v>812</v>
      </c>
      <c r="D1600" s="3" t="s">
        <v>5404</v>
      </c>
      <c r="E1600" s="3" t="s">
        <v>5405</v>
      </c>
      <c r="J1600" s="9" t="s">
        <v>8729</v>
      </c>
      <c r="S1600" s="9" t="s">
        <v>8739</v>
      </c>
      <c r="T1600" s="9" t="str">
        <f t="shared" ca="1" si="60"/>
        <v/>
      </c>
      <c r="U1600" s="9" t="str">
        <f t="shared" ca="1" si="61"/>
        <v/>
      </c>
      <c r="AB1600" s="9" t="s">
        <v>8697</v>
      </c>
    </row>
    <row r="1601" spans="1:28" ht="29">
      <c r="A1601" s="3" t="s">
        <v>812</v>
      </c>
      <c r="D1601" s="3" t="s">
        <v>5407</v>
      </c>
      <c r="E1601" s="3" t="s">
        <v>5406</v>
      </c>
      <c r="I1601" t="s">
        <v>8865</v>
      </c>
      <c r="J1601" s="9" t="s">
        <v>3894</v>
      </c>
      <c r="T1601" s="9" t="str">
        <f t="shared" ca="1" si="60"/>
        <v/>
      </c>
      <c r="U1601" s="9" t="str">
        <f t="shared" ca="1" si="61"/>
        <v/>
      </c>
    </row>
    <row r="1602" spans="1:28">
      <c r="A1602" s="3" t="s">
        <v>812</v>
      </c>
      <c r="D1602" s="3" t="s">
        <v>3056</v>
      </c>
      <c r="E1602" s="3" t="s">
        <v>3057</v>
      </c>
      <c r="J1602" s="9" t="s">
        <v>8729</v>
      </c>
      <c r="S1602" s="9" t="s">
        <v>8730</v>
      </c>
      <c r="T1602" s="9" t="str">
        <f t="shared" ca="1" si="60"/>
        <v/>
      </c>
      <c r="U1602" s="9" t="str">
        <f t="shared" ca="1" si="61"/>
        <v/>
      </c>
      <c r="Z1602" s="9" t="s">
        <v>9038</v>
      </c>
      <c r="AA1602" s="9" t="s">
        <v>3884</v>
      </c>
      <c r="AB1602" s="9" t="s">
        <v>8697</v>
      </c>
    </row>
    <row r="1603" spans="1:28" ht="29">
      <c r="A1603" s="3" t="s">
        <v>813</v>
      </c>
      <c r="D1603" s="3" t="s">
        <v>5408</v>
      </c>
      <c r="E1603" s="3" t="s">
        <v>5409</v>
      </c>
      <c r="J1603" s="9" t="s">
        <v>8731</v>
      </c>
      <c r="T1603" s="9" t="str">
        <f t="shared" ca="1" si="60"/>
        <v/>
      </c>
      <c r="U1603" s="9" t="str">
        <f t="shared" ca="1" si="61"/>
        <v/>
      </c>
      <c r="AB1603" s="9" t="s">
        <v>8700</v>
      </c>
    </row>
    <row r="1604" spans="1:28">
      <c r="A1604" s="3" t="s">
        <v>813</v>
      </c>
      <c r="D1604" t="s">
        <v>5410</v>
      </c>
      <c r="E1604" t="s">
        <v>5410</v>
      </c>
      <c r="F1604" t="s">
        <v>3932</v>
      </c>
      <c r="I1604" t="s">
        <v>5411</v>
      </c>
      <c r="T1604" s="9" t="str">
        <f t="shared" ca="1" si="60"/>
        <v/>
      </c>
      <c r="U1604" s="9" t="str">
        <f t="shared" ca="1" si="61"/>
        <v/>
      </c>
    </row>
    <row r="1605" spans="1:28">
      <c r="A1605" s="3" t="s">
        <v>813</v>
      </c>
      <c r="D1605" s="3" t="s">
        <v>5412</v>
      </c>
      <c r="E1605" s="3" t="s">
        <v>5413</v>
      </c>
      <c r="H1605" t="s">
        <v>3884</v>
      </c>
      <c r="J1605" s="9" t="s">
        <v>3889</v>
      </c>
      <c r="K1605" s="9">
        <v>1</v>
      </c>
      <c r="L1605" s="9">
        <v>3</v>
      </c>
      <c r="M1605" s="9" t="s">
        <v>8689</v>
      </c>
      <c r="N1605" s="9" t="s">
        <v>8690</v>
      </c>
      <c r="R1605" s="9">
        <v>10929</v>
      </c>
      <c r="T1605" s="9" t="str">
        <f t="shared" ref="T1605:T1667" ca="1" si="62">IF(ISNUMBER(S1605),VALUE(MID(_xlfn.FORMULATEXT(S1605),SEARCH("-",_xlfn.FORMULATEXT(S1605))+1,LEN(_xlfn.FORMULATEXT(S1605))-SEARCH("-",_xlfn.FORMULATEXT(S1605)))), "")</f>
        <v/>
      </c>
      <c r="U1605" s="9" t="str">
        <f t="shared" ref="U1605:U1667" ca="1" si="63">IF(ISNUMBER(S1605), VALUE(MID(_xlfn.FORMULATEXT(S1605), 2, SEARCH("-", _xlfn.FORMULATEXT(S1605)) - 2)), "")</f>
        <v/>
      </c>
    </row>
    <row r="1606" spans="1:28">
      <c r="A1606" s="3" t="s">
        <v>813</v>
      </c>
      <c r="D1606" s="3" t="s">
        <v>5414</v>
      </c>
      <c r="E1606" s="3" t="s">
        <v>5414</v>
      </c>
      <c r="F1606" t="s">
        <v>3932</v>
      </c>
      <c r="I1606" t="s">
        <v>5415</v>
      </c>
      <c r="T1606" s="9" t="str">
        <f t="shared" ca="1" si="62"/>
        <v/>
      </c>
      <c r="U1606" s="9" t="str">
        <f t="shared" ca="1" si="63"/>
        <v/>
      </c>
    </row>
    <row r="1607" spans="1:28">
      <c r="A1607" s="3" t="s">
        <v>813</v>
      </c>
      <c r="D1607" s="3" t="s">
        <v>5416</v>
      </c>
      <c r="E1607" s="3" t="s">
        <v>5417</v>
      </c>
      <c r="H1607" t="s">
        <v>3892</v>
      </c>
      <c r="I1607" t="s">
        <v>5418</v>
      </c>
      <c r="J1607" s="9" t="s">
        <v>8731</v>
      </c>
      <c r="T1607" s="9" t="str">
        <f t="shared" ca="1" si="62"/>
        <v/>
      </c>
      <c r="U1607" s="9" t="str">
        <f t="shared" ca="1" si="63"/>
        <v/>
      </c>
      <c r="Y1607" s="9" t="s">
        <v>8693</v>
      </c>
      <c r="AA1607" s="9" t="s">
        <v>3884</v>
      </c>
    </row>
    <row r="1608" spans="1:28">
      <c r="A1608" s="3" t="s">
        <v>813</v>
      </c>
      <c r="D1608" s="3" t="s">
        <v>5419</v>
      </c>
      <c r="E1608" s="3" t="s">
        <v>5420</v>
      </c>
      <c r="J1608" s="9" t="s">
        <v>8731</v>
      </c>
      <c r="T1608" s="9" t="str">
        <f t="shared" ca="1" si="62"/>
        <v/>
      </c>
      <c r="U1608" s="9" t="str">
        <f t="shared" ca="1" si="63"/>
        <v/>
      </c>
      <c r="Z1608" s="9" t="s">
        <v>8757</v>
      </c>
      <c r="AA1608" s="9" t="s">
        <v>3884</v>
      </c>
      <c r="AB1608" s="9" t="s">
        <v>8700</v>
      </c>
    </row>
    <row r="1609" spans="1:28">
      <c r="A1609" s="3" t="s">
        <v>813</v>
      </c>
      <c r="D1609" s="3" t="s">
        <v>5421</v>
      </c>
      <c r="E1609" s="3" t="s">
        <v>3059</v>
      </c>
      <c r="H1609" t="s">
        <v>3884</v>
      </c>
      <c r="J1609" s="9" t="s">
        <v>8731</v>
      </c>
      <c r="T1609" s="9" t="str">
        <f t="shared" ca="1" si="62"/>
        <v/>
      </c>
      <c r="U1609" s="9" t="str">
        <f t="shared" ca="1" si="63"/>
        <v/>
      </c>
      <c r="AB1609" s="9" t="s">
        <v>8688</v>
      </c>
    </row>
    <row r="1610" spans="1:28" ht="43.5">
      <c r="A1610" s="3" t="s">
        <v>813</v>
      </c>
      <c r="D1610" s="3" t="s">
        <v>5422</v>
      </c>
      <c r="E1610" s="3" t="s">
        <v>5423</v>
      </c>
      <c r="H1610" t="s">
        <v>3884</v>
      </c>
      <c r="J1610" s="9" t="s">
        <v>3885</v>
      </c>
      <c r="K1610" s="9">
        <v>1</v>
      </c>
      <c r="L1610" s="9">
        <v>2</v>
      </c>
      <c r="M1610" s="9" t="s">
        <v>8707</v>
      </c>
      <c r="N1610" s="9" t="s">
        <v>8730</v>
      </c>
      <c r="R1610" s="9">
        <v>1942</v>
      </c>
      <c r="T1610" s="9" t="str">
        <f t="shared" ca="1" si="62"/>
        <v/>
      </c>
      <c r="U1610" s="9" t="str">
        <f t="shared" ca="1" si="63"/>
        <v/>
      </c>
      <c r="AB1610" s="9" t="s">
        <v>8694</v>
      </c>
    </row>
    <row r="1611" spans="1:28" ht="43.5">
      <c r="A1611" s="3" t="s">
        <v>813</v>
      </c>
      <c r="D1611" s="3" t="s">
        <v>5424</v>
      </c>
      <c r="E1611" s="3" t="s">
        <v>5425</v>
      </c>
      <c r="H1611" t="s">
        <v>3884</v>
      </c>
      <c r="J1611" s="9" t="s">
        <v>8731</v>
      </c>
      <c r="T1611" s="9" t="str">
        <f t="shared" ca="1" si="62"/>
        <v/>
      </c>
      <c r="U1611" s="9" t="str">
        <f t="shared" ca="1" si="63"/>
        <v/>
      </c>
    </row>
    <row r="1612" spans="1:28" ht="43.5">
      <c r="A1612" s="3" t="s">
        <v>813</v>
      </c>
      <c r="D1612" s="3" t="s">
        <v>5426</v>
      </c>
      <c r="E1612" s="3" t="s">
        <v>5427</v>
      </c>
      <c r="F1612" t="s">
        <v>3932</v>
      </c>
      <c r="I1612" s="7" t="s">
        <v>9686</v>
      </c>
      <c r="T1612" s="9" t="str">
        <f t="shared" ca="1" si="62"/>
        <v/>
      </c>
      <c r="U1612" s="9" t="str">
        <f t="shared" ca="1" si="63"/>
        <v/>
      </c>
    </row>
    <row r="1613" spans="1:28">
      <c r="A1613" s="3" t="s">
        <v>813</v>
      </c>
      <c r="D1613" s="3" t="s">
        <v>5428</v>
      </c>
      <c r="E1613" s="3" t="s">
        <v>3060</v>
      </c>
      <c r="H1613" t="s">
        <v>3884</v>
      </c>
      <c r="J1613" s="9" t="s">
        <v>8729</v>
      </c>
      <c r="S1613" s="9" t="s">
        <v>8739</v>
      </c>
      <c r="T1613" s="9" t="str">
        <f t="shared" ca="1" si="62"/>
        <v/>
      </c>
      <c r="U1613" s="9" t="str">
        <f t="shared" ca="1" si="63"/>
        <v/>
      </c>
      <c r="AB1613" s="9" t="s">
        <v>8688</v>
      </c>
    </row>
    <row r="1614" spans="1:28">
      <c r="A1614" s="3" t="s">
        <v>813</v>
      </c>
      <c r="D1614" s="3" t="s">
        <v>5429</v>
      </c>
      <c r="E1614" s="3" t="s">
        <v>5430</v>
      </c>
      <c r="J1614" s="9" t="s">
        <v>8729</v>
      </c>
      <c r="S1614" s="9">
        <f>79-3678</f>
        <v>-3599</v>
      </c>
      <c r="T1614" s="9">
        <f t="shared" ca="1" si="62"/>
        <v>3678</v>
      </c>
      <c r="U1614" s="9">
        <f t="shared" ca="1" si="63"/>
        <v>79</v>
      </c>
    </row>
    <row r="1615" spans="1:28">
      <c r="A1615" s="3" t="s">
        <v>813</v>
      </c>
      <c r="D1615" s="3" t="s">
        <v>5431</v>
      </c>
      <c r="E1615" s="3" t="s">
        <v>5432</v>
      </c>
      <c r="I1615" t="s">
        <v>9234</v>
      </c>
      <c r="J1615" s="9" t="s">
        <v>8729</v>
      </c>
      <c r="S1615" s="9">
        <f>106-202</f>
        <v>-96</v>
      </c>
      <c r="T1615" s="9">
        <f t="shared" ca="1" si="62"/>
        <v>202</v>
      </c>
      <c r="U1615" s="9">
        <f t="shared" ca="1" si="63"/>
        <v>106</v>
      </c>
      <c r="V1615" s="9" t="s">
        <v>4</v>
      </c>
    </row>
    <row r="1616" spans="1:28">
      <c r="A1616" s="3" t="s">
        <v>814</v>
      </c>
      <c r="D1616" s="3" t="s">
        <v>5433</v>
      </c>
      <c r="E1616" s="3" t="s">
        <v>5434</v>
      </c>
      <c r="H1616" t="s">
        <v>3884</v>
      </c>
      <c r="J1616" s="9" t="s">
        <v>3885</v>
      </c>
      <c r="K1616" s="9">
        <v>1</v>
      </c>
      <c r="L1616" s="9">
        <v>1</v>
      </c>
      <c r="M1616" s="9" t="s">
        <v>8698</v>
      </c>
      <c r="N1616" s="9" t="s">
        <v>8730</v>
      </c>
      <c r="R1616" s="9">
        <v>1</v>
      </c>
      <c r="T1616" s="9" t="str">
        <f t="shared" ca="1" si="62"/>
        <v/>
      </c>
      <c r="U1616" s="9" t="str">
        <f t="shared" ca="1" si="63"/>
        <v/>
      </c>
    </row>
    <row r="1617" spans="1:28">
      <c r="A1617" s="3" t="s">
        <v>815</v>
      </c>
      <c r="D1617" s="4" t="s">
        <v>5435</v>
      </c>
      <c r="E1617" s="3" t="s">
        <v>5436</v>
      </c>
      <c r="F1617" t="s">
        <v>3883</v>
      </c>
      <c r="T1617" s="9" t="str">
        <f t="shared" ca="1" si="62"/>
        <v/>
      </c>
      <c r="U1617" s="9" t="str">
        <f t="shared" ca="1" si="63"/>
        <v/>
      </c>
    </row>
    <row r="1618" spans="1:28">
      <c r="A1618" s="3" t="s">
        <v>815</v>
      </c>
      <c r="D1618" s="3" t="s">
        <v>5437</v>
      </c>
      <c r="E1618" s="3" t="s">
        <v>5438</v>
      </c>
      <c r="J1618" s="9" t="s">
        <v>3889</v>
      </c>
      <c r="K1618" s="9">
        <v>1</v>
      </c>
      <c r="L1618" s="9">
        <v>3</v>
      </c>
      <c r="M1618" s="9" t="s">
        <v>8698</v>
      </c>
      <c r="N1618" s="9" t="s">
        <v>8690</v>
      </c>
      <c r="R1618" s="9">
        <v>9418</v>
      </c>
      <c r="T1618" s="9" t="str">
        <f t="shared" ca="1" si="62"/>
        <v/>
      </c>
      <c r="U1618" s="9" t="str">
        <f t="shared" ca="1" si="63"/>
        <v/>
      </c>
    </row>
    <row r="1619" spans="1:28">
      <c r="A1619" s="3" t="s">
        <v>816</v>
      </c>
      <c r="D1619" s="4" t="s">
        <v>2395</v>
      </c>
      <c r="E1619" s="3" t="s">
        <v>3061</v>
      </c>
      <c r="F1619" t="s">
        <v>4196</v>
      </c>
      <c r="I1619" t="s">
        <v>9486</v>
      </c>
      <c r="J1619" s="9" t="s">
        <v>8729</v>
      </c>
      <c r="S1619" s="9" t="s">
        <v>8730</v>
      </c>
      <c r="T1619" s="9" t="str">
        <f t="shared" ca="1" si="62"/>
        <v/>
      </c>
      <c r="U1619" s="9" t="str">
        <f t="shared" ca="1" si="63"/>
        <v/>
      </c>
      <c r="Z1619" s="9" t="s">
        <v>9280</v>
      </c>
      <c r="AA1619" s="9" t="s">
        <v>3884</v>
      </c>
      <c r="AB1619" s="9" t="s">
        <v>8688</v>
      </c>
    </row>
    <row r="1620" spans="1:28">
      <c r="A1620" s="3" t="s">
        <v>817</v>
      </c>
      <c r="D1620" s="3" t="s">
        <v>3062</v>
      </c>
      <c r="E1620" s="3" t="s">
        <v>2218</v>
      </c>
      <c r="J1620" s="9" t="s">
        <v>8729</v>
      </c>
      <c r="S1620" s="9" t="s">
        <v>8730</v>
      </c>
      <c r="T1620" s="9" t="str">
        <f t="shared" ca="1" si="62"/>
        <v/>
      </c>
      <c r="U1620" s="9" t="str">
        <f t="shared" ca="1" si="63"/>
        <v/>
      </c>
      <c r="AB1620" s="9" t="s">
        <v>8697</v>
      </c>
    </row>
    <row r="1621" spans="1:28" ht="29">
      <c r="A1621" s="3" t="s">
        <v>818</v>
      </c>
      <c r="D1621" s="3" t="s">
        <v>5439</v>
      </c>
      <c r="E1621" s="3" t="s">
        <v>5440</v>
      </c>
      <c r="I1621" t="s">
        <v>8805</v>
      </c>
      <c r="J1621" s="9" t="s">
        <v>3894</v>
      </c>
      <c r="T1621" s="9" t="str">
        <f t="shared" ca="1" si="62"/>
        <v/>
      </c>
      <c r="U1621" s="9" t="str">
        <f t="shared" ca="1" si="63"/>
        <v/>
      </c>
    </row>
    <row r="1622" spans="1:28">
      <c r="A1622" s="3" t="s">
        <v>819</v>
      </c>
      <c r="D1622" s="4" t="s">
        <v>5441</v>
      </c>
      <c r="E1622" s="3" t="s">
        <v>5442</v>
      </c>
      <c r="F1622" t="s">
        <v>3883</v>
      </c>
      <c r="T1622" s="9" t="str">
        <f t="shared" ca="1" si="62"/>
        <v/>
      </c>
      <c r="U1622" s="9" t="str">
        <f t="shared" ca="1" si="63"/>
        <v/>
      </c>
    </row>
    <row r="1623" spans="1:28">
      <c r="A1623" s="3" t="s">
        <v>819</v>
      </c>
      <c r="D1623" s="3" t="s">
        <v>3063</v>
      </c>
      <c r="E1623" s="3" t="s">
        <v>2212</v>
      </c>
      <c r="J1623" s="9" t="s">
        <v>8729</v>
      </c>
      <c r="S1623" s="9" t="s">
        <v>8730</v>
      </c>
      <c r="T1623" s="9" t="str">
        <f t="shared" ca="1" si="62"/>
        <v/>
      </c>
      <c r="U1623" s="9" t="str">
        <f t="shared" ca="1" si="63"/>
        <v/>
      </c>
      <c r="AB1623" s="9" t="s">
        <v>8697</v>
      </c>
    </row>
    <row r="1624" spans="1:28">
      <c r="A1624" s="3" t="s">
        <v>820</v>
      </c>
      <c r="D1624" s="3" t="s">
        <v>5443</v>
      </c>
      <c r="E1624" s="3" t="s">
        <v>3064</v>
      </c>
      <c r="H1624" t="s">
        <v>3884</v>
      </c>
      <c r="J1624" s="9" t="s">
        <v>8729</v>
      </c>
      <c r="S1624" s="9">
        <f xml:space="preserve"> 19-33</f>
        <v>-14</v>
      </c>
      <c r="T1624" s="9">
        <f t="shared" ca="1" si="62"/>
        <v>33</v>
      </c>
      <c r="U1624" s="9">
        <f t="shared" ca="1" si="63"/>
        <v>19</v>
      </c>
    </row>
    <row r="1625" spans="1:28" ht="29">
      <c r="A1625" s="3" t="s">
        <v>820</v>
      </c>
      <c r="D1625" s="3" t="s">
        <v>9487</v>
      </c>
      <c r="E1625" s="4" t="s">
        <v>5444</v>
      </c>
      <c r="F1625" t="s">
        <v>3897</v>
      </c>
      <c r="T1625" s="9" t="str">
        <f t="shared" ca="1" si="62"/>
        <v/>
      </c>
      <c r="U1625" s="9" t="str">
        <f t="shared" ca="1" si="63"/>
        <v/>
      </c>
    </row>
    <row r="1626" spans="1:28" ht="29">
      <c r="A1626" s="3" t="s">
        <v>820</v>
      </c>
      <c r="D1626" s="3" t="s">
        <v>5446</v>
      </c>
      <c r="E1626" s="3" t="s">
        <v>5445</v>
      </c>
      <c r="F1626" t="s">
        <v>3893</v>
      </c>
      <c r="H1626" t="s">
        <v>3884</v>
      </c>
      <c r="J1626" s="9" t="s">
        <v>8729</v>
      </c>
      <c r="S1626" s="9">
        <f>10929-781</f>
        <v>10148</v>
      </c>
      <c r="T1626" s="9">
        <f t="shared" ca="1" si="62"/>
        <v>781</v>
      </c>
      <c r="U1626" s="9">
        <f t="shared" ca="1" si="63"/>
        <v>10929</v>
      </c>
    </row>
    <row r="1627" spans="1:28" ht="29">
      <c r="A1627" s="3" t="s">
        <v>821</v>
      </c>
      <c r="D1627" s="3" t="s">
        <v>5447</v>
      </c>
      <c r="E1627" s="3" t="s">
        <v>5448</v>
      </c>
      <c r="J1627" s="9" t="s">
        <v>8731</v>
      </c>
      <c r="T1627" s="9" t="str">
        <f t="shared" ca="1" si="62"/>
        <v/>
      </c>
      <c r="U1627" s="9" t="str">
        <f t="shared" ca="1" si="63"/>
        <v/>
      </c>
      <c r="AB1627" s="9" t="s">
        <v>8700</v>
      </c>
    </row>
    <row r="1628" spans="1:28">
      <c r="A1628" s="3" t="s">
        <v>822</v>
      </c>
      <c r="D1628" s="3" t="s">
        <v>5449</v>
      </c>
      <c r="E1628" s="3" t="s">
        <v>5450</v>
      </c>
      <c r="H1628" t="s">
        <v>3884</v>
      </c>
      <c r="J1628" s="9" t="s">
        <v>3885</v>
      </c>
      <c r="K1628" s="9">
        <v>1</v>
      </c>
      <c r="L1628" s="9">
        <v>2</v>
      </c>
      <c r="M1628" s="9" t="s">
        <v>8689</v>
      </c>
      <c r="N1628" s="9" t="s">
        <v>8730</v>
      </c>
      <c r="R1628" s="9">
        <v>10929</v>
      </c>
      <c r="T1628" s="9" t="str">
        <f t="shared" ca="1" si="62"/>
        <v/>
      </c>
      <c r="U1628" s="9" t="str">
        <f t="shared" ca="1" si="63"/>
        <v/>
      </c>
    </row>
    <row r="1629" spans="1:28">
      <c r="A1629" s="3" t="s">
        <v>823</v>
      </c>
      <c r="D1629" s="4" t="s">
        <v>3065</v>
      </c>
      <c r="E1629" s="3" t="s">
        <v>3066</v>
      </c>
      <c r="F1629" t="s">
        <v>3883</v>
      </c>
      <c r="T1629" s="9" t="str">
        <f t="shared" ca="1" si="62"/>
        <v/>
      </c>
      <c r="U1629" s="9" t="str">
        <f t="shared" ca="1" si="63"/>
        <v/>
      </c>
    </row>
    <row r="1630" spans="1:28">
      <c r="A1630" s="3" t="s">
        <v>823</v>
      </c>
      <c r="D1630" s="3" t="s">
        <v>3067</v>
      </c>
      <c r="E1630" s="3" t="s">
        <v>3068</v>
      </c>
      <c r="J1630" s="9" t="s">
        <v>8731</v>
      </c>
      <c r="T1630" s="9" t="str">
        <f t="shared" ca="1" si="62"/>
        <v/>
      </c>
      <c r="U1630" s="9" t="str">
        <f t="shared" ca="1" si="63"/>
        <v/>
      </c>
      <c r="Z1630" s="9" t="s">
        <v>8804</v>
      </c>
      <c r="AA1630" s="9" t="s">
        <v>3884</v>
      </c>
    </row>
    <row r="1631" spans="1:28" ht="29">
      <c r="A1631" s="3" t="s">
        <v>824</v>
      </c>
      <c r="D1631" s="3" t="s">
        <v>9039</v>
      </c>
      <c r="E1631" s="3" t="s">
        <v>9040</v>
      </c>
      <c r="H1631" t="s">
        <v>3884</v>
      </c>
      <c r="J1631" s="9" t="s">
        <v>8731</v>
      </c>
      <c r="T1631" s="9" t="str">
        <f t="shared" ca="1" si="62"/>
        <v/>
      </c>
      <c r="U1631" s="9" t="str">
        <f t="shared" ca="1" si="63"/>
        <v/>
      </c>
      <c r="AB1631" s="9" t="s">
        <v>8694</v>
      </c>
    </row>
    <row r="1632" spans="1:28" ht="29">
      <c r="A1632" s="3" t="s">
        <v>824</v>
      </c>
      <c r="D1632" s="3" t="s">
        <v>9041</v>
      </c>
      <c r="E1632" s="3" t="s">
        <v>9042</v>
      </c>
      <c r="J1632" s="9" t="s">
        <v>8731</v>
      </c>
      <c r="T1632" s="9" t="str">
        <f t="shared" ca="1" si="62"/>
        <v/>
      </c>
      <c r="U1632" s="9" t="str">
        <f t="shared" ca="1" si="63"/>
        <v/>
      </c>
    </row>
    <row r="1633" spans="1:28" ht="29">
      <c r="A1633" s="3" t="s">
        <v>825</v>
      </c>
      <c r="D1633" s="3" t="s">
        <v>5451</v>
      </c>
      <c r="E1633" s="3" t="s">
        <v>5452</v>
      </c>
      <c r="H1633" t="s">
        <v>3884</v>
      </c>
      <c r="J1633" s="9" t="s">
        <v>3885</v>
      </c>
      <c r="K1633" s="9">
        <v>1</v>
      </c>
      <c r="L1633" s="9">
        <v>2</v>
      </c>
      <c r="M1633" s="9" t="s">
        <v>8689</v>
      </c>
      <c r="N1633" s="9" t="s">
        <v>8730</v>
      </c>
      <c r="R1633" s="9">
        <v>10929</v>
      </c>
      <c r="T1633" s="9" t="str">
        <f t="shared" ca="1" si="62"/>
        <v/>
      </c>
      <c r="U1633" s="9" t="str">
        <f t="shared" ca="1" si="63"/>
        <v/>
      </c>
      <c r="AB1633" s="9" t="s">
        <v>8694</v>
      </c>
    </row>
    <row r="1634" spans="1:28">
      <c r="A1634" s="3" t="s">
        <v>826</v>
      </c>
      <c r="D1634" s="3" t="s">
        <v>3069</v>
      </c>
      <c r="E1634" s="3" t="s">
        <v>3070</v>
      </c>
      <c r="J1634" s="9" t="s">
        <v>8729</v>
      </c>
      <c r="S1634" s="9" t="s">
        <v>8739</v>
      </c>
      <c r="T1634" s="9" t="str">
        <f t="shared" ca="1" si="62"/>
        <v/>
      </c>
      <c r="U1634" s="9" t="str">
        <f t="shared" ca="1" si="63"/>
        <v/>
      </c>
      <c r="Y1634" s="9" t="s">
        <v>8735</v>
      </c>
      <c r="AA1634" s="9" t="s">
        <v>3884</v>
      </c>
    </row>
    <row r="1635" spans="1:28">
      <c r="A1635" s="3" t="s">
        <v>826</v>
      </c>
      <c r="D1635" s="3" t="s">
        <v>3071</v>
      </c>
      <c r="E1635" s="3" t="s">
        <v>3072</v>
      </c>
      <c r="J1635" s="9" t="s">
        <v>8729</v>
      </c>
      <c r="S1635" s="9" t="s">
        <v>8739</v>
      </c>
      <c r="T1635" s="9" t="str">
        <f t="shared" ca="1" si="62"/>
        <v/>
      </c>
      <c r="U1635" s="9" t="str">
        <f t="shared" ca="1" si="63"/>
        <v/>
      </c>
      <c r="Y1635" s="9" t="s">
        <v>8735</v>
      </c>
      <c r="AA1635" s="9" t="s">
        <v>3884</v>
      </c>
    </row>
    <row r="1636" spans="1:28">
      <c r="A1636" s="3" t="s">
        <v>827</v>
      </c>
      <c r="D1636" s="3" t="s">
        <v>3073</v>
      </c>
      <c r="E1636" s="3" t="s">
        <v>3074</v>
      </c>
      <c r="J1636" s="9" t="s">
        <v>8729</v>
      </c>
      <c r="S1636" s="9" t="s">
        <v>8739</v>
      </c>
      <c r="T1636" s="9" t="str">
        <f t="shared" ca="1" si="62"/>
        <v/>
      </c>
      <c r="U1636" s="9" t="str">
        <f t="shared" ca="1" si="63"/>
        <v/>
      </c>
      <c r="AB1636" s="9" t="s">
        <v>8697</v>
      </c>
    </row>
    <row r="1637" spans="1:28" ht="29">
      <c r="A1637" s="3" t="s">
        <v>827</v>
      </c>
      <c r="D1637" s="3" t="s">
        <v>5453</v>
      </c>
      <c r="E1637" s="3" t="s">
        <v>5453</v>
      </c>
      <c r="F1637" t="s">
        <v>3932</v>
      </c>
      <c r="I1637" t="s">
        <v>5454</v>
      </c>
      <c r="T1637" s="9" t="str">
        <f t="shared" ca="1" si="62"/>
        <v/>
      </c>
      <c r="U1637" s="9" t="str">
        <f t="shared" ca="1" si="63"/>
        <v/>
      </c>
    </row>
    <row r="1638" spans="1:28">
      <c r="A1638" s="3" t="s">
        <v>828</v>
      </c>
      <c r="D1638" s="3" t="s">
        <v>3075</v>
      </c>
      <c r="E1638" s="3" t="s">
        <v>3075</v>
      </c>
      <c r="F1638" t="s">
        <v>3932</v>
      </c>
      <c r="I1638" t="s">
        <v>5455</v>
      </c>
      <c r="T1638" s="9" t="str">
        <f t="shared" ca="1" si="62"/>
        <v/>
      </c>
      <c r="U1638" s="9" t="str">
        <f t="shared" ca="1" si="63"/>
        <v/>
      </c>
    </row>
    <row r="1639" spans="1:28" ht="29">
      <c r="A1639" s="3" t="s">
        <v>829</v>
      </c>
      <c r="D1639" s="3" t="s">
        <v>5456</v>
      </c>
      <c r="E1639" s="3" t="s">
        <v>5457</v>
      </c>
      <c r="H1639" t="s">
        <v>3888</v>
      </c>
      <c r="I1639" t="s">
        <v>5458</v>
      </c>
      <c r="J1639" s="9" t="s">
        <v>8729</v>
      </c>
      <c r="S1639" s="9">
        <f>52-55</f>
        <v>-3</v>
      </c>
      <c r="T1639" s="9">
        <f t="shared" ca="1" si="62"/>
        <v>55</v>
      </c>
      <c r="U1639" s="9">
        <f t="shared" ca="1" si="63"/>
        <v>52</v>
      </c>
    </row>
    <row r="1640" spans="1:28">
      <c r="A1640" s="3" t="s">
        <v>830</v>
      </c>
      <c r="D1640" s="3" t="s">
        <v>5459</v>
      </c>
      <c r="E1640" s="3" t="s">
        <v>5460</v>
      </c>
      <c r="J1640" s="9" t="s">
        <v>8729</v>
      </c>
      <c r="S1640" s="9">
        <f>23-4</f>
        <v>19</v>
      </c>
      <c r="T1640" s="9">
        <f t="shared" ca="1" si="62"/>
        <v>4</v>
      </c>
      <c r="U1640" s="9">
        <f t="shared" ca="1" si="63"/>
        <v>23</v>
      </c>
    </row>
    <row r="1641" spans="1:28">
      <c r="A1641" s="3" t="s">
        <v>830</v>
      </c>
      <c r="D1641" s="3" t="s">
        <v>3076</v>
      </c>
      <c r="E1641" s="3" t="s">
        <v>2976</v>
      </c>
      <c r="J1641" s="9" t="s">
        <v>8729</v>
      </c>
      <c r="S1641" s="9" t="s">
        <v>8739</v>
      </c>
      <c r="T1641" s="9" t="str">
        <f t="shared" ca="1" si="62"/>
        <v/>
      </c>
      <c r="U1641" s="9" t="str">
        <f t="shared" ca="1" si="63"/>
        <v/>
      </c>
      <c r="Y1641" s="9" t="s">
        <v>8735</v>
      </c>
      <c r="Z1641" s="9" t="s">
        <v>9280</v>
      </c>
      <c r="AA1641" s="9" t="s">
        <v>3884</v>
      </c>
    </row>
    <row r="1642" spans="1:28">
      <c r="A1642" s="3" t="s">
        <v>830</v>
      </c>
      <c r="D1642" s="3" t="s">
        <v>3077</v>
      </c>
      <c r="E1642" s="3" t="s">
        <v>2977</v>
      </c>
      <c r="J1642" s="9" t="s">
        <v>8729</v>
      </c>
      <c r="S1642" s="9" t="s">
        <v>8739</v>
      </c>
      <c r="T1642" s="9" t="str">
        <f t="shared" ca="1" si="62"/>
        <v/>
      </c>
      <c r="U1642" s="9" t="str">
        <f t="shared" ca="1" si="63"/>
        <v/>
      </c>
      <c r="Y1642" s="9" t="s">
        <v>8735</v>
      </c>
      <c r="Z1642" s="9" t="s">
        <v>9280</v>
      </c>
      <c r="AA1642" s="9" t="s">
        <v>3884</v>
      </c>
    </row>
    <row r="1643" spans="1:28" ht="29">
      <c r="A1643" s="3" t="s">
        <v>830</v>
      </c>
      <c r="D1643" s="3" t="s">
        <v>5461</v>
      </c>
      <c r="E1643" s="3" t="s">
        <v>5462</v>
      </c>
      <c r="H1643" t="s">
        <v>3884</v>
      </c>
      <c r="J1643" s="9" t="s">
        <v>8729</v>
      </c>
      <c r="S1643" s="9">
        <f xml:space="preserve"> 118-206</f>
        <v>-88</v>
      </c>
      <c r="T1643" s="9">
        <f t="shared" ca="1" si="62"/>
        <v>206</v>
      </c>
      <c r="U1643" s="9">
        <f t="shared" ca="1" si="63"/>
        <v>118</v>
      </c>
    </row>
    <row r="1644" spans="1:28" ht="29">
      <c r="A1644" s="3" t="s">
        <v>830</v>
      </c>
      <c r="D1644" s="3" t="s">
        <v>5463</v>
      </c>
      <c r="E1644" s="3" t="s">
        <v>5464</v>
      </c>
      <c r="H1644" t="s">
        <v>3892</v>
      </c>
      <c r="I1644" t="s">
        <v>5465</v>
      </c>
      <c r="J1644" s="9" t="s">
        <v>8729</v>
      </c>
      <c r="S1644" s="9">
        <f>519-1942</f>
        <v>-1423</v>
      </c>
      <c r="T1644" s="9">
        <f t="shared" ca="1" si="62"/>
        <v>1942</v>
      </c>
      <c r="U1644" s="9">
        <f t="shared" ca="1" si="63"/>
        <v>519</v>
      </c>
      <c r="AB1644" s="9" t="s">
        <v>8694</v>
      </c>
    </row>
    <row r="1645" spans="1:28" ht="29">
      <c r="A1645" s="3" t="s">
        <v>830</v>
      </c>
      <c r="D1645" s="3" t="s">
        <v>5468</v>
      </c>
      <c r="E1645" s="3" t="s">
        <v>5469</v>
      </c>
      <c r="F1645" t="s">
        <v>3932</v>
      </c>
      <c r="I1645" t="s">
        <v>5466</v>
      </c>
      <c r="T1645" s="9" t="str">
        <f t="shared" ca="1" si="62"/>
        <v/>
      </c>
      <c r="U1645" s="9" t="str">
        <f t="shared" ca="1" si="63"/>
        <v/>
      </c>
    </row>
    <row r="1646" spans="1:28" ht="29">
      <c r="A1646" s="3" t="s">
        <v>830</v>
      </c>
      <c r="D1646" s="4" t="s">
        <v>5467</v>
      </c>
      <c r="E1646" s="3" t="s">
        <v>5470</v>
      </c>
      <c r="F1646" t="s">
        <v>3883</v>
      </c>
      <c r="T1646" s="9" t="str">
        <f t="shared" ca="1" si="62"/>
        <v/>
      </c>
      <c r="U1646" s="9" t="str">
        <f t="shared" ca="1" si="63"/>
        <v/>
      </c>
    </row>
    <row r="1647" spans="1:28">
      <c r="A1647" s="3" t="s">
        <v>831</v>
      </c>
      <c r="D1647" s="3" t="s">
        <v>5471</v>
      </c>
      <c r="E1647" s="3" t="s">
        <v>5472</v>
      </c>
      <c r="H1647" t="s">
        <v>3884</v>
      </c>
      <c r="J1647" s="9" t="s">
        <v>3889</v>
      </c>
      <c r="K1647" s="9">
        <v>1</v>
      </c>
      <c r="L1647" s="9">
        <v>3</v>
      </c>
      <c r="M1647" s="9" t="s">
        <v>8698</v>
      </c>
      <c r="N1647" s="9" t="s">
        <v>8690</v>
      </c>
      <c r="R1647" s="9">
        <v>653</v>
      </c>
      <c r="T1647" s="9" t="str">
        <f t="shared" ca="1" si="62"/>
        <v/>
      </c>
      <c r="U1647" s="9" t="str">
        <f t="shared" ca="1" si="63"/>
        <v/>
      </c>
    </row>
    <row r="1648" spans="1:28">
      <c r="A1648" s="3" t="s">
        <v>832</v>
      </c>
      <c r="D1648" s="3" t="s">
        <v>2386</v>
      </c>
      <c r="E1648" s="3" t="s">
        <v>2387</v>
      </c>
      <c r="J1648" s="9" t="s">
        <v>8729</v>
      </c>
      <c r="S1648" s="9">
        <f>21-0</f>
        <v>21</v>
      </c>
      <c r="T1648" s="9">
        <f t="shared" ca="1" si="62"/>
        <v>0</v>
      </c>
      <c r="U1648" s="9">
        <f t="shared" ca="1" si="63"/>
        <v>21</v>
      </c>
      <c r="Z1648" s="9" t="s">
        <v>8757</v>
      </c>
      <c r="AA1648" s="9" t="s">
        <v>3884</v>
      </c>
      <c r="AB1648" s="9" t="s">
        <v>8694</v>
      </c>
    </row>
    <row r="1649" spans="1:28">
      <c r="A1649" s="3" t="s">
        <v>832</v>
      </c>
      <c r="D1649" s="3" t="s">
        <v>3078</v>
      </c>
      <c r="E1649" s="3" t="s">
        <v>3079</v>
      </c>
      <c r="J1649" s="9" t="s">
        <v>8729</v>
      </c>
      <c r="S1649" s="9" t="s">
        <v>8739</v>
      </c>
      <c r="T1649" s="9" t="str">
        <f t="shared" ca="1" si="62"/>
        <v/>
      </c>
      <c r="U1649" s="9" t="str">
        <f t="shared" ca="1" si="63"/>
        <v/>
      </c>
      <c r="Z1649" s="9" t="s">
        <v>8741</v>
      </c>
      <c r="AA1649" s="9" t="s">
        <v>3884</v>
      </c>
      <c r="AB1649" s="9" t="s">
        <v>8697</v>
      </c>
    </row>
    <row r="1650" spans="1:28">
      <c r="A1650" s="3" t="s">
        <v>833</v>
      </c>
      <c r="D1650" s="4" t="s">
        <v>5473</v>
      </c>
      <c r="E1650" s="3" t="s">
        <v>5474</v>
      </c>
      <c r="F1650" t="s">
        <v>3883</v>
      </c>
      <c r="I1650" s="7"/>
      <c r="T1650" s="9" t="str">
        <f t="shared" ca="1" si="62"/>
        <v/>
      </c>
      <c r="U1650" s="9" t="str">
        <f t="shared" ca="1" si="63"/>
        <v/>
      </c>
    </row>
    <row r="1651" spans="1:28">
      <c r="A1651" s="3" t="s">
        <v>834</v>
      </c>
      <c r="D1651" s="3" t="s">
        <v>3080</v>
      </c>
      <c r="E1651" s="3" t="s">
        <v>3081</v>
      </c>
      <c r="H1651" t="s">
        <v>3892</v>
      </c>
      <c r="I1651" t="s">
        <v>9687</v>
      </c>
      <c r="J1651" s="9" t="s">
        <v>8729</v>
      </c>
      <c r="S1651" s="9" t="s">
        <v>8739</v>
      </c>
      <c r="T1651" s="9" t="str">
        <f t="shared" ca="1" si="62"/>
        <v/>
      </c>
      <c r="U1651" s="9" t="str">
        <f t="shared" ca="1" si="63"/>
        <v/>
      </c>
      <c r="AB1651" s="9" t="s">
        <v>8688</v>
      </c>
    </row>
    <row r="1652" spans="1:28">
      <c r="A1652" s="3" t="s">
        <v>835</v>
      </c>
      <c r="D1652" s="3" t="s">
        <v>3083</v>
      </c>
      <c r="E1652" s="3" t="s">
        <v>3082</v>
      </c>
      <c r="J1652" s="9" t="s">
        <v>8729</v>
      </c>
      <c r="S1652" s="9" t="s">
        <v>8730</v>
      </c>
      <c r="T1652" s="9" t="str">
        <f t="shared" ca="1" si="62"/>
        <v/>
      </c>
      <c r="U1652" s="9" t="str">
        <f t="shared" ca="1" si="63"/>
        <v/>
      </c>
      <c r="Y1652" s="9" t="s">
        <v>8735</v>
      </c>
      <c r="Z1652" s="9" t="s">
        <v>9280</v>
      </c>
      <c r="AA1652" s="9" t="s">
        <v>3884</v>
      </c>
    </row>
    <row r="1653" spans="1:28">
      <c r="A1653" s="3" t="s">
        <v>835</v>
      </c>
      <c r="D1653" s="3" t="s">
        <v>5475</v>
      </c>
      <c r="E1653" s="3" t="s">
        <v>5476</v>
      </c>
      <c r="J1653" s="9" t="s">
        <v>3885</v>
      </c>
      <c r="K1653" s="9">
        <v>1</v>
      </c>
      <c r="L1653" s="9">
        <v>3</v>
      </c>
      <c r="M1653" s="9" t="s">
        <v>8689</v>
      </c>
      <c r="N1653" s="9" t="s">
        <v>8690</v>
      </c>
      <c r="R1653" s="9">
        <v>10929</v>
      </c>
      <c r="T1653" s="9" t="str">
        <f t="shared" ca="1" si="62"/>
        <v/>
      </c>
      <c r="U1653" s="9" t="str">
        <f t="shared" ca="1" si="63"/>
        <v/>
      </c>
    </row>
    <row r="1654" spans="1:28">
      <c r="A1654" s="3" t="s">
        <v>835</v>
      </c>
      <c r="D1654" s="3" t="s">
        <v>5477</v>
      </c>
      <c r="E1654" s="3" t="s">
        <v>5478</v>
      </c>
      <c r="J1654" s="9" t="s">
        <v>8729</v>
      </c>
      <c r="S1654" s="9">
        <f xml:space="preserve"> 519-329</f>
        <v>190</v>
      </c>
      <c r="T1654" s="9">
        <f t="shared" ca="1" si="62"/>
        <v>329</v>
      </c>
      <c r="U1654" s="9">
        <f t="shared" ca="1" si="63"/>
        <v>519</v>
      </c>
    </row>
    <row r="1655" spans="1:28">
      <c r="A1655" s="3" t="s">
        <v>836</v>
      </c>
      <c r="D1655" s="3" t="s">
        <v>3083</v>
      </c>
      <c r="E1655" s="3" t="s">
        <v>3082</v>
      </c>
      <c r="J1655" s="9" t="s">
        <v>8729</v>
      </c>
      <c r="S1655" s="9" t="s">
        <v>8730</v>
      </c>
      <c r="T1655" s="9" t="str">
        <f t="shared" ca="1" si="62"/>
        <v/>
      </c>
      <c r="U1655" s="9" t="str">
        <f t="shared" ca="1" si="63"/>
        <v/>
      </c>
      <c r="Y1655" s="9" t="s">
        <v>8735</v>
      </c>
      <c r="Z1655" s="9" t="s">
        <v>9280</v>
      </c>
      <c r="AA1655" s="9" t="s">
        <v>3884</v>
      </c>
    </row>
    <row r="1656" spans="1:28">
      <c r="A1656" s="3" t="s">
        <v>836</v>
      </c>
      <c r="D1656" s="3" t="s">
        <v>5479</v>
      </c>
      <c r="E1656" s="3" t="s">
        <v>5479</v>
      </c>
      <c r="F1656" t="s">
        <v>3932</v>
      </c>
      <c r="I1656" t="s">
        <v>5480</v>
      </c>
      <c r="T1656" s="9" t="str">
        <f t="shared" ca="1" si="62"/>
        <v/>
      </c>
      <c r="U1656" s="9" t="str">
        <f t="shared" ca="1" si="63"/>
        <v/>
      </c>
    </row>
    <row r="1657" spans="1:28" ht="29">
      <c r="A1657" s="3" t="s">
        <v>837</v>
      </c>
      <c r="D1657" s="3" t="s">
        <v>5481</v>
      </c>
      <c r="E1657" s="3" t="s">
        <v>5482</v>
      </c>
      <c r="J1657" s="9" t="s">
        <v>3889</v>
      </c>
      <c r="K1657" s="9">
        <v>2</v>
      </c>
      <c r="L1657" s="9">
        <v>6</v>
      </c>
      <c r="N1657" s="9" t="s">
        <v>8690</v>
      </c>
      <c r="R1657" s="9">
        <v>205</v>
      </c>
      <c r="T1657" s="9" t="str">
        <f t="shared" ca="1" si="62"/>
        <v/>
      </c>
      <c r="U1657" s="9" t="str">
        <f t="shared" ca="1" si="63"/>
        <v/>
      </c>
    </row>
    <row r="1658" spans="1:28">
      <c r="A1658" s="3" t="s">
        <v>838</v>
      </c>
      <c r="D1658" s="3" t="s">
        <v>3084</v>
      </c>
      <c r="E1658" s="3" t="s">
        <v>3084</v>
      </c>
      <c r="F1658" t="s">
        <v>3932</v>
      </c>
      <c r="I1658" t="s">
        <v>3082</v>
      </c>
      <c r="T1658" s="9" t="str">
        <f t="shared" ca="1" si="62"/>
        <v/>
      </c>
      <c r="U1658" s="9" t="str">
        <f t="shared" ca="1" si="63"/>
        <v/>
      </c>
    </row>
    <row r="1659" spans="1:28">
      <c r="A1659" s="3" t="s">
        <v>839</v>
      </c>
      <c r="D1659" s="3" t="s">
        <v>5483</v>
      </c>
      <c r="E1659" s="4" t="s">
        <v>5484</v>
      </c>
      <c r="F1659" t="s">
        <v>3897</v>
      </c>
      <c r="T1659" s="9" t="str">
        <f t="shared" ca="1" si="62"/>
        <v/>
      </c>
      <c r="U1659" s="9" t="str">
        <f t="shared" ca="1" si="63"/>
        <v/>
      </c>
    </row>
    <row r="1660" spans="1:28">
      <c r="A1660" s="3" t="s">
        <v>839</v>
      </c>
      <c r="D1660" s="3" t="s">
        <v>5485</v>
      </c>
      <c r="E1660" s="3" t="s">
        <v>5486</v>
      </c>
      <c r="J1660" s="9" t="s">
        <v>8731</v>
      </c>
      <c r="T1660" s="9" t="str">
        <f t="shared" ca="1" si="62"/>
        <v/>
      </c>
      <c r="U1660" s="9" t="str">
        <f t="shared" ca="1" si="63"/>
        <v/>
      </c>
    </row>
    <row r="1661" spans="1:28">
      <c r="A1661" s="3" t="s">
        <v>840</v>
      </c>
      <c r="D1661" s="3" t="s">
        <v>3085</v>
      </c>
      <c r="E1661" s="3" t="s">
        <v>3086</v>
      </c>
      <c r="J1661" s="9" t="s">
        <v>8729</v>
      </c>
      <c r="S1661" s="9" t="s">
        <v>8730</v>
      </c>
      <c r="T1661" s="9" t="str">
        <f t="shared" ca="1" si="62"/>
        <v/>
      </c>
      <c r="U1661" s="9" t="str">
        <f t="shared" ca="1" si="63"/>
        <v/>
      </c>
      <c r="Y1661" s="9" t="s">
        <v>8735</v>
      </c>
      <c r="Z1661" s="9" t="s">
        <v>8742</v>
      </c>
      <c r="AA1661" s="9" t="s">
        <v>3884</v>
      </c>
    </row>
    <row r="1662" spans="1:28">
      <c r="A1662" s="3" t="s">
        <v>840</v>
      </c>
      <c r="D1662" s="3" t="s">
        <v>9043</v>
      </c>
      <c r="E1662" s="3" t="s">
        <v>9621</v>
      </c>
      <c r="J1662" s="9" t="s">
        <v>8729</v>
      </c>
      <c r="S1662" s="9" t="s">
        <v>8739</v>
      </c>
      <c r="T1662" s="9" t="str">
        <f t="shared" ca="1" si="62"/>
        <v/>
      </c>
      <c r="U1662" s="9" t="str">
        <f t="shared" ca="1" si="63"/>
        <v/>
      </c>
      <c r="Y1662" s="9" t="s">
        <v>8735</v>
      </c>
      <c r="Z1662" s="9" t="s">
        <v>8742</v>
      </c>
      <c r="AA1662" s="9" t="s">
        <v>3884</v>
      </c>
    </row>
    <row r="1663" spans="1:28">
      <c r="A1663" s="3" t="s">
        <v>840</v>
      </c>
      <c r="D1663" s="4" t="s">
        <v>5487</v>
      </c>
      <c r="E1663" s="3" t="s">
        <v>5488</v>
      </c>
      <c r="F1663" t="s">
        <v>4196</v>
      </c>
      <c r="I1663" t="s">
        <v>5489</v>
      </c>
      <c r="J1663" s="9" t="s">
        <v>8729</v>
      </c>
      <c r="S1663" s="9">
        <f>6-30</f>
        <v>-24</v>
      </c>
      <c r="T1663" s="9">
        <f t="shared" ca="1" si="62"/>
        <v>30</v>
      </c>
      <c r="U1663" s="9">
        <f t="shared" ca="1" si="63"/>
        <v>6</v>
      </c>
    </row>
    <row r="1664" spans="1:28">
      <c r="A1664" s="3" t="s">
        <v>841</v>
      </c>
      <c r="D1664" s="3" t="s">
        <v>5490</v>
      </c>
      <c r="E1664" s="3" t="s">
        <v>5491</v>
      </c>
      <c r="J1664" s="9" t="s">
        <v>8729</v>
      </c>
      <c r="S1664" s="9" t="s">
        <v>8739</v>
      </c>
      <c r="T1664" s="9" t="str">
        <f t="shared" ca="1" si="62"/>
        <v/>
      </c>
      <c r="U1664" s="9" t="str">
        <f t="shared" ca="1" si="63"/>
        <v/>
      </c>
      <c r="Z1664" s="9" t="s">
        <v>8742</v>
      </c>
      <c r="AA1664" s="9" t="s">
        <v>3884</v>
      </c>
      <c r="AB1664" s="9" t="s">
        <v>8697</v>
      </c>
    </row>
    <row r="1665" spans="1:28">
      <c r="A1665" s="3" t="s">
        <v>842</v>
      </c>
      <c r="D1665" s="3" t="s">
        <v>3087</v>
      </c>
      <c r="E1665" s="3" t="s">
        <v>3088</v>
      </c>
      <c r="F1665" t="s">
        <v>3886</v>
      </c>
      <c r="J1665" s="9" t="s">
        <v>8729</v>
      </c>
      <c r="S1665" s="9" t="s">
        <v>8739</v>
      </c>
      <c r="T1665" s="9" t="str">
        <f t="shared" ca="1" si="62"/>
        <v/>
      </c>
      <c r="U1665" s="9" t="str">
        <f t="shared" ca="1" si="63"/>
        <v/>
      </c>
      <c r="Y1665" s="9" t="s">
        <v>8735</v>
      </c>
      <c r="AA1665" s="9" t="s">
        <v>3884</v>
      </c>
    </row>
    <row r="1666" spans="1:28">
      <c r="A1666" s="3" t="s">
        <v>843</v>
      </c>
      <c r="D1666" s="3" t="s">
        <v>3085</v>
      </c>
      <c r="E1666" s="3" t="s">
        <v>3086</v>
      </c>
      <c r="J1666" s="9" t="s">
        <v>8729</v>
      </c>
      <c r="S1666" s="9" t="s">
        <v>8730</v>
      </c>
      <c r="T1666" s="9" t="str">
        <f t="shared" ca="1" si="62"/>
        <v/>
      </c>
      <c r="U1666" s="9" t="str">
        <f t="shared" ca="1" si="63"/>
        <v/>
      </c>
      <c r="Y1666" s="9" t="s">
        <v>8735</v>
      </c>
      <c r="Z1666" s="9" t="s">
        <v>8742</v>
      </c>
      <c r="AA1666" s="9" t="s">
        <v>3884</v>
      </c>
    </row>
    <row r="1667" spans="1:28">
      <c r="A1667" s="3" t="s">
        <v>844</v>
      </c>
      <c r="D1667" s="3" t="s">
        <v>3089</v>
      </c>
      <c r="E1667" s="3" t="s">
        <v>3090</v>
      </c>
      <c r="J1667" s="9" t="s">
        <v>8729</v>
      </c>
      <c r="S1667" s="9" t="s">
        <v>8730</v>
      </c>
      <c r="T1667" s="9" t="str">
        <f t="shared" ca="1" si="62"/>
        <v/>
      </c>
      <c r="U1667" s="9" t="str">
        <f t="shared" ca="1" si="63"/>
        <v/>
      </c>
      <c r="Y1667" s="9" t="s">
        <v>8735</v>
      </c>
      <c r="Z1667" s="9" t="s">
        <v>9280</v>
      </c>
      <c r="AA1667" s="9" t="s">
        <v>3884</v>
      </c>
    </row>
    <row r="1668" spans="1:28">
      <c r="A1668" s="3" t="s">
        <v>844</v>
      </c>
      <c r="D1668" s="3" t="s">
        <v>2888</v>
      </c>
      <c r="E1668" s="3" t="s">
        <v>2889</v>
      </c>
      <c r="J1668" s="9" t="s">
        <v>8729</v>
      </c>
      <c r="S1668" s="9" t="s">
        <v>8730</v>
      </c>
      <c r="T1668" s="9" t="str">
        <f t="shared" ref="T1668:T1731" ca="1" si="64">IF(ISNUMBER(S1668),VALUE(MID(_xlfn.FORMULATEXT(S1668),SEARCH("-",_xlfn.FORMULATEXT(S1668))+1,LEN(_xlfn.FORMULATEXT(S1668))-SEARCH("-",_xlfn.FORMULATEXT(S1668)))), "")</f>
        <v/>
      </c>
      <c r="U1668" s="9" t="str">
        <f t="shared" ref="U1668:U1731" ca="1" si="65">IF(ISNUMBER(S1668), VALUE(MID(_xlfn.FORMULATEXT(S1668), 2, SEARCH("-", _xlfn.FORMULATEXT(S1668)) - 2)), "")</f>
        <v/>
      </c>
      <c r="Y1668" s="9" t="s">
        <v>8735</v>
      </c>
      <c r="Z1668" s="9" t="s">
        <v>8757</v>
      </c>
      <c r="AA1668" s="9" t="s">
        <v>3884</v>
      </c>
    </row>
    <row r="1669" spans="1:28">
      <c r="A1669" s="3" t="s">
        <v>845</v>
      </c>
      <c r="D1669" s="3" t="s">
        <v>3089</v>
      </c>
      <c r="E1669" s="3" t="s">
        <v>3090</v>
      </c>
      <c r="J1669" s="9" t="s">
        <v>8729</v>
      </c>
      <c r="S1669" s="9" t="s">
        <v>8730</v>
      </c>
      <c r="T1669" s="9" t="str">
        <f t="shared" ca="1" si="64"/>
        <v/>
      </c>
      <c r="U1669" s="9" t="str">
        <f t="shared" ca="1" si="65"/>
        <v/>
      </c>
      <c r="Y1669" s="9" t="s">
        <v>8735</v>
      </c>
      <c r="Z1669" s="9" t="s">
        <v>9280</v>
      </c>
      <c r="AA1669" s="9" t="s">
        <v>3884</v>
      </c>
    </row>
    <row r="1670" spans="1:28">
      <c r="A1670" s="3" t="s">
        <v>846</v>
      </c>
      <c r="D1670" s="3" t="s">
        <v>3089</v>
      </c>
      <c r="E1670" s="3" t="s">
        <v>3090</v>
      </c>
      <c r="J1670" s="9" t="s">
        <v>8729</v>
      </c>
      <c r="S1670" s="9" t="s">
        <v>8730</v>
      </c>
      <c r="T1670" s="9" t="str">
        <f t="shared" ca="1" si="64"/>
        <v/>
      </c>
      <c r="U1670" s="9" t="str">
        <f t="shared" ca="1" si="65"/>
        <v/>
      </c>
      <c r="Y1670" s="9" t="s">
        <v>8735</v>
      </c>
      <c r="Z1670" s="9" t="s">
        <v>9280</v>
      </c>
      <c r="AA1670" s="9" t="s">
        <v>3884</v>
      </c>
    </row>
    <row r="1671" spans="1:28">
      <c r="A1671" s="3" t="s">
        <v>847</v>
      </c>
      <c r="D1671" s="3" t="s">
        <v>3089</v>
      </c>
      <c r="E1671" s="3" t="s">
        <v>3090</v>
      </c>
      <c r="J1671" s="9" t="s">
        <v>8729</v>
      </c>
      <c r="S1671" s="9" t="s">
        <v>8730</v>
      </c>
      <c r="T1671" s="9" t="str">
        <f t="shared" ca="1" si="64"/>
        <v/>
      </c>
      <c r="U1671" s="9" t="str">
        <f t="shared" ca="1" si="65"/>
        <v/>
      </c>
      <c r="Y1671" s="9" t="s">
        <v>8735</v>
      </c>
      <c r="Z1671" s="9" t="s">
        <v>9280</v>
      </c>
      <c r="AA1671" s="9" t="s">
        <v>3884</v>
      </c>
    </row>
    <row r="1672" spans="1:28">
      <c r="A1672" s="3" t="s">
        <v>847</v>
      </c>
      <c r="D1672" s="3" t="s">
        <v>2888</v>
      </c>
      <c r="E1672" s="3" t="s">
        <v>2889</v>
      </c>
      <c r="J1672" s="9" t="s">
        <v>8729</v>
      </c>
      <c r="S1672" s="9" t="s">
        <v>8730</v>
      </c>
      <c r="T1672" s="9" t="str">
        <f t="shared" ca="1" si="64"/>
        <v/>
      </c>
      <c r="U1672" s="9" t="str">
        <f t="shared" ca="1" si="65"/>
        <v/>
      </c>
      <c r="Y1672" s="9" t="s">
        <v>8735</v>
      </c>
      <c r="Z1672" s="9" t="s">
        <v>8757</v>
      </c>
      <c r="AA1672" s="9" t="s">
        <v>3884</v>
      </c>
    </row>
    <row r="1673" spans="1:28">
      <c r="A1673" s="3" t="s">
        <v>847</v>
      </c>
      <c r="D1673" s="3" t="s">
        <v>3089</v>
      </c>
      <c r="E1673" s="3" t="s">
        <v>3090</v>
      </c>
      <c r="J1673" s="9" t="s">
        <v>8729</v>
      </c>
      <c r="S1673" s="9" t="s">
        <v>8730</v>
      </c>
      <c r="T1673" s="9" t="str">
        <f t="shared" ca="1" si="64"/>
        <v/>
      </c>
      <c r="U1673" s="9" t="str">
        <f t="shared" ca="1" si="65"/>
        <v/>
      </c>
      <c r="Y1673" s="9" t="s">
        <v>8735</v>
      </c>
      <c r="Z1673" s="9" t="s">
        <v>9280</v>
      </c>
      <c r="AA1673" s="9" t="s">
        <v>3884</v>
      </c>
    </row>
    <row r="1674" spans="1:28">
      <c r="A1674" s="3" t="s">
        <v>848</v>
      </c>
      <c r="D1674" s="3" t="s">
        <v>3091</v>
      </c>
      <c r="E1674" s="3" t="s">
        <v>3092</v>
      </c>
      <c r="J1674" s="9" t="s">
        <v>8729</v>
      </c>
      <c r="S1674" s="9" t="s">
        <v>8739</v>
      </c>
      <c r="T1674" s="9" t="str">
        <f t="shared" ca="1" si="64"/>
        <v/>
      </c>
      <c r="U1674" s="9" t="str">
        <f t="shared" ca="1" si="65"/>
        <v/>
      </c>
      <c r="Y1674" s="9" t="s">
        <v>8735</v>
      </c>
      <c r="AA1674" s="9" t="s">
        <v>3884</v>
      </c>
    </row>
    <row r="1675" spans="1:28" ht="29">
      <c r="A1675" s="3" t="s">
        <v>848</v>
      </c>
      <c r="D1675" s="3" t="s">
        <v>5492</v>
      </c>
      <c r="E1675" s="3" t="s">
        <v>5493</v>
      </c>
      <c r="I1675" t="s">
        <v>8865</v>
      </c>
      <c r="J1675" s="9" t="s">
        <v>3894</v>
      </c>
      <c r="T1675" s="9" t="str">
        <f t="shared" ca="1" si="64"/>
        <v/>
      </c>
      <c r="U1675" s="9" t="str">
        <f t="shared" ca="1" si="65"/>
        <v/>
      </c>
    </row>
    <row r="1676" spans="1:28">
      <c r="A1676" s="3" t="s">
        <v>848</v>
      </c>
      <c r="D1676" s="3" t="s">
        <v>3093</v>
      </c>
      <c r="E1676" s="3" t="s">
        <v>3094</v>
      </c>
      <c r="J1676" s="9" t="s">
        <v>8731</v>
      </c>
      <c r="T1676" s="9" t="str">
        <f t="shared" ca="1" si="64"/>
        <v/>
      </c>
      <c r="U1676" s="9" t="str">
        <f t="shared" ca="1" si="65"/>
        <v/>
      </c>
      <c r="Z1676" s="9" t="s">
        <v>8741</v>
      </c>
      <c r="AA1676" s="9" t="s">
        <v>3884</v>
      </c>
    </row>
    <row r="1677" spans="1:28">
      <c r="A1677" s="3" t="s">
        <v>848</v>
      </c>
      <c r="D1677" s="3" t="s">
        <v>3095</v>
      </c>
      <c r="E1677" s="3" t="s">
        <v>3096</v>
      </c>
      <c r="J1677" s="9" t="s">
        <v>8729</v>
      </c>
      <c r="S1677" s="9" t="s">
        <v>8739</v>
      </c>
      <c r="T1677" s="9" t="str">
        <f t="shared" ca="1" si="64"/>
        <v/>
      </c>
      <c r="U1677" s="9" t="str">
        <f t="shared" ca="1" si="65"/>
        <v/>
      </c>
      <c r="Y1677" s="9" t="s">
        <v>8735</v>
      </c>
      <c r="AA1677" s="9" t="s">
        <v>3884</v>
      </c>
    </row>
    <row r="1678" spans="1:28">
      <c r="A1678" s="3" t="s">
        <v>849</v>
      </c>
      <c r="D1678" s="3" t="s">
        <v>5494</v>
      </c>
      <c r="E1678" s="3" t="s">
        <v>5495</v>
      </c>
      <c r="H1678" t="s">
        <v>3884</v>
      </c>
      <c r="J1678" s="9" t="s">
        <v>8729</v>
      </c>
      <c r="S1678" s="9" t="s">
        <v>8739</v>
      </c>
      <c r="T1678" s="9" t="str">
        <f t="shared" ca="1" si="64"/>
        <v/>
      </c>
      <c r="U1678" s="9" t="str">
        <f t="shared" ca="1" si="65"/>
        <v/>
      </c>
      <c r="Z1678" s="9" t="s">
        <v>8861</v>
      </c>
      <c r="AA1678" s="9" t="s">
        <v>3884</v>
      </c>
      <c r="AB1678" s="9" t="s">
        <v>8688</v>
      </c>
    </row>
    <row r="1679" spans="1:28">
      <c r="A1679" s="3" t="s">
        <v>850</v>
      </c>
      <c r="D1679" s="3" t="s">
        <v>3095</v>
      </c>
      <c r="E1679" s="3" t="s">
        <v>3097</v>
      </c>
      <c r="H1679" t="s">
        <v>3884</v>
      </c>
      <c r="J1679" s="9" t="s">
        <v>8729</v>
      </c>
      <c r="S1679" s="9" t="s">
        <v>8739</v>
      </c>
      <c r="T1679" s="9" t="str">
        <f t="shared" ca="1" si="64"/>
        <v/>
      </c>
      <c r="U1679" s="9" t="str">
        <f t="shared" ca="1" si="65"/>
        <v/>
      </c>
      <c r="Y1679" s="9" t="s">
        <v>8735</v>
      </c>
      <c r="AA1679" s="9" t="s">
        <v>3884</v>
      </c>
    </row>
    <row r="1680" spans="1:28" ht="29">
      <c r="A1680" s="3" t="s">
        <v>851</v>
      </c>
      <c r="D1680" s="3" t="s">
        <v>5496</v>
      </c>
      <c r="E1680" s="3" t="s">
        <v>5497</v>
      </c>
      <c r="H1680" t="s">
        <v>3884</v>
      </c>
      <c r="J1680" s="9" t="s">
        <v>3889</v>
      </c>
      <c r="K1680" s="9">
        <v>1</v>
      </c>
      <c r="L1680" s="9">
        <v>3</v>
      </c>
      <c r="M1680" s="9" t="s">
        <v>8689</v>
      </c>
      <c r="N1680" s="9" t="s">
        <v>8690</v>
      </c>
      <c r="R1680" s="9">
        <v>10929</v>
      </c>
      <c r="T1680" s="9" t="str">
        <f t="shared" ca="1" si="64"/>
        <v/>
      </c>
      <c r="U1680" s="9" t="str">
        <f t="shared" ca="1" si="65"/>
        <v/>
      </c>
    </row>
    <row r="1681" spans="1:28" ht="29">
      <c r="A1681" s="3" t="s">
        <v>851</v>
      </c>
      <c r="D1681" s="3" t="s">
        <v>5498</v>
      </c>
      <c r="E1681" s="3" t="s">
        <v>5499</v>
      </c>
      <c r="H1681" t="s">
        <v>3884</v>
      </c>
      <c r="J1681" s="9" t="s">
        <v>3885</v>
      </c>
      <c r="K1681" s="9">
        <v>1</v>
      </c>
      <c r="L1681" s="9">
        <v>2</v>
      </c>
      <c r="M1681" s="9" t="s">
        <v>8734</v>
      </c>
      <c r="N1681" s="9" t="s">
        <v>8730</v>
      </c>
      <c r="R1681" s="9">
        <v>120</v>
      </c>
      <c r="T1681" s="9" t="str">
        <f t="shared" ca="1" si="64"/>
        <v/>
      </c>
      <c r="U1681" s="9" t="str">
        <f t="shared" ca="1" si="65"/>
        <v/>
      </c>
    </row>
    <row r="1682" spans="1:28">
      <c r="A1682" s="3" t="s">
        <v>852</v>
      </c>
      <c r="D1682" s="3" t="s">
        <v>3098</v>
      </c>
      <c r="E1682" s="3" t="s">
        <v>3099</v>
      </c>
      <c r="J1682" s="9" t="s">
        <v>8729</v>
      </c>
      <c r="S1682" s="9" t="s">
        <v>8739</v>
      </c>
      <c r="T1682" s="9" t="str">
        <f t="shared" ca="1" si="64"/>
        <v/>
      </c>
      <c r="U1682" s="9" t="str">
        <f t="shared" ca="1" si="65"/>
        <v/>
      </c>
      <c r="Y1682" s="9" t="s">
        <v>8735</v>
      </c>
      <c r="Z1682" s="9" t="s">
        <v>8742</v>
      </c>
      <c r="AA1682" s="9" t="s">
        <v>3884</v>
      </c>
    </row>
    <row r="1683" spans="1:28">
      <c r="A1683" s="3" t="s">
        <v>853</v>
      </c>
      <c r="D1683" s="3" t="s">
        <v>5500</v>
      </c>
      <c r="E1683" s="3" t="s">
        <v>5501</v>
      </c>
      <c r="J1683" s="9" t="s">
        <v>8731</v>
      </c>
      <c r="T1683" s="9" t="str">
        <f t="shared" ca="1" si="64"/>
        <v/>
      </c>
      <c r="U1683" s="9" t="str">
        <f t="shared" ca="1" si="65"/>
        <v/>
      </c>
    </row>
    <row r="1684" spans="1:28">
      <c r="A1684" s="3" t="s">
        <v>853</v>
      </c>
      <c r="D1684" s="3" t="s">
        <v>3100</v>
      </c>
      <c r="E1684" s="3" t="s">
        <v>3101</v>
      </c>
      <c r="J1684" s="9" t="s">
        <v>8731</v>
      </c>
      <c r="T1684" s="9" t="str">
        <f t="shared" ca="1" si="64"/>
        <v/>
      </c>
      <c r="U1684" s="9" t="str">
        <f t="shared" ca="1" si="65"/>
        <v/>
      </c>
      <c r="AB1684" s="9" t="s">
        <v>8697</v>
      </c>
    </row>
    <row r="1685" spans="1:28">
      <c r="A1685" s="3" t="s">
        <v>854</v>
      </c>
      <c r="D1685" s="3" t="s">
        <v>5502</v>
      </c>
      <c r="E1685" s="3" t="s">
        <v>5503</v>
      </c>
      <c r="I1685" t="s">
        <v>9044</v>
      </c>
      <c r="J1685" s="9" t="s">
        <v>8729</v>
      </c>
      <c r="S1685" s="9">
        <f>231-1</f>
        <v>230</v>
      </c>
      <c r="T1685" s="9">
        <f t="shared" ca="1" si="64"/>
        <v>1</v>
      </c>
      <c r="U1685" s="9">
        <f t="shared" ca="1" si="65"/>
        <v>231</v>
      </c>
    </row>
    <row r="1686" spans="1:28" ht="29">
      <c r="A1686" s="3" t="s">
        <v>854</v>
      </c>
      <c r="D1686" s="3" t="s">
        <v>5504</v>
      </c>
      <c r="E1686" s="3" t="s">
        <v>5506</v>
      </c>
      <c r="J1686" s="9" t="s">
        <v>8729</v>
      </c>
      <c r="S1686" s="9" t="s">
        <v>8739</v>
      </c>
      <c r="T1686" s="9" t="str">
        <f t="shared" ca="1" si="64"/>
        <v/>
      </c>
      <c r="U1686" s="9" t="str">
        <f t="shared" ca="1" si="65"/>
        <v/>
      </c>
      <c r="Y1686" s="9" t="s">
        <v>8735</v>
      </c>
      <c r="Z1686" s="9" t="s">
        <v>8742</v>
      </c>
      <c r="AA1686" s="9" t="s">
        <v>3884</v>
      </c>
    </row>
    <row r="1687" spans="1:28" ht="29">
      <c r="A1687" s="3" t="s">
        <v>854</v>
      </c>
      <c r="D1687" s="3" t="s">
        <v>9045</v>
      </c>
      <c r="E1687" s="3" t="s">
        <v>9046</v>
      </c>
      <c r="J1687" s="9" t="s">
        <v>3885</v>
      </c>
      <c r="K1687" s="9">
        <v>1</v>
      </c>
      <c r="L1687" s="9">
        <v>3</v>
      </c>
      <c r="M1687" s="9" t="s">
        <v>8698</v>
      </c>
      <c r="N1687" s="9" t="s">
        <v>8690</v>
      </c>
      <c r="R1687" s="9">
        <v>9418</v>
      </c>
      <c r="T1687" s="9" t="str">
        <f t="shared" ca="1" si="64"/>
        <v/>
      </c>
      <c r="U1687" s="9" t="str">
        <f t="shared" ca="1" si="65"/>
        <v/>
      </c>
    </row>
    <row r="1688" spans="1:28" ht="29">
      <c r="A1688" s="3" t="s">
        <v>854</v>
      </c>
      <c r="D1688" s="3" t="s">
        <v>5505</v>
      </c>
      <c r="E1688" s="3" t="s">
        <v>9047</v>
      </c>
      <c r="H1688" t="s">
        <v>3884</v>
      </c>
      <c r="J1688" s="9" t="s">
        <v>8729</v>
      </c>
      <c r="S1688" s="9" t="s">
        <v>8730</v>
      </c>
      <c r="T1688" s="9" t="str">
        <f t="shared" ca="1" si="64"/>
        <v/>
      </c>
      <c r="U1688" s="9" t="str">
        <f t="shared" ca="1" si="65"/>
        <v/>
      </c>
      <c r="AB1688" s="9" t="s">
        <v>8688</v>
      </c>
    </row>
    <row r="1689" spans="1:28" ht="29">
      <c r="A1689" s="3" t="s">
        <v>854</v>
      </c>
      <c r="D1689" s="3" t="s">
        <v>5507</v>
      </c>
      <c r="E1689" s="3" t="s">
        <v>5508</v>
      </c>
      <c r="F1689" t="s">
        <v>3932</v>
      </c>
      <c r="I1689" t="s">
        <v>5509</v>
      </c>
      <c r="T1689" s="9" t="str">
        <f t="shared" ca="1" si="64"/>
        <v/>
      </c>
      <c r="U1689" s="9" t="str">
        <f t="shared" ca="1" si="65"/>
        <v/>
      </c>
    </row>
    <row r="1690" spans="1:28">
      <c r="A1690" s="3" t="s">
        <v>855</v>
      </c>
      <c r="D1690" s="3" t="s">
        <v>4004</v>
      </c>
      <c r="E1690" s="3" t="s">
        <v>5510</v>
      </c>
      <c r="J1690" s="9" t="s">
        <v>8729</v>
      </c>
      <c r="S1690" s="9">
        <f>872-1942</f>
        <v>-1070</v>
      </c>
      <c r="T1690" s="9">
        <f t="shared" ca="1" si="64"/>
        <v>1942</v>
      </c>
      <c r="U1690" s="9">
        <f t="shared" ca="1" si="65"/>
        <v>872</v>
      </c>
    </row>
    <row r="1691" spans="1:28">
      <c r="A1691" s="3" t="s">
        <v>855</v>
      </c>
      <c r="D1691" s="3" t="s">
        <v>5511</v>
      </c>
      <c r="E1691" s="4" t="s">
        <v>5512</v>
      </c>
      <c r="F1691" t="s">
        <v>3897</v>
      </c>
      <c r="T1691" s="9" t="str">
        <f t="shared" ca="1" si="64"/>
        <v/>
      </c>
      <c r="U1691" s="9" t="str">
        <f t="shared" ca="1" si="65"/>
        <v/>
      </c>
    </row>
    <row r="1692" spans="1:28">
      <c r="A1692" s="3" t="s">
        <v>855</v>
      </c>
      <c r="D1692" s="3" t="s">
        <v>5513</v>
      </c>
      <c r="E1692" s="3" t="s">
        <v>5514</v>
      </c>
      <c r="H1692" t="s">
        <v>3888</v>
      </c>
      <c r="I1692" t="s">
        <v>5515</v>
      </c>
      <c r="J1692" s="9" t="s">
        <v>3885</v>
      </c>
      <c r="K1692" s="9">
        <v>2</v>
      </c>
      <c r="L1692" s="9">
        <v>2</v>
      </c>
      <c r="N1692" s="9" t="s">
        <v>8730</v>
      </c>
      <c r="R1692" s="9">
        <v>6</v>
      </c>
      <c r="T1692" s="9" t="str">
        <f t="shared" ca="1" si="64"/>
        <v/>
      </c>
      <c r="U1692" s="9" t="str">
        <f t="shared" ca="1" si="65"/>
        <v/>
      </c>
      <c r="AB1692" s="9" t="s">
        <v>8694</v>
      </c>
    </row>
    <row r="1693" spans="1:28" ht="29">
      <c r="A1693" s="3" t="s">
        <v>855</v>
      </c>
      <c r="D1693" s="3" t="s">
        <v>5516</v>
      </c>
      <c r="E1693" s="3" t="s">
        <v>5517</v>
      </c>
      <c r="H1693" t="s">
        <v>3884</v>
      </c>
      <c r="J1693" s="9" t="s">
        <v>8729</v>
      </c>
      <c r="S1693" s="9" t="s">
        <v>8730</v>
      </c>
      <c r="T1693" s="9" t="str">
        <f t="shared" ca="1" si="64"/>
        <v/>
      </c>
      <c r="U1693" s="9" t="str">
        <f t="shared" ca="1" si="65"/>
        <v/>
      </c>
      <c r="AB1693" s="9" t="s">
        <v>8688</v>
      </c>
    </row>
    <row r="1694" spans="1:28">
      <c r="A1694" s="3" t="s">
        <v>855</v>
      </c>
      <c r="D1694" s="3" t="s">
        <v>5518</v>
      </c>
      <c r="E1694" s="3" t="s">
        <v>5518</v>
      </c>
      <c r="F1694" t="s">
        <v>3932</v>
      </c>
      <c r="I1694" t="s">
        <v>5519</v>
      </c>
      <c r="T1694" s="9" t="str">
        <f t="shared" ca="1" si="64"/>
        <v/>
      </c>
      <c r="U1694" s="9" t="str">
        <f t="shared" ca="1" si="65"/>
        <v/>
      </c>
    </row>
    <row r="1695" spans="1:28">
      <c r="A1695" s="3" t="s">
        <v>856</v>
      </c>
      <c r="D1695" s="3" t="s">
        <v>5520</v>
      </c>
      <c r="E1695" s="3" t="s">
        <v>5521</v>
      </c>
      <c r="J1695" s="9" t="s">
        <v>3889</v>
      </c>
      <c r="K1695" s="9">
        <v>1</v>
      </c>
      <c r="L1695" s="9">
        <v>2</v>
      </c>
      <c r="M1695" s="9" t="s">
        <v>8689</v>
      </c>
      <c r="N1695" s="9" t="s">
        <v>8730</v>
      </c>
      <c r="Q1695" s="9" t="s">
        <v>8685</v>
      </c>
      <c r="R1695" s="9">
        <v>10929</v>
      </c>
      <c r="T1695" s="9" t="str">
        <f t="shared" ca="1" si="64"/>
        <v/>
      </c>
      <c r="U1695" s="9" t="str">
        <f t="shared" ca="1" si="65"/>
        <v/>
      </c>
    </row>
    <row r="1696" spans="1:28" ht="29">
      <c r="A1696" s="3" t="s">
        <v>857</v>
      </c>
      <c r="D1696" s="4" t="s">
        <v>5522</v>
      </c>
      <c r="E1696" s="3" t="s">
        <v>5523</v>
      </c>
      <c r="F1696" t="s">
        <v>4196</v>
      </c>
      <c r="I1696" t="s">
        <v>9488</v>
      </c>
      <c r="T1696" s="9" t="str">
        <f t="shared" ca="1" si="64"/>
        <v/>
      </c>
      <c r="U1696" s="9" t="str">
        <f t="shared" ca="1" si="65"/>
        <v/>
      </c>
      <c r="AB1696" s="9" t="s">
        <v>8697</v>
      </c>
    </row>
    <row r="1697" spans="1:28">
      <c r="A1697" s="3" t="s">
        <v>858</v>
      </c>
      <c r="D1697" s="4" t="s">
        <v>5524</v>
      </c>
      <c r="E1697" s="3" t="s">
        <v>5525</v>
      </c>
      <c r="F1697" t="s">
        <v>3883</v>
      </c>
      <c r="T1697" s="9" t="str">
        <f t="shared" ca="1" si="64"/>
        <v/>
      </c>
      <c r="U1697" s="9" t="str">
        <f t="shared" ca="1" si="65"/>
        <v/>
      </c>
    </row>
    <row r="1698" spans="1:28">
      <c r="A1698" s="3" t="s">
        <v>859</v>
      </c>
      <c r="D1698" s="3" t="s">
        <v>2763</v>
      </c>
      <c r="E1698" s="3" t="s">
        <v>3102</v>
      </c>
      <c r="J1698" s="9" t="s">
        <v>8731</v>
      </c>
      <c r="T1698" s="9" t="str">
        <f t="shared" ca="1" si="64"/>
        <v/>
      </c>
      <c r="U1698" s="9" t="str">
        <f t="shared" ca="1" si="65"/>
        <v/>
      </c>
      <c r="Y1698" s="9" t="s">
        <v>8693</v>
      </c>
      <c r="Z1698" s="9" t="s">
        <v>8742</v>
      </c>
      <c r="AA1698" s="9" t="s">
        <v>3884</v>
      </c>
    </row>
    <row r="1699" spans="1:28">
      <c r="A1699" s="3" t="s">
        <v>860</v>
      </c>
      <c r="D1699" s="3" t="s">
        <v>5526</v>
      </c>
      <c r="E1699" s="3" t="s">
        <v>5527</v>
      </c>
      <c r="J1699" s="9" t="s">
        <v>8731</v>
      </c>
      <c r="T1699" s="9" t="str">
        <f t="shared" ca="1" si="64"/>
        <v/>
      </c>
      <c r="U1699" s="9" t="str">
        <f t="shared" ca="1" si="65"/>
        <v/>
      </c>
      <c r="Z1699" s="9" t="s">
        <v>8832</v>
      </c>
      <c r="AA1699" s="9" t="s">
        <v>3884</v>
      </c>
      <c r="AB1699" s="9" t="s">
        <v>8694</v>
      </c>
    </row>
    <row r="1700" spans="1:28">
      <c r="A1700" s="3" t="s">
        <v>860</v>
      </c>
      <c r="D1700" s="3" t="s">
        <v>5528</v>
      </c>
      <c r="E1700" s="3" t="s">
        <v>5528</v>
      </c>
      <c r="F1700" t="s">
        <v>3932</v>
      </c>
      <c r="I1700" t="s">
        <v>5529</v>
      </c>
      <c r="T1700" s="9" t="str">
        <f t="shared" ca="1" si="64"/>
        <v/>
      </c>
      <c r="U1700" s="9" t="str">
        <f t="shared" ca="1" si="65"/>
        <v/>
      </c>
    </row>
    <row r="1701" spans="1:28">
      <c r="A1701" s="3" t="s">
        <v>861</v>
      </c>
      <c r="D1701" s="3" t="s">
        <v>5530</v>
      </c>
      <c r="E1701" s="3" t="s">
        <v>5531</v>
      </c>
      <c r="J1701" s="9" t="s">
        <v>3889</v>
      </c>
      <c r="K1701" s="9">
        <v>1</v>
      </c>
      <c r="L1701" s="9">
        <v>1</v>
      </c>
      <c r="M1701" s="9" t="s">
        <v>8689</v>
      </c>
      <c r="N1701" s="9" t="s">
        <v>8730</v>
      </c>
      <c r="R1701" s="9">
        <v>10929</v>
      </c>
      <c r="T1701" s="9" t="str">
        <f t="shared" ca="1" si="64"/>
        <v/>
      </c>
      <c r="U1701" s="9" t="str">
        <f t="shared" ca="1" si="65"/>
        <v/>
      </c>
    </row>
    <row r="1702" spans="1:28" ht="29">
      <c r="A1702" s="3" t="s">
        <v>861</v>
      </c>
      <c r="D1702" s="3" t="s">
        <v>5532</v>
      </c>
      <c r="E1702" s="3" t="s">
        <v>5533</v>
      </c>
      <c r="F1702" t="s">
        <v>3886</v>
      </c>
      <c r="J1702" s="9" t="s">
        <v>8731</v>
      </c>
      <c r="T1702" s="9" t="str">
        <f t="shared" ca="1" si="64"/>
        <v/>
      </c>
      <c r="U1702" s="9" t="str">
        <f t="shared" ca="1" si="65"/>
        <v/>
      </c>
      <c r="Z1702" s="9" t="s">
        <v>8804</v>
      </c>
      <c r="AA1702" s="9" t="s">
        <v>3891</v>
      </c>
    </row>
    <row r="1703" spans="1:28" ht="29">
      <c r="A1703" s="3" t="s">
        <v>861</v>
      </c>
      <c r="D1703" s="3" t="s">
        <v>5534</v>
      </c>
      <c r="E1703" s="3" t="s">
        <v>5535</v>
      </c>
      <c r="J1703" s="9" t="s">
        <v>8731</v>
      </c>
      <c r="T1703" s="9" t="str">
        <f t="shared" ca="1" si="64"/>
        <v/>
      </c>
      <c r="U1703" s="9" t="str">
        <f t="shared" ca="1" si="65"/>
        <v/>
      </c>
    </row>
    <row r="1704" spans="1:28">
      <c r="A1704" s="3" t="s">
        <v>862</v>
      </c>
      <c r="D1704" s="3" t="s">
        <v>5536</v>
      </c>
      <c r="E1704" s="3" t="s">
        <v>9048</v>
      </c>
      <c r="H1704" t="s">
        <v>3884</v>
      </c>
      <c r="J1704" s="9" t="s">
        <v>8729</v>
      </c>
      <c r="S1704" s="9">
        <f>0-6</f>
        <v>-6</v>
      </c>
      <c r="T1704" s="9">
        <f t="shared" ca="1" si="64"/>
        <v>6</v>
      </c>
      <c r="U1704" s="9">
        <f t="shared" ca="1" si="65"/>
        <v>0</v>
      </c>
    </row>
    <row r="1705" spans="1:28">
      <c r="A1705" s="3" t="s">
        <v>862</v>
      </c>
      <c r="D1705" s="4" t="s">
        <v>5537</v>
      </c>
      <c r="E1705" s="3" t="s">
        <v>5538</v>
      </c>
      <c r="F1705" t="s">
        <v>3883</v>
      </c>
      <c r="T1705" s="9" t="str">
        <f t="shared" ca="1" si="64"/>
        <v/>
      </c>
      <c r="U1705" s="9" t="str">
        <f t="shared" ca="1" si="65"/>
        <v/>
      </c>
    </row>
    <row r="1706" spans="1:28">
      <c r="A1706" s="3" t="s">
        <v>863</v>
      </c>
      <c r="D1706" s="3" t="s">
        <v>5540</v>
      </c>
      <c r="E1706" s="3" t="s">
        <v>5541</v>
      </c>
      <c r="J1706" s="9" t="s">
        <v>8729</v>
      </c>
      <c r="S1706" s="9" t="s">
        <v>8739</v>
      </c>
      <c r="T1706" s="9" t="str">
        <f t="shared" ca="1" si="64"/>
        <v/>
      </c>
      <c r="U1706" s="9" t="str">
        <f t="shared" ca="1" si="65"/>
        <v/>
      </c>
      <c r="Y1706" s="9" t="s">
        <v>8735</v>
      </c>
      <c r="Z1706" s="9" t="s">
        <v>8742</v>
      </c>
      <c r="AA1706" s="9" t="s">
        <v>3884</v>
      </c>
    </row>
    <row r="1707" spans="1:28">
      <c r="A1707" s="3" t="s">
        <v>863</v>
      </c>
      <c r="D1707" s="3" t="s">
        <v>5542</v>
      </c>
      <c r="E1707" s="3" t="s">
        <v>5539</v>
      </c>
      <c r="J1707" s="9" t="s">
        <v>3889</v>
      </c>
      <c r="K1707" s="9">
        <v>1</v>
      </c>
      <c r="L1707" s="9">
        <v>3</v>
      </c>
      <c r="M1707" s="9" t="s">
        <v>8689</v>
      </c>
      <c r="N1707" s="9" t="s">
        <v>8690</v>
      </c>
      <c r="R1707" s="9">
        <v>10929</v>
      </c>
      <c r="T1707" s="9" t="str">
        <f t="shared" ca="1" si="64"/>
        <v/>
      </c>
      <c r="U1707" s="9" t="str">
        <f t="shared" ca="1" si="65"/>
        <v/>
      </c>
    </row>
    <row r="1708" spans="1:28">
      <c r="A1708" s="3" t="s">
        <v>863</v>
      </c>
      <c r="D1708" s="3" t="s">
        <v>5543</v>
      </c>
      <c r="E1708" s="3" t="s">
        <v>5544</v>
      </c>
      <c r="J1708" s="9" t="s">
        <v>8729</v>
      </c>
      <c r="S1708" s="9" t="s">
        <v>8739</v>
      </c>
      <c r="T1708" s="9" t="str">
        <f t="shared" ca="1" si="64"/>
        <v/>
      </c>
      <c r="U1708" s="9" t="str">
        <f t="shared" ca="1" si="65"/>
        <v/>
      </c>
      <c r="Y1708" s="9" t="s">
        <v>8735</v>
      </c>
      <c r="Z1708" s="9" t="s">
        <v>8742</v>
      </c>
      <c r="AA1708" s="9" t="s">
        <v>3884</v>
      </c>
    </row>
    <row r="1709" spans="1:28">
      <c r="A1709" s="3" t="s">
        <v>863</v>
      </c>
      <c r="D1709" s="3" t="s">
        <v>3105</v>
      </c>
      <c r="E1709" s="3" t="s">
        <v>3106</v>
      </c>
      <c r="J1709" s="9" t="s">
        <v>8731</v>
      </c>
      <c r="T1709" s="9" t="str">
        <f t="shared" ca="1" si="64"/>
        <v/>
      </c>
      <c r="U1709" s="9" t="str">
        <f t="shared" ca="1" si="65"/>
        <v/>
      </c>
      <c r="Z1709" s="9" t="s">
        <v>9049</v>
      </c>
      <c r="AA1709" s="9" t="s">
        <v>3884</v>
      </c>
      <c r="AB1709" s="9" t="s">
        <v>8697</v>
      </c>
    </row>
    <row r="1710" spans="1:28">
      <c r="A1710" s="3" t="s">
        <v>864</v>
      </c>
      <c r="D1710" s="3" t="s">
        <v>3085</v>
      </c>
      <c r="E1710" s="3" t="s">
        <v>3086</v>
      </c>
      <c r="J1710" s="9" t="s">
        <v>8729</v>
      </c>
      <c r="S1710" s="9" t="s">
        <v>8739</v>
      </c>
      <c r="T1710" s="9" t="str">
        <f t="shared" ca="1" si="64"/>
        <v/>
      </c>
      <c r="U1710" s="9" t="str">
        <f t="shared" ca="1" si="65"/>
        <v/>
      </c>
      <c r="Y1710" s="9" t="s">
        <v>8735</v>
      </c>
      <c r="Z1710" s="9" t="s">
        <v>8742</v>
      </c>
      <c r="AA1710" s="9" t="s">
        <v>3884</v>
      </c>
    </row>
    <row r="1711" spans="1:28" ht="29">
      <c r="A1711" s="3" t="s">
        <v>864</v>
      </c>
      <c r="D1711" s="4" t="s">
        <v>5545</v>
      </c>
      <c r="E1711" s="3" t="s">
        <v>5546</v>
      </c>
      <c r="F1711" t="s">
        <v>3883</v>
      </c>
      <c r="J1711" s="9" t="s">
        <v>3889</v>
      </c>
      <c r="K1711" s="9">
        <v>1</v>
      </c>
      <c r="L1711" s="9">
        <v>2</v>
      </c>
      <c r="M1711" s="9" t="s">
        <v>8698</v>
      </c>
      <c r="N1711" s="9" t="s">
        <v>8730</v>
      </c>
      <c r="R1711" s="9">
        <v>159</v>
      </c>
      <c r="T1711" s="9" t="str">
        <f t="shared" ca="1" si="64"/>
        <v/>
      </c>
      <c r="U1711" s="9" t="str">
        <f t="shared" ca="1" si="65"/>
        <v/>
      </c>
    </row>
    <row r="1712" spans="1:28">
      <c r="A1712" s="3" t="s">
        <v>865</v>
      </c>
      <c r="D1712" s="3" t="s">
        <v>5547</v>
      </c>
      <c r="E1712" s="3" t="s">
        <v>5548</v>
      </c>
      <c r="H1712" t="s">
        <v>3884</v>
      </c>
      <c r="J1712" s="9" t="s">
        <v>3885</v>
      </c>
      <c r="K1712" s="9">
        <v>1</v>
      </c>
      <c r="L1712" s="9">
        <v>1</v>
      </c>
      <c r="M1712" s="9" t="s">
        <v>8683</v>
      </c>
      <c r="N1712" s="9" t="s">
        <v>8730</v>
      </c>
      <c r="R1712" s="9">
        <v>99</v>
      </c>
      <c r="T1712" s="9" t="str">
        <f t="shared" ca="1" si="64"/>
        <v/>
      </c>
      <c r="U1712" s="9" t="str">
        <f t="shared" ca="1" si="65"/>
        <v/>
      </c>
      <c r="AB1712" s="9" t="s">
        <v>8694</v>
      </c>
    </row>
    <row r="1713" spans="1:28">
      <c r="A1713" s="3" t="s">
        <v>866</v>
      </c>
      <c r="D1713" s="3" t="s">
        <v>5549</v>
      </c>
      <c r="E1713" s="3" t="s">
        <v>5550</v>
      </c>
      <c r="J1713" s="9" t="s">
        <v>3889</v>
      </c>
      <c r="K1713" s="9">
        <v>1</v>
      </c>
      <c r="L1713" s="9">
        <v>5</v>
      </c>
      <c r="M1713" s="9" t="s">
        <v>8705</v>
      </c>
      <c r="N1713" s="9" t="s">
        <v>8690</v>
      </c>
      <c r="R1713" s="9">
        <v>3678</v>
      </c>
      <c r="T1713" s="9" t="str">
        <f t="shared" ca="1" si="64"/>
        <v/>
      </c>
      <c r="U1713" s="9" t="str">
        <f t="shared" ca="1" si="65"/>
        <v/>
      </c>
    </row>
    <row r="1714" spans="1:28">
      <c r="A1714" s="3" t="s">
        <v>866</v>
      </c>
      <c r="D1714" s="3" t="s">
        <v>5551</v>
      </c>
      <c r="E1714" s="3" t="s">
        <v>3107</v>
      </c>
      <c r="F1714" t="s">
        <v>3893</v>
      </c>
      <c r="T1714" s="9" t="str">
        <f t="shared" ca="1" si="64"/>
        <v/>
      </c>
      <c r="U1714" s="9" t="str">
        <f t="shared" ca="1" si="65"/>
        <v/>
      </c>
    </row>
    <row r="1715" spans="1:28">
      <c r="A1715" s="3" t="s">
        <v>867</v>
      </c>
      <c r="D1715" s="3" t="s">
        <v>5552</v>
      </c>
      <c r="E1715" s="3" t="s">
        <v>5553</v>
      </c>
      <c r="H1715" t="s">
        <v>3884</v>
      </c>
      <c r="J1715" s="9" t="s">
        <v>8731</v>
      </c>
      <c r="T1715" s="9" t="str">
        <f t="shared" ca="1" si="64"/>
        <v/>
      </c>
      <c r="U1715" s="9" t="str">
        <f t="shared" ca="1" si="65"/>
        <v/>
      </c>
      <c r="Z1715" s="9" t="s">
        <v>8833</v>
      </c>
      <c r="AA1715" s="9" t="s">
        <v>3884</v>
      </c>
    </row>
    <row r="1716" spans="1:28" ht="29">
      <c r="A1716" s="3" t="s">
        <v>868</v>
      </c>
      <c r="D1716" s="4" t="s">
        <v>5554</v>
      </c>
      <c r="E1716" s="3" t="s">
        <v>5555</v>
      </c>
      <c r="F1716" t="s">
        <v>3883</v>
      </c>
      <c r="T1716" s="9" t="str">
        <f t="shared" ca="1" si="64"/>
        <v/>
      </c>
      <c r="U1716" s="9" t="str">
        <f t="shared" ca="1" si="65"/>
        <v/>
      </c>
    </row>
    <row r="1717" spans="1:28">
      <c r="A1717" s="3" t="s">
        <v>868</v>
      </c>
      <c r="D1717" s="3" t="s">
        <v>5556</v>
      </c>
      <c r="E1717" s="3" t="s">
        <v>2347</v>
      </c>
      <c r="H1717" t="s">
        <v>3884</v>
      </c>
      <c r="J1717" s="9" t="s">
        <v>8731</v>
      </c>
      <c r="T1717" s="9" t="str">
        <f t="shared" ca="1" si="64"/>
        <v/>
      </c>
      <c r="U1717" s="9" t="str">
        <f t="shared" ca="1" si="65"/>
        <v/>
      </c>
    </row>
    <row r="1718" spans="1:28">
      <c r="A1718" s="3" t="s">
        <v>868</v>
      </c>
      <c r="D1718" s="3" t="s">
        <v>3948</v>
      </c>
      <c r="E1718" s="3" t="s">
        <v>3947</v>
      </c>
      <c r="J1718" s="9" t="s">
        <v>8731</v>
      </c>
      <c r="T1718" s="9" t="str">
        <f t="shared" ca="1" si="64"/>
        <v/>
      </c>
      <c r="U1718" s="9" t="str">
        <f t="shared" ca="1" si="65"/>
        <v/>
      </c>
      <c r="Z1718" s="9" t="s">
        <v>9285</v>
      </c>
      <c r="AA1718" s="9" t="s">
        <v>3884</v>
      </c>
    </row>
    <row r="1719" spans="1:28">
      <c r="A1719" s="3" t="s">
        <v>869</v>
      </c>
      <c r="D1719" s="3" t="s">
        <v>5557</v>
      </c>
      <c r="E1719" s="3" t="s">
        <v>5557</v>
      </c>
      <c r="F1719" t="s">
        <v>3932</v>
      </c>
      <c r="I1719" t="s">
        <v>5558</v>
      </c>
      <c r="T1719" s="9" t="str">
        <f t="shared" ca="1" si="64"/>
        <v/>
      </c>
      <c r="U1719" s="9" t="str">
        <f t="shared" ca="1" si="65"/>
        <v/>
      </c>
    </row>
    <row r="1720" spans="1:28">
      <c r="A1720" s="3" t="s">
        <v>869</v>
      </c>
      <c r="D1720" s="3" t="s">
        <v>5559</v>
      </c>
      <c r="E1720" s="3" t="s">
        <v>5559</v>
      </c>
      <c r="F1720" t="s">
        <v>3932</v>
      </c>
      <c r="I1720" t="s">
        <v>5560</v>
      </c>
      <c r="T1720" s="9" t="str">
        <f t="shared" ca="1" si="64"/>
        <v/>
      </c>
      <c r="U1720" s="9" t="str">
        <f t="shared" ca="1" si="65"/>
        <v/>
      </c>
    </row>
    <row r="1721" spans="1:28">
      <c r="A1721" s="3" t="s">
        <v>870</v>
      </c>
      <c r="D1721" s="3" t="s">
        <v>2203</v>
      </c>
      <c r="E1721" s="3" t="s">
        <v>2204</v>
      </c>
      <c r="J1721" s="9" t="s">
        <v>8731</v>
      </c>
      <c r="T1721" s="9" t="str">
        <f t="shared" ca="1" si="64"/>
        <v/>
      </c>
      <c r="U1721" s="9" t="str">
        <f t="shared" ca="1" si="65"/>
        <v/>
      </c>
      <c r="Z1721" s="9" t="s">
        <v>9279</v>
      </c>
      <c r="AA1721" s="9" t="s">
        <v>3884</v>
      </c>
    </row>
    <row r="1722" spans="1:28">
      <c r="A1722" s="3" t="s">
        <v>871</v>
      </c>
      <c r="D1722" s="3" t="s">
        <v>3085</v>
      </c>
      <c r="E1722" s="3" t="s">
        <v>3086</v>
      </c>
      <c r="J1722" s="9" t="s">
        <v>8729</v>
      </c>
      <c r="S1722" s="9" t="s">
        <v>8739</v>
      </c>
      <c r="T1722" s="9" t="str">
        <f t="shared" ca="1" si="64"/>
        <v/>
      </c>
      <c r="U1722" s="9" t="str">
        <f t="shared" ca="1" si="65"/>
        <v/>
      </c>
      <c r="Y1722" s="9" t="s">
        <v>8735</v>
      </c>
      <c r="Z1722" s="9" t="s">
        <v>8742</v>
      </c>
      <c r="AA1722" s="9" t="s">
        <v>3884</v>
      </c>
    </row>
    <row r="1723" spans="1:28">
      <c r="A1723" s="3" t="s">
        <v>871</v>
      </c>
      <c r="D1723" s="3" t="s">
        <v>3104</v>
      </c>
      <c r="E1723" s="3" t="s">
        <v>3103</v>
      </c>
      <c r="J1723" s="9" t="s">
        <v>8729</v>
      </c>
      <c r="S1723" s="9" t="s">
        <v>8739</v>
      </c>
      <c r="T1723" s="9" t="str">
        <f t="shared" ca="1" si="64"/>
        <v/>
      </c>
      <c r="U1723" s="9" t="str">
        <f t="shared" ca="1" si="65"/>
        <v/>
      </c>
      <c r="Y1723" s="9" t="s">
        <v>8735</v>
      </c>
      <c r="Z1723" s="9" t="s">
        <v>8742</v>
      </c>
      <c r="AA1723" s="9" t="s">
        <v>3884</v>
      </c>
    </row>
    <row r="1724" spans="1:28" ht="29">
      <c r="A1724" s="3" t="s">
        <v>871</v>
      </c>
      <c r="D1724" s="3" t="s">
        <v>5561</v>
      </c>
      <c r="E1724" s="3" t="s">
        <v>5562</v>
      </c>
      <c r="J1724" s="9" t="s">
        <v>3885</v>
      </c>
      <c r="K1724" s="9">
        <v>1</v>
      </c>
      <c r="L1724" s="9">
        <v>3</v>
      </c>
      <c r="M1724" s="9" t="s">
        <v>8689</v>
      </c>
      <c r="N1724" s="9" t="s">
        <v>8690</v>
      </c>
      <c r="R1724" s="9">
        <v>10929</v>
      </c>
      <c r="T1724" s="9" t="str">
        <f t="shared" ca="1" si="64"/>
        <v/>
      </c>
      <c r="U1724" s="9" t="str">
        <f t="shared" ca="1" si="65"/>
        <v/>
      </c>
    </row>
    <row r="1725" spans="1:28" ht="29">
      <c r="A1725" s="3" t="s">
        <v>871</v>
      </c>
      <c r="D1725" s="3" t="s">
        <v>5563</v>
      </c>
      <c r="E1725" s="3" t="s">
        <v>5564</v>
      </c>
      <c r="J1725" s="9" t="s">
        <v>3889</v>
      </c>
      <c r="K1725" s="9">
        <v>1</v>
      </c>
      <c r="L1725" s="9">
        <v>2</v>
      </c>
      <c r="M1725" s="9" t="s">
        <v>8703</v>
      </c>
      <c r="N1725" s="9" t="s">
        <v>8730</v>
      </c>
      <c r="R1725" s="9">
        <v>1225</v>
      </c>
      <c r="T1725" s="9" t="str">
        <f t="shared" ca="1" si="64"/>
        <v/>
      </c>
      <c r="U1725" s="9" t="str">
        <f t="shared" ca="1" si="65"/>
        <v/>
      </c>
    </row>
    <row r="1726" spans="1:28" ht="29">
      <c r="A1726" s="3" t="s">
        <v>872</v>
      </c>
      <c r="D1726" s="3" t="s">
        <v>5565</v>
      </c>
      <c r="E1726" s="3" t="s">
        <v>5566</v>
      </c>
      <c r="H1726" t="s">
        <v>3884</v>
      </c>
      <c r="J1726" s="9" t="s">
        <v>3885</v>
      </c>
      <c r="K1726" s="9">
        <v>1</v>
      </c>
      <c r="L1726" s="9">
        <v>3</v>
      </c>
      <c r="M1726" s="9" t="s">
        <v>8698</v>
      </c>
      <c r="N1726" s="9" t="s">
        <v>8690</v>
      </c>
      <c r="R1726" s="9">
        <v>9418</v>
      </c>
      <c r="T1726" s="9" t="str">
        <f t="shared" ca="1" si="64"/>
        <v/>
      </c>
      <c r="U1726" s="9" t="str">
        <f t="shared" ca="1" si="65"/>
        <v/>
      </c>
    </row>
    <row r="1727" spans="1:28" ht="29">
      <c r="A1727" s="3" t="s">
        <v>873</v>
      </c>
      <c r="D1727" s="3" t="s">
        <v>5567</v>
      </c>
      <c r="E1727" s="3" t="s">
        <v>5568</v>
      </c>
      <c r="F1727" t="s">
        <v>3886</v>
      </c>
      <c r="H1727" t="s">
        <v>3888</v>
      </c>
      <c r="I1727" t="s">
        <v>5569</v>
      </c>
      <c r="J1727" s="9" t="s">
        <v>8729</v>
      </c>
      <c r="S1727" s="9">
        <f>1-77</f>
        <v>-76</v>
      </c>
      <c r="T1727" s="9">
        <f t="shared" ca="1" si="64"/>
        <v>77</v>
      </c>
      <c r="U1727" s="9">
        <f t="shared" ca="1" si="65"/>
        <v>1</v>
      </c>
      <c r="AB1727" s="9" t="s">
        <v>8700</v>
      </c>
    </row>
    <row r="1728" spans="1:28">
      <c r="A1728" s="3" t="s">
        <v>874</v>
      </c>
      <c r="D1728" s="3" t="s">
        <v>3108</v>
      </c>
      <c r="E1728" s="3" t="s">
        <v>3109</v>
      </c>
      <c r="J1728" s="9" t="s">
        <v>8731</v>
      </c>
      <c r="T1728" s="9" t="str">
        <f t="shared" ca="1" si="64"/>
        <v/>
      </c>
      <c r="U1728" s="9" t="str">
        <f t="shared" ca="1" si="65"/>
        <v/>
      </c>
      <c r="Z1728" s="9" t="s">
        <v>8742</v>
      </c>
      <c r="AA1728" s="9" t="s">
        <v>3884</v>
      </c>
    </row>
    <row r="1729" spans="1:28">
      <c r="A1729" s="3" t="s">
        <v>874</v>
      </c>
      <c r="D1729" s="3" t="s">
        <v>2996</v>
      </c>
      <c r="E1729" s="3" t="s">
        <v>2395</v>
      </c>
      <c r="J1729" s="9" t="s">
        <v>8729</v>
      </c>
      <c r="S1729" s="9">
        <f>90-38</f>
        <v>52</v>
      </c>
      <c r="T1729" s="9">
        <f t="shared" ca="1" si="64"/>
        <v>38</v>
      </c>
      <c r="U1729" s="9">
        <f t="shared" ca="1" si="65"/>
        <v>90</v>
      </c>
    </row>
    <row r="1730" spans="1:28" ht="29">
      <c r="A1730" s="3" t="s">
        <v>874</v>
      </c>
      <c r="D1730" s="4" t="s">
        <v>5570</v>
      </c>
      <c r="E1730" s="3" t="s">
        <v>5571</v>
      </c>
      <c r="F1730" t="s">
        <v>3883</v>
      </c>
      <c r="T1730" s="9" t="str">
        <f t="shared" ca="1" si="64"/>
        <v/>
      </c>
      <c r="U1730" s="9" t="str">
        <f t="shared" ca="1" si="65"/>
        <v/>
      </c>
    </row>
    <row r="1731" spans="1:28" ht="29">
      <c r="A1731" s="3" t="s">
        <v>874</v>
      </c>
      <c r="D1731" s="3" t="s">
        <v>5572</v>
      </c>
      <c r="E1731" s="3" t="s">
        <v>5573</v>
      </c>
      <c r="H1731" t="s">
        <v>3884</v>
      </c>
      <c r="J1731" s="9" t="s">
        <v>8729</v>
      </c>
      <c r="S1731" s="9" t="s">
        <v>8739</v>
      </c>
      <c r="T1731" s="9" t="str">
        <f t="shared" ca="1" si="64"/>
        <v/>
      </c>
      <c r="U1731" s="9" t="str">
        <f t="shared" ca="1" si="65"/>
        <v/>
      </c>
      <c r="AB1731" s="9" t="s">
        <v>8688</v>
      </c>
    </row>
    <row r="1732" spans="1:28">
      <c r="A1732" s="3" t="s">
        <v>875</v>
      </c>
      <c r="D1732" s="3" t="s">
        <v>3110</v>
      </c>
      <c r="E1732" s="3" t="s">
        <v>3111</v>
      </c>
      <c r="J1732" s="9" t="s">
        <v>8729</v>
      </c>
      <c r="S1732" s="9" t="s">
        <v>8739</v>
      </c>
      <c r="T1732" s="9" t="str">
        <f t="shared" ref="T1732:T1795" ca="1" si="66">IF(ISNUMBER(S1732),VALUE(MID(_xlfn.FORMULATEXT(S1732),SEARCH("-",_xlfn.FORMULATEXT(S1732))+1,LEN(_xlfn.FORMULATEXT(S1732))-SEARCH("-",_xlfn.FORMULATEXT(S1732)))), "")</f>
        <v/>
      </c>
      <c r="U1732" s="9" t="str">
        <f t="shared" ref="U1732:U1795" ca="1" si="67">IF(ISNUMBER(S1732), VALUE(MID(_xlfn.FORMULATEXT(S1732), 2, SEARCH("-", _xlfn.FORMULATEXT(S1732)) - 2)), "")</f>
        <v/>
      </c>
      <c r="Y1732" s="9" t="s">
        <v>8735</v>
      </c>
      <c r="AA1732" s="9" t="s">
        <v>3884</v>
      </c>
    </row>
    <row r="1733" spans="1:28">
      <c r="A1733" s="3" t="s">
        <v>876</v>
      </c>
      <c r="D1733" s="3" t="s">
        <v>5574</v>
      </c>
      <c r="E1733" s="3" t="s">
        <v>5574</v>
      </c>
      <c r="F1733" t="s">
        <v>3932</v>
      </c>
      <c r="I1733" t="s">
        <v>5575</v>
      </c>
      <c r="T1733" s="9" t="str">
        <f t="shared" ca="1" si="66"/>
        <v/>
      </c>
      <c r="U1733" s="9" t="str">
        <f t="shared" ca="1" si="67"/>
        <v/>
      </c>
    </row>
    <row r="1734" spans="1:28">
      <c r="A1734" s="3" t="s">
        <v>876</v>
      </c>
      <c r="D1734" s="3" t="s">
        <v>2616</v>
      </c>
      <c r="E1734" s="3" t="s">
        <v>3112</v>
      </c>
      <c r="J1734" s="9" t="s">
        <v>8731</v>
      </c>
      <c r="T1734" s="9" t="str">
        <f t="shared" ca="1" si="66"/>
        <v/>
      </c>
      <c r="U1734" s="9" t="str">
        <f t="shared" ca="1" si="67"/>
        <v/>
      </c>
      <c r="AB1734" s="9" t="s">
        <v>8700</v>
      </c>
    </row>
    <row r="1735" spans="1:28">
      <c r="A1735" s="3" t="s">
        <v>877</v>
      </c>
      <c r="D1735" s="3" t="s">
        <v>5576</v>
      </c>
      <c r="E1735" s="3" t="s">
        <v>5577</v>
      </c>
      <c r="J1735" s="9" t="s">
        <v>3885</v>
      </c>
      <c r="K1735" s="9">
        <v>1</v>
      </c>
      <c r="L1735" s="9">
        <v>1</v>
      </c>
      <c r="M1735" s="9" t="s">
        <v>8689</v>
      </c>
      <c r="N1735" s="9" t="s">
        <v>8730</v>
      </c>
      <c r="R1735" s="9">
        <v>10929</v>
      </c>
      <c r="T1735" s="9" t="str">
        <f t="shared" ca="1" si="66"/>
        <v/>
      </c>
      <c r="U1735" s="9" t="str">
        <f t="shared" ca="1" si="67"/>
        <v/>
      </c>
    </row>
    <row r="1736" spans="1:28">
      <c r="A1736" s="3" t="s">
        <v>878</v>
      </c>
      <c r="D1736" s="3" t="s">
        <v>3113</v>
      </c>
      <c r="E1736" s="3" t="s">
        <v>3070</v>
      </c>
      <c r="J1736" s="9" t="s">
        <v>8729</v>
      </c>
      <c r="S1736" s="9" t="s">
        <v>8739</v>
      </c>
      <c r="T1736" s="9" t="str">
        <f t="shared" ca="1" si="66"/>
        <v/>
      </c>
      <c r="U1736" s="9" t="str">
        <f t="shared" ca="1" si="67"/>
        <v/>
      </c>
      <c r="Y1736" s="9" t="s">
        <v>8735</v>
      </c>
      <c r="Z1736" s="9" t="s">
        <v>8742</v>
      </c>
      <c r="AA1736" s="9" t="s">
        <v>3884</v>
      </c>
    </row>
    <row r="1737" spans="1:28">
      <c r="A1737" s="3" t="s">
        <v>878</v>
      </c>
      <c r="D1737" s="3" t="s">
        <v>5578</v>
      </c>
      <c r="E1737" s="3" t="s">
        <v>5579</v>
      </c>
      <c r="J1737" s="9" t="s">
        <v>8729</v>
      </c>
      <c r="S1737" s="9">
        <f>3678-79</f>
        <v>3599</v>
      </c>
      <c r="T1737" s="9">
        <f t="shared" ca="1" si="66"/>
        <v>79</v>
      </c>
      <c r="U1737" s="9">
        <f t="shared" ca="1" si="67"/>
        <v>3678</v>
      </c>
    </row>
    <row r="1738" spans="1:28">
      <c r="A1738" s="3" t="s">
        <v>879</v>
      </c>
      <c r="D1738" s="3" t="s">
        <v>5580</v>
      </c>
      <c r="E1738" s="3" t="s">
        <v>5581</v>
      </c>
      <c r="J1738" s="9" t="s">
        <v>3889</v>
      </c>
      <c r="K1738" s="9">
        <v>1</v>
      </c>
      <c r="L1738" s="9">
        <v>5</v>
      </c>
      <c r="M1738" s="9" t="s">
        <v>8705</v>
      </c>
      <c r="N1738" s="9" t="s">
        <v>8690</v>
      </c>
      <c r="R1738" s="9">
        <v>3678</v>
      </c>
      <c r="T1738" s="9" t="str">
        <f t="shared" ca="1" si="66"/>
        <v/>
      </c>
      <c r="U1738" s="9" t="str">
        <f t="shared" ca="1" si="67"/>
        <v/>
      </c>
    </row>
    <row r="1739" spans="1:28">
      <c r="A1739" s="3" t="s">
        <v>880</v>
      </c>
      <c r="D1739" s="3" t="s">
        <v>3114</v>
      </c>
      <c r="E1739" s="4" t="s">
        <v>3115</v>
      </c>
      <c r="F1739" t="s">
        <v>4197</v>
      </c>
      <c r="I1739" t="s">
        <v>9622</v>
      </c>
      <c r="J1739" s="9" t="s">
        <v>8729</v>
      </c>
      <c r="S1739" s="9" t="s">
        <v>8739</v>
      </c>
      <c r="T1739" s="9" t="str">
        <f t="shared" ca="1" si="66"/>
        <v/>
      </c>
      <c r="U1739" s="9" t="str">
        <f t="shared" ca="1" si="67"/>
        <v/>
      </c>
      <c r="Y1739" s="9" t="s">
        <v>8735</v>
      </c>
      <c r="Z1739" s="9" t="s">
        <v>8742</v>
      </c>
      <c r="AA1739" s="9" t="s">
        <v>3884</v>
      </c>
    </row>
    <row r="1740" spans="1:28">
      <c r="A1740" s="3" t="s">
        <v>881</v>
      </c>
      <c r="D1740" s="3" t="s">
        <v>3116</v>
      </c>
      <c r="E1740" s="3" t="s">
        <v>3117</v>
      </c>
      <c r="J1740" s="9" t="s">
        <v>8729</v>
      </c>
      <c r="S1740" s="9" t="s">
        <v>8739</v>
      </c>
      <c r="T1740" s="9" t="str">
        <f t="shared" ca="1" si="66"/>
        <v/>
      </c>
      <c r="U1740" s="9" t="str">
        <f t="shared" ca="1" si="67"/>
        <v/>
      </c>
      <c r="Y1740" s="9" t="s">
        <v>8735</v>
      </c>
      <c r="AA1740" s="9" t="s">
        <v>3884</v>
      </c>
    </row>
    <row r="1741" spans="1:28">
      <c r="A1741" s="3" t="s">
        <v>881</v>
      </c>
      <c r="D1741" s="3" t="s">
        <v>3118</v>
      </c>
      <c r="E1741" s="3" t="s">
        <v>3119</v>
      </c>
      <c r="J1741" s="9" t="s">
        <v>8729</v>
      </c>
      <c r="S1741" s="9" t="s">
        <v>8739</v>
      </c>
      <c r="T1741" s="9" t="str">
        <f t="shared" ca="1" si="66"/>
        <v/>
      </c>
      <c r="U1741" s="9" t="str">
        <f t="shared" ca="1" si="67"/>
        <v/>
      </c>
      <c r="Y1741" s="9" t="s">
        <v>8735</v>
      </c>
      <c r="Z1741" s="9" t="s">
        <v>8742</v>
      </c>
      <c r="AA1741" s="9" t="s">
        <v>3884</v>
      </c>
    </row>
    <row r="1742" spans="1:28">
      <c r="A1742" s="3" t="s">
        <v>881</v>
      </c>
      <c r="D1742" s="3" t="s">
        <v>3120</v>
      </c>
      <c r="E1742" s="4" t="s">
        <v>3121</v>
      </c>
      <c r="F1742" t="s">
        <v>3897</v>
      </c>
      <c r="T1742" s="9" t="str">
        <f t="shared" ca="1" si="66"/>
        <v/>
      </c>
      <c r="U1742" s="9" t="str">
        <f t="shared" ca="1" si="67"/>
        <v/>
      </c>
    </row>
    <row r="1743" spans="1:28">
      <c r="A1743" s="3" t="s">
        <v>882</v>
      </c>
      <c r="D1743" s="3" t="s">
        <v>5582</v>
      </c>
      <c r="E1743" s="3" t="s">
        <v>5583</v>
      </c>
      <c r="J1743" s="9" t="s">
        <v>3889</v>
      </c>
      <c r="K1743" s="9">
        <v>1</v>
      </c>
      <c r="L1743" s="9">
        <v>3</v>
      </c>
      <c r="M1743" s="9" t="s">
        <v>8698</v>
      </c>
      <c r="N1743" s="9" t="s">
        <v>8690</v>
      </c>
      <c r="R1743" s="9">
        <v>9418</v>
      </c>
      <c r="T1743" s="9" t="str">
        <f t="shared" ca="1" si="66"/>
        <v/>
      </c>
      <c r="U1743" s="9" t="str">
        <f t="shared" ca="1" si="67"/>
        <v/>
      </c>
    </row>
    <row r="1744" spans="1:28">
      <c r="A1744" s="3" t="s">
        <v>882</v>
      </c>
      <c r="D1744" s="3" t="s">
        <v>5584</v>
      </c>
      <c r="E1744" s="3" t="s">
        <v>5585</v>
      </c>
      <c r="J1744" s="9" t="s">
        <v>8729</v>
      </c>
      <c r="S1744" s="9">
        <f>3-46</f>
        <v>-43</v>
      </c>
      <c r="T1744" s="9">
        <f t="shared" ca="1" si="66"/>
        <v>46</v>
      </c>
      <c r="U1744" s="9">
        <f t="shared" ca="1" si="67"/>
        <v>3</v>
      </c>
      <c r="Z1744" s="9" t="s">
        <v>8741</v>
      </c>
      <c r="AA1744" s="9" t="s">
        <v>3884</v>
      </c>
    </row>
    <row r="1745" spans="1:28">
      <c r="A1745" s="3" t="s">
        <v>882</v>
      </c>
      <c r="D1745" s="3" t="s">
        <v>5586</v>
      </c>
      <c r="E1745" s="3" t="s">
        <v>5587</v>
      </c>
      <c r="J1745" s="9" t="s">
        <v>8731</v>
      </c>
      <c r="T1745" s="9" t="str">
        <f t="shared" ca="1" si="66"/>
        <v/>
      </c>
      <c r="U1745" s="9" t="str">
        <f t="shared" ca="1" si="67"/>
        <v/>
      </c>
    </row>
    <row r="1746" spans="1:28">
      <c r="A1746" s="3" t="s">
        <v>882</v>
      </c>
      <c r="D1746" s="3" t="s">
        <v>3122</v>
      </c>
      <c r="E1746" s="3" t="s">
        <v>3123</v>
      </c>
      <c r="J1746" s="9" t="s">
        <v>8729</v>
      </c>
      <c r="S1746" s="9" t="s">
        <v>8739</v>
      </c>
      <c r="T1746" s="9" t="str">
        <f t="shared" ca="1" si="66"/>
        <v/>
      </c>
      <c r="U1746" s="9" t="str">
        <f t="shared" ca="1" si="67"/>
        <v/>
      </c>
      <c r="AB1746" s="9" t="s">
        <v>8697</v>
      </c>
    </row>
    <row r="1747" spans="1:28">
      <c r="A1747" s="3" t="s">
        <v>883</v>
      </c>
      <c r="D1747" s="3" t="s">
        <v>5588</v>
      </c>
      <c r="E1747" s="3" t="s">
        <v>5588</v>
      </c>
      <c r="F1747" t="s">
        <v>3932</v>
      </c>
      <c r="I1747" t="s">
        <v>5589</v>
      </c>
      <c r="T1747" s="9" t="str">
        <f t="shared" ca="1" si="66"/>
        <v/>
      </c>
      <c r="U1747" s="9" t="str">
        <f t="shared" ca="1" si="67"/>
        <v/>
      </c>
    </row>
    <row r="1748" spans="1:28">
      <c r="A1748" s="3" t="s">
        <v>883</v>
      </c>
      <c r="D1748" s="3" t="s">
        <v>3124</v>
      </c>
      <c r="E1748" s="3" t="s">
        <v>2901</v>
      </c>
      <c r="J1748" s="9" t="s">
        <v>8729</v>
      </c>
      <c r="S1748" s="9" t="s">
        <v>8739</v>
      </c>
      <c r="T1748" s="9" t="str">
        <f t="shared" ca="1" si="66"/>
        <v/>
      </c>
      <c r="U1748" s="9" t="str">
        <f t="shared" ca="1" si="67"/>
        <v/>
      </c>
      <c r="Y1748" s="9" t="s">
        <v>8735</v>
      </c>
      <c r="Z1748" s="9" t="s">
        <v>8742</v>
      </c>
      <c r="AA1748" s="9" t="s">
        <v>3884</v>
      </c>
    </row>
    <row r="1749" spans="1:28">
      <c r="A1749" s="3" t="s">
        <v>883</v>
      </c>
      <c r="D1749" s="3" t="s">
        <v>5590</v>
      </c>
      <c r="E1749" s="3" t="s">
        <v>9050</v>
      </c>
      <c r="J1749" s="9" t="s">
        <v>8731</v>
      </c>
      <c r="T1749" s="9" t="str">
        <f t="shared" ca="1" si="66"/>
        <v/>
      </c>
      <c r="U1749" s="9" t="str">
        <f t="shared" ca="1" si="67"/>
        <v/>
      </c>
      <c r="Y1749" s="9" t="s">
        <v>9282</v>
      </c>
      <c r="AA1749" s="9" t="s">
        <v>3884</v>
      </c>
    </row>
    <row r="1750" spans="1:28">
      <c r="A1750" s="3" t="s">
        <v>884</v>
      </c>
      <c r="D1750" s="3" t="s">
        <v>3125</v>
      </c>
      <c r="E1750" s="3" t="s">
        <v>3126</v>
      </c>
      <c r="J1750" s="9" t="s">
        <v>8731</v>
      </c>
      <c r="T1750" s="9" t="str">
        <f t="shared" ca="1" si="66"/>
        <v/>
      </c>
      <c r="U1750" s="9" t="str">
        <f t="shared" ca="1" si="67"/>
        <v/>
      </c>
      <c r="Z1750" s="9" t="s">
        <v>8757</v>
      </c>
      <c r="AA1750" s="9" t="s">
        <v>3884</v>
      </c>
    </row>
    <row r="1751" spans="1:28" ht="29">
      <c r="A1751" s="3" t="s">
        <v>884</v>
      </c>
      <c r="D1751" s="3" t="s">
        <v>5591</v>
      </c>
      <c r="E1751" s="3" t="s">
        <v>5591</v>
      </c>
      <c r="F1751" t="s">
        <v>3932</v>
      </c>
      <c r="I1751" t="s">
        <v>9688</v>
      </c>
      <c r="T1751" s="9" t="str">
        <f t="shared" ca="1" si="66"/>
        <v/>
      </c>
      <c r="U1751" s="9" t="str">
        <f t="shared" ca="1" si="67"/>
        <v/>
      </c>
    </row>
    <row r="1752" spans="1:28">
      <c r="A1752" s="3" t="s">
        <v>885</v>
      </c>
      <c r="D1752" s="4" t="s">
        <v>5592</v>
      </c>
      <c r="E1752" s="3" t="s">
        <v>5593</v>
      </c>
      <c r="F1752" t="s">
        <v>3883</v>
      </c>
      <c r="T1752" s="9" t="str">
        <f t="shared" ca="1" si="66"/>
        <v/>
      </c>
      <c r="U1752" s="9" t="str">
        <f t="shared" ca="1" si="67"/>
        <v/>
      </c>
    </row>
    <row r="1753" spans="1:28">
      <c r="A1753" s="3" t="s">
        <v>886</v>
      </c>
      <c r="D1753" s="3" t="s">
        <v>9051</v>
      </c>
      <c r="E1753" s="3" t="s">
        <v>9052</v>
      </c>
      <c r="J1753" s="9" t="s">
        <v>8731</v>
      </c>
      <c r="T1753" s="9" t="str">
        <f t="shared" ca="1" si="66"/>
        <v/>
      </c>
      <c r="U1753" s="9" t="str">
        <f t="shared" ca="1" si="67"/>
        <v/>
      </c>
      <c r="AB1753" s="9" t="s">
        <v>8694</v>
      </c>
    </row>
    <row r="1754" spans="1:28">
      <c r="A1754" s="3" t="s">
        <v>886</v>
      </c>
      <c r="D1754" s="3" t="s">
        <v>9053</v>
      </c>
      <c r="E1754" s="3" t="s">
        <v>9054</v>
      </c>
      <c r="J1754" s="9" t="s">
        <v>8731</v>
      </c>
      <c r="T1754" s="9" t="str">
        <f t="shared" ca="1" si="66"/>
        <v/>
      </c>
      <c r="U1754" s="9" t="str">
        <f t="shared" ca="1" si="67"/>
        <v/>
      </c>
      <c r="AB1754" s="9" t="s">
        <v>8694</v>
      </c>
    </row>
    <row r="1755" spans="1:28">
      <c r="A1755" s="3" t="s">
        <v>887</v>
      </c>
      <c r="D1755" s="3" t="s">
        <v>2420</v>
      </c>
      <c r="E1755" s="3" t="s">
        <v>2421</v>
      </c>
      <c r="J1755" s="9" t="s">
        <v>8731</v>
      </c>
      <c r="T1755" s="9" t="str">
        <f t="shared" ca="1" si="66"/>
        <v/>
      </c>
      <c r="U1755" s="9" t="str">
        <f t="shared" ca="1" si="67"/>
        <v/>
      </c>
      <c r="Z1755" s="9" t="s">
        <v>8741</v>
      </c>
      <c r="AA1755" s="9" t="s">
        <v>3884</v>
      </c>
    </row>
    <row r="1756" spans="1:28">
      <c r="A1756" s="3" t="s">
        <v>887</v>
      </c>
      <c r="D1756" s="3" t="s">
        <v>2996</v>
      </c>
      <c r="E1756" s="3" t="s">
        <v>2395</v>
      </c>
      <c r="J1756" s="9" t="s">
        <v>8729</v>
      </c>
      <c r="S1756" s="9">
        <f>90-38</f>
        <v>52</v>
      </c>
      <c r="T1756" s="9">
        <f t="shared" ca="1" si="66"/>
        <v>38</v>
      </c>
      <c r="U1756" s="9">
        <f t="shared" ca="1" si="67"/>
        <v>90</v>
      </c>
    </row>
    <row r="1757" spans="1:28" ht="29">
      <c r="A1757" s="3" t="s">
        <v>888</v>
      </c>
      <c r="D1757" s="3" t="s">
        <v>5595</v>
      </c>
      <c r="E1757" s="3" t="s">
        <v>5594</v>
      </c>
      <c r="G1757" t="s">
        <v>3884</v>
      </c>
      <c r="J1757" s="9" t="s">
        <v>8731</v>
      </c>
      <c r="T1757" s="9" t="str">
        <f t="shared" ca="1" si="66"/>
        <v/>
      </c>
      <c r="U1757" s="9" t="str">
        <f t="shared" ca="1" si="67"/>
        <v/>
      </c>
    </row>
    <row r="1758" spans="1:28">
      <c r="A1758" s="3" t="s">
        <v>889</v>
      </c>
      <c r="D1758" s="4" t="s">
        <v>5596</v>
      </c>
      <c r="E1758" s="3" t="s">
        <v>5597</v>
      </c>
      <c r="F1758" t="s">
        <v>3883</v>
      </c>
      <c r="T1758" s="9" t="str">
        <f t="shared" ca="1" si="66"/>
        <v/>
      </c>
      <c r="U1758" s="9" t="str">
        <f t="shared" ca="1" si="67"/>
        <v/>
      </c>
    </row>
    <row r="1759" spans="1:28">
      <c r="A1759" s="3" t="s">
        <v>890</v>
      </c>
      <c r="D1759" s="3" t="s">
        <v>2337</v>
      </c>
      <c r="E1759" s="3" t="s">
        <v>3127</v>
      </c>
      <c r="J1759" s="9" t="s">
        <v>8731</v>
      </c>
      <c r="T1759" s="9" t="str">
        <f t="shared" ca="1" si="66"/>
        <v/>
      </c>
      <c r="U1759" s="9" t="str">
        <f t="shared" ca="1" si="67"/>
        <v/>
      </c>
    </row>
    <row r="1760" spans="1:28">
      <c r="A1760" s="3" t="s">
        <v>890</v>
      </c>
      <c r="D1760" s="3" t="s">
        <v>3128</v>
      </c>
      <c r="E1760" s="3" t="s">
        <v>3129</v>
      </c>
      <c r="J1760" s="9" t="s">
        <v>8729</v>
      </c>
      <c r="S1760" s="9" t="s">
        <v>8739</v>
      </c>
      <c r="T1760" s="9" t="str">
        <f t="shared" ca="1" si="66"/>
        <v/>
      </c>
      <c r="U1760" s="9" t="str">
        <f t="shared" ca="1" si="67"/>
        <v/>
      </c>
      <c r="Y1760" s="9" t="s">
        <v>8735</v>
      </c>
      <c r="AA1760" s="9" t="s">
        <v>3884</v>
      </c>
    </row>
    <row r="1761" spans="1:28">
      <c r="A1761" s="3" t="s">
        <v>890</v>
      </c>
      <c r="D1761" s="3" t="s">
        <v>2745</v>
      </c>
      <c r="E1761" s="3" t="s">
        <v>2745</v>
      </c>
      <c r="F1761" t="s">
        <v>3932</v>
      </c>
      <c r="I1761" t="s">
        <v>3874</v>
      </c>
      <c r="T1761" s="9" t="str">
        <f t="shared" ca="1" si="66"/>
        <v/>
      </c>
      <c r="U1761" s="9" t="str">
        <f t="shared" ca="1" si="67"/>
        <v/>
      </c>
    </row>
    <row r="1762" spans="1:28" ht="29">
      <c r="A1762" s="3" t="s">
        <v>891</v>
      </c>
      <c r="D1762" s="3" t="s">
        <v>5598</v>
      </c>
      <c r="E1762" s="3" t="s">
        <v>5599</v>
      </c>
      <c r="H1762" t="s">
        <v>3884</v>
      </c>
      <c r="J1762" s="9" t="s">
        <v>3885</v>
      </c>
      <c r="K1762" s="9">
        <v>1</v>
      </c>
      <c r="L1762" s="9">
        <v>9</v>
      </c>
      <c r="M1762" s="9" t="s">
        <v>8703</v>
      </c>
      <c r="N1762" s="9" t="s">
        <v>8690</v>
      </c>
      <c r="R1762" s="9">
        <v>109</v>
      </c>
      <c r="T1762" s="9" t="str">
        <f t="shared" ca="1" si="66"/>
        <v/>
      </c>
      <c r="U1762" s="9" t="str">
        <f t="shared" ca="1" si="67"/>
        <v/>
      </c>
    </row>
    <row r="1763" spans="1:28">
      <c r="A1763" s="3" t="s">
        <v>892</v>
      </c>
      <c r="D1763" s="3" t="s">
        <v>2057</v>
      </c>
      <c r="E1763" s="3" t="s">
        <v>2058</v>
      </c>
      <c r="J1763" s="9" t="s">
        <v>8731</v>
      </c>
      <c r="T1763" s="9" t="str">
        <f t="shared" ca="1" si="66"/>
        <v/>
      </c>
      <c r="U1763" s="9" t="str">
        <f t="shared" ca="1" si="67"/>
        <v/>
      </c>
      <c r="Z1763" s="9" t="s">
        <v>9279</v>
      </c>
      <c r="AA1763" s="9" t="s">
        <v>3884</v>
      </c>
    </row>
    <row r="1764" spans="1:28">
      <c r="A1764" s="3" t="s">
        <v>892</v>
      </c>
      <c r="D1764" s="3" t="s">
        <v>5600</v>
      </c>
      <c r="E1764" s="3" t="s">
        <v>5601</v>
      </c>
      <c r="J1764" s="9" t="s">
        <v>3889</v>
      </c>
      <c r="K1764" s="9">
        <v>1</v>
      </c>
      <c r="L1764" s="9">
        <v>3</v>
      </c>
      <c r="M1764" s="9" t="s">
        <v>8689</v>
      </c>
      <c r="N1764" s="9" t="s">
        <v>8684</v>
      </c>
      <c r="O1764" s="9" t="s">
        <v>8777</v>
      </c>
      <c r="P1764" s="10" t="s">
        <v>8778</v>
      </c>
      <c r="R1764" s="9">
        <v>10929</v>
      </c>
      <c r="T1764" s="9" t="str">
        <f t="shared" ca="1" si="66"/>
        <v/>
      </c>
      <c r="U1764" s="9" t="str">
        <f t="shared" ca="1" si="67"/>
        <v/>
      </c>
    </row>
    <row r="1765" spans="1:28">
      <c r="A1765" s="3" t="s">
        <v>892</v>
      </c>
      <c r="D1765" s="3" t="s">
        <v>5602</v>
      </c>
      <c r="E1765" s="3" t="s">
        <v>5603</v>
      </c>
      <c r="J1765" s="9" t="s">
        <v>3889</v>
      </c>
      <c r="K1765" s="9">
        <v>1</v>
      </c>
      <c r="L1765" s="9">
        <v>2</v>
      </c>
      <c r="M1765" s="9" t="s">
        <v>8695</v>
      </c>
      <c r="N1765" s="9" t="s">
        <v>8730</v>
      </c>
      <c r="R1765" s="9">
        <v>203</v>
      </c>
      <c r="T1765" s="9" t="str">
        <f t="shared" ca="1" si="66"/>
        <v/>
      </c>
      <c r="U1765" s="9" t="str">
        <f t="shared" ca="1" si="67"/>
        <v/>
      </c>
    </row>
    <row r="1766" spans="1:28">
      <c r="A1766" s="3" t="s">
        <v>892</v>
      </c>
      <c r="D1766" s="3" t="s">
        <v>3130</v>
      </c>
      <c r="E1766" s="3" t="s">
        <v>3131</v>
      </c>
      <c r="J1766" s="9" t="s">
        <v>8729</v>
      </c>
      <c r="S1766" s="9" t="s">
        <v>8730</v>
      </c>
      <c r="T1766" s="9" t="str">
        <f t="shared" ca="1" si="66"/>
        <v/>
      </c>
      <c r="U1766" s="9" t="str">
        <f t="shared" ca="1" si="67"/>
        <v/>
      </c>
      <c r="Z1766" s="9" t="s">
        <v>9280</v>
      </c>
      <c r="AA1766" s="9" t="s">
        <v>3884</v>
      </c>
      <c r="AB1766" s="9" t="s">
        <v>8697</v>
      </c>
    </row>
    <row r="1767" spans="1:28">
      <c r="A1767" s="3" t="s">
        <v>893</v>
      </c>
      <c r="D1767" s="3" t="s">
        <v>9489</v>
      </c>
      <c r="E1767" s="3" t="s">
        <v>9490</v>
      </c>
      <c r="J1767" s="9" t="s">
        <v>8729</v>
      </c>
      <c r="S1767" s="9" t="s">
        <v>8739</v>
      </c>
      <c r="T1767" s="9" t="str">
        <f t="shared" ca="1" si="66"/>
        <v/>
      </c>
      <c r="U1767" s="9" t="str">
        <f t="shared" ca="1" si="67"/>
        <v/>
      </c>
      <c r="Y1767" s="9" t="s">
        <v>8735</v>
      </c>
      <c r="Z1767" s="9" t="s">
        <v>8742</v>
      </c>
      <c r="AA1767" s="9" t="s">
        <v>3884</v>
      </c>
    </row>
    <row r="1768" spans="1:28">
      <c r="A1768" s="3" t="s">
        <v>893</v>
      </c>
      <c r="D1768" s="3" t="s">
        <v>9491</v>
      </c>
      <c r="E1768" s="3" t="s">
        <v>9492</v>
      </c>
      <c r="J1768" s="9" t="s">
        <v>8729</v>
      </c>
      <c r="S1768" s="9" t="s">
        <v>8739</v>
      </c>
      <c r="T1768" s="9" t="str">
        <f t="shared" ca="1" si="66"/>
        <v/>
      </c>
      <c r="U1768" s="9" t="str">
        <f t="shared" ca="1" si="67"/>
        <v/>
      </c>
      <c r="Y1768" s="9" t="s">
        <v>8735</v>
      </c>
      <c r="Z1768" s="9" t="s">
        <v>8742</v>
      </c>
      <c r="AA1768" s="9" t="s">
        <v>3884</v>
      </c>
    </row>
    <row r="1769" spans="1:28">
      <c r="A1769" s="3" t="s">
        <v>894</v>
      </c>
      <c r="D1769" s="3" t="s">
        <v>3085</v>
      </c>
      <c r="E1769" s="3" t="s">
        <v>3086</v>
      </c>
      <c r="J1769" s="9" t="s">
        <v>8729</v>
      </c>
      <c r="S1769" s="9" t="s">
        <v>8739</v>
      </c>
      <c r="T1769" s="9" t="str">
        <f t="shared" ca="1" si="66"/>
        <v/>
      </c>
      <c r="U1769" s="9" t="str">
        <f t="shared" ca="1" si="67"/>
        <v/>
      </c>
      <c r="Y1769" s="9" t="s">
        <v>8735</v>
      </c>
      <c r="Z1769" s="9" t="s">
        <v>8742</v>
      </c>
      <c r="AA1769" s="9" t="s">
        <v>3884</v>
      </c>
    </row>
    <row r="1770" spans="1:28">
      <c r="A1770" s="3" t="s">
        <v>894</v>
      </c>
      <c r="D1770" s="3" t="s">
        <v>5604</v>
      </c>
      <c r="E1770" s="3" t="s">
        <v>5605</v>
      </c>
      <c r="J1770" s="9" t="s">
        <v>3885</v>
      </c>
      <c r="K1770" s="9">
        <v>1</v>
      </c>
      <c r="L1770" s="9">
        <v>1</v>
      </c>
      <c r="M1770" s="9" t="s">
        <v>8683</v>
      </c>
      <c r="N1770" s="9" t="s">
        <v>8730</v>
      </c>
      <c r="Q1770" s="9" t="s">
        <v>8685</v>
      </c>
      <c r="R1770" s="9">
        <v>42</v>
      </c>
      <c r="T1770" s="9" t="str">
        <f t="shared" ca="1" si="66"/>
        <v/>
      </c>
      <c r="U1770" s="9" t="str">
        <f t="shared" ca="1" si="67"/>
        <v/>
      </c>
      <c r="AB1770" s="9" t="s">
        <v>8694</v>
      </c>
    </row>
    <row r="1771" spans="1:28">
      <c r="A1771" s="3" t="s">
        <v>895</v>
      </c>
      <c r="D1771" s="3" t="s">
        <v>3085</v>
      </c>
      <c r="E1771" s="3" t="s">
        <v>3086</v>
      </c>
      <c r="J1771" s="9" t="s">
        <v>8729</v>
      </c>
      <c r="S1771" s="9" t="s">
        <v>8739</v>
      </c>
      <c r="T1771" s="9" t="str">
        <f t="shared" ca="1" si="66"/>
        <v/>
      </c>
      <c r="U1771" s="9" t="str">
        <f t="shared" ca="1" si="67"/>
        <v/>
      </c>
      <c r="Y1771" s="9" t="s">
        <v>8735</v>
      </c>
      <c r="Z1771" s="9" t="s">
        <v>8742</v>
      </c>
      <c r="AA1771" s="9" t="s">
        <v>3884</v>
      </c>
    </row>
    <row r="1772" spans="1:28">
      <c r="A1772" s="3" t="s">
        <v>896</v>
      </c>
      <c r="D1772" s="3" t="s">
        <v>5606</v>
      </c>
      <c r="E1772" s="3" t="s">
        <v>5607</v>
      </c>
      <c r="H1772" t="s">
        <v>3884</v>
      </c>
      <c r="J1772" s="9" t="s">
        <v>8731</v>
      </c>
      <c r="T1772" s="9" t="str">
        <f t="shared" ca="1" si="66"/>
        <v/>
      </c>
      <c r="U1772" s="9" t="str">
        <f t="shared" ca="1" si="67"/>
        <v/>
      </c>
      <c r="AB1772" s="9" t="s">
        <v>8694</v>
      </c>
    </row>
    <row r="1773" spans="1:28">
      <c r="A1773" s="3" t="s">
        <v>897</v>
      </c>
      <c r="D1773" s="3" t="s">
        <v>2630</v>
      </c>
      <c r="E1773" s="3" t="s">
        <v>2554</v>
      </c>
      <c r="J1773" s="9" t="s">
        <v>8729</v>
      </c>
      <c r="S1773" s="9">
        <f>6-33</f>
        <v>-27</v>
      </c>
      <c r="T1773" s="9">
        <f t="shared" ca="1" si="66"/>
        <v>33</v>
      </c>
      <c r="U1773" s="9">
        <f t="shared" ca="1" si="67"/>
        <v>6</v>
      </c>
      <c r="AB1773" s="9" t="s">
        <v>8694</v>
      </c>
    </row>
    <row r="1774" spans="1:28" ht="29">
      <c r="A1774" s="3" t="s">
        <v>898</v>
      </c>
      <c r="D1774" s="3" t="s">
        <v>5608</v>
      </c>
      <c r="E1774" s="3" t="s">
        <v>9055</v>
      </c>
      <c r="J1774" s="9" t="s">
        <v>3885</v>
      </c>
      <c r="K1774" s="9">
        <v>1</v>
      </c>
      <c r="L1774" s="9">
        <v>1</v>
      </c>
      <c r="M1774" s="9" t="s">
        <v>8689</v>
      </c>
      <c r="N1774" s="9" t="s">
        <v>8730</v>
      </c>
      <c r="R1774" s="9">
        <v>10929</v>
      </c>
      <c r="T1774" s="9" t="str">
        <f t="shared" ca="1" si="66"/>
        <v/>
      </c>
      <c r="U1774" s="9" t="str">
        <f t="shared" ca="1" si="67"/>
        <v/>
      </c>
    </row>
    <row r="1775" spans="1:28" ht="29">
      <c r="A1775" s="3" t="s">
        <v>898</v>
      </c>
      <c r="D1775" s="3" t="s">
        <v>9056</v>
      </c>
      <c r="E1775" s="3" t="s">
        <v>9057</v>
      </c>
      <c r="J1775" s="9" t="s">
        <v>8729</v>
      </c>
      <c r="S1775" s="9">
        <f>1056-12</f>
        <v>1044</v>
      </c>
      <c r="T1775" s="9">
        <f t="shared" ca="1" si="66"/>
        <v>12</v>
      </c>
      <c r="U1775" s="9">
        <f t="shared" ca="1" si="67"/>
        <v>1056</v>
      </c>
    </row>
    <row r="1776" spans="1:28" ht="29">
      <c r="A1776" s="3" t="s">
        <v>899</v>
      </c>
      <c r="D1776" s="3" t="s">
        <v>5609</v>
      </c>
      <c r="E1776" s="3" t="s">
        <v>5610</v>
      </c>
      <c r="H1776" t="s">
        <v>3884</v>
      </c>
      <c r="J1776" s="9" t="s">
        <v>3889</v>
      </c>
      <c r="K1776" s="9">
        <v>1</v>
      </c>
      <c r="L1776" s="9">
        <v>10</v>
      </c>
      <c r="M1776" s="9" t="s">
        <v>8736</v>
      </c>
      <c r="N1776" s="9" t="s">
        <v>8730</v>
      </c>
      <c r="R1776" s="9">
        <v>128</v>
      </c>
      <c r="T1776" s="9" t="str">
        <f t="shared" ca="1" si="66"/>
        <v/>
      </c>
      <c r="U1776" s="9" t="str">
        <f t="shared" ca="1" si="67"/>
        <v/>
      </c>
    </row>
    <row r="1777" spans="1:28">
      <c r="A1777" s="3" t="s">
        <v>900</v>
      </c>
      <c r="D1777" s="3" t="s">
        <v>9493</v>
      </c>
      <c r="E1777" s="3" t="s">
        <v>9494</v>
      </c>
      <c r="J1777" s="9" t="s">
        <v>8729</v>
      </c>
      <c r="S1777" s="9" t="s">
        <v>8739</v>
      </c>
      <c r="T1777" s="9" t="str">
        <f t="shared" ca="1" si="66"/>
        <v/>
      </c>
      <c r="U1777" s="9" t="str">
        <f t="shared" ca="1" si="67"/>
        <v/>
      </c>
      <c r="Y1777" s="9" t="s">
        <v>8735</v>
      </c>
      <c r="Z1777" s="9" t="s">
        <v>8742</v>
      </c>
      <c r="AA1777" s="9" t="s">
        <v>3884</v>
      </c>
    </row>
    <row r="1778" spans="1:28">
      <c r="A1778" s="3" t="s">
        <v>900</v>
      </c>
      <c r="D1778" s="3" t="s">
        <v>9497</v>
      </c>
      <c r="E1778" s="3" t="s">
        <v>9498</v>
      </c>
      <c r="J1778" s="9" t="s">
        <v>8729</v>
      </c>
      <c r="S1778" s="9" t="s">
        <v>8739</v>
      </c>
      <c r="T1778" s="9" t="str">
        <f t="shared" ca="1" si="66"/>
        <v/>
      </c>
      <c r="U1778" s="9" t="str">
        <f t="shared" ca="1" si="67"/>
        <v/>
      </c>
      <c r="Y1778" s="9" t="s">
        <v>8735</v>
      </c>
      <c r="Z1778" s="9" t="s">
        <v>8742</v>
      </c>
      <c r="AA1778" s="9" t="s">
        <v>3884</v>
      </c>
    </row>
    <row r="1779" spans="1:28">
      <c r="A1779" s="3" t="s">
        <v>901</v>
      </c>
      <c r="D1779" s="3" t="s">
        <v>9499</v>
      </c>
      <c r="E1779" s="3" t="s">
        <v>9500</v>
      </c>
      <c r="J1779" s="9" t="s">
        <v>8729</v>
      </c>
      <c r="S1779" s="9" t="s">
        <v>8739</v>
      </c>
      <c r="T1779" s="9" t="str">
        <f t="shared" ca="1" si="66"/>
        <v/>
      </c>
      <c r="U1779" s="9" t="str">
        <f t="shared" ca="1" si="67"/>
        <v/>
      </c>
      <c r="Y1779" s="9" t="s">
        <v>8735</v>
      </c>
      <c r="Z1779" s="9" t="s">
        <v>8742</v>
      </c>
      <c r="AA1779" s="9" t="s">
        <v>3884</v>
      </c>
    </row>
    <row r="1780" spans="1:28">
      <c r="A1780" s="3" t="s">
        <v>901</v>
      </c>
      <c r="D1780" s="3" t="s">
        <v>9495</v>
      </c>
      <c r="E1780" s="3" t="s">
        <v>9496</v>
      </c>
      <c r="J1780" s="9" t="s">
        <v>8729</v>
      </c>
      <c r="S1780" s="9" t="s">
        <v>8739</v>
      </c>
      <c r="T1780" s="9" t="str">
        <f t="shared" ca="1" si="66"/>
        <v/>
      </c>
      <c r="U1780" s="9" t="str">
        <f t="shared" ca="1" si="67"/>
        <v/>
      </c>
      <c r="Y1780" s="9" t="s">
        <v>8735</v>
      </c>
      <c r="Z1780" s="9" t="s">
        <v>8742</v>
      </c>
      <c r="AA1780" s="9" t="s">
        <v>3884</v>
      </c>
    </row>
    <row r="1781" spans="1:28">
      <c r="A1781" s="3" t="s">
        <v>902</v>
      </c>
      <c r="D1781" s="4" t="s">
        <v>5611</v>
      </c>
      <c r="E1781" s="3" t="s">
        <v>9623</v>
      </c>
      <c r="F1781" t="s">
        <v>3883</v>
      </c>
      <c r="I1781" t="s">
        <v>9501</v>
      </c>
      <c r="J1781" s="9" t="s">
        <v>8729</v>
      </c>
      <c r="S1781" s="9">
        <v>1</v>
      </c>
      <c r="T1781" s="9">
        <v>0</v>
      </c>
      <c r="U1781" s="9">
        <v>1</v>
      </c>
    </row>
    <row r="1782" spans="1:28">
      <c r="A1782" s="3" t="s">
        <v>903</v>
      </c>
      <c r="D1782" s="3" t="s">
        <v>3133</v>
      </c>
      <c r="E1782" s="3" t="s">
        <v>3133</v>
      </c>
      <c r="F1782" t="s">
        <v>3932</v>
      </c>
      <c r="I1782" t="s">
        <v>5612</v>
      </c>
      <c r="T1782" s="9" t="str">
        <f t="shared" ca="1" si="66"/>
        <v/>
      </c>
      <c r="U1782" s="9" t="str">
        <f t="shared" ca="1" si="67"/>
        <v/>
      </c>
    </row>
    <row r="1783" spans="1:28" ht="29">
      <c r="A1783" s="3" t="s">
        <v>903</v>
      </c>
      <c r="D1783" s="3" t="s">
        <v>5613</v>
      </c>
      <c r="E1783" s="3" t="s">
        <v>5614</v>
      </c>
      <c r="H1783" t="s">
        <v>3884</v>
      </c>
      <c r="J1783" s="9" t="s">
        <v>3885</v>
      </c>
      <c r="K1783" s="9">
        <v>1</v>
      </c>
      <c r="L1783" s="9">
        <v>3</v>
      </c>
      <c r="M1783" s="9" t="s">
        <v>8689</v>
      </c>
      <c r="N1783" s="9" t="s">
        <v>8690</v>
      </c>
      <c r="R1783" s="9">
        <v>10929</v>
      </c>
      <c r="T1783" s="9" t="str">
        <f t="shared" ca="1" si="66"/>
        <v/>
      </c>
      <c r="U1783" s="9" t="str">
        <f t="shared" ca="1" si="67"/>
        <v/>
      </c>
    </row>
    <row r="1784" spans="1:28">
      <c r="A1784" s="3" t="s">
        <v>904</v>
      </c>
      <c r="D1784" s="3" t="s">
        <v>3134</v>
      </c>
      <c r="E1784" s="3" t="s">
        <v>3136</v>
      </c>
      <c r="J1784" s="9" t="s">
        <v>8731</v>
      </c>
      <c r="T1784" s="9" t="str">
        <f t="shared" ca="1" si="66"/>
        <v/>
      </c>
      <c r="U1784" s="9" t="str">
        <f t="shared" ca="1" si="67"/>
        <v/>
      </c>
      <c r="Z1784" s="9" t="s">
        <v>8747</v>
      </c>
      <c r="AA1784" s="9" t="s">
        <v>3884</v>
      </c>
      <c r="AB1784" s="9" t="s">
        <v>8700</v>
      </c>
    </row>
    <row r="1785" spans="1:28">
      <c r="A1785" s="3" t="s">
        <v>904</v>
      </c>
      <c r="D1785" s="3" t="s">
        <v>3135</v>
      </c>
      <c r="E1785" s="3" t="s">
        <v>3137</v>
      </c>
      <c r="J1785" s="9" t="s">
        <v>8731</v>
      </c>
      <c r="T1785" s="9" t="str">
        <f t="shared" ca="1" si="66"/>
        <v/>
      </c>
      <c r="U1785" s="9" t="str">
        <f t="shared" ca="1" si="67"/>
        <v/>
      </c>
      <c r="Z1785" s="9" t="s">
        <v>8742</v>
      </c>
      <c r="AA1785" s="9" t="s">
        <v>3884</v>
      </c>
      <c r="AB1785" s="9" t="s">
        <v>8697</v>
      </c>
    </row>
    <row r="1786" spans="1:28" ht="29">
      <c r="A1786" s="3" t="s">
        <v>905</v>
      </c>
      <c r="D1786" s="3" t="s">
        <v>5615</v>
      </c>
      <c r="E1786" s="3" t="s">
        <v>5616</v>
      </c>
      <c r="J1786" s="9" t="s">
        <v>3889</v>
      </c>
      <c r="K1786" s="9">
        <v>1</v>
      </c>
      <c r="L1786" s="9">
        <v>3</v>
      </c>
      <c r="M1786" s="9" t="s">
        <v>8689</v>
      </c>
      <c r="N1786" s="9" t="s">
        <v>8690</v>
      </c>
      <c r="R1786" s="9">
        <v>10929</v>
      </c>
      <c r="T1786" s="9" t="str">
        <f t="shared" ca="1" si="66"/>
        <v/>
      </c>
      <c r="U1786" s="9" t="str">
        <f t="shared" ca="1" si="67"/>
        <v/>
      </c>
    </row>
    <row r="1787" spans="1:28">
      <c r="A1787" s="3" t="s">
        <v>906</v>
      </c>
      <c r="D1787" s="3" t="s">
        <v>2052</v>
      </c>
      <c r="E1787" s="3" t="s">
        <v>2053</v>
      </c>
      <c r="J1787" s="9" t="s">
        <v>8731</v>
      </c>
      <c r="T1787" s="9" t="str">
        <f t="shared" ca="1" si="66"/>
        <v/>
      </c>
      <c r="U1787" s="9" t="str">
        <f t="shared" ca="1" si="67"/>
        <v/>
      </c>
      <c r="Z1787" s="9" t="s">
        <v>8757</v>
      </c>
      <c r="AA1787" s="9" t="s">
        <v>3884</v>
      </c>
      <c r="AB1787" s="9" t="s">
        <v>8700</v>
      </c>
    </row>
    <row r="1788" spans="1:28">
      <c r="A1788" s="3" t="s">
        <v>906</v>
      </c>
      <c r="D1788" s="3" t="s">
        <v>5617</v>
      </c>
      <c r="E1788" s="3" t="s">
        <v>5618</v>
      </c>
      <c r="H1788" t="s">
        <v>3884</v>
      </c>
      <c r="I1788" t="s">
        <v>9235</v>
      </c>
      <c r="J1788" s="9" t="s">
        <v>3889</v>
      </c>
      <c r="K1788" s="9">
        <v>1</v>
      </c>
      <c r="L1788" s="9">
        <v>3</v>
      </c>
      <c r="M1788" s="9" t="s">
        <v>8689</v>
      </c>
      <c r="N1788" s="9" t="s">
        <v>8690</v>
      </c>
      <c r="R1788" s="9">
        <v>10929</v>
      </c>
      <c r="T1788" s="9" t="str">
        <f t="shared" ca="1" si="66"/>
        <v/>
      </c>
      <c r="U1788" s="9" t="str">
        <f t="shared" ca="1" si="67"/>
        <v/>
      </c>
      <c r="V1788" s="9" t="s">
        <v>8728</v>
      </c>
    </row>
    <row r="1789" spans="1:28">
      <c r="A1789" s="3" t="s">
        <v>907</v>
      </c>
      <c r="D1789" s="3" t="s">
        <v>2052</v>
      </c>
      <c r="E1789" s="3" t="s">
        <v>2053</v>
      </c>
      <c r="J1789" s="9" t="s">
        <v>8731</v>
      </c>
      <c r="T1789" s="9" t="str">
        <f t="shared" ca="1" si="66"/>
        <v/>
      </c>
      <c r="U1789" s="9" t="str">
        <f t="shared" ca="1" si="67"/>
        <v/>
      </c>
      <c r="Z1789" s="9" t="s">
        <v>8757</v>
      </c>
      <c r="AA1789" s="9" t="s">
        <v>3884</v>
      </c>
      <c r="AB1789" s="9" t="s">
        <v>8700</v>
      </c>
    </row>
    <row r="1790" spans="1:28">
      <c r="A1790" s="3" t="s">
        <v>908</v>
      </c>
      <c r="D1790" s="3" t="s">
        <v>3075</v>
      </c>
      <c r="E1790" s="3" t="s">
        <v>3138</v>
      </c>
      <c r="J1790" s="9" t="s">
        <v>8731</v>
      </c>
      <c r="T1790" s="9" t="str">
        <f t="shared" ca="1" si="66"/>
        <v/>
      </c>
      <c r="U1790" s="9" t="str">
        <f t="shared" ca="1" si="67"/>
        <v/>
      </c>
      <c r="Z1790" s="9" t="s">
        <v>8757</v>
      </c>
      <c r="AA1790" s="9" t="s">
        <v>3884</v>
      </c>
      <c r="AB1790" s="9" t="s">
        <v>8697</v>
      </c>
    </row>
    <row r="1791" spans="1:28">
      <c r="A1791" s="3" t="s">
        <v>908</v>
      </c>
      <c r="D1791" s="3" t="s">
        <v>5619</v>
      </c>
      <c r="E1791" s="3" t="s">
        <v>5620</v>
      </c>
      <c r="J1791" s="9" t="s">
        <v>8731</v>
      </c>
      <c r="T1791" s="9" t="str">
        <f t="shared" ca="1" si="66"/>
        <v/>
      </c>
      <c r="U1791" s="9" t="str">
        <f t="shared" ca="1" si="67"/>
        <v/>
      </c>
      <c r="AB1791" s="9" t="s">
        <v>8700</v>
      </c>
    </row>
    <row r="1792" spans="1:28">
      <c r="A1792" s="3" t="s">
        <v>909</v>
      </c>
      <c r="D1792" s="3" t="s">
        <v>5621</v>
      </c>
      <c r="E1792" s="3" t="s">
        <v>5622</v>
      </c>
      <c r="J1792" s="9" t="s">
        <v>8729</v>
      </c>
      <c r="S1792" s="9">
        <f>162-0</f>
        <v>162</v>
      </c>
      <c r="T1792" s="9">
        <f t="shared" ca="1" si="66"/>
        <v>0</v>
      </c>
      <c r="U1792" s="9">
        <f t="shared" ca="1" si="67"/>
        <v>162</v>
      </c>
      <c r="Z1792" s="9" t="s">
        <v>8757</v>
      </c>
      <c r="AA1792" s="9" t="s">
        <v>3884</v>
      </c>
      <c r="AB1792" s="9" t="s">
        <v>8700</v>
      </c>
    </row>
    <row r="1793" spans="1:28">
      <c r="A1793" s="3" t="s">
        <v>909</v>
      </c>
      <c r="D1793" s="3" t="s">
        <v>3140</v>
      </c>
      <c r="E1793" s="3" t="s">
        <v>3142</v>
      </c>
      <c r="J1793" s="9" t="s">
        <v>8731</v>
      </c>
      <c r="T1793" s="9" t="str">
        <f t="shared" ca="1" si="66"/>
        <v/>
      </c>
      <c r="U1793" s="9" t="str">
        <f t="shared" ca="1" si="67"/>
        <v/>
      </c>
      <c r="Z1793" s="9" t="s">
        <v>8742</v>
      </c>
      <c r="AA1793" s="9" t="s">
        <v>3884</v>
      </c>
      <c r="AB1793" s="9" t="s">
        <v>8697</v>
      </c>
    </row>
    <row r="1794" spans="1:28">
      <c r="A1794" s="3" t="s">
        <v>909</v>
      </c>
      <c r="D1794" s="3" t="s">
        <v>5623</v>
      </c>
      <c r="E1794" s="3" t="s">
        <v>5624</v>
      </c>
      <c r="J1794" s="9" t="s">
        <v>8731</v>
      </c>
      <c r="T1794" s="9" t="str">
        <f t="shared" ca="1" si="66"/>
        <v/>
      </c>
      <c r="U1794" s="9" t="str">
        <f t="shared" ca="1" si="67"/>
        <v/>
      </c>
      <c r="AB1794" s="9" t="s">
        <v>8700</v>
      </c>
    </row>
    <row r="1795" spans="1:28">
      <c r="A1795" s="3" t="s">
        <v>910</v>
      </c>
      <c r="D1795" s="3" t="s">
        <v>5625</v>
      </c>
      <c r="E1795" s="3" t="s">
        <v>5626</v>
      </c>
      <c r="H1795" t="s">
        <v>3884</v>
      </c>
      <c r="J1795" s="9" t="s">
        <v>3885</v>
      </c>
      <c r="K1795" s="9">
        <v>1</v>
      </c>
      <c r="L1795" s="9">
        <v>2</v>
      </c>
      <c r="M1795" s="9" t="s">
        <v>8707</v>
      </c>
      <c r="N1795" s="9" t="s">
        <v>8730</v>
      </c>
      <c r="R1795" s="9">
        <v>519</v>
      </c>
      <c r="T1795" s="9" t="str">
        <f t="shared" ca="1" si="66"/>
        <v/>
      </c>
      <c r="U1795" s="9" t="str">
        <f t="shared" ca="1" si="67"/>
        <v/>
      </c>
    </row>
    <row r="1796" spans="1:28">
      <c r="A1796" s="3" t="s">
        <v>911</v>
      </c>
      <c r="D1796" s="4" t="s">
        <v>5627</v>
      </c>
      <c r="E1796" s="3" t="s">
        <v>5628</v>
      </c>
      <c r="F1796" t="s">
        <v>3883</v>
      </c>
      <c r="T1796" s="9" t="str">
        <f t="shared" ref="T1796:T1859" ca="1" si="68">IF(ISNUMBER(S1796),VALUE(MID(_xlfn.FORMULATEXT(S1796),SEARCH("-",_xlfn.FORMULATEXT(S1796))+1,LEN(_xlfn.FORMULATEXT(S1796))-SEARCH("-",_xlfn.FORMULATEXT(S1796)))), "")</f>
        <v/>
      </c>
      <c r="U1796" s="9" t="str">
        <f t="shared" ref="U1796:U1859" ca="1" si="69">IF(ISNUMBER(S1796), VALUE(MID(_xlfn.FORMULATEXT(S1796), 2, SEARCH("-", _xlfn.FORMULATEXT(S1796)) - 2)), "")</f>
        <v/>
      </c>
    </row>
    <row r="1797" spans="1:28" ht="29">
      <c r="A1797" s="3" t="s">
        <v>912</v>
      </c>
      <c r="D1797" s="3" t="s">
        <v>5629</v>
      </c>
      <c r="E1797" s="3" t="s">
        <v>5630</v>
      </c>
      <c r="J1797" s="9" t="s">
        <v>3889</v>
      </c>
      <c r="K1797" s="9">
        <v>2</v>
      </c>
      <c r="L1797" s="9">
        <v>6</v>
      </c>
      <c r="N1797" s="9" t="s">
        <v>8690</v>
      </c>
      <c r="R1797" s="9">
        <v>131</v>
      </c>
      <c r="T1797" s="9" t="str">
        <f t="shared" ca="1" si="68"/>
        <v/>
      </c>
      <c r="U1797" s="9" t="str">
        <f t="shared" ca="1" si="69"/>
        <v/>
      </c>
    </row>
    <row r="1798" spans="1:28">
      <c r="A1798" s="3" t="s">
        <v>913</v>
      </c>
      <c r="D1798" s="3" t="s">
        <v>5631</v>
      </c>
      <c r="E1798" s="3" t="s">
        <v>5632</v>
      </c>
      <c r="J1798" s="9" t="s">
        <v>8731</v>
      </c>
      <c r="T1798" s="9" t="str">
        <f t="shared" ca="1" si="68"/>
        <v/>
      </c>
      <c r="U1798" s="9" t="str">
        <f t="shared" ca="1" si="69"/>
        <v/>
      </c>
    </row>
    <row r="1799" spans="1:28" ht="29">
      <c r="A1799" s="3" t="s">
        <v>913</v>
      </c>
      <c r="D1799" s="3" t="s">
        <v>5633</v>
      </c>
      <c r="E1799" s="3" t="s">
        <v>5634</v>
      </c>
      <c r="J1799" s="9" t="s">
        <v>8729</v>
      </c>
      <c r="S1799" s="9" t="s">
        <v>8730</v>
      </c>
      <c r="T1799" s="9" t="str">
        <f t="shared" ca="1" si="68"/>
        <v/>
      </c>
      <c r="U1799" s="9" t="str">
        <f t="shared" ca="1" si="69"/>
        <v/>
      </c>
      <c r="AB1799" s="9" t="s">
        <v>8697</v>
      </c>
    </row>
    <row r="1800" spans="1:28">
      <c r="A1800" s="3" t="s">
        <v>914</v>
      </c>
      <c r="D1800" s="3" t="s">
        <v>3095</v>
      </c>
      <c r="E1800" s="3" t="s">
        <v>3146</v>
      </c>
      <c r="H1800" t="s">
        <v>3884</v>
      </c>
      <c r="J1800" s="9" t="s">
        <v>8729</v>
      </c>
      <c r="S1800" s="9" t="s">
        <v>8739</v>
      </c>
      <c r="T1800" s="9" t="str">
        <f t="shared" ca="1" si="68"/>
        <v/>
      </c>
      <c r="U1800" s="9" t="str">
        <f t="shared" ca="1" si="69"/>
        <v/>
      </c>
      <c r="Y1800" s="9" t="s">
        <v>8735</v>
      </c>
      <c r="AA1800" s="9" t="s">
        <v>3884</v>
      </c>
    </row>
    <row r="1801" spans="1:28">
      <c r="A1801" s="3" t="s">
        <v>915</v>
      </c>
      <c r="D1801" s="3" t="s">
        <v>2052</v>
      </c>
      <c r="E1801" s="3" t="s">
        <v>2053</v>
      </c>
      <c r="J1801" s="9" t="s">
        <v>8731</v>
      </c>
      <c r="T1801" s="9" t="str">
        <f t="shared" ca="1" si="68"/>
        <v/>
      </c>
      <c r="U1801" s="9" t="str">
        <f t="shared" ca="1" si="69"/>
        <v/>
      </c>
      <c r="Z1801" s="9" t="s">
        <v>8757</v>
      </c>
      <c r="AA1801" s="9" t="s">
        <v>3884</v>
      </c>
    </row>
    <row r="1802" spans="1:28">
      <c r="A1802" s="3" t="s">
        <v>915</v>
      </c>
      <c r="D1802" s="3" t="s">
        <v>5635</v>
      </c>
      <c r="E1802" s="3" t="s">
        <v>5636</v>
      </c>
      <c r="J1802" s="9" t="s">
        <v>3889</v>
      </c>
      <c r="K1802" s="9">
        <v>1</v>
      </c>
      <c r="L1802" s="9">
        <v>2</v>
      </c>
      <c r="M1802" s="9" t="s">
        <v>8707</v>
      </c>
      <c r="N1802" s="9" t="s">
        <v>8730</v>
      </c>
      <c r="R1802" s="9">
        <v>519</v>
      </c>
      <c r="T1802" s="9" t="str">
        <f t="shared" ca="1" si="68"/>
        <v/>
      </c>
      <c r="U1802" s="9" t="str">
        <f t="shared" ca="1" si="69"/>
        <v/>
      </c>
    </row>
    <row r="1803" spans="1:28">
      <c r="A1803" s="3" t="s">
        <v>916</v>
      </c>
      <c r="D1803" s="3" t="s">
        <v>2888</v>
      </c>
      <c r="E1803" s="3" t="s">
        <v>3149</v>
      </c>
      <c r="J1803" s="9" t="s">
        <v>8729</v>
      </c>
      <c r="S1803" s="9" t="s">
        <v>8739</v>
      </c>
      <c r="T1803" s="9" t="str">
        <f t="shared" ca="1" si="68"/>
        <v/>
      </c>
      <c r="U1803" s="9" t="str">
        <f t="shared" ca="1" si="69"/>
        <v/>
      </c>
      <c r="Y1803" s="9" t="s">
        <v>8735</v>
      </c>
      <c r="Z1803" s="9" t="s">
        <v>8757</v>
      </c>
      <c r="AA1803" s="9" t="s">
        <v>3884</v>
      </c>
    </row>
    <row r="1804" spans="1:28">
      <c r="A1804" s="3" t="s">
        <v>917</v>
      </c>
      <c r="D1804" s="3" t="s">
        <v>3148</v>
      </c>
      <c r="E1804" s="3" t="s">
        <v>2064</v>
      </c>
      <c r="J1804" s="9" t="s">
        <v>8729</v>
      </c>
      <c r="S1804" s="9" t="s">
        <v>8739</v>
      </c>
      <c r="T1804" s="9" t="str">
        <f t="shared" ca="1" si="68"/>
        <v/>
      </c>
      <c r="U1804" s="9" t="str">
        <f t="shared" ca="1" si="69"/>
        <v/>
      </c>
      <c r="AB1804" s="9" t="s">
        <v>8697</v>
      </c>
    </row>
    <row r="1805" spans="1:28">
      <c r="A1805" s="3" t="s">
        <v>917</v>
      </c>
      <c r="D1805" s="3" t="s">
        <v>2888</v>
      </c>
      <c r="E1805" s="3" t="s">
        <v>2889</v>
      </c>
      <c r="J1805" s="9" t="s">
        <v>8729</v>
      </c>
      <c r="S1805" s="9" t="s">
        <v>8739</v>
      </c>
      <c r="T1805" s="9" t="str">
        <f t="shared" ca="1" si="68"/>
        <v/>
      </c>
      <c r="U1805" s="9" t="str">
        <f t="shared" ca="1" si="69"/>
        <v/>
      </c>
      <c r="Y1805" s="9" t="s">
        <v>8735</v>
      </c>
      <c r="Z1805" s="9" t="s">
        <v>8757</v>
      </c>
      <c r="AA1805" s="9" t="s">
        <v>3884</v>
      </c>
    </row>
    <row r="1806" spans="1:28">
      <c r="A1806" s="3" t="s">
        <v>918</v>
      </c>
      <c r="D1806" s="3" t="s">
        <v>2888</v>
      </c>
      <c r="E1806" s="3" t="s">
        <v>2889</v>
      </c>
      <c r="J1806" s="9" t="s">
        <v>8729</v>
      </c>
      <c r="S1806" s="9" t="s">
        <v>8739</v>
      </c>
      <c r="T1806" s="9" t="str">
        <f t="shared" ca="1" si="68"/>
        <v/>
      </c>
      <c r="U1806" s="9" t="str">
        <f t="shared" ca="1" si="69"/>
        <v/>
      </c>
      <c r="Y1806" s="9" t="s">
        <v>8735</v>
      </c>
      <c r="Z1806" s="9" t="s">
        <v>8757</v>
      </c>
      <c r="AA1806" s="9" t="s">
        <v>3884</v>
      </c>
    </row>
    <row r="1807" spans="1:28" ht="29">
      <c r="A1807" s="3" t="s">
        <v>918</v>
      </c>
      <c r="D1807" s="3" t="s">
        <v>5637</v>
      </c>
      <c r="E1807" s="3" t="s">
        <v>5638</v>
      </c>
      <c r="F1807" t="s">
        <v>3932</v>
      </c>
      <c r="I1807" t="s">
        <v>5639</v>
      </c>
      <c r="T1807" s="9" t="str">
        <f t="shared" ca="1" si="68"/>
        <v/>
      </c>
      <c r="U1807" s="9" t="str">
        <f t="shared" ca="1" si="69"/>
        <v/>
      </c>
    </row>
    <row r="1808" spans="1:28" ht="29">
      <c r="A1808" s="3" t="s">
        <v>918</v>
      </c>
      <c r="D1808" s="3" t="s">
        <v>5640</v>
      </c>
      <c r="E1808" s="3" t="s">
        <v>5641</v>
      </c>
      <c r="H1808" t="s">
        <v>3884</v>
      </c>
      <c r="J1808" s="9" t="s">
        <v>8731</v>
      </c>
      <c r="T1808" s="9" t="str">
        <f t="shared" ca="1" si="68"/>
        <v/>
      </c>
      <c r="U1808" s="9" t="str">
        <f t="shared" ca="1" si="69"/>
        <v/>
      </c>
      <c r="Z1808" s="9" t="s">
        <v>8804</v>
      </c>
      <c r="AA1808" s="9" t="s">
        <v>3884</v>
      </c>
      <c r="AB1808" s="9" t="s">
        <v>8688</v>
      </c>
    </row>
    <row r="1809" spans="1:28">
      <c r="A1809" s="3" t="s">
        <v>919</v>
      </c>
      <c r="D1809" s="3" t="s">
        <v>5642</v>
      </c>
      <c r="E1809" s="3" t="s">
        <v>5643</v>
      </c>
      <c r="H1809" t="s">
        <v>3884</v>
      </c>
      <c r="J1809" s="9" t="s">
        <v>3885</v>
      </c>
      <c r="K1809" s="9">
        <v>1</v>
      </c>
      <c r="L1809" s="9">
        <v>3</v>
      </c>
      <c r="M1809" s="9" t="s">
        <v>8705</v>
      </c>
      <c r="N1809" s="9" t="s">
        <v>8690</v>
      </c>
      <c r="R1809" s="9">
        <v>1443</v>
      </c>
      <c r="T1809" s="9" t="str">
        <f t="shared" ca="1" si="68"/>
        <v/>
      </c>
      <c r="U1809" s="9" t="str">
        <f t="shared" ca="1" si="69"/>
        <v/>
      </c>
      <c r="AB1809" s="9" t="s">
        <v>8694</v>
      </c>
    </row>
    <row r="1810" spans="1:28">
      <c r="A1810" s="3" t="s">
        <v>919</v>
      </c>
      <c r="D1810" s="3" t="s">
        <v>5644</v>
      </c>
      <c r="E1810" s="3" t="s">
        <v>5645</v>
      </c>
      <c r="H1810" t="s">
        <v>3884</v>
      </c>
      <c r="J1810" s="9" t="s">
        <v>8731</v>
      </c>
      <c r="T1810" s="9" t="str">
        <f t="shared" ca="1" si="68"/>
        <v/>
      </c>
      <c r="U1810" s="9" t="str">
        <f t="shared" ca="1" si="69"/>
        <v/>
      </c>
    </row>
    <row r="1811" spans="1:28">
      <c r="A1811" s="3" t="s">
        <v>920</v>
      </c>
      <c r="D1811" s="3" t="s">
        <v>3152</v>
      </c>
      <c r="E1811" s="3" t="s">
        <v>3153</v>
      </c>
      <c r="J1811" s="9" t="s">
        <v>8729</v>
      </c>
      <c r="S1811" s="9" t="s">
        <v>8739</v>
      </c>
      <c r="T1811" s="9" t="str">
        <f t="shared" ca="1" si="68"/>
        <v/>
      </c>
      <c r="U1811" s="9" t="str">
        <f t="shared" ca="1" si="69"/>
        <v/>
      </c>
      <c r="Y1811" s="9" t="s">
        <v>8735</v>
      </c>
      <c r="Z1811" s="9" t="s">
        <v>8757</v>
      </c>
      <c r="AA1811" s="9" t="s">
        <v>3884</v>
      </c>
    </row>
    <row r="1812" spans="1:28">
      <c r="A1812" s="3" t="s">
        <v>921</v>
      </c>
      <c r="D1812" s="3" t="s">
        <v>2888</v>
      </c>
      <c r="E1812" s="3" t="s">
        <v>2889</v>
      </c>
      <c r="J1812" s="9" t="s">
        <v>8729</v>
      </c>
      <c r="S1812" s="9" t="s">
        <v>8739</v>
      </c>
      <c r="T1812" s="9" t="str">
        <f t="shared" ca="1" si="68"/>
        <v/>
      </c>
      <c r="U1812" s="9" t="str">
        <f t="shared" ca="1" si="69"/>
        <v/>
      </c>
      <c r="Y1812" s="9" t="s">
        <v>8735</v>
      </c>
      <c r="Z1812" s="9" t="s">
        <v>8757</v>
      </c>
      <c r="AA1812" s="9" t="s">
        <v>3884</v>
      </c>
    </row>
    <row r="1813" spans="1:28">
      <c r="A1813" s="3" t="s">
        <v>922</v>
      </c>
      <c r="D1813" s="3" t="s">
        <v>5646</v>
      </c>
      <c r="E1813" s="3" t="s">
        <v>5647</v>
      </c>
      <c r="H1813" t="s">
        <v>3884</v>
      </c>
      <c r="J1813" s="9" t="s">
        <v>8729</v>
      </c>
      <c r="S1813" s="9">
        <f>77-35</f>
        <v>42</v>
      </c>
      <c r="T1813" s="9">
        <f t="shared" ca="1" si="68"/>
        <v>35</v>
      </c>
      <c r="U1813" s="9">
        <f t="shared" ca="1" si="69"/>
        <v>77</v>
      </c>
    </row>
    <row r="1814" spans="1:28" ht="29">
      <c r="A1814" s="3" t="s">
        <v>923</v>
      </c>
      <c r="D1814" s="3" t="s">
        <v>5648</v>
      </c>
      <c r="E1814" s="3" t="s">
        <v>5649</v>
      </c>
      <c r="H1814" t="s">
        <v>3884</v>
      </c>
      <c r="J1814" s="9" t="s">
        <v>3885</v>
      </c>
      <c r="K1814" s="9">
        <v>1</v>
      </c>
      <c r="L1814" s="9">
        <v>3</v>
      </c>
      <c r="M1814" s="9" t="s">
        <v>8734</v>
      </c>
      <c r="N1814" s="9" t="s">
        <v>8690</v>
      </c>
      <c r="R1814" s="9" t="s">
        <v>8739</v>
      </c>
      <c r="T1814" s="9" t="str">
        <f t="shared" ca="1" si="68"/>
        <v/>
      </c>
      <c r="U1814" s="9" t="str">
        <f t="shared" ca="1" si="69"/>
        <v/>
      </c>
      <c r="AB1814" s="9" t="s">
        <v>8688</v>
      </c>
    </row>
    <row r="1815" spans="1:28">
      <c r="A1815" s="3" t="s">
        <v>924</v>
      </c>
      <c r="D1815" s="3" t="s">
        <v>5650</v>
      </c>
      <c r="E1815" s="3" t="s">
        <v>5650</v>
      </c>
      <c r="F1815" t="s">
        <v>3932</v>
      </c>
      <c r="I1815" t="s">
        <v>5651</v>
      </c>
      <c r="T1815" s="9" t="str">
        <f t="shared" ca="1" si="68"/>
        <v/>
      </c>
      <c r="U1815" s="9" t="str">
        <f t="shared" ca="1" si="69"/>
        <v/>
      </c>
    </row>
    <row r="1816" spans="1:28">
      <c r="A1816" s="3" t="s">
        <v>925</v>
      </c>
      <c r="D1816" s="3" t="s">
        <v>5652</v>
      </c>
      <c r="E1816" s="3" t="s">
        <v>5653</v>
      </c>
      <c r="H1816" t="s">
        <v>3884</v>
      </c>
      <c r="J1816" s="9" t="s">
        <v>8729</v>
      </c>
      <c r="S1816" s="9">
        <f>781-1</f>
        <v>780</v>
      </c>
      <c r="T1816" s="9">
        <f t="shared" ca="1" si="68"/>
        <v>1</v>
      </c>
      <c r="U1816" s="9">
        <f t="shared" ca="1" si="69"/>
        <v>781</v>
      </c>
      <c r="AB1816" s="9" t="s">
        <v>8694</v>
      </c>
    </row>
    <row r="1817" spans="1:28">
      <c r="A1817" s="3" t="s">
        <v>926</v>
      </c>
      <c r="D1817" s="4" t="s">
        <v>5654</v>
      </c>
      <c r="E1817" s="3" t="s">
        <v>5655</v>
      </c>
      <c r="F1817" t="s">
        <v>3883</v>
      </c>
      <c r="T1817" s="9" t="str">
        <f t="shared" ca="1" si="68"/>
        <v/>
      </c>
      <c r="U1817" s="9" t="str">
        <f t="shared" ca="1" si="69"/>
        <v/>
      </c>
    </row>
    <row r="1818" spans="1:28">
      <c r="A1818" s="3" t="s">
        <v>926</v>
      </c>
      <c r="D1818" s="3" t="s">
        <v>5656</v>
      </c>
      <c r="E1818" s="3" t="s">
        <v>5657</v>
      </c>
      <c r="F1818" t="s">
        <v>3893</v>
      </c>
      <c r="H1818" t="s">
        <v>3884</v>
      </c>
      <c r="T1818" s="9" t="str">
        <f t="shared" ca="1" si="68"/>
        <v/>
      </c>
      <c r="U1818" s="9" t="str">
        <f t="shared" ca="1" si="69"/>
        <v/>
      </c>
    </row>
    <row r="1819" spans="1:28">
      <c r="A1819" s="3" t="s">
        <v>926</v>
      </c>
      <c r="D1819" s="3" t="s">
        <v>5658</v>
      </c>
      <c r="E1819" s="3" t="s">
        <v>5659</v>
      </c>
      <c r="H1819" t="s">
        <v>3884</v>
      </c>
      <c r="J1819" s="9" t="s">
        <v>3889</v>
      </c>
      <c r="K1819" s="9">
        <v>1</v>
      </c>
      <c r="L1819" s="9">
        <v>3</v>
      </c>
      <c r="M1819" s="9" t="s">
        <v>8705</v>
      </c>
      <c r="N1819" s="9" t="s">
        <v>8690</v>
      </c>
      <c r="R1819" s="9">
        <v>991</v>
      </c>
      <c r="T1819" s="9" t="str">
        <f t="shared" ca="1" si="68"/>
        <v/>
      </c>
      <c r="U1819" s="9" t="str">
        <f t="shared" ca="1" si="69"/>
        <v/>
      </c>
    </row>
    <row r="1820" spans="1:28">
      <c r="A1820" s="3" t="s">
        <v>927</v>
      </c>
      <c r="D1820" s="3" t="s">
        <v>3155</v>
      </c>
      <c r="E1820" s="3" t="s">
        <v>3157</v>
      </c>
      <c r="J1820" s="9" t="s">
        <v>8729</v>
      </c>
      <c r="S1820" s="9" t="s">
        <v>8739</v>
      </c>
      <c r="T1820" s="9" t="str">
        <f t="shared" ca="1" si="68"/>
        <v/>
      </c>
      <c r="U1820" s="9" t="str">
        <f t="shared" ca="1" si="69"/>
        <v/>
      </c>
      <c r="Z1820" s="9" t="s">
        <v>8742</v>
      </c>
      <c r="AA1820" s="9" t="s">
        <v>3884</v>
      </c>
      <c r="AB1820" s="9" t="s">
        <v>8697</v>
      </c>
    </row>
    <row r="1821" spans="1:28" ht="29">
      <c r="A1821" s="3" t="s">
        <v>928</v>
      </c>
      <c r="D1821" s="3" t="s">
        <v>5660</v>
      </c>
      <c r="E1821" s="3" t="s">
        <v>5661</v>
      </c>
      <c r="J1821" s="9" t="s">
        <v>8729</v>
      </c>
      <c r="S1821" s="9">
        <f>3-428</f>
        <v>-425</v>
      </c>
      <c r="T1821" s="9">
        <f t="shared" ca="1" si="68"/>
        <v>428</v>
      </c>
      <c r="U1821" s="9">
        <f t="shared" ca="1" si="69"/>
        <v>3</v>
      </c>
    </row>
    <row r="1822" spans="1:28">
      <c r="A1822" s="3" t="s">
        <v>928</v>
      </c>
      <c r="D1822" s="3" t="s">
        <v>5662</v>
      </c>
      <c r="E1822" s="3" t="s">
        <v>5663</v>
      </c>
      <c r="H1822" t="s">
        <v>3884</v>
      </c>
      <c r="J1822" s="9" t="s">
        <v>8729</v>
      </c>
      <c r="Q1822" s="9" t="s">
        <v>8685</v>
      </c>
      <c r="S1822" s="9" t="s">
        <v>8739</v>
      </c>
      <c r="T1822" s="9" t="str">
        <f t="shared" ca="1" si="68"/>
        <v/>
      </c>
      <c r="U1822" s="9" t="str">
        <f t="shared" ca="1" si="69"/>
        <v/>
      </c>
      <c r="AB1822" s="9" t="s">
        <v>8688</v>
      </c>
    </row>
    <row r="1823" spans="1:28">
      <c r="A1823" s="3" t="s">
        <v>929</v>
      </c>
      <c r="D1823" s="3" t="s">
        <v>5664</v>
      </c>
      <c r="E1823" s="3" t="s">
        <v>5664</v>
      </c>
      <c r="F1823" t="s">
        <v>3932</v>
      </c>
      <c r="I1823" t="s">
        <v>5665</v>
      </c>
      <c r="T1823" s="9" t="str">
        <f t="shared" ca="1" si="68"/>
        <v/>
      </c>
      <c r="U1823" s="9" t="str">
        <f t="shared" ca="1" si="69"/>
        <v/>
      </c>
    </row>
    <row r="1824" spans="1:28">
      <c r="A1824" s="3" t="s">
        <v>930</v>
      </c>
      <c r="D1824" s="3" t="s">
        <v>5666</v>
      </c>
      <c r="E1824" s="3" t="s">
        <v>5667</v>
      </c>
      <c r="H1824" t="s">
        <v>3884</v>
      </c>
      <c r="J1824" s="9" t="s">
        <v>8731</v>
      </c>
      <c r="T1824" s="9" t="str">
        <f t="shared" ca="1" si="68"/>
        <v/>
      </c>
      <c r="U1824" s="9" t="str">
        <f t="shared" ca="1" si="69"/>
        <v/>
      </c>
    </row>
    <row r="1825" spans="1:28" ht="29">
      <c r="A1825" s="3" t="s">
        <v>931</v>
      </c>
      <c r="D1825" s="3" t="s">
        <v>9058</v>
      </c>
      <c r="E1825" s="3" t="s">
        <v>9059</v>
      </c>
      <c r="H1825" t="s">
        <v>3884</v>
      </c>
      <c r="J1825" s="9" t="s">
        <v>8731</v>
      </c>
      <c r="T1825" s="9" t="str">
        <f t="shared" ca="1" si="68"/>
        <v/>
      </c>
      <c r="U1825" s="9" t="str">
        <f t="shared" ca="1" si="69"/>
        <v/>
      </c>
    </row>
    <row r="1826" spans="1:28" ht="29">
      <c r="A1826" s="3" t="s">
        <v>931</v>
      </c>
      <c r="D1826" s="3" t="s">
        <v>5668</v>
      </c>
      <c r="E1826" s="3" t="s">
        <v>9060</v>
      </c>
      <c r="J1826" s="9" t="s">
        <v>3885</v>
      </c>
      <c r="K1826" s="9">
        <v>1</v>
      </c>
      <c r="L1826" s="9">
        <v>2</v>
      </c>
      <c r="M1826" s="9" t="s">
        <v>8689</v>
      </c>
      <c r="N1826" s="9" t="s">
        <v>8730</v>
      </c>
      <c r="R1826" s="9">
        <v>10929</v>
      </c>
      <c r="T1826" s="9" t="str">
        <f t="shared" ca="1" si="68"/>
        <v/>
      </c>
      <c r="U1826" s="9" t="str">
        <f t="shared" ca="1" si="69"/>
        <v/>
      </c>
      <c r="AB1826" s="9" t="s">
        <v>8694</v>
      </c>
    </row>
    <row r="1827" spans="1:28">
      <c r="A1827" s="3" t="s">
        <v>931</v>
      </c>
      <c r="D1827" s="3" t="s">
        <v>9061</v>
      </c>
      <c r="E1827" s="3" t="s">
        <v>9062</v>
      </c>
      <c r="H1827" t="s">
        <v>3884</v>
      </c>
      <c r="J1827" s="9" t="s">
        <v>8731</v>
      </c>
      <c r="T1827" s="9" t="str">
        <f t="shared" ca="1" si="68"/>
        <v/>
      </c>
      <c r="U1827" s="9" t="str">
        <f t="shared" ca="1" si="69"/>
        <v/>
      </c>
      <c r="AB1827" s="9" t="s">
        <v>8694</v>
      </c>
    </row>
    <row r="1828" spans="1:28" ht="29">
      <c r="A1828" s="3" t="s">
        <v>931</v>
      </c>
      <c r="D1828" s="3" t="s">
        <v>5669</v>
      </c>
      <c r="E1828" s="3" t="s">
        <v>5670</v>
      </c>
      <c r="J1828" s="9" t="s">
        <v>3889</v>
      </c>
      <c r="K1828" s="9">
        <v>1</v>
      </c>
      <c r="L1828" s="9">
        <v>2</v>
      </c>
      <c r="M1828" s="9" t="s">
        <v>8707</v>
      </c>
      <c r="N1828" s="9" t="s">
        <v>8730</v>
      </c>
      <c r="R1828" s="9">
        <v>519</v>
      </c>
      <c r="T1828" s="9" t="str">
        <f t="shared" ca="1" si="68"/>
        <v/>
      </c>
      <c r="U1828" s="9" t="str">
        <f t="shared" ca="1" si="69"/>
        <v/>
      </c>
    </row>
    <row r="1829" spans="1:28">
      <c r="A1829" s="3" t="s">
        <v>931</v>
      </c>
      <c r="D1829" s="4" t="s">
        <v>5671</v>
      </c>
      <c r="E1829" s="3" t="s">
        <v>5672</v>
      </c>
      <c r="F1829" t="s">
        <v>3883</v>
      </c>
      <c r="T1829" s="9" t="str">
        <f t="shared" ca="1" si="68"/>
        <v/>
      </c>
      <c r="U1829" s="9" t="str">
        <f t="shared" ca="1" si="69"/>
        <v/>
      </c>
    </row>
    <row r="1830" spans="1:28">
      <c r="A1830" s="3" t="s">
        <v>932</v>
      </c>
      <c r="D1830" s="3" t="s">
        <v>3159</v>
      </c>
      <c r="E1830" s="3" t="s">
        <v>3160</v>
      </c>
      <c r="H1830" t="s">
        <v>3884</v>
      </c>
      <c r="J1830" s="9" t="s">
        <v>8729</v>
      </c>
      <c r="S1830" s="9" t="s">
        <v>8739</v>
      </c>
      <c r="T1830" s="9" t="str">
        <f t="shared" ca="1" si="68"/>
        <v/>
      </c>
      <c r="U1830" s="9" t="str">
        <f t="shared" ca="1" si="69"/>
        <v/>
      </c>
      <c r="Z1830" s="9" t="s">
        <v>8861</v>
      </c>
      <c r="AA1830" s="9" t="s">
        <v>3884</v>
      </c>
    </row>
    <row r="1831" spans="1:28">
      <c r="A1831" s="3" t="s">
        <v>932</v>
      </c>
      <c r="D1831" s="3" t="s">
        <v>5673</v>
      </c>
      <c r="E1831" s="3" t="s">
        <v>5674</v>
      </c>
      <c r="H1831" t="s">
        <v>3884</v>
      </c>
      <c r="J1831" s="9" t="s">
        <v>3885</v>
      </c>
      <c r="K1831" s="9">
        <v>1</v>
      </c>
      <c r="L1831" s="9">
        <v>2</v>
      </c>
      <c r="M1831" s="9" t="s">
        <v>8707</v>
      </c>
      <c r="N1831" s="9" t="s">
        <v>8730</v>
      </c>
      <c r="Q1831" s="9" t="s">
        <v>8685</v>
      </c>
      <c r="R1831" s="9">
        <v>1942</v>
      </c>
      <c r="T1831" s="9" t="str">
        <f t="shared" ca="1" si="68"/>
        <v/>
      </c>
      <c r="U1831" s="9" t="str">
        <f t="shared" ca="1" si="69"/>
        <v/>
      </c>
      <c r="AB1831" s="9" t="s">
        <v>8694</v>
      </c>
    </row>
    <row r="1832" spans="1:28">
      <c r="A1832" s="3" t="s">
        <v>933</v>
      </c>
      <c r="D1832" s="3" t="s">
        <v>5675</v>
      </c>
      <c r="E1832" s="3" t="s">
        <v>5676</v>
      </c>
      <c r="H1832" t="s">
        <v>3884</v>
      </c>
      <c r="J1832" s="9" t="s">
        <v>3885</v>
      </c>
      <c r="K1832" s="9">
        <v>1</v>
      </c>
      <c r="L1832" s="9">
        <v>3</v>
      </c>
      <c r="M1832" s="9" t="s">
        <v>8698</v>
      </c>
      <c r="N1832" s="9" t="s">
        <v>8690</v>
      </c>
      <c r="R1832" s="9">
        <v>9418</v>
      </c>
      <c r="T1832" s="9" t="str">
        <f t="shared" ca="1" si="68"/>
        <v/>
      </c>
      <c r="U1832" s="9" t="str">
        <f t="shared" ca="1" si="69"/>
        <v/>
      </c>
    </row>
    <row r="1833" spans="1:28">
      <c r="A1833" s="3" t="s">
        <v>933</v>
      </c>
      <c r="D1833" s="3" t="s">
        <v>3161</v>
      </c>
      <c r="E1833" s="3" t="s">
        <v>3162</v>
      </c>
      <c r="J1833" s="9" t="s">
        <v>8729</v>
      </c>
      <c r="S1833" s="9" t="s">
        <v>8739</v>
      </c>
      <c r="T1833" s="9" t="str">
        <f t="shared" ca="1" si="68"/>
        <v/>
      </c>
      <c r="U1833" s="9" t="str">
        <f t="shared" ca="1" si="69"/>
        <v/>
      </c>
      <c r="Y1833" s="9" t="s">
        <v>8735</v>
      </c>
      <c r="Z1833" s="9" t="s">
        <v>8742</v>
      </c>
      <c r="AA1833" s="9" t="s">
        <v>3884</v>
      </c>
    </row>
    <row r="1834" spans="1:28">
      <c r="A1834" s="3" t="s">
        <v>933</v>
      </c>
      <c r="D1834" s="3" t="s">
        <v>5678</v>
      </c>
      <c r="E1834" s="3" t="s">
        <v>5677</v>
      </c>
      <c r="J1834" s="9" t="s">
        <v>8729</v>
      </c>
      <c r="S1834" s="9" t="s">
        <v>8739</v>
      </c>
      <c r="T1834" s="9" t="str">
        <f t="shared" ca="1" si="68"/>
        <v/>
      </c>
      <c r="U1834" s="9" t="str">
        <f t="shared" ca="1" si="69"/>
        <v/>
      </c>
      <c r="Z1834" s="9" t="s">
        <v>8742</v>
      </c>
      <c r="AA1834" s="9" t="s">
        <v>3884</v>
      </c>
    </row>
    <row r="1835" spans="1:28">
      <c r="A1835" s="3" t="s">
        <v>933</v>
      </c>
      <c r="D1835" s="3" t="s">
        <v>5679</v>
      </c>
      <c r="E1835" s="3" t="s">
        <v>5680</v>
      </c>
      <c r="J1835" s="9" t="s">
        <v>8729</v>
      </c>
      <c r="S1835" s="9" t="s">
        <v>8739</v>
      </c>
      <c r="T1835" s="9" t="str">
        <f t="shared" ca="1" si="68"/>
        <v/>
      </c>
      <c r="U1835" s="9" t="str">
        <f t="shared" ca="1" si="69"/>
        <v/>
      </c>
      <c r="Z1835" s="9" t="s">
        <v>8742</v>
      </c>
      <c r="AA1835" s="9" t="s">
        <v>3884</v>
      </c>
    </row>
    <row r="1836" spans="1:28">
      <c r="A1836" s="3" t="s">
        <v>934</v>
      </c>
      <c r="D1836" s="3" t="s">
        <v>3161</v>
      </c>
      <c r="E1836" s="3" t="s">
        <v>3162</v>
      </c>
      <c r="J1836" s="9" t="s">
        <v>8729</v>
      </c>
      <c r="S1836" s="9" t="s">
        <v>8739</v>
      </c>
      <c r="T1836" s="9" t="str">
        <f t="shared" ca="1" si="68"/>
        <v/>
      </c>
      <c r="U1836" s="9" t="str">
        <f t="shared" ca="1" si="69"/>
        <v/>
      </c>
      <c r="Z1836" s="9" t="s">
        <v>8742</v>
      </c>
      <c r="AA1836" s="9" t="s">
        <v>3884</v>
      </c>
    </row>
    <row r="1837" spans="1:28">
      <c r="A1837" s="3" t="s">
        <v>935</v>
      </c>
      <c r="D1837" s="3" t="s">
        <v>2806</v>
      </c>
      <c r="E1837" s="3" t="s">
        <v>2255</v>
      </c>
      <c r="J1837" s="9" t="s">
        <v>8731</v>
      </c>
      <c r="T1837" s="9" t="str">
        <f t="shared" ca="1" si="68"/>
        <v/>
      </c>
      <c r="U1837" s="9" t="str">
        <f t="shared" ca="1" si="69"/>
        <v/>
      </c>
      <c r="Z1837" s="9" t="s">
        <v>8742</v>
      </c>
      <c r="AA1837" s="9" t="s">
        <v>3884</v>
      </c>
      <c r="AB1837" s="9" t="s">
        <v>8697</v>
      </c>
    </row>
    <row r="1838" spans="1:28">
      <c r="A1838" s="3" t="s">
        <v>936</v>
      </c>
      <c r="D1838" s="3" t="s">
        <v>5681</v>
      </c>
      <c r="E1838" s="3" t="s">
        <v>5682</v>
      </c>
      <c r="J1838" s="9" t="s">
        <v>8731</v>
      </c>
      <c r="T1838" s="9" t="str">
        <f t="shared" ca="1" si="68"/>
        <v/>
      </c>
      <c r="U1838" s="9" t="str">
        <f t="shared" ca="1" si="69"/>
        <v/>
      </c>
      <c r="AB1838" s="9" t="s">
        <v>8697</v>
      </c>
    </row>
    <row r="1839" spans="1:28">
      <c r="A1839" s="3" t="s">
        <v>937</v>
      </c>
      <c r="D1839" s="3" t="s">
        <v>3161</v>
      </c>
      <c r="E1839" s="3" t="s">
        <v>3162</v>
      </c>
      <c r="J1839" s="9" t="s">
        <v>8729</v>
      </c>
      <c r="S1839" s="9" t="s">
        <v>8739</v>
      </c>
      <c r="T1839" s="9" t="str">
        <f t="shared" ca="1" si="68"/>
        <v/>
      </c>
      <c r="U1839" s="9" t="str">
        <f t="shared" ca="1" si="69"/>
        <v/>
      </c>
      <c r="Z1839" s="9" t="s">
        <v>8742</v>
      </c>
      <c r="AA1839" s="9" t="s">
        <v>3884</v>
      </c>
    </row>
    <row r="1840" spans="1:28">
      <c r="A1840" s="3" t="s">
        <v>937</v>
      </c>
      <c r="D1840" s="3" t="s">
        <v>3163</v>
      </c>
      <c r="E1840" s="3" t="s">
        <v>3164</v>
      </c>
      <c r="J1840" s="9" t="s">
        <v>8729</v>
      </c>
      <c r="S1840" s="9" t="s">
        <v>8739</v>
      </c>
      <c r="T1840" s="9" t="str">
        <f t="shared" ca="1" si="68"/>
        <v/>
      </c>
      <c r="U1840" s="9" t="str">
        <f t="shared" ca="1" si="69"/>
        <v/>
      </c>
      <c r="Z1840" s="9" t="s">
        <v>8742</v>
      </c>
      <c r="AA1840" s="9" t="s">
        <v>3884</v>
      </c>
      <c r="AB1840" s="9" t="s">
        <v>8697</v>
      </c>
    </row>
    <row r="1841" spans="1:28">
      <c r="A1841" s="3" t="s">
        <v>938</v>
      </c>
      <c r="D1841" s="3" t="s">
        <v>9624</v>
      </c>
      <c r="E1841" s="3" t="s">
        <v>9625</v>
      </c>
      <c r="F1841" t="s">
        <v>3890</v>
      </c>
      <c r="J1841" s="9" t="s">
        <v>8731</v>
      </c>
      <c r="T1841" s="9" t="str">
        <f t="shared" ca="1" si="68"/>
        <v/>
      </c>
      <c r="U1841" s="9" t="str">
        <f t="shared" ca="1" si="69"/>
        <v/>
      </c>
      <c r="AB1841" s="9" t="s">
        <v>8694</v>
      </c>
    </row>
    <row r="1842" spans="1:28">
      <c r="A1842" s="3" t="s">
        <v>938</v>
      </c>
      <c r="D1842" s="3" t="s">
        <v>3165</v>
      </c>
      <c r="E1842" s="3" t="s">
        <v>3076</v>
      </c>
      <c r="J1842" s="9" t="s">
        <v>8729</v>
      </c>
      <c r="S1842" s="9" t="s">
        <v>8739</v>
      </c>
      <c r="T1842" s="9" t="str">
        <f t="shared" ca="1" si="68"/>
        <v/>
      </c>
      <c r="U1842" s="9" t="str">
        <f t="shared" ca="1" si="69"/>
        <v/>
      </c>
      <c r="Y1842" s="9" t="s">
        <v>8735</v>
      </c>
      <c r="AA1842" s="9" t="s">
        <v>3884</v>
      </c>
    </row>
    <row r="1843" spans="1:28">
      <c r="A1843" s="3" t="s">
        <v>938</v>
      </c>
      <c r="D1843" s="3" t="s">
        <v>5683</v>
      </c>
      <c r="E1843" s="3" t="s">
        <v>5684</v>
      </c>
      <c r="F1843" t="s">
        <v>3932</v>
      </c>
      <c r="I1843" t="s">
        <v>5685</v>
      </c>
      <c r="T1843" s="9" t="str">
        <f t="shared" ca="1" si="68"/>
        <v/>
      </c>
      <c r="U1843" s="9" t="str">
        <f t="shared" ca="1" si="69"/>
        <v/>
      </c>
    </row>
    <row r="1844" spans="1:28">
      <c r="A1844" s="3" t="s">
        <v>938</v>
      </c>
      <c r="D1844" s="3" t="s">
        <v>3166</v>
      </c>
      <c r="E1844" s="3" t="s">
        <v>3167</v>
      </c>
      <c r="J1844" s="9" t="s">
        <v>8731</v>
      </c>
      <c r="T1844" s="9" t="str">
        <f t="shared" ca="1" si="68"/>
        <v/>
      </c>
      <c r="U1844" s="9" t="str">
        <f t="shared" ca="1" si="69"/>
        <v/>
      </c>
      <c r="Z1844" s="9" t="s">
        <v>8747</v>
      </c>
      <c r="AA1844" s="9" t="s">
        <v>3884</v>
      </c>
      <c r="AB1844" s="9" t="s">
        <v>8697</v>
      </c>
    </row>
    <row r="1845" spans="1:28">
      <c r="A1845" s="3" t="s">
        <v>938</v>
      </c>
      <c r="D1845" s="3" t="s">
        <v>3161</v>
      </c>
      <c r="E1845" s="3" t="s">
        <v>3162</v>
      </c>
      <c r="J1845" s="9" t="s">
        <v>8729</v>
      </c>
      <c r="S1845" s="9" t="s">
        <v>8739</v>
      </c>
      <c r="T1845" s="9" t="str">
        <f t="shared" ca="1" si="68"/>
        <v/>
      </c>
      <c r="U1845" s="9" t="str">
        <f t="shared" ca="1" si="69"/>
        <v/>
      </c>
      <c r="Z1845" s="9" t="s">
        <v>8742</v>
      </c>
      <c r="AA1845" s="9" t="s">
        <v>3884</v>
      </c>
    </row>
    <row r="1846" spans="1:28">
      <c r="A1846" s="3" t="s">
        <v>939</v>
      </c>
      <c r="D1846" s="3" t="s">
        <v>5686</v>
      </c>
      <c r="E1846" s="3" t="s">
        <v>5686</v>
      </c>
      <c r="F1846" t="s">
        <v>3932</v>
      </c>
      <c r="I1846" t="s">
        <v>5687</v>
      </c>
      <c r="T1846" s="9" t="str">
        <f t="shared" ca="1" si="68"/>
        <v/>
      </c>
      <c r="U1846" s="9" t="str">
        <f t="shared" ca="1" si="69"/>
        <v/>
      </c>
    </row>
    <row r="1847" spans="1:28" ht="29">
      <c r="A1847" s="3" t="s">
        <v>939</v>
      </c>
      <c r="D1847" s="3" t="s">
        <v>5688</v>
      </c>
      <c r="E1847" s="3" t="s">
        <v>5689</v>
      </c>
      <c r="J1847" s="9" t="s">
        <v>3889</v>
      </c>
      <c r="K1847" s="9">
        <v>1</v>
      </c>
      <c r="L1847" s="9">
        <v>3</v>
      </c>
      <c r="M1847" s="9" t="s">
        <v>8689</v>
      </c>
      <c r="N1847" s="9" t="s">
        <v>8690</v>
      </c>
      <c r="R1847" s="9">
        <v>10929</v>
      </c>
      <c r="T1847" s="9" t="str">
        <f t="shared" ca="1" si="68"/>
        <v/>
      </c>
      <c r="U1847" s="9" t="str">
        <f t="shared" ca="1" si="69"/>
        <v/>
      </c>
      <c r="AB1847" s="9" t="s">
        <v>8700</v>
      </c>
    </row>
    <row r="1848" spans="1:28" ht="29">
      <c r="A1848" s="3" t="s">
        <v>940</v>
      </c>
      <c r="D1848" s="3" t="s">
        <v>5690</v>
      </c>
      <c r="E1848" s="3" t="s">
        <v>5691</v>
      </c>
      <c r="F1848" t="s">
        <v>3893</v>
      </c>
      <c r="H1848" t="s">
        <v>3884</v>
      </c>
      <c r="T1848" s="9" t="str">
        <f t="shared" ca="1" si="68"/>
        <v/>
      </c>
      <c r="U1848" s="9" t="str">
        <f t="shared" ca="1" si="69"/>
        <v/>
      </c>
    </row>
    <row r="1849" spans="1:28">
      <c r="A1849" s="3" t="s">
        <v>941</v>
      </c>
      <c r="D1849" s="3" t="s">
        <v>3168</v>
      </c>
      <c r="E1849" s="3" t="s">
        <v>3169</v>
      </c>
      <c r="G1849" t="s">
        <v>3884</v>
      </c>
      <c r="J1849" s="9" t="s">
        <v>8729</v>
      </c>
      <c r="S1849" s="9" t="s">
        <v>8739</v>
      </c>
      <c r="T1849" s="9" t="str">
        <f t="shared" ca="1" si="68"/>
        <v/>
      </c>
      <c r="U1849" s="9" t="str">
        <f t="shared" ca="1" si="69"/>
        <v/>
      </c>
      <c r="AB1849" s="9" t="s">
        <v>8697</v>
      </c>
    </row>
    <row r="1850" spans="1:28">
      <c r="A1850" s="3" t="s">
        <v>941</v>
      </c>
      <c r="D1850" s="3" t="s">
        <v>5692</v>
      </c>
      <c r="E1850" s="3" t="s">
        <v>5693</v>
      </c>
      <c r="J1850" s="9" t="s">
        <v>3889</v>
      </c>
      <c r="K1850" s="9">
        <v>1</v>
      </c>
      <c r="L1850" s="9">
        <v>7</v>
      </c>
      <c r="M1850" s="9" t="s">
        <v>8703</v>
      </c>
      <c r="N1850" s="9" t="s">
        <v>8690</v>
      </c>
      <c r="R1850" s="9">
        <v>20</v>
      </c>
      <c r="T1850" s="9" t="str">
        <f t="shared" ca="1" si="68"/>
        <v/>
      </c>
      <c r="U1850" s="9" t="str">
        <f t="shared" ca="1" si="69"/>
        <v/>
      </c>
    </row>
    <row r="1851" spans="1:28">
      <c r="A1851" s="3" t="s">
        <v>941</v>
      </c>
      <c r="D1851" s="3" t="s">
        <v>3161</v>
      </c>
      <c r="E1851" s="3" t="s">
        <v>3162</v>
      </c>
      <c r="J1851" s="9" t="s">
        <v>8729</v>
      </c>
      <c r="S1851" s="9" t="s">
        <v>8739</v>
      </c>
      <c r="T1851" s="9" t="str">
        <f t="shared" ca="1" si="68"/>
        <v/>
      </c>
      <c r="U1851" s="9" t="str">
        <f t="shared" ca="1" si="69"/>
        <v/>
      </c>
      <c r="Y1851" s="9" t="s">
        <v>8735</v>
      </c>
      <c r="Z1851" s="9" t="s">
        <v>8742</v>
      </c>
      <c r="AA1851" s="9" t="s">
        <v>3884</v>
      </c>
    </row>
    <row r="1852" spans="1:28">
      <c r="A1852" s="3" t="s">
        <v>942</v>
      </c>
      <c r="D1852" s="3" t="s">
        <v>5694</v>
      </c>
      <c r="E1852" s="3" t="s">
        <v>5695</v>
      </c>
      <c r="H1852" t="s">
        <v>3884</v>
      </c>
      <c r="J1852" s="9" t="s">
        <v>3885</v>
      </c>
      <c r="K1852" s="9">
        <v>1</v>
      </c>
      <c r="L1852" s="9">
        <v>1</v>
      </c>
      <c r="M1852" s="9" t="s">
        <v>8689</v>
      </c>
      <c r="N1852" s="9" t="s">
        <v>8730</v>
      </c>
      <c r="R1852" s="9">
        <v>10929</v>
      </c>
      <c r="T1852" s="9" t="str">
        <f t="shared" ca="1" si="68"/>
        <v/>
      </c>
      <c r="U1852" s="9" t="str">
        <f t="shared" ca="1" si="69"/>
        <v/>
      </c>
    </row>
    <row r="1853" spans="1:28">
      <c r="A1853" s="3" t="s">
        <v>943</v>
      </c>
      <c r="D1853" s="3" t="s">
        <v>5048</v>
      </c>
      <c r="E1853" s="3" t="s">
        <v>3947</v>
      </c>
      <c r="J1853" s="9" t="s">
        <v>8731</v>
      </c>
      <c r="T1853" s="9" t="str">
        <f t="shared" ca="1" si="68"/>
        <v/>
      </c>
      <c r="U1853" s="9" t="str">
        <f t="shared" ca="1" si="69"/>
        <v/>
      </c>
      <c r="Y1853" s="9" t="s">
        <v>9282</v>
      </c>
      <c r="AA1853" s="9" t="s">
        <v>3884</v>
      </c>
    </row>
    <row r="1854" spans="1:28">
      <c r="A1854" s="3" t="s">
        <v>943</v>
      </c>
      <c r="D1854" s="3" t="s">
        <v>2420</v>
      </c>
      <c r="E1854" s="3" t="s">
        <v>2421</v>
      </c>
      <c r="J1854" s="9" t="s">
        <v>8731</v>
      </c>
      <c r="T1854" s="9" t="str">
        <f t="shared" ca="1" si="68"/>
        <v/>
      </c>
      <c r="U1854" s="9" t="str">
        <f t="shared" ca="1" si="69"/>
        <v/>
      </c>
      <c r="Z1854" s="9" t="s">
        <v>8742</v>
      </c>
      <c r="AA1854" s="9" t="s">
        <v>3884</v>
      </c>
    </row>
    <row r="1855" spans="1:28">
      <c r="A1855" s="3" t="s">
        <v>943</v>
      </c>
      <c r="D1855" s="3" t="s">
        <v>2526</v>
      </c>
      <c r="E1855" s="3" t="s">
        <v>2527</v>
      </c>
      <c r="J1855" s="9" t="s">
        <v>8731</v>
      </c>
      <c r="T1855" s="9" t="str">
        <f t="shared" ca="1" si="68"/>
        <v/>
      </c>
      <c r="U1855" s="9" t="str">
        <f t="shared" ca="1" si="69"/>
        <v/>
      </c>
      <c r="Z1855" s="9" t="s">
        <v>8742</v>
      </c>
      <c r="AA1855" s="9" t="s">
        <v>3884</v>
      </c>
    </row>
    <row r="1856" spans="1:28">
      <c r="A1856" s="3" t="s">
        <v>944</v>
      </c>
      <c r="D1856" s="3" t="s">
        <v>5696</v>
      </c>
      <c r="E1856" s="3" t="s">
        <v>5697</v>
      </c>
      <c r="H1856" t="s">
        <v>3884</v>
      </c>
      <c r="J1856" s="9" t="s">
        <v>3885</v>
      </c>
      <c r="K1856" s="9">
        <v>1</v>
      </c>
      <c r="L1856" s="9">
        <v>2</v>
      </c>
      <c r="M1856" s="9" t="s">
        <v>8705</v>
      </c>
      <c r="N1856" s="9" t="s">
        <v>8730</v>
      </c>
      <c r="R1856" s="9">
        <v>7</v>
      </c>
      <c r="T1856" s="9" t="str">
        <f t="shared" ca="1" si="68"/>
        <v/>
      </c>
      <c r="U1856" s="9" t="str">
        <f t="shared" ca="1" si="69"/>
        <v/>
      </c>
      <c r="AB1856" s="9" t="s">
        <v>8694</v>
      </c>
    </row>
    <row r="1857" spans="1:28">
      <c r="A1857" s="3" t="s">
        <v>944</v>
      </c>
      <c r="D1857" s="3" t="s">
        <v>3161</v>
      </c>
      <c r="E1857" s="3" t="s">
        <v>3162</v>
      </c>
      <c r="J1857" s="9" t="s">
        <v>8729</v>
      </c>
      <c r="S1857" s="9" t="s">
        <v>8739</v>
      </c>
      <c r="T1857" s="9" t="str">
        <f t="shared" ca="1" si="68"/>
        <v/>
      </c>
      <c r="U1857" s="9" t="str">
        <f t="shared" ca="1" si="69"/>
        <v/>
      </c>
      <c r="Y1857" s="9" t="s">
        <v>8735</v>
      </c>
      <c r="Z1857" s="9" t="s">
        <v>8742</v>
      </c>
      <c r="AA1857" s="9" t="s">
        <v>3884</v>
      </c>
    </row>
    <row r="1858" spans="1:28">
      <c r="A1858" s="3" t="s">
        <v>945</v>
      </c>
      <c r="D1858" s="3" t="s">
        <v>5698</v>
      </c>
      <c r="E1858" s="3" t="s">
        <v>3170</v>
      </c>
      <c r="H1858" t="s">
        <v>3884</v>
      </c>
      <c r="J1858" s="9" t="s">
        <v>8729</v>
      </c>
      <c r="S1858" s="9" t="s">
        <v>8739</v>
      </c>
      <c r="T1858" s="9" t="str">
        <f t="shared" ca="1" si="68"/>
        <v/>
      </c>
      <c r="U1858" s="9" t="str">
        <f t="shared" ca="1" si="69"/>
        <v/>
      </c>
      <c r="Y1858" s="9" t="s">
        <v>8735</v>
      </c>
      <c r="AA1858" s="9" t="s">
        <v>3884</v>
      </c>
    </row>
    <row r="1859" spans="1:28">
      <c r="A1859" s="3" t="s">
        <v>946</v>
      </c>
      <c r="D1859" s="3" t="s">
        <v>5698</v>
      </c>
      <c r="E1859" s="3" t="s">
        <v>3171</v>
      </c>
      <c r="H1859" t="s">
        <v>3884</v>
      </c>
      <c r="J1859" s="9" t="s">
        <v>8729</v>
      </c>
      <c r="S1859" s="9" t="s">
        <v>8739</v>
      </c>
      <c r="T1859" s="9" t="str">
        <f t="shared" ca="1" si="68"/>
        <v/>
      </c>
      <c r="U1859" s="9" t="str">
        <f t="shared" ca="1" si="69"/>
        <v/>
      </c>
      <c r="Y1859" s="9" t="s">
        <v>8735</v>
      </c>
      <c r="AA1859" s="9" t="s">
        <v>3884</v>
      </c>
    </row>
    <row r="1860" spans="1:28">
      <c r="A1860" s="3" t="s">
        <v>946</v>
      </c>
      <c r="D1860" s="3" t="s">
        <v>3172</v>
      </c>
      <c r="E1860" s="3" t="s">
        <v>3173</v>
      </c>
      <c r="F1860" t="s">
        <v>3890</v>
      </c>
      <c r="J1860" s="9" t="s">
        <v>8729</v>
      </c>
      <c r="S1860" s="9" t="s">
        <v>8739</v>
      </c>
      <c r="T1860" s="9" t="str">
        <f t="shared" ref="T1860:T1923" ca="1" si="70">IF(ISNUMBER(S1860),VALUE(MID(_xlfn.FORMULATEXT(S1860),SEARCH("-",_xlfn.FORMULATEXT(S1860))+1,LEN(_xlfn.FORMULATEXT(S1860))-SEARCH("-",_xlfn.FORMULATEXT(S1860)))), "")</f>
        <v/>
      </c>
      <c r="U1860" s="9" t="str">
        <f t="shared" ref="U1860:U1923" ca="1" si="71">IF(ISNUMBER(S1860), VALUE(MID(_xlfn.FORMULATEXT(S1860), 2, SEARCH("-", _xlfn.FORMULATEXT(S1860)) - 2)), "")</f>
        <v/>
      </c>
      <c r="AB1860" s="9" t="s">
        <v>8697</v>
      </c>
    </row>
    <row r="1861" spans="1:28">
      <c r="A1861" s="3" t="s">
        <v>946</v>
      </c>
      <c r="D1861" s="3" t="s">
        <v>3174</v>
      </c>
      <c r="E1861" s="3" t="s">
        <v>3175</v>
      </c>
      <c r="J1861" s="9" t="s">
        <v>8729</v>
      </c>
      <c r="Q1861" s="9" t="s">
        <v>8685</v>
      </c>
      <c r="S1861" s="9" t="s">
        <v>8739</v>
      </c>
      <c r="T1861" s="9" t="str">
        <f t="shared" ca="1" si="70"/>
        <v/>
      </c>
      <c r="U1861" s="9" t="str">
        <f t="shared" ca="1" si="71"/>
        <v/>
      </c>
      <c r="AB1861" s="9" t="s">
        <v>8697</v>
      </c>
    </row>
    <row r="1862" spans="1:28">
      <c r="A1862" s="3" t="s">
        <v>947</v>
      </c>
      <c r="D1862" s="3" t="s">
        <v>9626</v>
      </c>
      <c r="E1862" s="3" t="s">
        <v>9627</v>
      </c>
      <c r="J1862" s="9" t="s">
        <v>8731</v>
      </c>
      <c r="T1862" s="9" t="str">
        <f t="shared" ca="1" si="70"/>
        <v/>
      </c>
      <c r="U1862" s="9" t="str">
        <f t="shared" ca="1" si="71"/>
        <v/>
      </c>
      <c r="Z1862" s="9" t="s">
        <v>8742</v>
      </c>
      <c r="AA1862" s="9" t="s">
        <v>3884</v>
      </c>
    </row>
    <row r="1863" spans="1:28" ht="29">
      <c r="A1863" s="3" t="s">
        <v>947</v>
      </c>
      <c r="D1863" s="3" t="s">
        <v>5700</v>
      </c>
      <c r="E1863" s="3" t="s">
        <v>5701</v>
      </c>
      <c r="F1863" t="s">
        <v>4397</v>
      </c>
      <c r="J1863" s="9" t="s">
        <v>8731</v>
      </c>
      <c r="T1863" s="9" t="str">
        <f t="shared" ca="1" si="70"/>
        <v/>
      </c>
      <c r="U1863" s="9" t="str">
        <f t="shared" ca="1" si="71"/>
        <v/>
      </c>
    </row>
    <row r="1864" spans="1:28" ht="29">
      <c r="A1864" s="3" t="s">
        <v>947</v>
      </c>
      <c r="D1864" s="3" t="s">
        <v>5699</v>
      </c>
      <c r="E1864" s="3" t="s">
        <v>5702</v>
      </c>
      <c r="F1864" t="s">
        <v>3893</v>
      </c>
      <c r="T1864" s="9" t="str">
        <f t="shared" ca="1" si="70"/>
        <v/>
      </c>
      <c r="U1864" s="9" t="str">
        <f t="shared" ca="1" si="71"/>
        <v/>
      </c>
    </row>
    <row r="1865" spans="1:28">
      <c r="A1865" s="3" t="s">
        <v>947</v>
      </c>
      <c r="D1865" s="3" t="s">
        <v>9628</v>
      </c>
      <c r="E1865" s="3" t="s">
        <v>9629</v>
      </c>
      <c r="J1865" s="9" t="s">
        <v>8731</v>
      </c>
      <c r="T1865" s="9" t="str">
        <f t="shared" ca="1" si="70"/>
        <v/>
      </c>
      <c r="U1865" s="9" t="str">
        <f t="shared" ca="1" si="71"/>
        <v/>
      </c>
      <c r="Z1865" s="9" t="s">
        <v>8742</v>
      </c>
      <c r="AA1865" s="9" t="s">
        <v>3884</v>
      </c>
    </row>
    <row r="1866" spans="1:28">
      <c r="A1866" s="3" t="s">
        <v>948</v>
      </c>
      <c r="D1866" s="3" t="s">
        <v>3161</v>
      </c>
      <c r="E1866" s="3" t="s">
        <v>3162</v>
      </c>
      <c r="J1866" s="9" t="s">
        <v>8729</v>
      </c>
      <c r="S1866" s="9" t="s">
        <v>8739</v>
      </c>
      <c r="T1866" s="9" t="str">
        <f t="shared" ca="1" si="70"/>
        <v/>
      </c>
      <c r="U1866" s="9" t="str">
        <f t="shared" ca="1" si="71"/>
        <v/>
      </c>
      <c r="Y1866" s="9" t="s">
        <v>8735</v>
      </c>
      <c r="Z1866" s="9" t="s">
        <v>8742</v>
      </c>
      <c r="AA1866" s="9" t="s">
        <v>3884</v>
      </c>
    </row>
    <row r="1867" spans="1:28">
      <c r="A1867" s="3" t="s">
        <v>949</v>
      </c>
      <c r="D1867" s="3" t="s">
        <v>3161</v>
      </c>
      <c r="E1867" s="3" t="s">
        <v>3162</v>
      </c>
      <c r="J1867" s="9" t="s">
        <v>8729</v>
      </c>
      <c r="S1867" s="9" t="s">
        <v>8739</v>
      </c>
      <c r="T1867" s="9" t="str">
        <f t="shared" ca="1" si="70"/>
        <v/>
      </c>
      <c r="U1867" s="9" t="str">
        <f t="shared" ca="1" si="71"/>
        <v/>
      </c>
      <c r="Y1867" s="9" t="s">
        <v>8735</v>
      </c>
      <c r="Z1867" s="9" t="s">
        <v>8742</v>
      </c>
      <c r="AA1867" s="9" t="s">
        <v>3884</v>
      </c>
    </row>
    <row r="1868" spans="1:28">
      <c r="A1868" s="3" t="s">
        <v>949</v>
      </c>
      <c r="D1868" s="3" t="s">
        <v>5703</v>
      </c>
      <c r="E1868" s="3" t="s">
        <v>5704</v>
      </c>
      <c r="J1868" s="9" t="s">
        <v>3889</v>
      </c>
      <c r="K1868" s="9">
        <v>1</v>
      </c>
      <c r="L1868" s="9">
        <v>2</v>
      </c>
      <c r="M1868" s="9" t="s">
        <v>8689</v>
      </c>
      <c r="N1868" s="9" t="s">
        <v>8730</v>
      </c>
      <c r="R1868" s="9">
        <v>10929</v>
      </c>
      <c r="T1868" s="9" t="str">
        <f t="shared" ca="1" si="70"/>
        <v/>
      </c>
      <c r="U1868" s="9" t="str">
        <f t="shared" ca="1" si="71"/>
        <v/>
      </c>
    </row>
    <row r="1869" spans="1:28">
      <c r="A1869" s="3" t="s">
        <v>949</v>
      </c>
      <c r="D1869" s="3" t="s">
        <v>2674</v>
      </c>
      <c r="E1869" s="3" t="s">
        <v>2674</v>
      </c>
      <c r="F1869" t="s">
        <v>3932</v>
      </c>
      <c r="I1869" t="s">
        <v>2359</v>
      </c>
      <c r="T1869" s="9" t="str">
        <f t="shared" ca="1" si="70"/>
        <v/>
      </c>
      <c r="U1869" s="9" t="str">
        <f t="shared" ca="1" si="71"/>
        <v/>
      </c>
    </row>
    <row r="1870" spans="1:28">
      <c r="A1870" s="3" t="s">
        <v>950</v>
      </c>
      <c r="D1870" s="3" t="s">
        <v>3176</v>
      </c>
      <c r="E1870" s="3" t="s">
        <v>3177</v>
      </c>
      <c r="J1870" s="9" t="s">
        <v>8731</v>
      </c>
      <c r="T1870" s="9" t="str">
        <f t="shared" ca="1" si="70"/>
        <v/>
      </c>
      <c r="U1870" s="9" t="str">
        <f t="shared" ca="1" si="71"/>
        <v/>
      </c>
      <c r="Z1870" s="9" t="s">
        <v>8741</v>
      </c>
      <c r="AA1870" s="9" t="s">
        <v>3884</v>
      </c>
    </row>
    <row r="1871" spans="1:28">
      <c r="A1871" s="3" t="s">
        <v>950</v>
      </c>
      <c r="D1871" s="3" t="s">
        <v>5705</v>
      </c>
      <c r="E1871" s="3" t="s">
        <v>5706</v>
      </c>
      <c r="J1871" s="9" t="s">
        <v>3885</v>
      </c>
      <c r="K1871" s="9">
        <v>1</v>
      </c>
      <c r="L1871" s="9">
        <v>3</v>
      </c>
      <c r="M1871" s="9" t="s">
        <v>8689</v>
      </c>
      <c r="N1871" s="9" t="s">
        <v>8690</v>
      </c>
      <c r="R1871" s="9">
        <v>10929</v>
      </c>
      <c r="T1871" s="9" t="str">
        <f t="shared" ca="1" si="70"/>
        <v/>
      </c>
      <c r="U1871" s="9" t="str">
        <f t="shared" ca="1" si="71"/>
        <v/>
      </c>
    </row>
    <row r="1872" spans="1:28">
      <c r="A1872" s="3" t="s">
        <v>951</v>
      </c>
      <c r="D1872" s="4" t="s">
        <v>5707</v>
      </c>
      <c r="E1872" s="3" t="s">
        <v>5708</v>
      </c>
      <c r="F1872" t="s">
        <v>3881</v>
      </c>
      <c r="T1872" s="9" t="str">
        <f t="shared" ca="1" si="70"/>
        <v/>
      </c>
      <c r="U1872" s="9" t="str">
        <f t="shared" ca="1" si="71"/>
        <v/>
      </c>
    </row>
    <row r="1873" spans="1:29">
      <c r="A1873" s="3" t="s">
        <v>951</v>
      </c>
      <c r="D1873" s="3" t="s">
        <v>5709</v>
      </c>
      <c r="E1873" s="3" t="s">
        <v>5710</v>
      </c>
      <c r="J1873" s="9" t="s">
        <v>3885</v>
      </c>
      <c r="K1873" s="9">
        <v>1</v>
      </c>
      <c r="L1873" s="9">
        <v>2</v>
      </c>
      <c r="M1873" s="9" t="s">
        <v>8689</v>
      </c>
      <c r="N1873" s="9" t="s">
        <v>8730</v>
      </c>
      <c r="R1873" s="9">
        <v>10929</v>
      </c>
      <c r="T1873" s="9" t="str">
        <f t="shared" ca="1" si="70"/>
        <v/>
      </c>
      <c r="U1873" s="9" t="str">
        <f t="shared" ca="1" si="71"/>
        <v/>
      </c>
    </row>
    <row r="1874" spans="1:29">
      <c r="A1874" s="3" t="s">
        <v>952</v>
      </c>
      <c r="D1874" s="3" t="s">
        <v>5711</v>
      </c>
      <c r="E1874" s="3" t="s">
        <v>5712</v>
      </c>
      <c r="J1874" s="9" t="s">
        <v>8729</v>
      </c>
      <c r="S1874" s="9" t="s">
        <v>8739</v>
      </c>
      <c r="T1874" s="9" t="str">
        <f t="shared" ca="1" si="70"/>
        <v/>
      </c>
      <c r="U1874" s="9" t="str">
        <f t="shared" ca="1" si="71"/>
        <v/>
      </c>
      <c r="Y1874" s="9" t="s">
        <v>8735</v>
      </c>
      <c r="Z1874" s="9" t="s">
        <v>8742</v>
      </c>
      <c r="AA1874" s="9" t="s">
        <v>3884</v>
      </c>
    </row>
    <row r="1875" spans="1:29">
      <c r="A1875" s="3" t="s">
        <v>952</v>
      </c>
      <c r="D1875" s="3" t="s">
        <v>3178</v>
      </c>
      <c r="E1875" s="3" t="s">
        <v>3179</v>
      </c>
      <c r="J1875" s="9" t="s">
        <v>8729</v>
      </c>
      <c r="S1875" s="9" t="s">
        <v>8739</v>
      </c>
      <c r="T1875" s="9" t="str">
        <f t="shared" ca="1" si="70"/>
        <v/>
      </c>
      <c r="U1875" s="9" t="str">
        <f t="shared" ca="1" si="71"/>
        <v/>
      </c>
      <c r="Y1875" s="9" t="s">
        <v>8735</v>
      </c>
      <c r="Z1875" s="9" t="s">
        <v>8742</v>
      </c>
      <c r="AA1875" s="9" t="s">
        <v>3884</v>
      </c>
    </row>
    <row r="1876" spans="1:29" ht="29">
      <c r="A1876" s="3" t="s">
        <v>953</v>
      </c>
      <c r="D1876" s="3" t="s">
        <v>5713</v>
      </c>
      <c r="E1876" s="3" t="s">
        <v>5714</v>
      </c>
      <c r="H1876" t="s">
        <v>3884</v>
      </c>
      <c r="J1876" s="9" t="s">
        <v>3889</v>
      </c>
      <c r="K1876" s="9">
        <v>2</v>
      </c>
      <c r="L1876" s="9">
        <v>7</v>
      </c>
      <c r="N1876" s="9" t="s">
        <v>8684</v>
      </c>
      <c r="O1876" s="9" t="s">
        <v>8771</v>
      </c>
      <c r="P1876" s="10" t="s">
        <v>8778</v>
      </c>
      <c r="R1876" s="9">
        <v>68</v>
      </c>
      <c r="T1876" s="9" t="str">
        <f t="shared" ca="1" si="70"/>
        <v/>
      </c>
      <c r="U1876" s="9" t="str">
        <f t="shared" ca="1" si="71"/>
        <v/>
      </c>
    </row>
    <row r="1877" spans="1:29">
      <c r="A1877" s="3" t="s">
        <v>953</v>
      </c>
      <c r="D1877" s="3" t="s">
        <v>5715</v>
      </c>
      <c r="E1877" s="3" t="s">
        <v>5716</v>
      </c>
      <c r="J1877" s="9" t="s">
        <v>3889</v>
      </c>
      <c r="K1877" s="9">
        <v>1</v>
      </c>
      <c r="L1877" s="9">
        <v>2</v>
      </c>
      <c r="M1877" s="9" t="s">
        <v>8689</v>
      </c>
      <c r="N1877" s="9" t="s">
        <v>8730</v>
      </c>
      <c r="R1877" s="9">
        <v>10929</v>
      </c>
      <c r="T1877" s="9" t="str">
        <f t="shared" ca="1" si="70"/>
        <v/>
      </c>
      <c r="U1877" s="9" t="str">
        <f t="shared" ca="1" si="71"/>
        <v/>
      </c>
    </row>
    <row r="1878" spans="1:29">
      <c r="A1878" s="3" t="s">
        <v>954</v>
      </c>
      <c r="D1878" s="3" t="s">
        <v>5717</v>
      </c>
      <c r="E1878" s="3" t="s">
        <v>5718</v>
      </c>
      <c r="H1878" t="s">
        <v>3884</v>
      </c>
      <c r="J1878" s="9" t="s">
        <v>3889</v>
      </c>
      <c r="K1878" s="9">
        <v>1</v>
      </c>
      <c r="L1878" s="9">
        <v>3</v>
      </c>
      <c r="M1878" s="9" t="s">
        <v>8698</v>
      </c>
      <c r="N1878" s="9" t="s">
        <v>8690</v>
      </c>
      <c r="R1878" s="9">
        <v>653</v>
      </c>
      <c r="T1878" s="9" t="str">
        <f t="shared" ca="1" si="70"/>
        <v/>
      </c>
      <c r="U1878" s="9" t="str">
        <f t="shared" ca="1" si="71"/>
        <v/>
      </c>
    </row>
    <row r="1879" spans="1:29">
      <c r="A1879" s="3" t="s">
        <v>955</v>
      </c>
      <c r="D1879" s="3" t="s">
        <v>3180</v>
      </c>
      <c r="E1879" s="3" t="s">
        <v>3181</v>
      </c>
      <c r="J1879" s="9" t="s">
        <v>8731</v>
      </c>
      <c r="T1879" s="9" t="str">
        <f t="shared" ca="1" si="70"/>
        <v/>
      </c>
      <c r="U1879" s="9" t="str">
        <f t="shared" ca="1" si="71"/>
        <v/>
      </c>
      <c r="Z1879" s="9" t="s">
        <v>8757</v>
      </c>
      <c r="AA1879" s="9" t="s">
        <v>3884</v>
      </c>
    </row>
    <row r="1880" spans="1:29">
      <c r="A1880" s="3" t="s">
        <v>956</v>
      </c>
      <c r="D1880" s="3" t="s">
        <v>1995</v>
      </c>
      <c r="E1880" s="3" t="s">
        <v>2159</v>
      </c>
      <c r="J1880" s="9" t="s">
        <v>8731</v>
      </c>
      <c r="T1880" s="9" t="str">
        <f t="shared" ca="1" si="70"/>
        <v/>
      </c>
      <c r="U1880" s="9" t="str">
        <f t="shared" ca="1" si="71"/>
        <v/>
      </c>
    </row>
    <row r="1881" spans="1:29">
      <c r="A1881" s="3" t="s">
        <v>956</v>
      </c>
      <c r="D1881" s="3" t="s">
        <v>5719</v>
      </c>
      <c r="E1881" s="3" t="s">
        <v>5720</v>
      </c>
      <c r="F1881" t="s">
        <v>3881</v>
      </c>
      <c r="T1881" s="9" t="str">
        <f t="shared" ca="1" si="70"/>
        <v/>
      </c>
      <c r="U1881" s="9" t="str">
        <f t="shared" ca="1" si="71"/>
        <v/>
      </c>
    </row>
    <row r="1882" spans="1:29">
      <c r="A1882" s="3" t="s">
        <v>956</v>
      </c>
      <c r="D1882" s="3" t="s">
        <v>5721</v>
      </c>
      <c r="E1882" s="3" t="s">
        <v>5722</v>
      </c>
      <c r="J1882" s="9" t="s">
        <v>3885</v>
      </c>
      <c r="K1882" s="9">
        <v>1</v>
      </c>
      <c r="L1882" s="9">
        <v>3</v>
      </c>
      <c r="M1882" s="9" t="s">
        <v>8698</v>
      </c>
      <c r="N1882" s="9" t="s">
        <v>8690</v>
      </c>
      <c r="R1882" s="9">
        <v>9418</v>
      </c>
      <c r="T1882" s="9" t="str">
        <f t="shared" ca="1" si="70"/>
        <v/>
      </c>
      <c r="U1882" s="9" t="str">
        <f t="shared" ca="1" si="71"/>
        <v/>
      </c>
    </row>
    <row r="1883" spans="1:29">
      <c r="A1883" s="3" t="s">
        <v>957</v>
      </c>
      <c r="D1883" s="3" t="s">
        <v>5723</v>
      </c>
      <c r="E1883" s="3" t="s">
        <v>3182</v>
      </c>
      <c r="H1883" t="s">
        <v>3884</v>
      </c>
      <c r="J1883" s="9" t="s">
        <v>8731</v>
      </c>
      <c r="T1883" s="9" t="str">
        <f t="shared" ca="1" si="70"/>
        <v/>
      </c>
      <c r="U1883" s="9" t="str">
        <f t="shared" ca="1" si="71"/>
        <v/>
      </c>
      <c r="Z1883" s="9" t="s">
        <v>8833</v>
      </c>
      <c r="AA1883" s="9" t="s">
        <v>3884</v>
      </c>
      <c r="AB1883" s="9" t="s">
        <v>8688</v>
      </c>
    </row>
    <row r="1884" spans="1:29">
      <c r="A1884" s="3" t="s">
        <v>958</v>
      </c>
      <c r="D1884" s="3" t="s">
        <v>2888</v>
      </c>
      <c r="E1884" s="3" t="s">
        <v>2889</v>
      </c>
      <c r="J1884" s="9" t="s">
        <v>8729</v>
      </c>
      <c r="S1884" s="9" t="s">
        <v>8739</v>
      </c>
      <c r="T1884" s="9" t="str">
        <f t="shared" ca="1" si="70"/>
        <v/>
      </c>
      <c r="U1884" s="9" t="str">
        <f t="shared" ca="1" si="71"/>
        <v/>
      </c>
      <c r="Y1884" s="9" t="s">
        <v>8735</v>
      </c>
      <c r="Z1884" s="9" t="s">
        <v>8757</v>
      </c>
      <c r="AA1884" s="9" t="s">
        <v>3884</v>
      </c>
    </row>
    <row r="1885" spans="1:29">
      <c r="A1885" s="3" t="s">
        <v>958</v>
      </c>
      <c r="D1885" s="3" t="s">
        <v>5724</v>
      </c>
      <c r="E1885" s="3" t="s">
        <v>5725</v>
      </c>
      <c r="J1885" s="9" t="s">
        <v>8731</v>
      </c>
      <c r="T1885" s="9" t="str">
        <f t="shared" ca="1" si="70"/>
        <v/>
      </c>
      <c r="U1885" s="9" t="str">
        <f t="shared" ca="1" si="71"/>
        <v/>
      </c>
      <c r="AB1885" s="9" t="s">
        <v>8700</v>
      </c>
    </row>
    <row r="1886" spans="1:29" ht="29">
      <c r="A1886" s="3" t="s">
        <v>958</v>
      </c>
      <c r="D1886" s="3" t="s">
        <v>9064</v>
      </c>
      <c r="E1886" s="3" t="s">
        <v>9065</v>
      </c>
      <c r="H1886" t="s">
        <v>3884</v>
      </c>
      <c r="J1886" s="9" t="s">
        <v>8729</v>
      </c>
      <c r="S1886" s="9">
        <f>99-655</f>
        <v>-556</v>
      </c>
      <c r="T1886" s="9">
        <f t="shared" ca="1" si="70"/>
        <v>655</v>
      </c>
      <c r="U1886" s="9">
        <f t="shared" ca="1" si="71"/>
        <v>99</v>
      </c>
      <c r="AC1886" s="9" t="s">
        <v>3884</v>
      </c>
    </row>
    <row r="1887" spans="1:29" ht="29">
      <c r="A1887" s="3" t="s">
        <v>958</v>
      </c>
      <c r="D1887" s="3" t="s">
        <v>9063</v>
      </c>
      <c r="E1887" s="3" t="s">
        <v>9066</v>
      </c>
      <c r="J1887" s="9" t="s">
        <v>3885</v>
      </c>
      <c r="K1887" s="9">
        <v>1</v>
      </c>
      <c r="L1887" s="9">
        <v>1</v>
      </c>
      <c r="M1887" s="9" t="s">
        <v>8698</v>
      </c>
      <c r="N1887" s="9" t="s">
        <v>8730</v>
      </c>
      <c r="R1887" s="9">
        <v>55</v>
      </c>
      <c r="T1887" s="9" t="str">
        <f t="shared" ca="1" si="70"/>
        <v/>
      </c>
      <c r="U1887" s="9" t="str">
        <f t="shared" ca="1" si="71"/>
        <v/>
      </c>
    </row>
    <row r="1888" spans="1:29" ht="29">
      <c r="A1888" s="3" t="s">
        <v>958</v>
      </c>
      <c r="D1888" s="3" t="s">
        <v>5726</v>
      </c>
      <c r="E1888" s="3" t="s">
        <v>5727</v>
      </c>
      <c r="H1888" t="s">
        <v>3884</v>
      </c>
      <c r="J1888" s="9" t="s">
        <v>8729</v>
      </c>
      <c r="Q1888" s="9" t="s">
        <v>8685</v>
      </c>
      <c r="S1888" s="9" t="s">
        <v>8739</v>
      </c>
      <c r="T1888" s="9" t="str">
        <f t="shared" ca="1" si="70"/>
        <v/>
      </c>
      <c r="U1888" s="9" t="str">
        <f t="shared" ca="1" si="71"/>
        <v/>
      </c>
      <c r="Y1888" s="9" t="s">
        <v>8735</v>
      </c>
      <c r="AA1888" s="9" t="s">
        <v>3884</v>
      </c>
      <c r="AB1888" s="9" t="s">
        <v>8688</v>
      </c>
    </row>
    <row r="1889" spans="1:28" ht="29">
      <c r="A1889" s="3" t="s">
        <v>959</v>
      </c>
      <c r="D1889" s="3" t="s">
        <v>5728</v>
      </c>
      <c r="E1889" s="3" t="s">
        <v>5728</v>
      </c>
      <c r="F1889" t="s">
        <v>3932</v>
      </c>
      <c r="I1889" t="s">
        <v>5729</v>
      </c>
      <c r="T1889" s="9" t="str">
        <f t="shared" ca="1" si="70"/>
        <v/>
      </c>
      <c r="U1889" s="9" t="str">
        <f t="shared" ca="1" si="71"/>
        <v/>
      </c>
    </row>
    <row r="1890" spans="1:28" ht="29">
      <c r="A1890" s="3" t="s">
        <v>959</v>
      </c>
      <c r="D1890" s="3" t="s">
        <v>5731</v>
      </c>
      <c r="E1890" s="3" t="s">
        <v>5732</v>
      </c>
      <c r="F1890" t="s">
        <v>3932</v>
      </c>
      <c r="I1890" t="s">
        <v>5730</v>
      </c>
      <c r="T1890" s="9" t="str">
        <f t="shared" ca="1" si="70"/>
        <v/>
      </c>
      <c r="U1890" s="9" t="str">
        <f t="shared" ca="1" si="71"/>
        <v/>
      </c>
    </row>
    <row r="1891" spans="1:28" ht="29">
      <c r="A1891" s="3" t="s">
        <v>959</v>
      </c>
      <c r="D1891" s="3" t="s">
        <v>5733</v>
      </c>
      <c r="E1891" s="3" t="s">
        <v>5734</v>
      </c>
      <c r="H1891" t="s">
        <v>3884</v>
      </c>
      <c r="J1891" s="9" t="s">
        <v>8729</v>
      </c>
      <c r="S1891" s="9">
        <f>336-4</f>
        <v>332</v>
      </c>
      <c r="T1891" s="9">
        <f t="shared" ca="1" si="70"/>
        <v>4</v>
      </c>
      <c r="U1891" s="9">
        <f t="shared" ca="1" si="71"/>
        <v>336</v>
      </c>
    </row>
    <row r="1892" spans="1:28">
      <c r="A1892" s="3" t="s">
        <v>959</v>
      </c>
      <c r="D1892" s="3" t="s">
        <v>2888</v>
      </c>
      <c r="E1892" s="3" t="s">
        <v>2889</v>
      </c>
      <c r="J1892" s="9" t="s">
        <v>8729</v>
      </c>
      <c r="S1892" s="9" t="s">
        <v>8739</v>
      </c>
      <c r="T1892" s="9" t="str">
        <f t="shared" ca="1" si="70"/>
        <v/>
      </c>
      <c r="U1892" s="9" t="str">
        <f t="shared" ca="1" si="71"/>
        <v/>
      </c>
      <c r="Y1892" s="9" t="s">
        <v>8735</v>
      </c>
      <c r="Z1892" s="9" t="s">
        <v>8757</v>
      </c>
      <c r="AA1892" s="9" t="s">
        <v>3884</v>
      </c>
    </row>
    <row r="1893" spans="1:28">
      <c r="A1893" s="3" t="s">
        <v>959</v>
      </c>
      <c r="D1893" s="4" t="s">
        <v>3183</v>
      </c>
      <c r="E1893" s="3" t="s">
        <v>2509</v>
      </c>
      <c r="F1893" t="s">
        <v>4196</v>
      </c>
      <c r="I1893" t="s">
        <v>5735</v>
      </c>
      <c r="J1893" s="9" t="s">
        <v>8729</v>
      </c>
      <c r="S1893" s="9" t="s">
        <v>8739</v>
      </c>
      <c r="T1893" s="9" t="str">
        <f t="shared" ca="1" si="70"/>
        <v/>
      </c>
      <c r="U1893" s="9" t="str">
        <f t="shared" ca="1" si="71"/>
        <v/>
      </c>
      <c r="Y1893" s="9" t="s">
        <v>8735</v>
      </c>
      <c r="AA1893" s="9" t="s">
        <v>3884</v>
      </c>
    </row>
    <row r="1894" spans="1:28">
      <c r="A1894" s="3" t="s">
        <v>960</v>
      </c>
      <c r="D1894" s="3" t="s">
        <v>3184</v>
      </c>
      <c r="E1894" s="3" t="s">
        <v>3185</v>
      </c>
      <c r="J1894" s="9" t="s">
        <v>8729</v>
      </c>
      <c r="S1894" s="9" t="s">
        <v>8739</v>
      </c>
      <c r="T1894" s="9" t="str">
        <f t="shared" ca="1" si="70"/>
        <v/>
      </c>
      <c r="U1894" s="9" t="str">
        <f t="shared" ca="1" si="71"/>
        <v/>
      </c>
      <c r="Z1894" s="9" t="s">
        <v>8924</v>
      </c>
      <c r="AA1894" s="9" t="s">
        <v>3884</v>
      </c>
      <c r="AB1894" s="9" t="s">
        <v>8697</v>
      </c>
    </row>
    <row r="1895" spans="1:28">
      <c r="A1895" s="3" t="s">
        <v>960</v>
      </c>
      <c r="D1895" s="3" t="s">
        <v>3186</v>
      </c>
      <c r="E1895" s="3" t="s">
        <v>2259</v>
      </c>
      <c r="J1895" s="9" t="s">
        <v>8731</v>
      </c>
      <c r="T1895" s="9" t="str">
        <f t="shared" ca="1" si="70"/>
        <v/>
      </c>
      <c r="U1895" s="9" t="str">
        <f t="shared" ca="1" si="71"/>
        <v/>
      </c>
      <c r="AB1895" s="9" t="s">
        <v>8697</v>
      </c>
    </row>
    <row r="1896" spans="1:28">
      <c r="A1896" s="3" t="s">
        <v>960</v>
      </c>
      <c r="D1896" s="3" t="s">
        <v>2813</v>
      </c>
      <c r="E1896" s="3" t="s">
        <v>2813</v>
      </c>
      <c r="F1896" t="s">
        <v>3932</v>
      </c>
      <c r="I1896" t="s">
        <v>4824</v>
      </c>
      <c r="T1896" s="9" t="str">
        <f t="shared" ca="1" si="70"/>
        <v/>
      </c>
      <c r="U1896" s="9" t="str">
        <f t="shared" ca="1" si="71"/>
        <v/>
      </c>
    </row>
    <row r="1897" spans="1:28" ht="43.5">
      <c r="A1897" s="3" t="s">
        <v>960</v>
      </c>
      <c r="D1897" s="3" t="s">
        <v>9067</v>
      </c>
      <c r="E1897" s="3" t="s">
        <v>5736</v>
      </c>
      <c r="J1897" s="9" t="s">
        <v>3889</v>
      </c>
      <c r="K1897" s="9">
        <v>1</v>
      </c>
      <c r="L1897" s="9">
        <v>2</v>
      </c>
      <c r="M1897" s="9" t="s">
        <v>8698</v>
      </c>
      <c r="N1897" s="9" t="s">
        <v>8730</v>
      </c>
      <c r="R1897" s="9">
        <v>55</v>
      </c>
      <c r="T1897" s="9" t="str">
        <f t="shared" ca="1" si="70"/>
        <v/>
      </c>
      <c r="U1897" s="9" t="str">
        <f t="shared" ca="1" si="71"/>
        <v/>
      </c>
    </row>
    <row r="1898" spans="1:28" ht="43.5">
      <c r="A1898" s="3" t="s">
        <v>960</v>
      </c>
      <c r="D1898" s="3" t="s">
        <v>9068</v>
      </c>
      <c r="E1898" s="3" t="s">
        <v>9069</v>
      </c>
      <c r="J1898" s="9" t="s">
        <v>8729</v>
      </c>
      <c r="S1898" s="9" t="s">
        <v>8739</v>
      </c>
      <c r="T1898" s="9" t="str">
        <f t="shared" ca="1" si="70"/>
        <v/>
      </c>
      <c r="U1898" s="9" t="str">
        <f t="shared" ca="1" si="71"/>
        <v/>
      </c>
      <c r="AB1898" s="9" t="s">
        <v>8688</v>
      </c>
    </row>
    <row r="1899" spans="1:28">
      <c r="A1899" s="3" t="s">
        <v>961</v>
      </c>
      <c r="D1899" s="3" t="s">
        <v>3187</v>
      </c>
      <c r="E1899" s="3" t="s">
        <v>3188</v>
      </c>
      <c r="F1899" t="s">
        <v>3886</v>
      </c>
      <c r="J1899" s="9" t="s">
        <v>8729</v>
      </c>
      <c r="S1899" s="9" t="s">
        <v>8739</v>
      </c>
      <c r="T1899" s="9" t="str">
        <f t="shared" ca="1" si="70"/>
        <v/>
      </c>
      <c r="U1899" s="9" t="str">
        <f t="shared" ca="1" si="71"/>
        <v/>
      </c>
      <c r="AB1899" s="9" t="s">
        <v>8697</v>
      </c>
    </row>
    <row r="1900" spans="1:28">
      <c r="A1900" s="3" t="s">
        <v>962</v>
      </c>
      <c r="D1900" s="3" t="s">
        <v>5737</v>
      </c>
      <c r="E1900" s="3" t="s">
        <v>5738</v>
      </c>
      <c r="J1900" s="9" t="s">
        <v>8729</v>
      </c>
      <c r="S1900" s="9">
        <f>251-12</f>
        <v>239</v>
      </c>
      <c r="T1900" s="9">
        <f t="shared" ca="1" si="70"/>
        <v>12</v>
      </c>
      <c r="U1900" s="9">
        <f t="shared" ca="1" si="71"/>
        <v>251</v>
      </c>
    </row>
    <row r="1901" spans="1:28">
      <c r="A1901" s="3" t="s">
        <v>963</v>
      </c>
      <c r="D1901" s="3" t="s">
        <v>3189</v>
      </c>
      <c r="E1901" s="3" t="s">
        <v>3190</v>
      </c>
      <c r="J1901" s="9" t="s">
        <v>8729</v>
      </c>
      <c r="S1901" s="9" t="s">
        <v>8739</v>
      </c>
      <c r="T1901" s="9" t="str">
        <f t="shared" ca="1" si="70"/>
        <v/>
      </c>
      <c r="U1901" s="9" t="str">
        <f t="shared" ca="1" si="71"/>
        <v/>
      </c>
      <c r="Z1901" s="9" t="s">
        <v>8741</v>
      </c>
      <c r="AA1901" s="9" t="s">
        <v>3884</v>
      </c>
      <c r="AB1901" s="9" t="s">
        <v>8697</v>
      </c>
    </row>
    <row r="1902" spans="1:28">
      <c r="A1902" s="3" t="s">
        <v>963</v>
      </c>
      <c r="D1902" s="3" t="s">
        <v>5739</v>
      </c>
      <c r="E1902" s="3" t="s">
        <v>5740</v>
      </c>
      <c r="F1902" t="s">
        <v>3886</v>
      </c>
      <c r="J1902" s="9" t="s">
        <v>3889</v>
      </c>
      <c r="K1902" s="9">
        <v>1</v>
      </c>
      <c r="L1902" s="9">
        <v>2</v>
      </c>
      <c r="M1902" s="9" t="s">
        <v>8689</v>
      </c>
      <c r="N1902" s="9" t="s">
        <v>8730</v>
      </c>
      <c r="R1902" s="9">
        <v>10929</v>
      </c>
      <c r="T1902" s="9" t="str">
        <f t="shared" ca="1" si="70"/>
        <v/>
      </c>
      <c r="U1902" s="9" t="str">
        <f t="shared" ca="1" si="71"/>
        <v/>
      </c>
    </row>
    <row r="1903" spans="1:28" ht="29">
      <c r="A1903" s="3" t="s">
        <v>964</v>
      </c>
      <c r="D1903" s="3" t="s">
        <v>5741</v>
      </c>
      <c r="E1903" s="3" t="s">
        <v>5742</v>
      </c>
      <c r="F1903" t="s">
        <v>3893</v>
      </c>
      <c r="H1903" t="s">
        <v>3884</v>
      </c>
      <c r="T1903" s="9" t="str">
        <f t="shared" ca="1" si="70"/>
        <v/>
      </c>
      <c r="U1903" s="9" t="str">
        <f t="shared" ca="1" si="71"/>
        <v/>
      </c>
    </row>
    <row r="1904" spans="1:28" ht="29">
      <c r="A1904" s="3" t="s">
        <v>965</v>
      </c>
      <c r="D1904" s="3" t="s">
        <v>5743</v>
      </c>
      <c r="E1904" s="3" t="s">
        <v>5744</v>
      </c>
      <c r="H1904" t="s">
        <v>3884</v>
      </c>
      <c r="J1904" s="9" t="s">
        <v>3885</v>
      </c>
      <c r="K1904" s="9">
        <v>1</v>
      </c>
      <c r="L1904" s="9">
        <v>1</v>
      </c>
      <c r="M1904" s="9" t="s">
        <v>8683</v>
      </c>
      <c r="N1904" s="9" t="s">
        <v>8730</v>
      </c>
      <c r="R1904" s="9">
        <v>21</v>
      </c>
      <c r="T1904" s="9" t="str">
        <f t="shared" ca="1" si="70"/>
        <v/>
      </c>
      <c r="U1904" s="9" t="str">
        <f t="shared" ca="1" si="71"/>
        <v/>
      </c>
      <c r="AB1904" s="9" t="s">
        <v>8694</v>
      </c>
    </row>
    <row r="1905" spans="1:28">
      <c r="A1905" s="3" t="s">
        <v>966</v>
      </c>
      <c r="D1905" s="3" t="s">
        <v>5745</v>
      </c>
      <c r="E1905" s="3" t="s">
        <v>5746</v>
      </c>
      <c r="H1905" t="s">
        <v>3884</v>
      </c>
      <c r="I1905" t="s">
        <v>9070</v>
      </c>
      <c r="J1905" s="9" t="s">
        <v>8729</v>
      </c>
      <c r="S1905" s="9">
        <f>0-0</f>
        <v>0</v>
      </c>
      <c r="T1905" s="9">
        <f t="shared" ca="1" si="70"/>
        <v>0</v>
      </c>
      <c r="U1905" s="9">
        <f t="shared" ca="1" si="71"/>
        <v>0</v>
      </c>
    </row>
    <row r="1906" spans="1:28">
      <c r="A1906" s="3" t="s">
        <v>966</v>
      </c>
      <c r="D1906" s="3" t="s">
        <v>5747</v>
      </c>
      <c r="E1906" s="3" t="s">
        <v>3192</v>
      </c>
      <c r="H1906" t="s">
        <v>3884</v>
      </c>
      <c r="J1906" s="9" t="s">
        <v>8729</v>
      </c>
      <c r="S1906" s="9" t="s">
        <v>8739</v>
      </c>
      <c r="T1906" s="9" t="str">
        <f t="shared" ca="1" si="70"/>
        <v/>
      </c>
      <c r="U1906" s="9" t="str">
        <f t="shared" ca="1" si="71"/>
        <v/>
      </c>
      <c r="Y1906" s="9" t="s">
        <v>8735</v>
      </c>
      <c r="AA1906" s="9" t="s">
        <v>3884</v>
      </c>
    </row>
    <row r="1907" spans="1:28" ht="29">
      <c r="A1907" s="3" t="s">
        <v>966</v>
      </c>
      <c r="D1907" s="3" t="s">
        <v>5749</v>
      </c>
      <c r="E1907" s="3" t="s">
        <v>5750</v>
      </c>
      <c r="J1907" s="9" t="s">
        <v>8731</v>
      </c>
      <c r="T1907" s="9" t="str">
        <f t="shared" ca="1" si="70"/>
        <v/>
      </c>
      <c r="U1907" s="9" t="str">
        <f t="shared" ca="1" si="71"/>
        <v/>
      </c>
      <c r="AB1907" s="9" t="s">
        <v>8694</v>
      </c>
    </row>
    <row r="1908" spans="1:28" ht="29">
      <c r="A1908" s="3" t="s">
        <v>966</v>
      </c>
      <c r="D1908" s="3" t="s">
        <v>5748</v>
      </c>
      <c r="E1908" s="3" t="s">
        <v>5751</v>
      </c>
      <c r="J1908" s="9" t="s">
        <v>3885</v>
      </c>
      <c r="K1908" s="9">
        <v>1</v>
      </c>
      <c r="L1908" s="9">
        <v>3</v>
      </c>
      <c r="M1908" s="9" t="s">
        <v>8689</v>
      </c>
      <c r="N1908" s="9" t="s">
        <v>8690</v>
      </c>
      <c r="R1908" s="9">
        <v>10929</v>
      </c>
      <c r="T1908" s="9" t="str">
        <f t="shared" ca="1" si="70"/>
        <v/>
      </c>
      <c r="U1908" s="9" t="str">
        <f t="shared" ca="1" si="71"/>
        <v/>
      </c>
    </row>
    <row r="1909" spans="1:28">
      <c r="A1909" s="3" t="s">
        <v>966</v>
      </c>
      <c r="D1909" s="3" t="s">
        <v>3193</v>
      </c>
      <c r="E1909" s="3" t="s">
        <v>3194</v>
      </c>
      <c r="J1909" s="9" t="s">
        <v>8729</v>
      </c>
      <c r="S1909" s="9" t="s">
        <v>8739</v>
      </c>
      <c r="T1909" s="9" t="str">
        <f t="shared" ca="1" si="70"/>
        <v/>
      </c>
      <c r="U1909" s="9" t="str">
        <f t="shared" ca="1" si="71"/>
        <v/>
      </c>
      <c r="AB1909" s="9" t="s">
        <v>8688</v>
      </c>
    </row>
    <row r="1910" spans="1:28">
      <c r="A1910" s="3" t="s">
        <v>967</v>
      </c>
      <c r="D1910" s="3" t="s">
        <v>3195</v>
      </c>
      <c r="E1910" s="4" t="s">
        <v>3196</v>
      </c>
      <c r="F1910" t="s">
        <v>4197</v>
      </c>
      <c r="I1910" t="s">
        <v>5752</v>
      </c>
      <c r="J1910" s="9" t="s">
        <v>8729</v>
      </c>
      <c r="S1910" s="9" t="s">
        <v>8739</v>
      </c>
      <c r="T1910" s="9" t="str">
        <f t="shared" ca="1" si="70"/>
        <v/>
      </c>
      <c r="U1910" s="9" t="str">
        <f t="shared" ca="1" si="71"/>
        <v/>
      </c>
      <c r="Y1910" s="9" t="s">
        <v>8735</v>
      </c>
      <c r="Z1910" s="9" t="s">
        <v>8742</v>
      </c>
      <c r="AA1910" s="9" t="s">
        <v>3884</v>
      </c>
    </row>
    <row r="1911" spans="1:28">
      <c r="A1911" s="3" t="s">
        <v>968</v>
      </c>
      <c r="D1911" s="3" t="s">
        <v>3197</v>
      </c>
      <c r="E1911" s="3" t="s">
        <v>2337</v>
      </c>
      <c r="J1911" s="9" t="s">
        <v>8729</v>
      </c>
      <c r="S1911" s="9">
        <f>141-0</f>
        <v>141</v>
      </c>
      <c r="T1911" s="9">
        <f t="shared" ca="1" si="70"/>
        <v>0</v>
      </c>
      <c r="U1911" s="9">
        <f t="shared" ca="1" si="71"/>
        <v>141</v>
      </c>
    </row>
    <row r="1912" spans="1:28">
      <c r="A1912" s="3" t="s">
        <v>969</v>
      </c>
      <c r="D1912" s="3" t="s">
        <v>2064</v>
      </c>
      <c r="E1912" s="3" t="s">
        <v>2290</v>
      </c>
      <c r="J1912" s="9" t="s">
        <v>8731</v>
      </c>
      <c r="T1912" s="9" t="str">
        <f t="shared" ca="1" si="70"/>
        <v/>
      </c>
      <c r="U1912" s="9" t="str">
        <f t="shared" ca="1" si="71"/>
        <v/>
      </c>
    </row>
    <row r="1913" spans="1:28">
      <c r="A1913" s="3" t="s">
        <v>969</v>
      </c>
      <c r="D1913" s="3" t="s">
        <v>5753</v>
      </c>
      <c r="E1913" s="3" t="s">
        <v>3198</v>
      </c>
      <c r="F1913" t="s">
        <v>3893</v>
      </c>
      <c r="T1913" s="9" t="str">
        <f t="shared" ca="1" si="70"/>
        <v/>
      </c>
      <c r="U1913" s="9" t="str">
        <f t="shared" ca="1" si="71"/>
        <v/>
      </c>
    </row>
    <row r="1914" spans="1:28">
      <c r="A1914" s="3" t="s">
        <v>969</v>
      </c>
      <c r="D1914" s="3" t="s">
        <v>5754</v>
      </c>
      <c r="E1914" s="3" t="s">
        <v>5755</v>
      </c>
      <c r="J1914" s="9" t="s">
        <v>8729</v>
      </c>
      <c r="S1914" s="9">
        <f>49-23</f>
        <v>26</v>
      </c>
      <c r="T1914" s="9">
        <f t="shared" ca="1" si="70"/>
        <v>23</v>
      </c>
      <c r="U1914" s="9">
        <f t="shared" ca="1" si="71"/>
        <v>49</v>
      </c>
    </row>
    <row r="1915" spans="1:28">
      <c r="A1915" s="3" t="s">
        <v>970</v>
      </c>
      <c r="D1915" s="4" t="s">
        <v>5756</v>
      </c>
      <c r="E1915" s="3" t="s">
        <v>5757</v>
      </c>
      <c r="F1915" t="s">
        <v>3883</v>
      </c>
      <c r="T1915" s="9" t="str">
        <f t="shared" ca="1" si="70"/>
        <v/>
      </c>
      <c r="U1915" s="9" t="str">
        <f t="shared" ca="1" si="71"/>
        <v/>
      </c>
    </row>
    <row r="1916" spans="1:28" ht="29">
      <c r="A1916" s="3" t="s">
        <v>971</v>
      </c>
      <c r="D1916" s="3" t="s">
        <v>5758</v>
      </c>
      <c r="E1916" s="3" t="s">
        <v>5759</v>
      </c>
      <c r="H1916" t="s">
        <v>3884</v>
      </c>
      <c r="J1916" s="9" t="s">
        <v>3889</v>
      </c>
      <c r="K1916" s="9">
        <v>2</v>
      </c>
      <c r="L1916" s="9">
        <v>4</v>
      </c>
      <c r="N1916" s="9" t="s">
        <v>8690</v>
      </c>
      <c r="R1916" s="9">
        <v>1225</v>
      </c>
      <c r="T1916" s="9" t="str">
        <f t="shared" ca="1" si="70"/>
        <v/>
      </c>
      <c r="U1916" s="9" t="str">
        <f t="shared" ca="1" si="71"/>
        <v/>
      </c>
    </row>
    <row r="1917" spans="1:28">
      <c r="A1917" s="3" t="s">
        <v>971</v>
      </c>
      <c r="D1917" s="3" t="s">
        <v>3199</v>
      </c>
      <c r="E1917" s="3" t="s">
        <v>2372</v>
      </c>
      <c r="J1917" s="9" t="s">
        <v>8729</v>
      </c>
      <c r="S1917" s="9" t="s">
        <v>8739</v>
      </c>
      <c r="T1917" s="9" t="str">
        <f t="shared" ca="1" si="70"/>
        <v/>
      </c>
      <c r="U1917" s="9" t="str">
        <f t="shared" ca="1" si="71"/>
        <v/>
      </c>
      <c r="Z1917" s="9" t="s">
        <v>8741</v>
      </c>
      <c r="AA1917" s="9" t="s">
        <v>3891</v>
      </c>
      <c r="AB1917" s="9" t="s">
        <v>8697</v>
      </c>
    </row>
    <row r="1918" spans="1:28">
      <c r="A1918" s="3" t="s">
        <v>972</v>
      </c>
      <c r="D1918" s="3" t="s">
        <v>3200</v>
      </c>
      <c r="E1918" s="3" t="s">
        <v>2757</v>
      </c>
      <c r="J1918" s="9" t="s">
        <v>8729</v>
      </c>
      <c r="S1918" s="9" t="s">
        <v>8739</v>
      </c>
      <c r="T1918" s="9" t="str">
        <f t="shared" ca="1" si="70"/>
        <v/>
      </c>
      <c r="U1918" s="9" t="str">
        <f t="shared" ca="1" si="71"/>
        <v/>
      </c>
      <c r="Z1918" s="9" t="s">
        <v>8747</v>
      </c>
      <c r="AA1918" s="9" t="s">
        <v>3884</v>
      </c>
      <c r="AB1918" s="9" t="s">
        <v>8697</v>
      </c>
    </row>
    <row r="1919" spans="1:28">
      <c r="A1919" s="3" t="s">
        <v>973</v>
      </c>
      <c r="D1919" s="3" t="s">
        <v>5760</v>
      </c>
      <c r="E1919" s="3" t="s">
        <v>5761</v>
      </c>
      <c r="F1919" t="s">
        <v>3886</v>
      </c>
      <c r="J1919" s="9" t="s">
        <v>8729</v>
      </c>
      <c r="T1919" s="9" t="str">
        <f t="shared" ca="1" si="70"/>
        <v/>
      </c>
      <c r="U1919" s="9" t="str">
        <f t="shared" ca="1" si="71"/>
        <v/>
      </c>
    </row>
    <row r="1920" spans="1:28">
      <c r="A1920" s="3" t="s">
        <v>973</v>
      </c>
      <c r="D1920" s="3" t="s">
        <v>3201</v>
      </c>
      <c r="E1920" s="3" t="s">
        <v>3202</v>
      </c>
      <c r="J1920" s="9" t="s">
        <v>8731</v>
      </c>
      <c r="T1920" s="9" t="str">
        <f t="shared" ca="1" si="70"/>
        <v/>
      </c>
      <c r="U1920" s="9" t="str">
        <f t="shared" ca="1" si="71"/>
        <v/>
      </c>
      <c r="Z1920" s="9" t="s">
        <v>9279</v>
      </c>
      <c r="AA1920" s="9" t="s">
        <v>3884</v>
      </c>
    </row>
    <row r="1921" spans="1:28">
      <c r="A1921" s="3" t="s">
        <v>974</v>
      </c>
      <c r="D1921" s="3" t="s">
        <v>2069</v>
      </c>
      <c r="E1921" s="3" t="s">
        <v>2070</v>
      </c>
      <c r="J1921" s="9" t="s">
        <v>8729</v>
      </c>
      <c r="S1921" s="9" t="s">
        <v>8739</v>
      </c>
      <c r="T1921" s="9" t="str">
        <f t="shared" ca="1" si="70"/>
        <v/>
      </c>
      <c r="U1921" s="9" t="str">
        <f t="shared" ca="1" si="71"/>
        <v/>
      </c>
      <c r="Z1921" s="9" t="s">
        <v>8742</v>
      </c>
      <c r="AA1921" s="9" t="s">
        <v>3884</v>
      </c>
      <c r="AB1921" s="9" t="s">
        <v>8697</v>
      </c>
    </row>
    <row r="1922" spans="1:28">
      <c r="A1922" s="3" t="s">
        <v>975</v>
      </c>
      <c r="D1922" s="3" t="s">
        <v>5762</v>
      </c>
      <c r="E1922" s="3" t="s">
        <v>5763</v>
      </c>
      <c r="F1922" t="s">
        <v>3893</v>
      </c>
      <c r="T1922" s="9" t="str">
        <f t="shared" ca="1" si="70"/>
        <v/>
      </c>
      <c r="U1922" s="9" t="str">
        <f t="shared" ca="1" si="71"/>
        <v/>
      </c>
    </row>
    <row r="1923" spans="1:28">
      <c r="A1923" s="3" t="s">
        <v>975</v>
      </c>
      <c r="D1923" s="3" t="s">
        <v>3203</v>
      </c>
      <c r="E1923" s="3" t="s">
        <v>2213</v>
      </c>
      <c r="J1923" s="9" t="s">
        <v>8731</v>
      </c>
      <c r="T1923" s="9" t="str">
        <f t="shared" ca="1" si="70"/>
        <v/>
      </c>
      <c r="U1923" s="9" t="str">
        <f t="shared" ca="1" si="71"/>
        <v/>
      </c>
      <c r="Z1923" s="9" t="s">
        <v>8747</v>
      </c>
      <c r="AA1923" s="9" t="s">
        <v>3884</v>
      </c>
    </row>
    <row r="1924" spans="1:28" ht="29">
      <c r="A1924" s="3" t="s">
        <v>975</v>
      </c>
      <c r="D1924" s="3" t="s">
        <v>5764</v>
      </c>
      <c r="E1924" s="3" t="s">
        <v>5766</v>
      </c>
      <c r="I1924" s="7"/>
      <c r="J1924" s="9" t="s">
        <v>3885</v>
      </c>
      <c r="K1924" s="9">
        <v>1</v>
      </c>
      <c r="L1924" s="9">
        <v>3</v>
      </c>
      <c r="M1924" s="9" t="s">
        <v>8689</v>
      </c>
      <c r="N1924" s="9" t="s">
        <v>8690</v>
      </c>
      <c r="R1924" s="9">
        <v>10929</v>
      </c>
      <c r="T1924" s="9" t="str">
        <f t="shared" ref="T1924:T1986" ca="1" si="72">IF(ISNUMBER(S1924),VALUE(MID(_xlfn.FORMULATEXT(S1924),SEARCH("-",_xlfn.FORMULATEXT(S1924))+1,LEN(_xlfn.FORMULATEXT(S1924))-SEARCH("-",_xlfn.FORMULATEXT(S1924)))), "")</f>
        <v/>
      </c>
      <c r="U1924" s="9" t="str">
        <f t="shared" ref="U1924:U1986" ca="1" si="73">IF(ISNUMBER(S1924), VALUE(MID(_xlfn.FORMULATEXT(S1924), 2, SEARCH("-", _xlfn.FORMULATEXT(S1924)) - 2)), "")</f>
        <v/>
      </c>
    </row>
    <row r="1925" spans="1:28" ht="29">
      <c r="A1925" s="3" t="s">
        <v>975</v>
      </c>
      <c r="D1925" s="3" t="s">
        <v>5767</v>
      </c>
      <c r="E1925" s="3" t="s">
        <v>5765</v>
      </c>
      <c r="J1925" s="9" t="s">
        <v>3889</v>
      </c>
      <c r="K1925" s="9">
        <v>1</v>
      </c>
      <c r="L1925" s="9">
        <v>5</v>
      </c>
      <c r="M1925" s="9" t="s">
        <v>8705</v>
      </c>
      <c r="N1925" s="9" t="s">
        <v>8684</v>
      </c>
      <c r="O1925" s="9" t="s">
        <v>8777</v>
      </c>
      <c r="P1925" s="10" t="s">
        <v>8778</v>
      </c>
      <c r="R1925" s="9">
        <v>3678</v>
      </c>
      <c r="T1925" s="9" t="str">
        <f t="shared" ca="1" si="72"/>
        <v/>
      </c>
      <c r="U1925" s="9" t="str">
        <f t="shared" ca="1" si="73"/>
        <v/>
      </c>
    </row>
    <row r="1926" spans="1:28">
      <c r="A1926" s="3" t="s">
        <v>975</v>
      </c>
      <c r="D1926" s="3" t="s">
        <v>5768</v>
      </c>
      <c r="E1926" s="3" t="s">
        <v>5769</v>
      </c>
      <c r="J1926" s="9" t="s">
        <v>3889</v>
      </c>
      <c r="K1926" s="9">
        <v>1</v>
      </c>
      <c r="L1926" s="9">
        <v>1</v>
      </c>
      <c r="M1926" s="9" t="s">
        <v>8689</v>
      </c>
      <c r="N1926" s="9" t="s">
        <v>8730</v>
      </c>
      <c r="R1926" s="9">
        <v>10929</v>
      </c>
      <c r="T1926" s="9" t="str">
        <f t="shared" ca="1" si="72"/>
        <v/>
      </c>
      <c r="U1926" s="9" t="str">
        <f t="shared" ca="1" si="73"/>
        <v/>
      </c>
    </row>
    <row r="1927" spans="1:28" ht="29">
      <c r="A1927" s="3" t="s">
        <v>976</v>
      </c>
      <c r="D1927" s="3" t="s">
        <v>5770</v>
      </c>
      <c r="E1927" s="3" t="s">
        <v>5771</v>
      </c>
      <c r="H1927" t="s">
        <v>3884</v>
      </c>
      <c r="J1927" s="9" t="s">
        <v>3885</v>
      </c>
      <c r="K1927" s="9">
        <v>1</v>
      </c>
      <c r="L1927" s="9">
        <v>2</v>
      </c>
      <c r="M1927" s="9" t="s">
        <v>8707</v>
      </c>
      <c r="N1927" s="9" t="s">
        <v>8730</v>
      </c>
      <c r="R1927" s="9">
        <v>519</v>
      </c>
      <c r="T1927" s="9" t="str">
        <f t="shared" ca="1" si="72"/>
        <v/>
      </c>
      <c r="U1927" s="9" t="str">
        <f t="shared" ca="1" si="73"/>
        <v/>
      </c>
    </row>
    <row r="1928" spans="1:28">
      <c r="A1928" s="3" t="s">
        <v>977</v>
      </c>
      <c r="D1928" s="3" t="s">
        <v>3204</v>
      </c>
      <c r="E1928" s="3" t="s">
        <v>3205</v>
      </c>
      <c r="J1928" s="9" t="s">
        <v>8731</v>
      </c>
      <c r="T1928" s="9" t="str">
        <f t="shared" ca="1" si="72"/>
        <v/>
      </c>
      <c r="U1928" s="9" t="str">
        <f t="shared" ca="1" si="73"/>
        <v/>
      </c>
    </row>
    <row r="1929" spans="1:28">
      <c r="A1929" s="3" t="s">
        <v>978</v>
      </c>
      <c r="D1929" s="3" t="s">
        <v>5772</v>
      </c>
      <c r="E1929" s="3" t="s">
        <v>5773</v>
      </c>
      <c r="H1929" t="s">
        <v>3884</v>
      </c>
      <c r="J1929" s="9" t="s">
        <v>3885</v>
      </c>
      <c r="K1929" s="9">
        <v>1</v>
      </c>
      <c r="L1929" s="9">
        <v>2</v>
      </c>
      <c r="M1929" s="9" t="s">
        <v>8695</v>
      </c>
      <c r="N1929" s="9" t="s">
        <v>8730</v>
      </c>
      <c r="R1929" s="9">
        <v>0</v>
      </c>
      <c r="T1929" s="9" t="str">
        <f t="shared" ca="1" si="72"/>
        <v/>
      </c>
      <c r="U1929" s="9" t="str">
        <f t="shared" ca="1" si="73"/>
        <v/>
      </c>
      <c r="AB1929" s="9" t="s">
        <v>8694</v>
      </c>
    </row>
    <row r="1930" spans="1:28">
      <c r="A1930" s="3" t="s">
        <v>979</v>
      </c>
      <c r="D1930" s="3" t="s">
        <v>3206</v>
      </c>
      <c r="E1930" s="4" t="s">
        <v>3207</v>
      </c>
      <c r="F1930" t="s">
        <v>3897</v>
      </c>
      <c r="T1930" s="9" t="str">
        <f t="shared" ca="1" si="72"/>
        <v/>
      </c>
      <c r="U1930" s="9" t="str">
        <f t="shared" ca="1" si="73"/>
        <v/>
      </c>
    </row>
    <row r="1931" spans="1:28" ht="29">
      <c r="A1931" s="3" t="s">
        <v>980</v>
      </c>
      <c r="D1931" s="3" t="s">
        <v>5774</v>
      </c>
      <c r="E1931" s="3" t="s">
        <v>9236</v>
      </c>
      <c r="J1931" s="9" t="s">
        <v>3885</v>
      </c>
      <c r="K1931" s="9">
        <v>1</v>
      </c>
      <c r="L1931" s="9">
        <v>2</v>
      </c>
      <c r="M1931" s="9" t="s">
        <v>8707</v>
      </c>
      <c r="N1931" s="9" t="s">
        <v>8730</v>
      </c>
      <c r="R1931" s="9">
        <v>1942</v>
      </c>
      <c r="T1931" s="9" t="str">
        <f t="shared" ca="1" si="72"/>
        <v/>
      </c>
      <c r="U1931" s="9" t="str">
        <f t="shared" ca="1" si="73"/>
        <v/>
      </c>
    </row>
    <row r="1932" spans="1:28" ht="29">
      <c r="A1932" s="3" t="s">
        <v>980</v>
      </c>
      <c r="D1932" s="3" t="s">
        <v>9237</v>
      </c>
      <c r="E1932" s="3" t="s">
        <v>9238</v>
      </c>
      <c r="J1932" s="9" t="s">
        <v>8731</v>
      </c>
      <c r="T1932" s="9" t="str">
        <f t="shared" ca="1" si="72"/>
        <v/>
      </c>
      <c r="U1932" s="9" t="str">
        <f t="shared" ca="1" si="73"/>
        <v/>
      </c>
      <c r="Y1932" s="9" t="s">
        <v>8696</v>
      </c>
      <c r="AA1932" s="9" t="s">
        <v>3884</v>
      </c>
    </row>
    <row r="1933" spans="1:28">
      <c r="A1933" s="3" t="s">
        <v>981</v>
      </c>
      <c r="D1933" s="3" t="s">
        <v>5775</v>
      </c>
      <c r="E1933" s="3" t="s">
        <v>5776</v>
      </c>
      <c r="H1933" t="s">
        <v>3884</v>
      </c>
      <c r="J1933" s="9" t="s">
        <v>8731</v>
      </c>
      <c r="T1933" s="9" t="str">
        <f t="shared" ca="1" si="72"/>
        <v/>
      </c>
      <c r="U1933" s="9" t="str">
        <f t="shared" ca="1" si="73"/>
        <v/>
      </c>
      <c r="AB1933" s="9" t="s">
        <v>8694</v>
      </c>
    </row>
    <row r="1934" spans="1:28" ht="29">
      <c r="A1934" s="3" t="s">
        <v>981</v>
      </c>
      <c r="D1934" s="4" t="s">
        <v>5777</v>
      </c>
      <c r="E1934" s="3" t="s">
        <v>5778</v>
      </c>
      <c r="F1934" t="s">
        <v>3883</v>
      </c>
      <c r="T1934" s="9" t="str">
        <f t="shared" ca="1" si="72"/>
        <v/>
      </c>
      <c r="U1934" s="9" t="str">
        <f t="shared" ca="1" si="73"/>
        <v/>
      </c>
    </row>
    <row r="1935" spans="1:28">
      <c r="A1935" s="3" t="s">
        <v>982</v>
      </c>
      <c r="D1935" s="3" t="s">
        <v>5779</v>
      </c>
      <c r="E1935" s="3" t="s">
        <v>9630</v>
      </c>
      <c r="H1935" t="s">
        <v>3884</v>
      </c>
      <c r="J1935" s="9" t="s">
        <v>3889</v>
      </c>
      <c r="K1935" s="9">
        <v>1</v>
      </c>
      <c r="L1935" s="9">
        <v>3</v>
      </c>
      <c r="M1935" s="9" t="s">
        <v>8705</v>
      </c>
      <c r="N1935" s="9" t="s">
        <v>8690</v>
      </c>
      <c r="R1935" s="9">
        <v>1443</v>
      </c>
      <c r="T1935" s="9" t="str">
        <f t="shared" ca="1" si="72"/>
        <v/>
      </c>
      <c r="U1935" s="9" t="str">
        <f t="shared" ca="1" si="73"/>
        <v/>
      </c>
    </row>
    <row r="1936" spans="1:28" ht="29">
      <c r="A1936" s="3" t="s">
        <v>983</v>
      </c>
      <c r="D1936" s="4" t="s">
        <v>5780</v>
      </c>
      <c r="E1936" s="3" t="s">
        <v>5781</v>
      </c>
      <c r="F1936" t="s">
        <v>3883</v>
      </c>
      <c r="T1936" s="9" t="str">
        <f t="shared" ca="1" si="72"/>
        <v/>
      </c>
      <c r="U1936" s="9" t="str">
        <f t="shared" ca="1" si="73"/>
        <v/>
      </c>
    </row>
    <row r="1937" spans="1:28" ht="29">
      <c r="A1937" s="3" t="s">
        <v>984</v>
      </c>
      <c r="D1937" s="3" t="s">
        <v>5783</v>
      </c>
      <c r="E1937" s="3" t="s">
        <v>5784</v>
      </c>
      <c r="F1937" t="s">
        <v>3881</v>
      </c>
      <c r="T1937" s="9" t="str">
        <f t="shared" ca="1" si="72"/>
        <v/>
      </c>
      <c r="U1937" s="9" t="str">
        <f t="shared" ca="1" si="73"/>
        <v/>
      </c>
    </row>
    <row r="1938" spans="1:28" ht="29">
      <c r="A1938" s="3" t="s">
        <v>984</v>
      </c>
      <c r="D1938" s="3" t="s">
        <v>5785</v>
      </c>
      <c r="E1938" s="3" t="s">
        <v>5782</v>
      </c>
      <c r="J1938" s="9" t="s">
        <v>3889</v>
      </c>
      <c r="K1938" s="9">
        <v>1</v>
      </c>
      <c r="L1938" s="9">
        <v>2</v>
      </c>
      <c r="M1938" s="9" t="s">
        <v>8703</v>
      </c>
      <c r="N1938" s="9" t="s">
        <v>8730</v>
      </c>
      <c r="R1938" s="9">
        <v>1225</v>
      </c>
      <c r="T1938" s="9" t="str">
        <f t="shared" ca="1" si="72"/>
        <v/>
      </c>
      <c r="U1938" s="9" t="str">
        <f t="shared" ca="1" si="73"/>
        <v/>
      </c>
    </row>
    <row r="1939" spans="1:28">
      <c r="A1939" s="3" t="s">
        <v>985</v>
      </c>
      <c r="D1939" s="3" t="s">
        <v>2215</v>
      </c>
      <c r="E1939" s="3" t="s">
        <v>3208</v>
      </c>
      <c r="J1939" s="9" t="s">
        <v>8731</v>
      </c>
      <c r="T1939" s="9" t="str">
        <f t="shared" ca="1" si="72"/>
        <v/>
      </c>
      <c r="U1939" s="9" t="str">
        <f t="shared" ca="1" si="73"/>
        <v/>
      </c>
    </row>
    <row r="1940" spans="1:28">
      <c r="A1940" s="3" t="s">
        <v>986</v>
      </c>
      <c r="D1940" s="4" t="s">
        <v>5787</v>
      </c>
      <c r="E1940" s="3" t="s">
        <v>5786</v>
      </c>
      <c r="F1940" t="s">
        <v>3883</v>
      </c>
      <c r="T1940" s="9" t="str">
        <f t="shared" ca="1" si="72"/>
        <v/>
      </c>
      <c r="U1940" s="9" t="str">
        <f t="shared" ca="1" si="73"/>
        <v/>
      </c>
    </row>
    <row r="1941" spans="1:28">
      <c r="A1941" s="3" t="s">
        <v>986</v>
      </c>
      <c r="D1941" s="3" t="s">
        <v>5788</v>
      </c>
      <c r="E1941" s="3" t="s">
        <v>5789</v>
      </c>
      <c r="H1941" t="s">
        <v>3884</v>
      </c>
      <c r="J1941" s="9" t="s">
        <v>8729</v>
      </c>
      <c r="S1941" s="9">
        <f>1443-1485</f>
        <v>-42</v>
      </c>
      <c r="T1941" s="9">
        <f t="shared" ca="1" si="72"/>
        <v>1485</v>
      </c>
      <c r="U1941" s="9">
        <f t="shared" ca="1" si="73"/>
        <v>1443</v>
      </c>
    </row>
    <row r="1942" spans="1:28">
      <c r="A1942" s="3" t="s">
        <v>987</v>
      </c>
      <c r="D1942" s="3" t="s">
        <v>3209</v>
      </c>
      <c r="E1942" s="3" t="s">
        <v>3209</v>
      </c>
      <c r="F1942" t="s">
        <v>3932</v>
      </c>
      <c r="I1942" t="s">
        <v>5790</v>
      </c>
      <c r="T1942" s="9" t="str">
        <f t="shared" ca="1" si="72"/>
        <v/>
      </c>
      <c r="U1942" s="9" t="str">
        <f t="shared" ca="1" si="73"/>
        <v/>
      </c>
    </row>
    <row r="1943" spans="1:28">
      <c r="A1943" s="3" t="s">
        <v>988</v>
      </c>
      <c r="D1943" s="3" t="s">
        <v>5791</v>
      </c>
      <c r="E1943" s="3" t="s">
        <v>3210</v>
      </c>
      <c r="H1943" t="s">
        <v>3884</v>
      </c>
      <c r="J1943" s="9" t="s">
        <v>8731</v>
      </c>
      <c r="T1943" s="9" t="str">
        <f t="shared" ca="1" si="72"/>
        <v/>
      </c>
      <c r="U1943" s="9" t="str">
        <f t="shared" ca="1" si="73"/>
        <v/>
      </c>
    </row>
    <row r="1944" spans="1:28">
      <c r="A1944" s="3" t="s">
        <v>989</v>
      </c>
      <c r="D1944" s="3" t="s">
        <v>5792</v>
      </c>
      <c r="E1944" s="3" t="s">
        <v>5793</v>
      </c>
      <c r="J1944" s="9" t="s">
        <v>8731</v>
      </c>
      <c r="T1944" s="9" t="str">
        <f t="shared" ca="1" si="72"/>
        <v/>
      </c>
      <c r="U1944" s="9" t="str">
        <f t="shared" ca="1" si="73"/>
        <v/>
      </c>
      <c r="Z1944" s="9" t="s">
        <v>8741</v>
      </c>
      <c r="AA1944" s="9" t="s">
        <v>3884</v>
      </c>
    </row>
    <row r="1945" spans="1:28">
      <c r="A1945" s="3" t="s">
        <v>989</v>
      </c>
      <c r="D1945" s="3" t="s">
        <v>5794</v>
      </c>
      <c r="E1945" s="3" t="s">
        <v>5795</v>
      </c>
      <c r="H1945" t="s">
        <v>3884</v>
      </c>
      <c r="J1945" s="9" t="s">
        <v>8729</v>
      </c>
      <c r="S1945" s="9" t="s">
        <v>8739</v>
      </c>
      <c r="T1945" s="9" t="str">
        <f t="shared" ca="1" si="72"/>
        <v/>
      </c>
      <c r="U1945" s="9" t="str">
        <f t="shared" ca="1" si="73"/>
        <v/>
      </c>
      <c r="AB1945" s="9" t="s">
        <v>8688</v>
      </c>
    </row>
    <row r="1946" spans="1:28">
      <c r="A1946" s="3" t="s">
        <v>990</v>
      </c>
      <c r="D1946" s="3" t="s">
        <v>3211</v>
      </c>
      <c r="E1946" s="3" t="s">
        <v>3212</v>
      </c>
      <c r="J1946" s="9" t="s">
        <v>8731</v>
      </c>
      <c r="S1946" s="9">
        <f>6-33</f>
        <v>-27</v>
      </c>
      <c r="T1946" s="9">
        <f t="shared" ca="1" si="72"/>
        <v>33</v>
      </c>
      <c r="U1946" s="9">
        <f t="shared" ca="1" si="73"/>
        <v>6</v>
      </c>
    </row>
    <row r="1947" spans="1:28" ht="29">
      <c r="A1947" s="3" t="s">
        <v>991</v>
      </c>
      <c r="D1947" s="3" t="s">
        <v>5796</v>
      </c>
      <c r="E1947" s="3" t="s">
        <v>5797</v>
      </c>
      <c r="F1947" t="s">
        <v>3893</v>
      </c>
      <c r="H1947" t="s">
        <v>3884</v>
      </c>
      <c r="T1947" s="9" t="str">
        <f t="shared" ca="1" si="72"/>
        <v/>
      </c>
      <c r="U1947" s="9" t="str">
        <f t="shared" ca="1" si="73"/>
        <v/>
      </c>
    </row>
    <row r="1948" spans="1:28">
      <c r="A1948" s="3" t="s">
        <v>992</v>
      </c>
      <c r="D1948" s="3" t="s">
        <v>3213</v>
      </c>
      <c r="E1948" s="3" t="s">
        <v>3214</v>
      </c>
      <c r="J1948" s="9" t="s">
        <v>8729</v>
      </c>
      <c r="S1948" s="9" t="s">
        <v>8739</v>
      </c>
      <c r="T1948" s="9" t="str">
        <f t="shared" ca="1" si="72"/>
        <v/>
      </c>
      <c r="U1948" s="9" t="str">
        <f t="shared" ca="1" si="73"/>
        <v/>
      </c>
      <c r="Z1948" s="9" t="s">
        <v>8741</v>
      </c>
      <c r="AA1948" s="9" t="s">
        <v>3884</v>
      </c>
      <c r="AB1948" s="9" t="s">
        <v>8697</v>
      </c>
    </row>
    <row r="1949" spans="1:28">
      <c r="A1949" s="3" t="s">
        <v>993</v>
      </c>
      <c r="D1949" s="3" t="s">
        <v>5798</v>
      </c>
      <c r="E1949" s="3" t="s">
        <v>5799</v>
      </c>
      <c r="H1949" t="s">
        <v>3884</v>
      </c>
      <c r="J1949" s="9" t="s">
        <v>3885</v>
      </c>
      <c r="K1949" s="9">
        <v>1</v>
      </c>
      <c r="L1949" s="9">
        <v>3</v>
      </c>
      <c r="M1949" s="9" t="s">
        <v>8689</v>
      </c>
      <c r="N1949" s="9" t="s">
        <v>8690</v>
      </c>
      <c r="R1949" s="9">
        <v>10929</v>
      </c>
      <c r="T1949" s="9" t="str">
        <f t="shared" ca="1" si="72"/>
        <v/>
      </c>
      <c r="U1949" s="9" t="str">
        <f t="shared" ca="1" si="73"/>
        <v/>
      </c>
    </row>
    <row r="1950" spans="1:28" ht="43.5">
      <c r="A1950" s="3" t="s">
        <v>993</v>
      </c>
      <c r="D1950" s="4" t="s">
        <v>5800</v>
      </c>
      <c r="E1950" s="3" t="s">
        <v>5801</v>
      </c>
      <c r="F1950" t="s">
        <v>3883</v>
      </c>
      <c r="T1950" s="9" t="str">
        <f t="shared" ca="1" si="72"/>
        <v/>
      </c>
      <c r="U1950" s="9" t="str">
        <f t="shared" ca="1" si="73"/>
        <v/>
      </c>
    </row>
    <row r="1951" spans="1:28" ht="29">
      <c r="A1951" s="3" t="s">
        <v>994</v>
      </c>
      <c r="D1951" s="3" t="s">
        <v>5802</v>
      </c>
      <c r="E1951" s="3" t="s">
        <v>5803</v>
      </c>
      <c r="F1951" t="s">
        <v>4397</v>
      </c>
      <c r="H1951" t="s">
        <v>3884</v>
      </c>
      <c r="J1951" s="9" t="s">
        <v>3885</v>
      </c>
      <c r="K1951" s="9">
        <v>1</v>
      </c>
      <c r="L1951" s="9">
        <v>2</v>
      </c>
      <c r="M1951" s="9" t="s">
        <v>8695</v>
      </c>
      <c r="N1951" s="9" t="s">
        <v>8730</v>
      </c>
      <c r="R1951" s="9">
        <v>0</v>
      </c>
      <c r="T1951" s="9" t="str">
        <f t="shared" ca="1" si="72"/>
        <v/>
      </c>
      <c r="U1951" s="9" t="str">
        <f t="shared" ca="1" si="73"/>
        <v/>
      </c>
    </row>
    <row r="1952" spans="1:28">
      <c r="A1952" s="3" t="s">
        <v>995</v>
      </c>
      <c r="D1952" s="3" t="s">
        <v>5804</v>
      </c>
      <c r="E1952" s="3" t="s">
        <v>5805</v>
      </c>
      <c r="J1952" s="9" t="s">
        <v>3889</v>
      </c>
      <c r="K1952" s="9">
        <v>1</v>
      </c>
      <c r="L1952" s="9">
        <v>4</v>
      </c>
      <c r="M1952" s="9" t="s">
        <v>8689</v>
      </c>
      <c r="N1952" s="9" t="s">
        <v>8690</v>
      </c>
      <c r="R1952" s="9">
        <v>10929</v>
      </c>
      <c r="T1952" s="9" t="str">
        <f t="shared" ca="1" si="72"/>
        <v/>
      </c>
      <c r="U1952" s="9" t="str">
        <f t="shared" ca="1" si="73"/>
        <v/>
      </c>
    </row>
    <row r="1953" spans="1:28">
      <c r="A1953" s="3" t="s">
        <v>996</v>
      </c>
      <c r="D1953" s="3" t="s">
        <v>5806</v>
      </c>
      <c r="E1953" s="3" t="s">
        <v>5807</v>
      </c>
      <c r="J1953" s="9" t="s">
        <v>3885</v>
      </c>
      <c r="K1953" s="9">
        <v>1</v>
      </c>
      <c r="L1953" s="9">
        <v>1</v>
      </c>
      <c r="M1953" s="9" t="s">
        <v>8689</v>
      </c>
      <c r="N1953" s="9" t="s">
        <v>8730</v>
      </c>
      <c r="R1953" s="9">
        <v>10929</v>
      </c>
      <c r="T1953" s="9" t="str">
        <f t="shared" ca="1" si="72"/>
        <v/>
      </c>
      <c r="U1953" s="9" t="str">
        <f t="shared" ca="1" si="73"/>
        <v/>
      </c>
    </row>
    <row r="1954" spans="1:28">
      <c r="A1954" s="3" t="s">
        <v>996</v>
      </c>
      <c r="D1954" s="4" t="s">
        <v>5808</v>
      </c>
      <c r="E1954" s="3" t="s">
        <v>5809</v>
      </c>
      <c r="F1954" t="s">
        <v>3883</v>
      </c>
      <c r="T1954" s="9" t="str">
        <f t="shared" ca="1" si="72"/>
        <v/>
      </c>
      <c r="U1954" s="9" t="str">
        <f t="shared" ca="1" si="73"/>
        <v/>
      </c>
    </row>
    <row r="1955" spans="1:28" ht="29">
      <c r="A1955" s="3" t="s">
        <v>996</v>
      </c>
      <c r="D1955" s="3" t="s">
        <v>5810</v>
      </c>
      <c r="E1955" s="3" t="s">
        <v>5811</v>
      </c>
      <c r="H1955" t="s">
        <v>3884</v>
      </c>
      <c r="J1955" s="9" t="s">
        <v>3885</v>
      </c>
      <c r="K1955" s="9">
        <v>1</v>
      </c>
      <c r="L1955" s="9">
        <v>6</v>
      </c>
      <c r="M1955" s="9" t="s">
        <v>8703</v>
      </c>
      <c r="N1955" s="9" t="s">
        <v>8690</v>
      </c>
      <c r="R1955" s="9">
        <v>627</v>
      </c>
      <c r="T1955" s="9" t="str">
        <f t="shared" ca="1" si="72"/>
        <v/>
      </c>
      <c r="U1955" s="9" t="str">
        <f t="shared" ca="1" si="73"/>
        <v/>
      </c>
    </row>
    <row r="1956" spans="1:28">
      <c r="A1956" s="3" t="s">
        <v>997</v>
      </c>
      <c r="D1956" s="3" t="s">
        <v>9502</v>
      </c>
      <c r="E1956" s="4" t="s">
        <v>3215</v>
      </c>
      <c r="F1956" t="s">
        <v>3897</v>
      </c>
      <c r="I1956" t="s">
        <v>9503</v>
      </c>
      <c r="T1956" s="9" t="str">
        <f t="shared" ca="1" si="72"/>
        <v/>
      </c>
      <c r="U1956" s="9" t="str">
        <f t="shared" ca="1" si="73"/>
        <v/>
      </c>
    </row>
    <row r="1957" spans="1:28">
      <c r="A1957" s="3" t="s">
        <v>998</v>
      </c>
      <c r="D1957" s="3" t="s">
        <v>3216</v>
      </c>
      <c r="E1957" s="3" t="s">
        <v>3217</v>
      </c>
      <c r="J1957" s="9" t="s">
        <v>8731</v>
      </c>
      <c r="T1957" s="9" t="str">
        <f t="shared" ca="1" si="72"/>
        <v/>
      </c>
      <c r="U1957" s="9" t="str">
        <f t="shared" ca="1" si="73"/>
        <v/>
      </c>
      <c r="Z1957" s="9" t="s">
        <v>9279</v>
      </c>
      <c r="AA1957" s="9" t="s">
        <v>3884</v>
      </c>
    </row>
    <row r="1958" spans="1:28" ht="29">
      <c r="A1958" s="3" t="s">
        <v>999</v>
      </c>
      <c r="D1958" s="4" t="s">
        <v>5812</v>
      </c>
      <c r="E1958" s="3" t="s">
        <v>5813</v>
      </c>
      <c r="F1958" t="s">
        <v>3883</v>
      </c>
      <c r="T1958" s="9" t="str">
        <f t="shared" ca="1" si="72"/>
        <v/>
      </c>
      <c r="U1958" s="9" t="str">
        <f t="shared" ca="1" si="73"/>
        <v/>
      </c>
    </row>
    <row r="1959" spans="1:28">
      <c r="A1959" s="3" t="s">
        <v>1000</v>
      </c>
      <c r="D1959" s="3" t="s">
        <v>2838</v>
      </c>
      <c r="E1959" s="3" t="s">
        <v>2839</v>
      </c>
      <c r="J1959" s="9" t="s">
        <v>8729</v>
      </c>
      <c r="S1959" s="9" t="s">
        <v>8739</v>
      </c>
      <c r="T1959" s="9" t="str">
        <f t="shared" ca="1" si="72"/>
        <v/>
      </c>
      <c r="U1959" s="9" t="str">
        <f t="shared" ca="1" si="73"/>
        <v/>
      </c>
      <c r="Y1959" s="9" t="s">
        <v>8735</v>
      </c>
      <c r="Z1959" s="9" t="s">
        <v>8757</v>
      </c>
      <c r="AA1959" s="9" t="s">
        <v>3884</v>
      </c>
    </row>
    <row r="1960" spans="1:28" ht="29">
      <c r="A1960" s="3" t="s">
        <v>1000</v>
      </c>
      <c r="D1960" s="3" t="s">
        <v>5814</v>
      </c>
      <c r="E1960" s="3" t="s">
        <v>5815</v>
      </c>
      <c r="J1960" s="9" t="s">
        <v>8729</v>
      </c>
      <c r="S1960" s="9">
        <f>520-3678</f>
        <v>-3158</v>
      </c>
      <c r="T1960" s="9">
        <f t="shared" ca="1" si="72"/>
        <v>3678</v>
      </c>
      <c r="U1960" s="9">
        <f t="shared" ca="1" si="73"/>
        <v>520</v>
      </c>
    </row>
    <row r="1961" spans="1:28" ht="29">
      <c r="A1961" s="3" t="s">
        <v>1000</v>
      </c>
      <c r="D1961" s="3" t="s">
        <v>5816</v>
      </c>
      <c r="E1961" s="3" t="s">
        <v>5817</v>
      </c>
      <c r="J1961" s="9" t="s">
        <v>8729</v>
      </c>
      <c r="S1961" s="9" t="s">
        <v>8739</v>
      </c>
      <c r="T1961" s="9" t="str">
        <f t="shared" ca="1" si="72"/>
        <v/>
      </c>
      <c r="U1961" s="9" t="str">
        <f t="shared" ca="1" si="73"/>
        <v/>
      </c>
      <c r="Y1961" s="9" t="s">
        <v>8735</v>
      </c>
      <c r="AA1961" s="9" t="s">
        <v>3884</v>
      </c>
    </row>
    <row r="1962" spans="1:28">
      <c r="A1962" s="3" t="s">
        <v>1001</v>
      </c>
      <c r="D1962" s="3" t="s">
        <v>5818</v>
      </c>
      <c r="E1962" s="3" t="s">
        <v>5819</v>
      </c>
      <c r="J1962" s="9" t="s">
        <v>8731</v>
      </c>
      <c r="T1962" s="9" t="str">
        <f t="shared" ca="1" si="72"/>
        <v/>
      </c>
      <c r="U1962" s="9" t="str">
        <f t="shared" ca="1" si="73"/>
        <v/>
      </c>
      <c r="Z1962" s="9" t="s">
        <v>8832</v>
      </c>
      <c r="AA1962" s="9" t="s">
        <v>3884</v>
      </c>
      <c r="AB1962" s="9" t="s">
        <v>8688</v>
      </c>
    </row>
    <row r="1963" spans="1:28">
      <c r="A1963" s="3" t="s">
        <v>1002</v>
      </c>
      <c r="D1963" s="4" t="s">
        <v>9504</v>
      </c>
      <c r="E1963" s="3" t="s">
        <v>5820</v>
      </c>
      <c r="F1963" t="s">
        <v>3883</v>
      </c>
      <c r="T1963" s="9" t="str">
        <f t="shared" ca="1" si="72"/>
        <v/>
      </c>
      <c r="U1963" s="9" t="str">
        <f t="shared" ca="1" si="73"/>
        <v/>
      </c>
    </row>
    <row r="1964" spans="1:28">
      <c r="A1964" s="3" t="s">
        <v>1002</v>
      </c>
      <c r="D1964" s="3" t="s">
        <v>5821</v>
      </c>
      <c r="E1964" s="3" t="s">
        <v>5822</v>
      </c>
      <c r="J1964" s="9" t="s">
        <v>8731</v>
      </c>
      <c r="T1964" s="9" t="str">
        <f t="shared" ca="1" si="72"/>
        <v/>
      </c>
      <c r="U1964" s="9" t="str">
        <f t="shared" ca="1" si="73"/>
        <v/>
      </c>
      <c r="AB1964" s="9" t="s">
        <v>8700</v>
      </c>
    </row>
    <row r="1965" spans="1:28">
      <c r="A1965" s="3" t="s">
        <v>1002</v>
      </c>
      <c r="D1965" s="3" t="s">
        <v>5823</v>
      </c>
      <c r="E1965" s="3" t="s">
        <v>5823</v>
      </c>
      <c r="F1965" t="s">
        <v>3932</v>
      </c>
      <c r="I1965" t="s">
        <v>5824</v>
      </c>
      <c r="T1965" s="9" t="str">
        <f t="shared" ca="1" si="72"/>
        <v/>
      </c>
      <c r="U1965" s="9" t="str">
        <f t="shared" ca="1" si="73"/>
        <v/>
      </c>
    </row>
    <row r="1966" spans="1:28">
      <c r="A1966" s="3" t="s">
        <v>1003</v>
      </c>
      <c r="D1966" s="3" t="s">
        <v>2371</v>
      </c>
      <c r="E1966" s="3" t="s">
        <v>2372</v>
      </c>
      <c r="J1966" s="9" t="s">
        <v>8729</v>
      </c>
      <c r="S1966" s="9" t="s">
        <v>8739</v>
      </c>
      <c r="T1966" s="9" t="str">
        <f t="shared" ca="1" si="72"/>
        <v/>
      </c>
      <c r="U1966" s="9" t="str">
        <f t="shared" ca="1" si="73"/>
        <v/>
      </c>
      <c r="Z1966" s="9" t="s">
        <v>8741</v>
      </c>
      <c r="AA1966" s="9" t="s">
        <v>3884</v>
      </c>
      <c r="AB1966" s="9" t="s">
        <v>8697</v>
      </c>
    </row>
    <row r="1967" spans="1:28">
      <c r="A1967" s="3" t="s">
        <v>1004</v>
      </c>
      <c r="D1967" s="3" t="s">
        <v>3220</v>
      </c>
      <c r="E1967" s="3" t="s">
        <v>3221</v>
      </c>
      <c r="J1967" s="9" t="s">
        <v>8729</v>
      </c>
      <c r="S1967" s="9" t="s">
        <v>8739</v>
      </c>
      <c r="T1967" s="9" t="str">
        <f t="shared" ca="1" si="72"/>
        <v/>
      </c>
      <c r="U1967" s="9" t="str">
        <f t="shared" ca="1" si="73"/>
        <v/>
      </c>
      <c r="Y1967" s="9" t="s">
        <v>8735</v>
      </c>
      <c r="Z1967" s="9" t="s">
        <v>9280</v>
      </c>
      <c r="AA1967" s="9" t="s">
        <v>3884</v>
      </c>
    </row>
    <row r="1968" spans="1:28">
      <c r="A1968" s="3" t="s">
        <v>1004</v>
      </c>
      <c r="D1968" s="3" t="s">
        <v>3222</v>
      </c>
      <c r="E1968" s="3" t="s">
        <v>3223</v>
      </c>
      <c r="J1968" s="9" t="s">
        <v>8731</v>
      </c>
      <c r="T1968" s="9" t="str">
        <f t="shared" ca="1" si="72"/>
        <v/>
      </c>
      <c r="U1968" s="9" t="str">
        <f t="shared" ca="1" si="73"/>
        <v/>
      </c>
    </row>
    <row r="1969" spans="1:28">
      <c r="A1969" s="3" t="s">
        <v>1005</v>
      </c>
      <c r="D1969" s="3" t="s">
        <v>3224</v>
      </c>
      <c r="E1969" s="4" t="s">
        <v>3225</v>
      </c>
      <c r="F1969" t="s">
        <v>3897</v>
      </c>
      <c r="T1969" s="9" t="str">
        <f t="shared" ca="1" si="72"/>
        <v/>
      </c>
      <c r="U1969" s="9" t="str">
        <f t="shared" ca="1" si="73"/>
        <v/>
      </c>
    </row>
    <row r="1970" spans="1:28">
      <c r="A1970" s="3" t="s">
        <v>1006</v>
      </c>
      <c r="D1970" s="3" t="s">
        <v>5825</v>
      </c>
      <c r="E1970" s="3" t="s">
        <v>5826</v>
      </c>
      <c r="H1970" t="s">
        <v>3884</v>
      </c>
      <c r="J1970" s="9" t="s">
        <v>3885</v>
      </c>
      <c r="K1970" s="9">
        <v>1</v>
      </c>
      <c r="L1970" s="9">
        <v>2</v>
      </c>
      <c r="M1970" s="9" t="s">
        <v>8734</v>
      </c>
      <c r="N1970" s="9" t="s">
        <v>8730</v>
      </c>
      <c r="R1970" s="9" t="s">
        <v>8739</v>
      </c>
      <c r="T1970" s="9" t="str">
        <f t="shared" ca="1" si="72"/>
        <v/>
      </c>
      <c r="U1970" s="9" t="str">
        <f t="shared" ca="1" si="73"/>
        <v/>
      </c>
      <c r="AB1970" s="9" t="s">
        <v>8688</v>
      </c>
    </row>
    <row r="1971" spans="1:28">
      <c r="A1971" s="3" t="s">
        <v>1007</v>
      </c>
      <c r="D1971" s="4" t="s">
        <v>3226</v>
      </c>
      <c r="E1971" s="3" t="s">
        <v>3227</v>
      </c>
      <c r="F1971" t="s">
        <v>3883</v>
      </c>
      <c r="T1971" s="9" t="str">
        <f t="shared" ca="1" si="72"/>
        <v/>
      </c>
      <c r="U1971" s="9" t="str">
        <f t="shared" ca="1" si="73"/>
        <v/>
      </c>
    </row>
    <row r="1972" spans="1:28" ht="29">
      <c r="A1972" s="3" t="s">
        <v>1007</v>
      </c>
      <c r="D1972" s="3" t="s">
        <v>5827</v>
      </c>
      <c r="E1972" s="3" t="s">
        <v>5828</v>
      </c>
      <c r="F1972" t="s">
        <v>3932</v>
      </c>
      <c r="I1972" t="s">
        <v>5829</v>
      </c>
      <c r="T1972" s="9" t="str">
        <f t="shared" ca="1" si="72"/>
        <v/>
      </c>
      <c r="U1972" s="9" t="str">
        <f t="shared" ca="1" si="73"/>
        <v/>
      </c>
    </row>
    <row r="1973" spans="1:28" ht="29">
      <c r="A1973" s="3" t="s">
        <v>1007</v>
      </c>
      <c r="D1973" s="3" t="s">
        <v>5830</v>
      </c>
      <c r="E1973" s="3" t="s">
        <v>5831</v>
      </c>
      <c r="J1973" s="9" t="s">
        <v>8729</v>
      </c>
      <c r="S1973" s="9" t="s">
        <v>8739</v>
      </c>
      <c r="T1973" s="9" t="str">
        <f t="shared" ca="1" si="72"/>
        <v/>
      </c>
      <c r="U1973" s="9" t="str">
        <f t="shared" ca="1" si="73"/>
        <v/>
      </c>
      <c r="AB1973" s="9" t="s">
        <v>8697</v>
      </c>
    </row>
    <row r="1974" spans="1:28" ht="29">
      <c r="A1974" s="3" t="s">
        <v>1007</v>
      </c>
      <c r="D1974" s="3" t="s">
        <v>5832</v>
      </c>
      <c r="E1974" s="3" t="s">
        <v>5833</v>
      </c>
      <c r="H1974" t="s">
        <v>3884</v>
      </c>
      <c r="J1974" s="9" t="s">
        <v>8731</v>
      </c>
      <c r="T1974" s="9" t="str">
        <f t="shared" ca="1" si="72"/>
        <v/>
      </c>
      <c r="U1974" s="9" t="str">
        <f t="shared" ca="1" si="73"/>
        <v/>
      </c>
    </row>
    <row r="1975" spans="1:28">
      <c r="A1975" s="3" t="s">
        <v>1008</v>
      </c>
      <c r="D1975" s="3" t="s">
        <v>5834</v>
      </c>
      <c r="E1975" s="3" t="s">
        <v>5835</v>
      </c>
      <c r="J1975" s="9" t="s">
        <v>8731</v>
      </c>
      <c r="T1975" s="9" t="str">
        <f t="shared" ca="1" si="72"/>
        <v/>
      </c>
      <c r="U1975" s="9" t="str">
        <f t="shared" ca="1" si="73"/>
        <v/>
      </c>
    </row>
    <row r="1976" spans="1:28">
      <c r="A1976" s="3" t="s">
        <v>1008</v>
      </c>
      <c r="D1976" s="3" t="s">
        <v>5836</v>
      </c>
      <c r="E1976" s="3" t="s">
        <v>5837</v>
      </c>
      <c r="J1976" s="9" t="s">
        <v>8731</v>
      </c>
      <c r="T1976" s="9" t="str">
        <f t="shared" ca="1" si="72"/>
        <v/>
      </c>
      <c r="U1976" s="9" t="str">
        <f t="shared" ca="1" si="73"/>
        <v/>
      </c>
      <c r="AB1976" s="9" t="s">
        <v>8688</v>
      </c>
    </row>
    <row r="1977" spans="1:28" ht="29">
      <c r="A1977" s="3" t="s">
        <v>1009</v>
      </c>
      <c r="D1977" s="3" t="s">
        <v>5839</v>
      </c>
      <c r="E1977" s="3" t="s">
        <v>5838</v>
      </c>
      <c r="H1977" t="s">
        <v>3884</v>
      </c>
      <c r="J1977" s="9" t="s">
        <v>3889</v>
      </c>
      <c r="K1977" s="9">
        <v>2</v>
      </c>
      <c r="L1977" s="9">
        <v>11</v>
      </c>
      <c r="N1977" s="9" t="s">
        <v>8690</v>
      </c>
      <c r="R1977" s="9">
        <v>65</v>
      </c>
      <c r="T1977" s="9" t="str">
        <f t="shared" ca="1" si="72"/>
        <v/>
      </c>
      <c r="U1977" s="9" t="str">
        <f t="shared" ca="1" si="73"/>
        <v/>
      </c>
    </row>
    <row r="1978" spans="1:28" ht="29">
      <c r="A1978" s="3" t="s">
        <v>1009</v>
      </c>
      <c r="D1978" s="3" t="s">
        <v>5840</v>
      </c>
      <c r="E1978" s="3" t="s">
        <v>5841</v>
      </c>
      <c r="J1978" s="9" t="s">
        <v>8729</v>
      </c>
      <c r="S1978" s="9" t="s">
        <v>8739</v>
      </c>
      <c r="T1978" s="9" t="str">
        <f t="shared" ca="1" si="72"/>
        <v/>
      </c>
      <c r="U1978" s="9" t="str">
        <f t="shared" ca="1" si="73"/>
        <v/>
      </c>
      <c r="Y1978" s="9" t="s">
        <v>8735</v>
      </c>
      <c r="AA1978" s="9" t="s">
        <v>3884</v>
      </c>
    </row>
    <row r="1979" spans="1:28">
      <c r="A1979" s="3" t="s">
        <v>1009</v>
      </c>
      <c r="D1979" s="3" t="s">
        <v>5842</v>
      </c>
      <c r="E1979" s="3" t="s">
        <v>5843</v>
      </c>
      <c r="J1979" s="9" t="s">
        <v>8729</v>
      </c>
      <c r="S1979" s="9">
        <f>5-5</f>
        <v>0</v>
      </c>
      <c r="T1979" s="9">
        <f t="shared" ca="1" si="72"/>
        <v>5</v>
      </c>
      <c r="U1979" s="9">
        <f t="shared" ca="1" si="73"/>
        <v>5</v>
      </c>
    </row>
    <row r="1980" spans="1:28">
      <c r="A1980" s="3" t="s">
        <v>1010</v>
      </c>
      <c r="D1980" s="3" t="s">
        <v>3228</v>
      </c>
      <c r="E1980" s="3" t="s">
        <v>3229</v>
      </c>
      <c r="J1980" s="9" t="s">
        <v>8729</v>
      </c>
      <c r="S1980" s="9" t="s">
        <v>8739</v>
      </c>
      <c r="T1980" s="9" t="str">
        <f t="shared" ca="1" si="72"/>
        <v/>
      </c>
      <c r="U1980" s="9" t="str">
        <f t="shared" ca="1" si="73"/>
        <v/>
      </c>
      <c r="Y1980" s="9" t="s">
        <v>8735</v>
      </c>
      <c r="AA1980" s="9" t="s">
        <v>3884</v>
      </c>
    </row>
    <row r="1981" spans="1:28">
      <c r="A1981" s="3" t="s">
        <v>1011</v>
      </c>
      <c r="D1981" s="3" t="s">
        <v>3230</v>
      </c>
      <c r="E1981" s="3" t="s">
        <v>3231</v>
      </c>
      <c r="H1981" t="s">
        <v>3884</v>
      </c>
      <c r="J1981" s="9" t="s">
        <v>8729</v>
      </c>
      <c r="Q1981" s="9" t="s">
        <v>8685</v>
      </c>
      <c r="S1981" s="9" t="s">
        <v>8739</v>
      </c>
      <c r="T1981" s="9" t="str">
        <f t="shared" ca="1" si="72"/>
        <v/>
      </c>
      <c r="U1981" s="9" t="str">
        <f t="shared" ca="1" si="73"/>
        <v/>
      </c>
      <c r="AB1981" s="9" t="s">
        <v>8688</v>
      </c>
    </row>
    <row r="1982" spans="1:28" ht="29">
      <c r="A1982" s="3" t="s">
        <v>1012</v>
      </c>
      <c r="D1982" s="3" t="s">
        <v>5845</v>
      </c>
      <c r="E1982" s="3" t="s">
        <v>5844</v>
      </c>
      <c r="I1982" t="s">
        <v>9239</v>
      </c>
      <c r="J1982" s="9" t="s">
        <v>3889</v>
      </c>
      <c r="K1982" s="9">
        <v>1</v>
      </c>
      <c r="L1982" s="9">
        <v>8</v>
      </c>
      <c r="M1982" s="9" t="s">
        <v>8703</v>
      </c>
      <c r="N1982" s="9" t="s">
        <v>8684</v>
      </c>
      <c r="O1982" s="9" t="s">
        <v>8771</v>
      </c>
      <c r="P1982" s="10" t="s">
        <v>8778</v>
      </c>
      <c r="R1982" s="9">
        <v>1056</v>
      </c>
      <c r="T1982" s="9" t="str">
        <f t="shared" ca="1" si="72"/>
        <v/>
      </c>
      <c r="U1982" s="9" t="str">
        <f t="shared" ca="1" si="73"/>
        <v/>
      </c>
      <c r="V1982" s="9" t="s">
        <v>4</v>
      </c>
    </row>
    <row r="1983" spans="1:28">
      <c r="A1983" s="3" t="s">
        <v>1012</v>
      </c>
      <c r="D1983" s="3" t="s">
        <v>5846</v>
      </c>
      <c r="E1983" s="3" t="s">
        <v>5847</v>
      </c>
      <c r="H1983" t="s">
        <v>3884</v>
      </c>
      <c r="I1983" t="s">
        <v>9689</v>
      </c>
      <c r="J1983" s="9" t="s">
        <v>3885</v>
      </c>
      <c r="K1983" s="9">
        <v>1</v>
      </c>
      <c r="L1983" s="9">
        <v>1</v>
      </c>
      <c r="M1983" s="9" t="s">
        <v>8683</v>
      </c>
      <c r="N1983" s="9" t="s">
        <v>8730</v>
      </c>
      <c r="Q1983" s="9" t="s">
        <v>8685</v>
      </c>
      <c r="R1983" s="9">
        <v>6</v>
      </c>
      <c r="T1983" s="9" t="str">
        <f t="shared" ca="1" si="72"/>
        <v/>
      </c>
      <c r="U1983" s="9" t="str">
        <f t="shared" ca="1" si="73"/>
        <v/>
      </c>
    </row>
    <row r="1984" spans="1:28">
      <c r="A1984" s="3" t="s">
        <v>1012</v>
      </c>
      <c r="D1984" s="4" t="s">
        <v>5848</v>
      </c>
      <c r="E1984" s="3" t="s">
        <v>5849</v>
      </c>
      <c r="F1984" t="s">
        <v>3883</v>
      </c>
      <c r="T1984" s="9" t="str">
        <f t="shared" ca="1" si="72"/>
        <v/>
      </c>
      <c r="U1984" s="9" t="str">
        <f t="shared" ca="1" si="73"/>
        <v/>
      </c>
    </row>
    <row r="1985" spans="1:28">
      <c r="A1985" s="3" t="s">
        <v>1012</v>
      </c>
      <c r="D1985" s="4" t="s">
        <v>5851</v>
      </c>
      <c r="E1985" s="3" t="s">
        <v>5852</v>
      </c>
      <c r="F1985" t="s">
        <v>3883</v>
      </c>
      <c r="T1985" s="9" t="str">
        <f t="shared" ca="1" si="72"/>
        <v/>
      </c>
      <c r="U1985" s="9" t="str">
        <f t="shared" ca="1" si="73"/>
        <v/>
      </c>
    </row>
    <row r="1986" spans="1:28">
      <c r="A1986" s="3" t="s">
        <v>1012</v>
      </c>
      <c r="D1986" s="3" t="s">
        <v>5850</v>
      </c>
      <c r="E1986" s="3" t="s">
        <v>5853</v>
      </c>
      <c r="J1986" s="9" t="s">
        <v>3885</v>
      </c>
      <c r="K1986" s="9">
        <v>1</v>
      </c>
      <c r="L1986" s="9">
        <v>3</v>
      </c>
      <c r="M1986" s="9" t="s">
        <v>8689</v>
      </c>
      <c r="N1986" s="9" t="s">
        <v>8690</v>
      </c>
      <c r="R1986" s="9">
        <v>10929</v>
      </c>
      <c r="T1986" s="9" t="str">
        <f t="shared" ca="1" si="72"/>
        <v/>
      </c>
      <c r="U1986" s="9" t="str">
        <f t="shared" ca="1" si="73"/>
        <v/>
      </c>
    </row>
    <row r="1987" spans="1:28">
      <c r="A1987" s="3" t="s">
        <v>1013</v>
      </c>
      <c r="D1987" s="3" t="s">
        <v>3232</v>
      </c>
      <c r="E1987" s="3" t="s">
        <v>3233</v>
      </c>
      <c r="J1987" s="9" t="s">
        <v>8729</v>
      </c>
      <c r="S1987" s="9" t="s">
        <v>8739</v>
      </c>
      <c r="T1987" s="9" t="str">
        <f t="shared" ref="T1987:T2051" ca="1" si="74">IF(ISNUMBER(S1987),VALUE(MID(_xlfn.FORMULATEXT(S1987),SEARCH("-",_xlfn.FORMULATEXT(S1987))+1,LEN(_xlfn.FORMULATEXT(S1987))-SEARCH("-",_xlfn.FORMULATEXT(S1987)))), "")</f>
        <v/>
      </c>
      <c r="U1987" s="9" t="str">
        <f t="shared" ref="U1987:U2051" ca="1" si="75">IF(ISNUMBER(S1987), VALUE(MID(_xlfn.FORMULATEXT(S1987), 2, SEARCH("-", _xlfn.FORMULATEXT(S1987)) - 2)), "")</f>
        <v/>
      </c>
      <c r="Y1987" s="9" t="s">
        <v>8735</v>
      </c>
      <c r="Z1987" s="9" t="s">
        <v>9280</v>
      </c>
      <c r="AA1987" s="9" t="s">
        <v>3884</v>
      </c>
    </row>
    <row r="1988" spans="1:28">
      <c r="A1988" s="3" t="s">
        <v>1014</v>
      </c>
      <c r="D1988" s="3" t="s">
        <v>3234</v>
      </c>
      <c r="E1988" s="3" t="s">
        <v>3235</v>
      </c>
      <c r="J1988" s="9" t="s">
        <v>8729</v>
      </c>
      <c r="S1988" s="9" t="s">
        <v>8739</v>
      </c>
      <c r="T1988" s="9" t="str">
        <f t="shared" ca="1" si="74"/>
        <v/>
      </c>
      <c r="U1988" s="9" t="str">
        <f t="shared" ca="1" si="75"/>
        <v/>
      </c>
      <c r="Y1988" s="9" t="s">
        <v>8735</v>
      </c>
      <c r="Z1988" s="9" t="s">
        <v>8742</v>
      </c>
      <c r="AA1988" s="9" t="s">
        <v>3884</v>
      </c>
    </row>
    <row r="1989" spans="1:28">
      <c r="A1989" s="3" t="s">
        <v>1015</v>
      </c>
      <c r="D1989" s="4" t="s">
        <v>3236</v>
      </c>
      <c r="E1989" s="3" t="s">
        <v>3237</v>
      </c>
      <c r="F1989" t="s">
        <v>3883</v>
      </c>
      <c r="T1989" s="9" t="str">
        <f t="shared" ca="1" si="74"/>
        <v/>
      </c>
      <c r="U1989" s="9" t="str">
        <f t="shared" ca="1" si="75"/>
        <v/>
      </c>
    </row>
    <row r="1990" spans="1:28">
      <c r="A1990" s="3" t="s">
        <v>1015</v>
      </c>
      <c r="D1990" s="3" t="s">
        <v>3238</v>
      </c>
      <c r="E1990" s="3" t="s">
        <v>3239</v>
      </c>
      <c r="J1990" s="9" t="s">
        <v>8729</v>
      </c>
      <c r="S1990" s="9" t="s">
        <v>8739</v>
      </c>
      <c r="T1990" s="9" t="str">
        <f t="shared" ca="1" si="74"/>
        <v/>
      </c>
      <c r="U1990" s="9" t="str">
        <f t="shared" ca="1" si="75"/>
        <v/>
      </c>
      <c r="Y1990" s="9" t="s">
        <v>8735</v>
      </c>
      <c r="Z1990" s="9" t="s">
        <v>8742</v>
      </c>
      <c r="AA1990" s="9" t="s">
        <v>3884</v>
      </c>
    </row>
    <row r="1991" spans="1:28">
      <c r="A1991" s="3" t="s">
        <v>1015</v>
      </c>
      <c r="D1991" s="3" t="s">
        <v>3240</v>
      </c>
      <c r="E1991" s="3" t="s">
        <v>3241</v>
      </c>
      <c r="J1991" s="9" t="s">
        <v>8729</v>
      </c>
      <c r="S1991" s="9" t="s">
        <v>8739</v>
      </c>
      <c r="T1991" s="9" t="str">
        <f t="shared" ca="1" si="74"/>
        <v/>
      </c>
      <c r="U1991" s="9" t="str">
        <f t="shared" ca="1" si="75"/>
        <v/>
      </c>
      <c r="Y1991" s="9" t="s">
        <v>8735</v>
      </c>
      <c r="Z1991" s="9" t="s">
        <v>8742</v>
      </c>
      <c r="AA1991" s="9" t="s">
        <v>3884</v>
      </c>
    </row>
    <row r="1992" spans="1:28">
      <c r="A1992" s="3" t="s">
        <v>1016</v>
      </c>
      <c r="D1992" s="3" t="s">
        <v>5854</v>
      </c>
      <c r="E1992" s="3" t="s">
        <v>5855</v>
      </c>
      <c r="J1992" s="9" t="s">
        <v>8729</v>
      </c>
      <c r="S1992" s="9" t="s">
        <v>8739</v>
      </c>
      <c r="T1992" s="9" t="str">
        <f t="shared" ca="1" si="74"/>
        <v/>
      </c>
      <c r="U1992" s="9" t="str">
        <f t="shared" ca="1" si="75"/>
        <v/>
      </c>
      <c r="Y1992" s="9" t="s">
        <v>8735</v>
      </c>
      <c r="AA1992" s="9" t="s">
        <v>3884</v>
      </c>
    </row>
    <row r="1993" spans="1:28">
      <c r="A1993" s="3" t="s">
        <v>1016</v>
      </c>
      <c r="D1993" s="3" t="s">
        <v>5856</v>
      </c>
      <c r="E1993" s="3" t="s">
        <v>5857</v>
      </c>
      <c r="H1993" t="s">
        <v>3884</v>
      </c>
      <c r="J1993" s="9" t="s">
        <v>8729</v>
      </c>
      <c r="S1993" s="9" t="s">
        <v>8739</v>
      </c>
      <c r="T1993" s="9" t="str">
        <f t="shared" ca="1" si="74"/>
        <v/>
      </c>
      <c r="U1993" s="9" t="str">
        <f t="shared" ca="1" si="75"/>
        <v/>
      </c>
      <c r="Y1993" s="9" t="s">
        <v>8735</v>
      </c>
      <c r="AA1993" s="9" t="s">
        <v>3884</v>
      </c>
    </row>
    <row r="1994" spans="1:28">
      <c r="A1994" s="3" t="s">
        <v>1017</v>
      </c>
      <c r="D1994" s="3" t="s">
        <v>9505</v>
      </c>
      <c r="E1994" s="3" t="s">
        <v>9506</v>
      </c>
      <c r="F1994" t="s">
        <v>4196</v>
      </c>
      <c r="H1994" t="s">
        <v>3884</v>
      </c>
      <c r="J1994" s="9" t="s">
        <v>8729</v>
      </c>
      <c r="T1994" s="9" t="str">
        <f t="shared" ref="T1994" ca="1" si="76">IF(ISNUMBER(S1994),VALUE(MID(_xlfn.FORMULATEXT(S1994),SEARCH("-",_xlfn.FORMULATEXT(S1994))+1,LEN(_xlfn.FORMULATEXT(S1994))-SEARCH("-",_xlfn.FORMULATEXT(S1994)))), "")</f>
        <v/>
      </c>
      <c r="U1994" s="9" t="str">
        <f t="shared" ref="U1994" ca="1" si="77">IF(ISNUMBER(S1994), VALUE(MID(_xlfn.FORMULATEXT(S1994), 2, SEARCH("-", _xlfn.FORMULATEXT(S1994)) - 2)), "")</f>
        <v/>
      </c>
      <c r="Y1994" s="9" t="s">
        <v>8735</v>
      </c>
      <c r="AA1994" s="9" t="s">
        <v>3884</v>
      </c>
      <c r="AB1994" s="9" t="s">
        <v>8694</v>
      </c>
    </row>
    <row r="1995" spans="1:28">
      <c r="A1995" s="3" t="s">
        <v>1017</v>
      </c>
      <c r="D1995" s="3" t="s">
        <v>5858</v>
      </c>
      <c r="E1995" s="3" t="s">
        <v>5859</v>
      </c>
      <c r="H1995" t="s">
        <v>3884</v>
      </c>
      <c r="J1995" s="9" t="s">
        <v>3885</v>
      </c>
      <c r="K1995" s="9">
        <v>1</v>
      </c>
      <c r="L1995" s="9">
        <v>2</v>
      </c>
      <c r="M1995" s="9" t="s">
        <v>8705</v>
      </c>
      <c r="N1995" s="9" t="s">
        <v>8730</v>
      </c>
      <c r="Q1995" s="9" t="s">
        <v>8685</v>
      </c>
      <c r="R1995" s="9">
        <v>615</v>
      </c>
      <c r="T1995" s="9" t="str">
        <f t="shared" ca="1" si="74"/>
        <v/>
      </c>
      <c r="U1995" s="9" t="str">
        <f t="shared" ca="1" si="75"/>
        <v/>
      </c>
      <c r="AB1995" s="9" t="s">
        <v>8694</v>
      </c>
    </row>
    <row r="1996" spans="1:28">
      <c r="A1996" s="3" t="s">
        <v>1017</v>
      </c>
      <c r="D1996" s="3" t="s">
        <v>3242</v>
      </c>
      <c r="E1996" s="3" t="s">
        <v>3243</v>
      </c>
      <c r="J1996" s="9" t="s">
        <v>8729</v>
      </c>
      <c r="S1996" s="9" t="s">
        <v>8739</v>
      </c>
      <c r="T1996" s="9" t="str">
        <f t="shared" ca="1" si="74"/>
        <v/>
      </c>
      <c r="U1996" s="9" t="str">
        <f t="shared" ca="1" si="75"/>
        <v/>
      </c>
      <c r="Y1996" s="9" t="s">
        <v>8735</v>
      </c>
      <c r="Z1996" s="9" t="s">
        <v>8742</v>
      </c>
      <c r="AA1996" s="9" t="s">
        <v>3884</v>
      </c>
    </row>
    <row r="1997" spans="1:28">
      <c r="A1997" s="3" t="s">
        <v>1018</v>
      </c>
      <c r="D1997" s="3" t="s">
        <v>3244</v>
      </c>
      <c r="E1997" s="3" t="s">
        <v>3245</v>
      </c>
      <c r="J1997" s="9" t="s">
        <v>8729</v>
      </c>
      <c r="S1997" s="9" t="s">
        <v>8739</v>
      </c>
      <c r="T1997" s="9" t="str">
        <f t="shared" ca="1" si="74"/>
        <v/>
      </c>
      <c r="U1997" s="9" t="str">
        <f t="shared" ca="1" si="75"/>
        <v/>
      </c>
      <c r="Y1997" s="9" t="s">
        <v>8735</v>
      </c>
      <c r="Z1997" s="9" t="s">
        <v>8742</v>
      </c>
      <c r="AA1997" s="9" t="s">
        <v>3884</v>
      </c>
    </row>
    <row r="1998" spans="1:28">
      <c r="A1998" s="3" t="s">
        <v>1019</v>
      </c>
      <c r="D1998" s="3" t="s">
        <v>3246</v>
      </c>
      <c r="E1998" s="3" t="s">
        <v>3247</v>
      </c>
      <c r="J1998" s="9" t="s">
        <v>8729</v>
      </c>
      <c r="S1998" s="9" t="s">
        <v>8739</v>
      </c>
      <c r="T1998" s="9" t="str">
        <f t="shared" ca="1" si="74"/>
        <v/>
      </c>
      <c r="U1998" s="9" t="str">
        <f t="shared" ca="1" si="75"/>
        <v/>
      </c>
      <c r="Y1998" s="9" t="s">
        <v>8735</v>
      </c>
      <c r="Z1998" s="9" t="s">
        <v>8742</v>
      </c>
      <c r="AA1998" s="9" t="s">
        <v>3884</v>
      </c>
    </row>
    <row r="1999" spans="1:28">
      <c r="A1999" s="3" t="s">
        <v>1019</v>
      </c>
      <c r="D1999" s="3" t="s">
        <v>3248</v>
      </c>
      <c r="E1999" s="3" t="s">
        <v>3030</v>
      </c>
      <c r="J1999" s="9" t="s">
        <v>8729</v>
      </c>
      <c r="S1999" s="9" t="s">
        <v>8739</v>
      </c>
      <c r="T1999" s="9" t="str">
        <f t="shared" ca="1" si="74"/>
        <v/>
      </c>
      <c r="U1999" s="9" t="str">
        <f t="shared" ca="1" si="75"/>
        <v/>
      </c>
      <c r="Y1999" s="9" t="s">
        <v>8735</v>
      </c>
      <c r="AA1999" s="9" t="s">
        <v>3884</v>
      </c>
    </row>
    <row r="2000" spans="1:28">
      <c r="A2000" s="3" t="s">
        <v>1019</v>
      </c>
      <c r="D2000" s="3" t="s">
        <v>3249</v>
      </c>
      <c r="E2000" s="3" t="s">
        <v>3250</v>
      </c>
      <c r="J2000" s="9" t="s">
        <v>8729</v>
      </c>
      <c r="S2000" s="9" t="s">
        <v>8739</v>
      </c>
      <c r="T2000" s="9" t="str">
        <f t="shared" ca="1" si="74"/>
        <v/>
      </c>
      <c r="U2000" s="9" t="str">
        <f t="shared" ca="1" si="75"/>
        <v/>
      </c>
      <c r="Y2000" s="9" t="s">
        <v>8735</v>
      </c>
      <c r="Z2000" s="9" t="s">
        <v>8742</v>
      </c>
      <c r="AA2000" s="9" t="s">
        <v>3884</v>
      </c>
    </row>
    <row r="2001" spans="1:28">
      <c r="A2001" s="3" t="s">
        <v>1020</v>
      </c>
      <c r="D2001" s="4" t="s">
        <v>5860</v>
      </c>
      <c r="E2001" s="3" t="s">
        <v>5861</v>
      </c>
      <c r="F2001" t="s">
        <v>3883</v>
      </c>
      <c r="T2001" s="9" t="str">
        <f t="shared" ca="1" si="74"/>
        <v/>
      </c>
      <c r="U2001" s="9" t="str">
        <f t="shared" ca="1" si="75"/>
        <v/>
      </c>
    </row>
    <row r="2002" spans="1:28">
      <c r="A2002" s="3" t="s">
        <v>1020</v>
      </c>
      <c r="D2002" s="3" t="s">
        <v>5862</v>
      </c>
      <c r="E2002" s="3" t="s">
        <v>5863</v>
      </c>
      <c r="H2002" t="s">
        <v>3884</v>
      </c>
      <c r="J2002" s="9" t="s">
        <v>8729</v>
      </c>
      <c r="S2002" s="9" t="s">
        <v>8739</v>
      </c>
      <c r="T2002" s="9" t="str">
        <f t="shared" ca="1" si="74"/>
        <v/>
      </c>
      <c r="U2002" s="9" t="str">
        <f t="shared" ca="1" si="75"/>
        <v/>
      </c>
      <c r="Y2002" s="9" t="s">
        <v>8735</v>
      </c>
      <c r="AA2002" s="9" t="s">
        <v>3884</v>
      </c>
    </row>
    <row r="2003" spans="1:28">
      <c r="A2003" s="3" t="s">
        <v>1020</v>
      </c>
      <c r="D2003" s="3" t="s">
        <v>3251</v>
      </c>
      <c r="E2003" s="3" t="s">
        <v>3252</v>
      </c>
      <c r="J2003" s="9" t="s">
        <v>8729</v>
      </c>
      <c r="S2003" s="9" t="s">
        <v>8739</v>
      </c>
      <c r="T2003" s="9" t="str">
        <f t="shared" ca="1" si="74"/>
        <v/>
      </c>
      <c r="U2003" s="9" t="str">
        <f t="shared" ca="1" si="75"/>
        <v/>
      </c>
      <c r="Y2003" s="9" t="s">
        <v>8735</v>
      </c>
      <c r="Z2003" s="9" t="s">
        <v>8742</v>
      </c>
      <c r="AA2003" s="9" t="s">
        <v>3884</v>
      </c>
    </row>
    <row r="2004" spans="1:28">
      <c r="A2004" s="3" t="s">
        <v>1021</v>
      </c>
      <c r="D2004" s="3" t="s">
        <v>5864</v>
      </c>
      <c r="E2004" s="3" t="s">
        <v>5865</v>
      </c>
      <c r="J2004" s="9" t="s">
        <v>8729</v>
      </c>
      <c r="S2004" s="9" t="s">
        <v>8739</v>
      </c>
      <c r="T2004" s="9" t="str">
        <f t="shared" ca="1" si="74"/>
        <v/>
      </c>
      <c r="U2004" s="9" t="str">
        <f t="shared" ca="1" si="75"/>
        <v/>
      </c>
      <c r="Y2004" s="9" t="s">
        <v>8735</v>
      </c>
      <c r="Z2004" s="9" t="s">
        <v>8742</v>
      </c>
      <c r="AA2004" s="9" t="s">
        <v>3884</v>
      </c>
    </row>
    <row r="2005" spans="1:28">
      <c r="A2005" s="3" t="s">
        <v>1022</v>
      </c>
      <c r="D2005" s="3" t="s">
        <v>5866</v>
      </c>
      <c r="E2005" s="3" t="s">
        <v>5867</v>
      </c>
      <c r="J2005" s="9" t="s">
        <v>8729</v>
      </c>
      <c r="S2005" s="9" t="s">
        <v>8739</v>
      </c>
      <c r="T2005" s="9" t="str">
        <f t="shared" ca="1" si="74"/>
        <v/>
      </c>
      <c r="U2005" s="9" t="str">
        <f t="shared" ca="1" si="75"/>
        <v/>
      </c>
      <c r="Y2005" s="9" t="s">
        <v>8735</v>
      </c>
      <c r="AA2005" s="9" t="s">
        <v>3884</v>
      </c>
    </row>
    <row r="2006" spans="1:28">
      <c r="A2006" s="3" t="s">
        <v>1023</v>
      </c>
      <c r="D2006" s="3" t="s">
        <v>5868</v>
      </c>
      <c r="E2006" s="3" t="s">
        <v>5869</v>
      </c>
      <c r="J2006" s="9" t="s">
        <v>8731</v>
      </c>
      <c r="T2006" s="9" t="str">
        <f t="shared" ca="1" si="74"/>
        <v/>
      </c>
      <c r="U2006" s="9" t="str">
        <f t="shared" ca="1" si="75"/>
        <v/>
      </c>
    </row>
    <row r="2007" spans="1:28" ht="29">
      <c r="A2007" s="3" t="s">
        <v>1024</v>
      </c>
      <c r="D2007" s="3" t="s">
        <v>5870</v>
      </c>
      <c r="E2007" s="3" t="s">
        <v>5871</v>
      </c>
      <c r="J2007" s="9" t="s">
        <v>8729</v>
      </c>
      <c r="S2007" s="9">
        <f>357-335</f>
        <v>22</v>
      </c>
      <c r="T2007" s="9">
        <f t="shared" ca="1" si="74"/>
        <v>335</v>
      </c>
      <c r="U2007" s="9">
        <f t="shared" ca="1" si="75"/>
        <v>357</v>
      </c>
    </row>
    <row r="2008" spans="1:28">
      <c r="A2008" s="3" t="s">
        <v>1024</v>
      </c>
      <c r="D2008" s="3" t="s">
        <v>5872</v>
      </c>
      <c r="E2008" s="3" t="s">
        <v>5873</v>
      </c>
      <c r="J2008" s="9" t="s">
        <v>8729</v>
      </c>
      <c r="S2008" s="9">
        <f>203-5</f>
        <v>198</v>
      </c>
      <c r="T2008" s="9">
        <f t="shared" ca="1" si="74"/>
        <v>5</v>
      </c>
      <c r="U2008" s="9">
        <f t="shared" ca="1" si="75"/>
        <v>203</v>
      </c>
    </row>
    <row r="2009" spans="1:28" ht="29">
      <c r="A2009" s="3" t="s">
        <v>1025</v>
      </c>
      <c r="D2009" s="3" t="s">
        <v>5874</v>
      </c>
      <c r="E2009" s="3" t="s">
        <v>9631</v>
      </c>
      <c r="J2009" s="9" t="s">
        <v>8731</v>
      </c>
      <c r="T2009" s="9" t="str">
        <f t="shared" ca="1" si="74"/>
        <v/>
      </c>
      <c r="U2009" s="9" t="str">
        <f t="shared" ca="1" si="75"/>
        <v/>
      </c>
      <c r="Y2009" s="9" t="s">
        <v>9282</v>
      </c>
      <c r="AA2009" s="9" t="s">
        <v>3884</v>
      </c>
    </row>
    <row r="2010" spans="1:28" ht="29">
      <c r="A2010" s="3" t="s">
        <v>1025</v>
      </c>
      <c r="D2010" s="3" t="s">
        <v>5875</v>
      </c>
      <c r="E2010" s="4" t="s">
        <v>9632</v>
      </c>
      <c r="F2010" t="s">
        <v>4197</v>
      </c>
      <c r="I2010" t="s">
        <v>5876</v>
      </c>
      <c r="J2010" s="9" t="s">
        <v>3885</v>
      </c>
      <c r="K2010" s="9">
        <v>1</v>
      </c>
      <c r="L2010" s="9">
        <v>3</v>
      </c>
      <c r="M2010" s="9" t="s">
        <v>8703</v>
      </c>
      <c r="N2010" s="9" t="s">
        <v>8690</v>
      </c>
      <c r="Q2010" s="9" t="s">
        <v>8691</v>
      </c>
      <c r="R2010" s="9">
        <v>9</v>
      </c>
      <c r="T2010" s="9" t="str">
        <f t="shared" ca="1" si="74"/>
        <v/>
      </c>
      <c r="U2010" s="9" t="str">
        <f t="shared" ca="1" si="75"/>
        <v/>
      </c>
    </row>
    <row r="2011" spans="1:28">
      <c r="A2011" s="3" t="s">
        <v>1026</v>
      </c>
      <c r="D2011" s="3" t="s">
        <v>5877</v>
      </c>
      <c r="E2011" s="3" t="s">
        <v>5878</v>
      </c>
      <c r="J2011" s="9" t="s">
        <v>8729</v>
      </c>
      <c r="S2011" s="9">
        <f>10929-243</f>
        <v>10686</v>
      </c>
      <c r="T2011" s="9">
        <f t="shared" ca="1" si="74"/>
        <v>243</v>
      </c>
      <c r="U2011" s="9">
        <f t="shared" ca="1" si="75"/>
        <v>10929</v>
      </c>
    </row>
    <row r="2012" spans="1:28">
      <c r="A2012" s="3" t="s">
        <v>1026</v>
      </c>
      <c r="D2012" s="3" t="s">
        <v>3254</v>
      </c>
      <c r="E2012" s="3" t="s">
        <v>3255</v>
      </c>
      <c r="J2012" s="9" t="s">
        <v>8729</v>
      </c>
      <c r="S2012" s="9" t="s">
        <v>8739</v>
      </c>
      <c r="T2012" s="9" t="str">
        <f t="shared" ca="1" si="74"/>
        <v/>
      </c>
      <c r="U2012" s="9" t="str">
        <f t="shared" ca="1" si="75"/>
        <v/>
      </c>
      <c r="Y2012" s="9" t="s">
        <v>8735</v>
      </c>
      <c r="AA2012" s="9" t="s">
        <v>3884</v>
      </c>
    </row>
    <row r="2013" spans="1:28">
      <c r="A2013" s="3" t="s">
        <v>1026</v>
      </c>
      <c r="D2013" s="3" t="s">
        <v>2895</v>
      </c>
      <c r="E2013" s="3" t="s">
        <v>3147</v>
      </c>
      <c r="J2013" s="9" t="s">
        <v>8731</v>
      </c>
      <c r="T2013" s="9" t="str">
        <f t="shared" ca="1" si="74"/>
        <v/>
      </c>
      <c r="U2013" s="9" t="str">
        <f t="shared" ca="1" si="75"/>
        <v/>
      </c>
    </row>
    <row r="2014" spans="1:28">
      <c r="A2014" s="3" t="s">
        <v>1026</v>
      </c>
      <c r="D2014" s="3" t="s">
        <v>5879</v>
      </c>
      <c r="E2014" s="3" t="s">
        <v>5880</v>
      </c>
      <c r="I2014" s="7"/>
      <c r="J2014" s="9" t="s">
        <v>8729</v>
      </c>
      <c r="S2014" s="9">
        <f>10929-9418</f>
        <v>1511</v>
      </c>
      <c r="T2014" s="9">
        <f t="shared" ca="1" si="74"/>
        <v>9418</v>
      </c>
      <c r="U2014" s="9">
        <f t="shared" ca="1" si="75"/>
        <v>10929</v>
      </c>
    </row>
    <row r="2015" spans="1:28">
      <c r="A2015" s="3" t="s">
        <v>1027</v>
      </c>
      <c r="D2015" s="3" t="s">
        <v>3256</v>
      </c>
      <c r="E2015" s="3" t="s">
        <v>2039</v>
      </c>
      <c r="J2015" s="9" t="s">
        <v>8729</v>
      </c>
      <c r="S2015" s="9" t="s">
        <v>8739</v>
      </c>
      <c r="T2015" s="9" t="str">
        <f t="shared" ca="1" si="74"/>
        <v/>
      </c>
      <c r="U2015" s="9" t="str">
        <f t="shared" ca="1" si="75"/>
        <v/>
      </c>
      <c r="Y2015" s="9" t="s">
        <v>8735</v>
      </c>
      <c r="Z2015" s="9" t="s">
        <v>8757</v>
      </c>
      <c r="AA2015" s="9" t="s">
        <v>3884</v>
      </c>
    </row>
    <row r="2016" spans="1:28" ht="29">
      <c r="A2016" s="3" t="s">
        <v>1028</v>
      </c>
      <c r="D2016" s="3" t="s">
        <v>5881</v>
      </c>
      <c r="E2016" s="3" t="s">
        <v>5882</v>
      </c>
      <c r="J2016" s="9" t="s">
        <v>8729</v>
      </c>
      <c r="S2016" s="9">
        <f>62-8</f>
        <v>54</v>
      </c>
      <c r="T2016" s="9">
        <f t="shared" ca="1" si="74"/>
        <v>8</v>
      </c>
      <c r="U2016" s="9">
        <f t="shared" ca="1" si="75"/>
        <v>62</v>
      </c>
      <c r="AB2016" s="9" t="s">
        <v>8700</v>
      </c>
    </row>
    <row r="2017" spans="1:28" ht="29">
      <c r="A2017" s="3" t="s">
        <v>1029</v>
      </c>
      <c r="D2017" s="3" t="s">
        <v>5883</v>
      </c>
      <c r="E2017" s="3" t="s">
        <v>5885</v>
      </c>
      <c r="J2017" s="9" t="s">
        <v>3885</v>
      </c>
      <c r="K2017" s="9">
        <v>1</v>
      </c>
      <c r="L2017" s="9">
        <v>3</v>
      </c>
      <c r="M2017" s="9" t="s">
        <v>8698</v>
      </c>
      <c r="N2017" s="9" t="s">
        <v>8690</v>
      </c>
      <c r="R2017" s="9">
        <v>9418</v>
      </c>
      <c r="T2017" s="9" t="str">
        <f t="shared" ca="1" si="74"/>
        <v/>
      </c>
      <c r="U2017" s="9" t="str">
        <f t="shared" ca="1" si="75"/>
        <v/>
      </c>
    </row>
    <row r="2018" spans="1:28" ht="29">
      <c r="A2018" s="3" t="s">
        <v>1029</v>
      </c>
      <c r="D2018" s="3" t="s">
        <v>5886</v>
      </c>
      <c r="E2018" s="3" t="s">
        <v>5884</v>
      </c>
      <c r="J2018" s="9" t="s">
        <v>3889</v>
      </c>
      <c r="K2018" s="9">
        <v>1</v>
      </c>
      <c r="L2018" s="9">
        <v>2</v>
      </c>
      <c r="M2018" s="9" t="s">
        <v>8703</v>
      </c>
      <c r="N2018" s="9" t="s">
        <v>8730</v>
      </c>
      <c r="R2018" s="9">
        <v>1225</v>
      </c>
      <c r="T2018" s="9" t="str">
        <f t="shared" ca="1" si="74"/>
        <v/>
      </c>
      <c r="U2018" s="9" t="str">
        <f t="shared" ca="1" si="75"/>
        <v/>
      </c>
    </row>
    <row r="2019" spans="1:28">
      <c r="A2019" s="3" t="s">
        <v>1029</v>
      </c>
      <c r="D2019" s="3" t="s">
        <v>3257</v>
      </c>
      <c r="E2019" s="3" t="s">
        <v>3258</v>
      </c>
      <c r="J2019" s="9" t="s">
        <v>8729</v>
      </c>
      <c r="S2019" s="9">
        <f>0-1</f>
        <v>-1</v>
      </c>
      <c r="T2019" s="9">
        <f t="shared" ca="1" si="74"/>
        <v>1</v>
      </c>
      <c r="U2019" s="9">
        <f t="shared" ca="1" si="75"/>
        <v>0</v>
      </c>
    </row>
    <row r="2020" spans="1:28">
      <c r="A2020" s="3" t="s">
        <v>1030</v>
      </c>
      <c r="D2020" s="3" t="s">
        <v>5887</v>
      </c>
      <c r="E2020" s="3" t="s">
        <v>5888</v>
      </c>
      <c r="H2020" t="s">
        <v>3884</v>
      </c>
      <c r="J2020" s="9" t="s">
        <v>3885</v>
      </c>
      <c r="K2020" s="9">
        <v>1</v>
      </c>
      <c r="L2020" s="9">
        <v>4</v>
      </c>
      <c r="M2020" s="9" t="s">
        <v>8703</v>
      </c>
      <c r="N2020" s="9" t="s">
        <v>8684</v>
      </c>
      <c r="O2020" s="9" t="s">
        <v>8771</v>
      </c>
      <c r="P2020" s="10" t="s">
        <v>8772</v>
      </c>
      <c r="R2020" s="9">
        <v>0</v>
      </c>
      <c r="T2020" s="9" t="str">
        <f t="shared" ca="1" si="74"/>
        <v/>
      </c>
      <c r="U2020" s="9" t="str">
        <f t="shared" ca="1" si="75"/>
        <v/>
      </c>
    </row>
    <row r="2021" spans="1:28">
      <c r="A2021" s="3" t="s">
        <v>1030</v>
      </c>
      <c r="D2021" s="3" t="s">
        <v>5889</v>
      </c>
      <c r="E2021" s="3" t="s">
        <v>5890</v>
      </c>
      <c r="J2021" s="9" t="s">
        <v>3889</v>
      </c>
      <c r="K2021" s="9">
        <v>1</v>
      </c>
      <c r="L2021" s="9">
        <v>1</v>
      </c>
      <c r="M2021" s="9" t="s">
        <v>8698</v>
      </c>
      <c r="N2021" s="9" t="s">
        <v>8730</v>
      </c>
      <c r="R2021" s="9">
        <v>73</v>
      </c>
      <c r="T2021" s="9" t="str">
        <f t="shared" ca="1" si="74"/>
        <v/>
      </c>
      <c r="U2021" s="9" t="str">
        <f t="shared" ca="1" si="75"/>
        <v/>
      </c>
    </row>
    <row r="2022" spans="1:28">
      <c r="A2022" s="3" t="s">
        <v>1030</v>
      </c>
      <c r="D2022" s="3" t="s">
        <v>5891</v>
      </c>
      <c r="E2022" s="3" t="s">
        <v>5892</v>
      </c>
      <c r="J2022" s="9" t="s">
        <v>8729</v>
      </c>
      <c r="S2022" s="9">
        <f xml:space="preserve"> 68-16</f>
        <v>52</v>
      </c>
      <c r="T2022" s="9">
        <f t="shared" ca="1" si="74"/>
        <v>16</v>
      </c>
      <c r="U2022" s="9">
        <f t="shared" ca="1" si="75"/>
        <v>68</v>
      </c>
      <c r="AB2022" s="9" t="s">
        <v>8700</v>
      </c>
    </row>
    <row r="2023" spans="1:28">
      <c r="A2023" s="3" t="s">
        <v>1030</v>
      </c>
      <c r="D2023" s="3" t="s">
        <v>2637</v>
      </c>
      <c r="E2023" s="3" t="s">
        <v>2640</v>
      </c>
      <c r="J2023" s="9" t="s">
        <v>8731</v>
      </c>
      <c r="T2023" s="9" t="str">
        <f t="shared" ca="1" si="74"/>
        <v/>
      </c>
      <c r="U2023" s="9" t="str">
        <f t="shared" ca="1" si="75"/>
        <v/>
      </c>
      <c r="Z2023" s="9" t="s">
        <v>8742</v>
      </c>
      <c r="AA2023" s="9" t="s">
        <v>3884</v>
      </c>
      <c r="AB2023" s="9" t="s">
        <v>8697</v>
      </c>
    </row>
    <row r="2024" spans="1:28">
      <c r="A2024" s="3" t="s">
        <v>1031</v>
      </c>
      <c r="D2024" s="3" t="s">
        <v>5893</v>
      </c>
      <c r="E2024" s="3" t="s">
        <v>5894</v>
      </c>
      <c r="J2024" s="9" t="s">
        <v>8731</v>
      </c>
      <c r="T2024" s="9" t="str">
        <f t="shared" ca="1" si="74"/>
        <v/>
      </c>
      <c r="U2024" s="9" t="str">
        <f t="shared" ca="1" si="75"/>
        <v/>
      </c>
      <c r="AB2024" s="9" t="s">
        <v>8697</v>
      </c>
    </row>
    <row r="2025" spans="1:28">
      <c r="A2025" s="3" t="s">
        <v>1031</v>
      </c>
      <c r="D2025" s="3" t="s">
        <v>3259</v>
      </c>
      <c r="E2025" s="4" t="s">
        <v>3260</v>
      </c>
      <c r="F2025" t="s">
        <v>4197</v>
      </c>
      <c r="I2025" t="s">
        <v>5895</v>
      </c>
      <c r="J2025" s="9" t="s">
        <v>8729</v>
      </c>
      <c r="S2025" s="9" t="s">
        <v>8739</v>
      </c>
      <c r="T2025" s="9" t="str">
        <f t="shared" ca="1" si="74"/>
        <v/>
      </c>
      <c r="U2025" s="9" t="str">
        <f t="shared" ca="1" si="75"/>
        <v/>
      </c>
      <c r="Z2025" s="9" t="s">
        <v>8742</v>
      </c>
      <c r="AA2025" s="9" t="s">
        <v>3891</v>
      </c>
      <c r="AB2025" s="9" t="s">
        <v>8688</v>
      </c>
    </row>
    <row r="2026" spans="1:28">
      <c r="A2026" s="3" t="s">
        <v>1032</v>
      </c>
      <c r="D2026" s="3" t="s">
        <v>5896</v>
      </c>
      <c r="E2026" s="4" t="s">
        <v>5897</v>
      </c>
      <c r="F2026" t="s">
        <v>3897</v>
      </c>
      <c r="T2026" s="9" t="str">
        <f t="shared" ca="1" si="74"/>
        <v/>
      </c>
      <c r="U2026" s="9" t="str">
        <f t="shared" ca="1" si="75"/>
        <v/>
      </c>
    </row>
    <row r="2027" spans="1:28">
      <c r="A2027" s="3" t="s">
        <v>1033</v>
      </c>
      <c r="D2027" s="3" t="s">
        <v>5898</v>
      </c>
      <c r="E2027" s="3" t="s">
        <v>5899</v>
      </c>
      <c r="H2027" t="s">
        <v>3884</v>
      </c>
      <c r="J2027" s="9" t="s">
        <v>3885</v>
      </c>
      <c r="K2027" s="9">
        <v>1</v>
      </c>
      <c r="L2027" s="9">
        <v>2</v>
      </c>
      <c r="M2027" s="9" t="s">
        <v>8705</v>
      </c>
      <c r="N2027" s="9" t="s">
        <v>8730</v>
      </c>
      <c r="R2027" s="9">
        <v>615</v>
      </c>
      <c r="T2027" s="9" t="str">
        <f t="shared" ca="1" si="74"/>
        <v/>
      </c>
      <c r="U2027" s="9" t="str">
        <f t="shared" ca="1" si="75"/>
        <v/>
      </c>
    </row>
    <row r="2028" spans="1:28">
      <c r="A2028" s="3" t="s">
        <v>1034</v>
      </c>
      <c r="D2028" s="3" t="s">
        <v>2671</v>
      </c>
      <c r="E2028" s="3" t="s">
        <v>2334</v>
      </c>
      <c r="J2028" s="9" t="s">
        <v>8731</v>
      </c>
      <c r="T2028" s="9" t="str">
        <f t="shared" ca="1" si="74"/>
        <v/>
      </c>
      <c r="U2028" s="9" t="str">
        <f t="shared" ca="1" si="75"/>
        <v/>
      </c>
      <c r="Z2028" s="9" t="s">
        <v>8742</v>
      </c>
      <c r="AA2028" s="9" t="s">
        <v>3884</v>
      </c>
      <c r="AB2028" s="9" t="s">
        <v>8697</v>
      </c>
    </row>
    <row r="2029" spans="1:28">
      <c r="A2029" s="3" t="s">
        <v>1035</v>
      </c>
      <c r="D2029" s="4" t="s">
        <v>3261</v>
      </c>
      <c r="E2029" s="3" t="s">
        <v>3262</v>
      </c>
      <c r="F2029" t="s">
        <v>4196</v>
      </c>
      <c r="I2029" t="s">
        <v>5900</v>
      </c>
      <c r="J2029" s="9" t="s">
        <v>8731</v>
      </c>
      <c r="T2029" s="9" t="str">
        <f t="shared" ca="1" si="74"/>
        <v/>
      </c>
      <c r="U2029" s="9" t="str">
        <f t="shared" ca="1" si="75"/>
        <v/>
      </c>
      <c r="AB2029" s="9" t="s">
        <v>8697</v>
      </c>
    </row>
    <row r="2030" spans="1:28">
      <c r="A2030" s="3" t="s">
        <v>1036</v>
      </c>
      <c r="D2030" s="4" t="s">
        <v>5901</v>
      </c>
      <c r="E2030" s="3" t="s">
        <v>9633</v>
      </c>
      <c r="F2030" t="s">
        <v>3883</v>
      </c>
      <c r="T2030" s="9" t="str">
        <f t="shared" ca="1" si="74"/>
        <v/>
      </c>
      <c r="U2030" s="9" t="str">
        <f t="shared" ca="1" si="75"/>
        <v/>
      </c>
    </row>
    <row r="2031" spans="1:28">
      <c r="A2031" s="3" t="s">
        <v>1036</v>
      </c>
      <c r="D2031" s="3" t="s">
        <v>5902</v>
      </c>
      <c r="E2031" s="3" t="s">
        <v>5903</v>
      </c>
      <c r="F2031" t="s">
        <v>3893</v>
      </c>
      <c r="H2031" t="s">
        <v>3884</v>
      </c>
      <c r="T2031" s="9" t="str">
        <f t="shared" ca="1" si="74"/>
        <v/>
      </c>
      <c r="U2031" s="9" t="str">
        <f t="shared" ca="1" si="75"/>
        <v/>
      </c>
    </row>
    <row r="2032" spans="1:28" ht="43.5">
      <c r="A2032" s="3" t="s">
        <v>1037</v>
      </c>
      <c r="D2032" s="3" t="s">
        <v>5905</v>
      </c>
      <c r="E2032" s="3" t="s">
        <v>5906</v>
      </c>
      <c r="J2032" s="9" t="s">
        <v>8729</v>
      </c>
      <c r="S2032" s="9" t="s">
        <v>8739</v>
      </c>
      <c r="T2032" s="9" t="str">
        <f t="shared" ca="1" si="74"/>
        <v/>
      </c>
      <c r="U2032" s="9" t="str">
        <f t="shared" ca="1" si="75"/>
        <v/>
      </c>
      <c r="Z2032" s="9" t="s">
        <v>8747</v>
      </c>
      <c r="AA2032" s="9" t="s">
        <v>3884</v>
      </c>
      <c r="AB2032" s="9" t="s">
        <v>8697</v>
      </c>
    </row>
    <row r="2033" spans="1:28" ht="43.5">
      <c r="A2033" s="3" t="s">
        <v>1038</v>
      </c>
      <c r="D2033" s="3" t="s">
        <v>5904</v>
      </c>
      <c r="E2033" s="3" t="s">
        <v>5907</v>
      </c>
      <c r="G2033" t="s">
        <v>3884</v>
      </c>
      <c r="I2033" t="s">
        <v>9071</v>
      </c>
      <c r="J2033" s="9" t="s">
        <v>3885</v>
      </c>
      <c r="K2033" s="9">
        <v>4</v>
      </c>
      <c r="L2033" s="9">
        <v>16</v>
      </c>
      <c r="N2033" s="9" t="s">
        <v>8684</v>
      </c>
      <c r="O2033" s="9" t="s">
        <v>8740</v>
      </c>
      <c r="P2033" s="10" t="s">
        <v>8813</v>
      </c>
      <c r="R2033" s="9">
        <v>106</v>
      </c>
      <c r="T2033" s="9" t="str">
        <f t="shared" ca="1" si="74"/>
        <v/>
      </c>
      <c r="U2033" s="9" t="str">
        <f t="shared" ca="1" si="75"/>
        <v/>
      </c>
      <c r="AB2033" s="9" t="s">
        <v>8700</v>
      </c>
    </row>
    <row r="2034" spans="1:28">
      <c r="A2034" s="3" t="s">
        <v>1039</v>
      </c>
      <c r="D2034" s="3" t="s">
        <v>2229</v>
      </c>
      <c r="E2034" s="3" t="s">
        <v>3263</v>
      </c>
      <c r="J2034" s="9" t="s">
        <v>8731</v>
      </c>
      <c r="T2034" s="9" t="str">
        <f t="shared" ca="1" si="74"/>
        <v/>
      </c>
      <c r="U2034" s="9" t="str">
        <f t="shared" ca="1" si="75"/>
        <v/>
      </c>
    </row>
    <row r="2035" spans="1:28">
      <c r="A2035" s="3" t="s">
        <v>1039</v>
      </c>
      <c r="D2035" s="3" t="s">
        <v>3264</v>
      </c>
      <c r="E2035" s="4" t="s">
        <v>3265</v>
      </c>
      <c r="F2035" t="s">
        <v>4197</v>
      </c>
      <c r="I2035" t="s">
        <v>5908</v>
      </c>
      <c r="J2035" s="9" t="s">
        <v>8729</v>
      </c>
      <c r="S2035" s="9" t="s">
        <v>8739</v>
      </c>
      <c r="T2035" s="9" t="str">
        <f t="shared" ca="1" si="74"/>
        <v/>
      </c>
      <c r="U2035" s="9" t="str">
        <f t="shared" ca="1" si="75"/>
        <v/>
      </c>
      <c r="Y2035" s="9" t="s">
        <v>8735</v>
      </c>
      <c r="AA2035" s="9" t="s">
        <v>3884</v>
      </c>
    </row>
    <row r="2036" spans="1:28">
      <c r="A2036" s="3" t="s">
        <v>1040</v>
      </c>
      <c r="D2036" s="3" t="s">
        <v>5909</v>
      </c>
      <c r="E2036" s="4" t="s">
        <v>5910</v>
      </c>
      <c r="F2036" t="s">
        <v>4197</v>
      </c>
      <c r="I2036" t="s">
        <v>5911</v>
      </c>
      <c r="J2036" s="9" t="s">
        <v>8729</v>
      </c>
      <c r="S2036" s="9" t="s">
        <v>8739</v>
      </c>
      <c r="T2036" s="9" t="str">
        <f t="shared" ca="1" si="74"/>
        <v/>
      </c>
      <c r="U2036" s="9" t="str">
        <f t="shared" ca="1" si="75"/>
        <v/>
      </c>
      <c r="Z2036" s="9" t="s">
        <v>8804</v>
      </c>
      <c r="AA2036" s="9" t="s">
        <v>3884</v>
      </c>
      <c r="AB2036" s="9" t="s">
        <v>8697</v>
      </c>
    </row>
    <row r="2037" spans="1:28" ht="29">
      <c r="A2037" s="3" t="s">
        <v>1041</v>
      </c>
      <c r="D2037" s="3" t="s">
        <v>5913</v>
      </c>
      <c r="E2037" s="3" t="s">
        <v>5912</v>
      </c>
      <c r="J2037" s="9" t="s">
        <v>3885</v>
      </c>
      <c r="K2037" s="9">
        <v>1</v>
      </c>
      <c r="L2037" s="9">
        <v>5</v>
      </c>
      <c r="M2037" s="9" t="s">
        <v>8705</v>
      </c>
      <c r="N2037" s="9" t="s">
        <v>8690</v>
      </c>
      <c r="R2037" s="9">
        <v>3678</v>
      </c>
      <c r="T2037" s="9" t="str">
        <f t="shared" ca="1" si="74"/>
        <v/>
      </c>
      <c r="U2037" s="9" t="str">
        <f t="shared" ca="1" si="75"/>
        <v/>
      </c>
    </row>
    <row r="2038" spans="1:28">
      <c r="A2038" s="3" t="s">
        <v>1042</v>
      </c>
      <c r="D2038" s="3" t="s">
        <v>5914</v>
      </c>
      <c r="E2038" s="3" t="s">
        <v>3266</v>
      </c>
      <c r="H2038" t="s">
        <v>3884</v>
      </c>
      <c r="J2038" s="9" t="s">
        <v>8729</v>
      </c>
      <c r="Q2038" s="9" t="s">
        <v>8685</v>
      </c>
      <c r="S2038" s="9" t="s">
        <v>8739</v>
      </c>
      <c r="T2038" s="9" t="str">
        <f t="shared" ca="1" si="74"/>
        <v/>
      </c>
      <c r="U2038" s="9" t="str">
        <f t="shared" ca="1" si="75"/>
        <v/>
      </c>
      <c r="AB2038" s="9" t="s">
        <v>8688</v>
      </c>
    </row>
    <row r="2039" spans="1:28">
      <c r="A2039" s="3" t="s">
        <v>1042</v>
      </c>
      <c r="D2039" s="3" t="s">
        <v>5915</v>
      </c>
      <c r="E2039" s="3" t="s">
        <v>5916</v>
      </c>
      <c r="J2039" s="9" t="s">
        <v>8729</v>
      </c>
      <c r="S2039" s="9" t="s">
        <v>8739</v>
      </c>
      <c r="T2039" s="9" t="str">
        <f t="shared" ca="1" si="74"/>
        <v/>
      </c>
      <c r="U2039" s="9" t="str">
        <f t="shared" ca="1" si="75"/>
        <v/>
      </c>
      <c r="Y2039" s="9" t="s">
        <v>8735</v>
      </c>
      <c r="AA2039" s="9" t="s">
        <v>3884</v>
      </c>
    </row>
    <row r="2040" spans="1:28">
      <c r="A2040" s="3" t="s">
        <v>1042</v>
      </c>
      <c r="D2040" s="4" t="s">
        <v>5917</v>
      </c>
      <c r="E2040" s="3" t="s">
        <v>5918</v>
      </c>
      <c r="F2040" t="s">
        <v>3883</v>
      </c>
      <c r="T2040" s="9" t="str">
        <f t="shared" ca="1" si="74"/>
        <v/>
      </c>
      <c r="U2040" s="9" t="str">
        <f t="shared" ca="1" si="75"/>
        <v/>
      </c>
    </row>
    <row r="2041" spans="1:28">
      <c r="A2041" s="3" t="s">
        <v>1043</v>
      </c>
      <c r="D2041" s="3" t="s">
        <v>2995</v>
      </c>
      <c r="E2041" s="4" t="s">
        <v>2039</v>
      </c>
      <c r="F2041" t="s">
        <v>3897</v>
      </c>
      <c r="T2041" s="9" t="str">
        <f t="shared" ca="1" si="74"/>
        <v/>
      </c>
      <c r="U2041" s="9" t="str">
        <f t="shared" ca="1" si="75"/>
        <v/>
      </c>
    </row>
    <row r="2042" spans="1:28">
      <c r="A2042" s="3" t="s">
        <v>1044</v>
      </c>
      <c r="D2042" s="3" t="s">
        <v>5919</v>
      </c>
      <c r="E2042" s="3" t="s">
        <v>5920</v>
      </c>
      <c r="H2042" t="s">
        <v>3884</v>
      </c>
      <c r="J2042" s="9" t="s">
        <v>8729</v>
      </c>
      <c r="S2042" s="9" t="s">
        <v>8739</v>
      </c>
      <c r="T2042" s="9" t="str">
        <f t="shared" ca="1" si="74"/>
        <v/>
      </c>
      <c r="U2042" s="9" t="str">
        <f t="shared" ca="1" si="75"/>
        <v/>
      </c>
      <c r="AB2042" s="9" t="s">
        <v>8688</v>
      </c>
    </row>
    <row r="2043" spans="1:28">
      <c r="A2043" s="3" t="s">
        <v>1045</v>
      </c>
      <c r="D2043" s="3" t="s">
        <v>5921</v>
      </c>
      <c r="E2043" s="3" t="s">
        <v>5922</v>
      </c>
      <c r="H2043" t="s">
        <v>3884</v>
      </c>
      <c r="I2043" t="s">
        <v>9241</v>
      </c>
      <c r="J2043" s="9" t="s">
        <v>8731</v>
      </c>
      <c r="T2043" s="9" t="str">
        <f t="shared" ca="1" si="74"/>
        <v/>
      </c>
      <c r="U2043" s="9" t="str">
        <f t="shared" ca="1" si="75"/>
        <v/>
      </c>
      <c r="V2043" s="9" t="s">
        <v>8728</v>
      </c>
    </row>
    <row r="2044" spans="1:28" ht="29">
      <c r="A2044" s="3" t="s">
        <v>1046</v>
      </c>
      <c r="D2044" s="4" t="s">
        <v>5923</v>
      </c>
      <c r="E2044" s="3" t="s">
        <v>5924</v>
      </c>
      <c r="F2044" t="s">
        <v>3883</v>
      </c>
      <c r="T2044" s="9" t="str">
        <f t="shared" ca="1" si="74"/>
        <v/>
      </c>
      <c r="U2044" s="9" t="str">
        <f t="shared" ca="1" si="75"/>
        <v/>
      </c>
    </row>
    <row r="2045" spans="1:28">
      <c r="A2045" s="3" t="s">
        <v>1047</v>
      </c>
      <c r="D2045" s="3" t="s">
        <v>2039</v>
      </c>
      <c r="E2045" s="3" t="s">
        <v>3267</v>
      </c>
      <c r="H2045" t="s">
        <v>3884</v>
      </c>
      <c r="J2045" s="9" t="s">
        <v>8729</v>
      </c>
      <c r="S2045" s="9" t="s">
        <v>8739</v>
      </c>
      <c r="T2045" s="9" t="str">
        <f t="shared" ca="1" si="74"/>
        <v/>
      </c>
      <c r="U2045" s="9" t="str">
        <f t="shared" ca="1" si="75"/>
        <v/>
      </c>
      <c r="Y2045" s="9" t="s">
        <v>8735</v>
      </c>
      <c r="AA2045" s="9" t="s">
        <v>3884</v>
      </c>
    </row>
    <row r="2046" spans="1:28">
      <c r="A2046" s="3" t="s">
        <v>1048</v>
      </c>
      <c r="D2046" s="3" t="s">
        <v>5925</v>
      </c>
      <c r="E2046" s="3" t="s">
        <v>5926</v>
      </c>
      <c r="I2046" t="s">
        <v>9240</v>
      </c>
      <c r="J2046" s="9" t="s">
        <v>8729</v>
      </c>
      <c r="S2046" s="9">
        <f>10929-653</f>
        <v>10276</v>
      </c>
      <c r="T2046" s="9">
        <f t="shared" ca="1" si="74"/>
        <v>653</v>
      </c>
      <c r="U2046" s="9">
        <f t="shared" ca="1" si="75"/>
        <v>10929</v>
      </c>
      <c r="V2046" s="9" t="s">
        <v>8728</v>
      </c>
    </row>
    <row r="2047" spans="1:28">
      <c r="A2047" s="3" t="s">
        <v>1048</v>
      </c>
      <c r="D2047" s="3" t="s">
        <v>5921</v>
      </c>
      <c r="E2047" s="3" t="s">
        <v>5922</v>
      </c>
      <c r="H2047" t="s">
        <v>3884</v>
      </c>
      <c r="I2047" t="s">
        <v>9240</v>
      </c>
      <c r="J2047" s="9" t="s">
        <v>8731</v>
      </c>
      <c r="T2047" s="9" t="str">
        <f t="shared" ca="1" si="74"/>
        <v/>
      </c>
      <c r="U2047" s="9" t="str">
        <f t="shared" ca="1" si="75"/>
        <v/>
      </c>
      <c r="V2047" s="9" t="s">
        <v>8728</v>
      </c>
    </row>
    <row r="2048" spans="1:28">
      <c r="A2048" s="3" t="s">
        <v>1049</v>
      </c>
      <c r="D2048" s="3" t="s">
        <v>5927</v>
      </c>
      <c r="E2048" s="3" t="s">
        <v>5928</v>
      </c>
      <c r="H2048" t="s">
        <v>3884</v>
      </c>
      <c r="J2048" s="9" t="s">
        <v>8729</v>
      </c>
      <c r="S2048" s="9">
        <f>519-991</f>
        <v>-472</v>
      </c>
      <c r="T2048" s="9">
        <f t="shared" ca="1" si="74"/>
        <v>991</v>
      </c>
      <c r="U2048" s="9">
        <f t="shared" ca="1" si="75"/>
        <v>519</v>
      </c>
      <c r="AB2048" s="9" t="s">
        <v>8694</v>
      </c>
    </row>
    <row r="2049" spans="1:28" ht="29">
      <c r="A2049" s="3" t="s">
        <v>1049</v>
      </c>
      <c r="D2049" s="3" t="s">
        <v>5929</v>
      </c>
      <c r="E2049" s="3" t="s">
        <v>5930</v>
      </c>
      <c r="J2049" s="9" t="s">
        <v>8731</v>
      </c>
      <c r="T2049" s="9" t="str">
        <f t="shared" ca="1" si="74"/>
        <v/>
      </c>
      <c r="U2049" s="9" t="str">
        <f t="shared" ca="1" si="75"/>
        <v/>
      </c>
      <c r="AB2049" s="9" t="s">
        <v>8700</v>
      </c>
    </row>
    <row r="2050" spans="1:28" ht="29">
      <c r="A2050" s="3" t="s">
        <v>1050</v>
      </c>
      <c r="D2050" s="4" t="s">
        <v>9507</v>
      </c>
      <c r="E2050" s="3" t="s">
        <v>9508</v>
      </c>
      <c r="F2050" t="s">
        <v>3883</v>
      </c>
      <c r="T2050" s="9" t="str">
        <f t="shared" ca="1" si="74"/>
        <v/>
      </c>
      <c r="U2050" s="9" t="str">
        <f t="shared" ca="1" si="75"/>
        <v/>
      </c>
    </row>
    <row r="2051" spans="1:28" ht="29">
      <c r="A2051" s="3" t="s">
        <v>1051</v>
      </c>
      <c r="D2051" s="3" t="s">
        <v>5931</v>
      </c>
      <c r="E2051" s="3" t="s">
        <v>5935</v>
      </c>
      <c r="F2051" t="s">
        <v>3932</v>
      </c>
      <c r="I2051" t="s">
        <v>5934</v>
      </c>
      <c r="T2051" s="9" t="str">
        <f t="shared" ca="1" si="74"/>
        <v/>
      </c>
      <c r="U2051" s="9" t="str">
        <f t="shared" ca="1" si="75"/>
        <v/>
      </c>
    </row>
    <row r="2052" spans="1:28" ht="29">
      <c r="A2052" s="3" t="s">
        <v>1051</v>
      </c>
      <c r="D2052" s="3" t="s">
        <v>5932</v>
      </c>
      <c r="E2052" s="3" t="s">
        <v>5933</v>
      </c>
      <c r="H2052" t="s">
        <v>3884</v>
      </c>
      <c r="J2052" s="9" t="s">
        <v>8731</v>
      </c>
      <c r="T2052" s="9" t="str">
        <f t="shared" ref="T2052:T2115" ca="1" si="78">IF(ISNUMBER(S2052),VALUE(MID(_xlfn.FORMULATEXT(S2052),SEARCH("-",_xlfn.FORMULATEXT(S2052))+1,LEN(_xlfn.FORMULATEXT(S2052))-SEARCH("-",_xlfn.FORMULATEXT(S2052)))), "")</f>
        <v/>
      </c>
      <c r="U2052" s="9" t="str">
        <f t="shared" ref="U2052:U2115" ca="1" si="79">IF(ISNUMBER(S2052), VALUE(MID(_xlfn.FORMULATEXT(S2052), 2, SEARCH("-", _xlfn.FORMULATEXT(S2052)) - 2)), "")</f>
        <v/>
      </c>
      <c r="AB2052" s="9" t="s">
        <v>8700</v>
      </c>
    </row>
    <row r="2053" spans="1:28" ht="29">
      <c r="A2053" s="3" t="s">
        <v>1052</v>
      </c>
      <c r="D2053" s="3" t="s">
        <v>5936</v>
      </c>
      <c r="E2053" s="3" t="s">
        <v>5937</v>
      </c>
      <c r="H2053" t="s">
        <v>3884</v>
      </c>
      <c r="J2053" s="9" t="s">
        <v>3885</v>
      </c>
      <c r="K2053" s="9">
        <v>1</v>
      </c>
      <c r="L2053" s="9">
        <v>5</v>
      </c>
      <c r="M2053" s="9" t="s">
        <v>8703</v>
      </c>
      <c r="N2053" s="9" t="s">
        <v>8684</v>
      </c>
      <c r="O2053" s="9" t="s">
        <v>8771</v>
      </c>
      <c r="P2053" s="10" t="s">
        <v>8941</v>
      </c>
      <c r="R2053" s="9">
        <v>113</v>
      </c>
      <c r="T2053" s="9" t="str">
        <f t="shared" ca="1" si="78"/>
        <v/>
      </c>
      <c r="U2053" s="9" t="str">
        <f t="shared" ca="1" si="79"/>
        <v/>
      </c>
      <c r="AB2053" s="9" t="s">
        <v>8694</v>
      </c>
    </row>
    <row r="2054" spans="1:28">
      <c r="A2054" s="3" t="s">
        <v>1052</v>
      </c>
      <c r="D2054" s="3" t="s">
        <v>5938</v>
      </c>
      <c r="E2054" s="3" t="s">
        <v>5938</v>
      </c>
      <c r="F2054" t="s">
        <v>3932</v>
      </c>
      <c r="I2054" t="s">
        <v>5939</v>
      </c>
      <c r="T2054" s="9" t="str">
        <f t="shared" ca="1" si="78"/>
        <v/>
      </c>
      <c r="U2054" s="9" t="str">
        <f t="shared" ca="1" si="79"/>
        <v/>
      </c>
    </row>
    <row r="2055" spans="1:28">
      <c r="A2055" s="3" t="s">
        <v>1053</v>
      </c>
      <c r="D2055" s="3" t="s">
        <v>5940</v>
      </c>
      <c r="E2055" s="3" t="s">
        <v>5940</v>
      </c>
      <c r="F2055" t="s">
        <v>3932</v>
      </c>
      <c r="I2055" t="s">
        <v>5941</v>
      </c>
      <c r="T2055" s="9" t="str">
        <f t="shared" ca="1" si="78"/>
        <v/>
      </c>
      <c r="U2055" s="9" t="str">
        <f t="shared" ca="1" si="79"/>
        <v/>
      </c>
    </row>
    <row r="2056" spans="1:28">
      <c r="A2056" s="3" t="s">
        <v>1053</v>
      </c>
      <c r="D2056" s="3" t="s">
        <v>5942</v>
      </c>
      <c r="E2056" s="3" t="s">
        <v>5943</v>
      </c>
      <c r="J2056" s="9" t="s">
        <v>8731</v>
      </c>
      <c r="T2056" s="9" t="str">
        <f t="shared" ca="1" si="78"/>
        <v/>
      </c>
      <c r="U2056" s="9" t="str">
        <f t="shared" ca="1" si="79"/>
        <v/>
      </c>
      <c r="Y2056" s="9" t="s">
        <v>8735</v>
      </c>
      <c r="AA2056" s="9" t="s">
        <v>3884</v>
      </c>
    </row>
    <row r="2057" spans="1:28" ht="72.5">
      <c r="A2057" s="3" t="s">
        <v>1054</v>
      </c>
      <c r="D2057" s="3" t="s">
        <v>5944</v>
      </c>
      <c r="E2057" s="3" t="s">
        <v>5945</v>
      </c>
      <c r="I2057" t="s">
        <v>9690</v>
      </c>
      <c r="J2057" s="9" t="s">
        <v>3889</v>
      </c>
      <c r="K2057" s="9">
        <v>8</v>
      </c>
      <c r="L2057" s="9">
        <v>36</v>
      </c>
      <c r="N2057" s="9" t="s">
        <v>8684</v>
      </c>
      <c r="O2057" s="9" t="s">
        <v>8777</v>
      </c>
      <c r="P2057" s="10" t="s">
        <v>9072</v>
      </c>
      <c r="Q2057" s="9" t="s">
        <v>8685</v>
      </c>
      <c r="R2057" s="9">
        <v>146</v>
      </c>
      <c r="T2057" s="9" t="str">
        <f t="shared" ca="1" si="78"/>
        <v/>
      </c>
      <c r="U2057" s="9" t="str">
        <f t="shared" ca="1" si="79"/>
        <v/>
      </c>
    </row>
    <row r="2058" spans="1:28" ht="29">
      <c r="A2058" s="3" t="s">
        <v>1054</v>
      </c>
      <c r="D2058" s="3" t="s">
        <v>5946</v>
      </c>
      <c r="E2058" s="3" t="s">
        <v>5947</v>
      </c>
      <c r="H2058" t="s">
        <v>3884</v>
      </c>
      <c r="J2058" s="9" t="s">
        <v>3885</v>
      </c>
      <c r="K2058" s="9">
        <v>1</v>
      </c>
      <c r="L2058" s="9">
        <v>2</v>
      </c>
      <c r="M2058" s="9" t="s">
        <v>8705</v>
      </c>
      <c r="N2058" s="9" t="s">
        <v>8730</v>
      </c>
      <c r="R2058" s="9">
        <v>16</v>
      </c>
      <c r="T2058" s="9" t="str">
        <f t="shared" ca="1" si="78"/>
        <v/>
      </c>
      <c r="U2058" s="9" t="str">
        <f t="shared" ca="1" si="79"/>
        <v/>
      </c>
      <c r="AB2058" s="9" t="s">
        <v>8694</v>
      </c>
    </row>
    <row r="2059" spans="1:28" ht="29">
      <c r="A2059" s="3" t="s">
        <v>1054</v>
      </c>
      <c r="D2059" s="3" t="s">
        <v>5948</v>
      </c>
      <c r="E2059" s="3" t="s">
        <v>5949</v>
      </c>
      <c r="F2059" t="s">
        <v>3932</v>
      </c>
      <c r="I2059" t="s">
        <v>5950</v>
      </c>
      <c r="T2059" s="9" t="str">
        <f t="shared" ca="1" si="78"/>
        <v/>
      </c>
      <c r="U2059" s="9" t="str">
        <f t="shared" ca="1" si="79"/>
        <v/>
      </c>
    </row>
    <row r="2060" spans="1:28">
      <c r="A2060" s="3" t="s">
        <v>1055</v>
      </c>
      <c r="D2060" s="3" t="s">
        <v>5951</v>
      </c>
      <c r="E2060" s="3" t="s">
        <v>5952</v>
      </c>
      <c r="J2060" s="9" t="s">
        <v>8731</v>
      </c>
      <c r="T2060" s="9" t="str">
        <f t="shared" ca="1" si="78"/>
        <v/>
      </c>
      <c r="U2060" s="9" t="str">
        <f t="shared" ca="1" si="79"/>
        <v/>
      </c>
      <c r="Y2060" s="9" t="s">
        <v>8735</v>
      </c>
      <c r="AA2060" s="9" t="s">
        <v>3884</v>
      </c>
    </row>
    <row r="2061" spans="1:28">
      <c r="A2061" s="3" t="s">
        <v>1055</v>
      </c>
      <c r="D2061" s="3" t="s">
        <v>3269</v>
      </c>
      <c r="E2061" s="3" t="s">
        <v>3270</v>
      </c>
      <c r="J2061" s="9" t="s">
        <v>8731</v>
      </c>
      <c r="T2061" s="9" t="str">
        <f t="shared" ca="1" si="78"/>
        <v/>
      </c>
      <c r="U2061" s="9" t="str">
        <f t="shared" ca="1" si="79"/>
        <v/>
      </c>
      <c r="AB2061" s="9" t="s">
        <v>8697</v>
      </c>
    </row>
    <row r="2062" spans="1:28" ht="29">
      <c r="A2062" s="3" t="s">
        <v>1056</v>
      </c>
      <c r="D2062" s="3" t="s">
        <v>5953</v>
      </c>
      <c r="E2062" s="3" t="s">
        <v>5954</v>
      </c>
      <c r="H2062" t="s">
        <v>3884</v>
      </c>
      <c r="J2062" s="9" t="s">
        <v>3885</v>
      </c>
      <c r="K2062" s="9">
        <v>1</v>
      </c>
      <c r="L2062" s="9">
        <v>3</v>
      </c>
      <c r="M2062" s="9" t="s">
        <v>8698</v>
      </c>
      <c r="N2062" s="9" t="s">
        <v>8690</v>
      </c>
      <c r="R2062" s="9">
        <v>9418</v>
      </c>
      <c r="T2062" s="9" t="str">
        <f t="shared" ca="1" si="78"/>
        <v/>
      </c>
      <c r="U2062" s="9" t="str">
        <f t="shared" ca="1" si="79"/>
        <v/>
      </c>
    </row>
    <row r="2063" spans="1:28">
      <c r="A2063" s="3" t="s">
        <v>1056</v>
      </c>
      <c r="D2063" s="3" t="s">
        <v>3271</v>
      </c>
      <c r="E2063" s="3" t="s">
        <v>3272</v>
      </c>
      <c r="J2063" s="9" t="s">
        <v>8731</v>
      </c>
      <c r="T2063" s="9" t="str">
        <f t="shared" ca="1" si="78"/>
        <v/>
      </c>
      <c r="U2063" s="9" t="str">
        <f t="shared" ca="1" si="79"/>
        <v/>
      </c>
      <c r="AB2063" s="9" t="s">
        <v>8688</v>
      </c>
    </row>
    <row r="2064" spans="1:28">
      <c r="A2064" s="3" t="s">
        <v>1057</v>
      </c>
      <c r="D2064" s="3" t="s">
        <v>3273</v>
      </c>
      <c r="E2064" s="3" t="s">
        <v>3274</v>
      </c>
      <c r="H2064" t="s">
        <v>3892</v>
      </c>
      <c r="I2064" t="s">
        <v>5955</v>
      </c>
      <c r="J2064" s="9" t="s">
        <v>8731</v>
      </c>
      <c r="T2064" s="9" t="str">
        <f t="shared" ca="1" si="78"/>
        <v/>
      </c>
      <c r="U2064" s="9" t="str">
        <f t="shared" ca="1" si="79"/>
        <v/>
      </c>
      <c r="AB2064" s="9" t="s">
        <v>8688</v>
      </c>
    </row>
    <row r="2065" spans="1:28">
      <c r="A2065" s="3" t="s">
        <v>1057</v>
      </c>
      <c r="D2065" s="3" t="s">
        <v>3275</v>
      </c>
      <c r="E2065" s="4" t="s">
        <v>5956</v>
      </c>
      <c r="F2065" t="s">
        <v>3897</v>
      </c>
      <c r="T2065" s="9" t="str">
        <f t="shared" ca="1" si="78"/>
        <v/>
      </c>
      <c r="U2065" s="9" t="str">
        <f t="shared" ca="1" si="79"/>
        <v/>
      </c>
    </row>
    <row r="2066" spans="1:28">
      <c r="A2066" s="3" t="s">
        <v>1057</v>
      </c>
      <c r="D2066" s="3" t="s">
        <v>2101</v>
      </c>
      <c r="E2066" s="3" t="s">
        <v>3276</v>
      </c>
      <c r="H2066" t="s">
        <v>3884</v>
      </c>
      <c r="J2066" s="9" t="s">
        <v>8731</v>
      </c>
      <c r="T2066" s="9" t="str">
        <f t="shared" ca="1" si="78"/>
        <v/>
      </c>
      <c r="U2066" s="9" t="str">
        <f t="shared" ca="1" si="79"/>
        <v/>
      </c>
      <c r="AB2066" s="9" t="s">
        <v>8688</v>
      </c>
    </row>
    <row r="2067" spans="1:28">
      <c r="A2067" s="3" t="s">
        <v>1057</v>
      </c>
      <c r="D2067" s="3" t="s">
        <v>5957</v>
      </c>
      <c r="E2067" s="3" t="s">
        <v>5958</v>
      </c>
      <c r="H2067" t="s">
        <v>3884</v>
      </c>
      <c r="J2067" s="9" t="s">
        <v>8731</v>
      </c>
      <c r="T2067" s="9" t="str">
        <f t="shared" ca="1" si="78"/>
        <v/>
      </c>
      <c r="U2067" s="9" t="str">
        <f t="shared" ca="1" si="79"/>
        <v/>
      </c>
    </row>
    <row r="2068" spans="1:28">
      <c r="A2068" s="3" t="s">
        <v>1057</v>
      </c>
      <c r="D2068" s="3" t="s">
        <v>5959</v>
      </c>
      <c r="E2068" s="3" t="s">
        <v>5959</v>
      </c>
      <c r="F2068" t="s">
        <v>3932</v>
      </c>
      <c r="I2068" t="s">
        <v>5960</v>
      </c>
      <c r="T2068" s="9" t="str">
        <f t="shared" ca="1" si="78"/>
        <v/>
      </c>
      <c r="U2068" s="9" t="str">
        <f t="shared" ca="1" si="79"/>
        <v/>
      </c>
    </row>
    <row r="2069" spans="1:28">
      <c r="A2069" s="3" t="s">
        <v>1058</v>
      </c>
      <c r="D2069" s="3" t="s">
        <v>3277</v>
      </c>
      <c r="E2069" s="3" t="s">
        <v>3278</v>
      </c>
      <c r="J2069" s="9" t="s">
        <v>8729</v>
      </c>
      <c r="S2069" s="9" t="s">
        <v>8739</v>
      </c>
      <c r="T2069" s="9" t="str">
        <f t="shared" ca="1" si="78"/>
        <v/>
      </c>
      <c r="U2069" s="9" t="str">
        <f t="shared" ca="1" si="79"/>
        <v/>
      </c>
      <c r="Z2069" s="9" t="s">
        <v>8742</v>
      </c>
      <c r="AA2069" s="9" t="s">
        <v>3884</v>
      </c>
      <c r="AB2069" s="9" t="s">
        <v>8697</v>
      </c>
    </row>
    <row r="2070" spans="1:28">
      <c r="A2070" s="3" t="s">
        <v>1058</v>
      </c>
      <c r="D2070" s="3" t="s">
        <v>5961</v>
      </c>
      <c r="E2070" s="3" t="s">
        <v>5962</v>
      </c>
      <c r="H2070" t="s">
        <v>3884</v>
      </c>
      <c r="J2070" s="9" t="s">
        <v>8731</v>
      </c>
      <c r="T2070" s="9" t="str">
        <f t="shared" ca="1" si="78"/>
        <v/>
      </c>
      <c r="U2070" s="9" t="str">
        <f t="shared" ca="1" si="79"/>
        <v/>
      </c>
      <c r="Y2070" s="9" t="s">
        <v>8735</v>
      </c>
      <c r="AA2070" s="9" t="s">
        <v>3884</v>
      </c>
    </row>
    <row r="2071" spans="1:28">
      <c r="A2071" s="3" t="s">
        <v>1059</v>
      </c>
      <c r="D2071" s="3" t="s">
        <v>5963</v>
      </c>
      <c r="E2071" s="3" t="s">
        <v>5964</v>
      </c>
      <c r="J2071" s="9" t="s">
        <v>8731</v>
      </c>
      <c r="T2071" s="9" t="str">
        <f t="shared" ca="1" si="78"/>
        <v/>
      </c>
      <c r="U2071" s="9" t="str">
        <f t="shared" ca="1" si="79"/>
        <v/>
      </c>
      <c r="Y2071" s="9" t="s">
        <v>8735</v>
      </c>
      <c r="AA2071" s="9" t="s">
        <v>3884</v>
      </c>
    </row>
    <row r="2072" spans="1:28">
      <c r="A2072" s="3" t="s">
        <v>1060</v>
      </c>
      <c r="D2072" s="3" t="s">
        <v>4053</v>
      </c>
      <c r="E2072" s="3" t="s">
        <v>5965</v>
      </c>
      <c r="H2072" t="s">
        <v>3884</v>
      </c>
      <c r="J2072" s="9" t="s">
        <v>3885</v>
      </c>
      <c r="K2072" s="9">
        <v>1</v>
      </c>
      <c r="L2072" s="9">
        <v>1</v>
      </c>
      <c r="M2072" s="9" t="s">
        <v>8683</v>
      </c>
      <c r="N2072" s="9" t="s">
        <v>8730</v>
      </c>
      <c r="Q2072" s="9" t="s">
        <v>8685</v>
      </c>
      <c r="R2072" s="9">
        <v>52</v>
      </c>
      <c r="T2072" s="9" t="str">
        <f t="shared" ca="1" si="78"/>
        <v/>
      </c>
      <c r="U2072" s="9" t="str">
        <f t="shared" ca="1" si="79"/>
        <v/>
      </c>
      <c r="AB2072" s="9" t="s">
        <v>8694</v>
      </c>
    </row>
    <row r="2073" spans="1:28">
      <c r="A2073" s="3" t="s">
        <v>1060</v>
      </c>
      <c r="D2073" s="3" t="s">
        <v>3279</v>
      </c>
      <c r="E2073" s="3" t="s">
        <v>2333</v>
      </c>
      <c r="J2073" s="9" t="s">
        <v>8731</v>
      </c>
      <c r="T2073" s="9" t="str">
        <f t="shared" ca="1" si="78"/>
        <v/>
      </c>
      <c r="U2073" s="9" t="str">
        <f t="shared" ca="1" si="79"/>
        <v/>
      </c>
      <c r="Y2073" s="9" t="s">
        <v>8735</v>
      </c>
      <c r="AA2073" s="9" t="s">
        <v>3884</v>
      </c>
    </row>
    <row r="2074" spans="1:28" ht="29">
      <c r="A2074" s="3" t="s">
        <v>1060</v>
      </c>
      <c r="D2074" s="3" t="s">
        <v>5966</v>
      </c>
      <c r="E2074" s="3" t="s">
        <v>5967</v>
      </c>
      <c r="J2074" s="9" t="s">
        <v>8729</v>
      </c>
      <c r="S2074" s="9">
        <f>160-206</f>
        <v>-46</v>
      </c>
      <c r="T2074" s="9">
        <f t="shared" ca="1" si="78"/>
        <v>206</v>
      </c>
      <c r="U2074" s="9">
        <f t="shared" ca="1" si="79"/>
        <v>160</v>
      </c>
    </row>
    <row r="2075" spans="1:28">
      <c r="A2075" s="3" t="s">
        <v>1060</v>
      </c>
      <c r="D2075" s="3" t="s">
        <v>5968</v>
      </c>
      <c r="E2075" s="3" t="s">
        <v>5969</v>
      </c>
      <c r="H2075" t="s">
        <v>3884</v>
      </c>
      <c r="J2075" s="9" t="s">
        <v>8731</v>
      </c>
      <c r="T2075" s="9" t="str">
        <f t="shared" ca="1" si="78"/>
        <v/>
      </c>
      <c r="U2075" s="9" t="str">
        <f t="shared" ca="1" si="79"/>
        <v/>
      </c>
      <c r="Y2075" s="9" t="s">
        <v>8693</v>
      </c>
      <c r="AA2075" s="9" t="s">
        <v>3884</v>
      </c>
    </row>
    <row r="2076" spans="1:28">
      <c r="A2076" s="3" t="s">
        <v>1061</v>
      </c>
      <c r="D2076" s="3" t="s">
        <v>5970</v>
      </c>
      <c r="E2076" s="3" t="s">
        <v>5971</v>
      </c>
      <c r="J2076" s="9" t="s">
        <v>8731</v>
      </c>
      <c r="T2076" s="9" t="str">
        <f t="shared" ca="1" si="78"/>
        <v/>
      </c>
      <c r="U2076" s="9" t="str">
        <f t="shared" ca="1" si="79"/>
        <v/>
      </c>
      <c r="Y2076" s="9" t="s">
        <v>8735</v>
      </c>
      <c r="AA2076" s="9" t="s">
        <v>3884</v>
      </c>
    </row>
    <row r="2077" spans="1:28">
      <c r="A2077" s="3" t="s">
        <v>1062</v>
      </c>
      <c r="D2077" s="3" t="s">
        <v>5973</v>
      </c>
      <c r="E2077" s="3" t="s">
        <v>5974</v>
      </c>
      <c r="J2077" s="9" t="s">
        <v>8731</v>
      </c>
      <c r="T2077" s="9" t="str">
        <f t="shared" ca="1" si="78"/>
        <v/>
      </c>
      <c r="U2077" s="9" t="str">
        <f t="shared" ca="1" si="79"/>
        <v/>
      </c>
      <c r="AB2077" s="9" t="s">
        <v>8697</v>
      </c>
    </row>
    <row r="2078" spans="1:28">
      <c r="A2078" s="3" t="s">
        <v>1062</v>
      </c>
      <c r="D2078" s="3" t="s">
        <v>5975</v>
      </c>
      <c r="E2078" s="3" t="s">
        <v>5972</v>
      </c>
      <c r="J2078" s="9" t="s">
        <v>3889</v>
      </c>
      <c r="K2078" s="9">
        <v>1</v>
      </c>
      <c r="L2078" s="9">
        <v>2</v>
      </c>
      <c r="M2078" s="9" t="s">
        <v>8689</v>
      </c>
      <c r="N2078" s="9" t="s">
        <v>8730</v>
      </c>
      <c r="R2078" s="9">
        <v>10929</v>
      </c>
      <c r="T2078" s="9" t="str">
        <f t="shared" ca="1" si="78"/>
        <v/>
      </c>
      <c r="U2078" s="9" t="str">
        <f t="shared" ca="1" si="79"/>
        <v/>
      </c>
    </row>
    <row r="2079" spans="1:28">
      <c r="A2079" s="3" t="s">
        <v>1062</v>
      </c>
      <c r="D2079" s="3" t="s">
        <v>5976</v>
      </c>
      <c r="E2079" s="3" t="s">
        <v>5977</v>
      </c>
      <c r="J2079" s="9" t="s">
        <v>3885</v>
      </c>
      <c r="K2079" s="9">
        <v>1</v>
      </c>
      <c r="L2079" s="9">
        <v>2</v>
      </c>
      <c r="M2079" s="9" t="s">
        <v>8705</v>
      </c>
      <c r="N2079" s="9" t="s">
        <v>8730</v>
      </c>
      <c r="R2079" s="9">
        <v>615</v>
      </c>
      <c r="T2079" s="9" t="str">
        <f t="shared" ca="1" si="78"/>
        <v/>
      </c>
      <c r="U2079" s="9" t="str">
        <f t="shared" ca="1" si="79"/>
        <v/>
      </c>
    </row>
    <row r="2080" spans="1:28">
      <c r="A2080" s="3" t="s">
        <v>1063</v>
      </c>
      <c r="D2080" s="3" t="s">
        <v>5978</v>
      </c>
      <c r="E2080" s="3" t="s">
        <v>9634</v>
      </c>
      <c r="J2080" s="9" t="s">
        <v>8729</v>
      </c>
      <c r="S2080" s="9">
        <f>340-872</f>
        <v>-532</v>
      </c>
      <c r="T2080" s="9">
        <f t="shared" ca="1" si="78"/>
        <v>872</v>
      </c>
      <c r="U2080" s="9">
        <f t="shared" ca="1" si="79"/>
        <v>340</v>
      </c>
      <c r="AB2080" s="9" t="s">
        <v>8694</v>
      </c>
    </row>
    <row r="2081" spans="1:28">
      <c r="A2081" s="3" t="s">
        <v>1064</v>
      </c>
      <c r="D2081" s="3" t="s">
        <v>5979</v>
      </c>
      <c r="E2081" s="3" t="s">
        <v>5980</v>
      </c>
      <c r="J2081" s="9" t="s">
        <v>8731</v>
      </c>
      <c r="T2081" s="9" t="str">
        <f t="shared" ca="1" si="78"/>
        <v/>
      </c>
      <c r="U2081" s="9" t="str">
        <f t="shared" ca="1" si="79"/>
        <v/>
      </c>
      <c r="Z2081" s="9" t="s">
        <v>8747</v>
      </c>
      <c r="AA2081" s="9" t="s">
        <v>3884</v>
      </c>
    </row>
    <row r="2082" spans="1:28">
      <c r="A2082" s="3" t="s">
        <v>1065</v>
      </c>
      <c r="D2082" s="3" t="s">
        <v>5981</v>
      </c>
      <c r="E2082" s="4" t="s">
        <v>5982</v>
      </c>
      <c r="F2082" t="s">
        <v>3897</v>
      </c>
      <c r="T2082" s="9" t="str">
        <f t="shared" ca="1" si="78"/>
        <v/>
      </c>
      <c r="U2082" s="9" t="str">
        <f t="shared" ca="1" si="79"/>
        <v/>
      </c>
    </row>
    <row r="2083" spans="1:28">
      <c r="A2083" s="3" t="s">
        <v>1066</v>
      </c>
      <c r="D2083" s="3" t="s">
        <v>5983</v>
      </c>
      <c r="E2083" s="3" t="s">
        <v>5984</v>
      </c>
      <c r="H2083" t="s">
        <v>3884</v>
      </c>
      <c r="J2083" s="9" t="s">
        <v>3889</v>
      </c>
      <c r="K2083" s="9">
        <v>1</v>
      </c>
      <c r="L2083" s="9">
        <v>3</v>
      </c>
      <c r="M2083" s="9" t="s">
        <v>8689</v>
      </c>
      <c r="N2083" s="9" t="s">
        <v>8690</v>
      </c>
      <c r="R2083" s="9">
        <v>10929</v>
      </c>
      <c r="T2083" s="9" t="str">
        <f t="shared" ca="1" si="78"/>
        <v/>
      </c>
      <c r="U2083" s="9" t="str">
        <f t="shared" ca="1" si="79"/>
        <v/>
      </c>
    </row>
    <row r="2084" spans="1:28" ht="217.5">
      <c r="A2084" s="3" t="s">
        <v>1067</v>
      </c>
      <c r="D2084" s="3" t="s">
        <v>9073</v>
      </c>
      <c r="E2084" s="3" t="s">
        <v>9635</v>
      </c>
      <c r="J2084" s="9" t="s">
        <v>3889</v>
      </c>
      <c r="K2084" s="9">
        <v>17</v>
      </c>
      <c r="L2084" s="9">
        <v>98</v>
      </c>
      <c r="N2084" s="9" t="s">
        <v>8684</v>
      </c>
      <c r="O2084" s="9" t="s">
        <v>8777</v>
      </c>
      <c r="P2084" s="10" t="s">
        <v>9074</v>
      </c>
      <c r="Q2084" s="9" t="s">
        <v>8685</v>
      </c>
      <c r="T2084" s="9" t="str">
        <f t="shared" ca="1" si="78"/>
        <v/>
      </c>
      <c r="U2084" s="9" t="str">
        <f t="shared" ca="1" si="79"/>
        <v/>
      </c>
    </row>
    <row r="2085" spans="1:28">
      <c r="A2085" s="3" t="s">
        <v>1067</v>
      </c>
      <c r="D2085" s="3" t="s">
        <v>3280</v>
      </c>
      <c r="E2085" s="3" t="s">
        <v>3281</v>
      </c>
      <c r="J2085" s="9" t="s">
        <v>8731</v>
      </c>
      <c r="T2085" s="9" t="str">
        <f t="shared" ca="1" si="78"/>
        <v/>
      </c>
      <c r="U2085" s="9" t="str">
        <f t="shared" ca="1" si="79"/>
        <v/>
      </c>
      <c r="Z2085" s="9" t="s">
        <v>8832</v>
      </c>
      <c r="AA2085" s="9" t="s">
        <v>3884</v>
      </c>
      <c r="AB2085" s="9" t="s">
        <v>8688</v>
      </c>
    </row>
    <row r="2086" spans="1:28">
      <c r="A2086" s="3" t="s">
        <v>1068</v>
      </c>
      <c r="D2086" s="3" t="s">
        <v>3282</v>
      </c>
      <c r="E2086" s="3" t="s">
        <v>3283</v>
      </c>
      <c r="J2086" s="9" t="s">
        <v>8731</v>
      </c>
      <c r="T2086" s="9" t="str">
        <f t="shared" ca="1" si="78"/>
        <v/>
      </c>
      <c r="U2086" s="9" t="str">
        <f t="shared" ca="1" si="79"/>
        <v/>
      </c>
    </row>
    <row r="2087" spans="1:28">
      <c r="A2087" s="3" t="s">
        <v>1069</v>
      </c>
      <c r="D2087" s="3" t="s">
        <v>5986</v>
      </c>
      <c r="E2087" s="3" t="s">
        <v>5985</v>
      </c>
      <c r="J2087" s="9" t="s">
        <v>3885</v>
      </c>
      <c r="K2087" s="9">
        <v>1</v>
      </c>
      <c r="L2087" s="9">
        <v>2</v>
      </c>
      <c r="M2087" s="9" t="s">
        <v>8689</v>
      </c>
      <c r="N2087" s="9" t="s">
        <v>8730</v>
      </c>
      <c r="R2087" s="9">
        <v>10929</v>
      </c>
      <c r="T2087" s="9" t="str">
        <f t="shared" ca="1" si="78"/>
        <v/>
      </c>
      <c r="U2087" s="9" t="str">
        <f t="shared" ca="1" si="79"/>
        <v/>
      </c>
    </row>
    <row r="2088" spans="1:28">
      <c r="A2088" s="3" t="s">
        <v>1070</v>
      </c>
      <c r="D2088" s="4" t="s">
        <v>5987</v>
      </c>
      <c r="E2088" s="3" t="s">
        <v>5988</v>
      </c>
      <c r="F2088" t="s">
        <v>4196</v>
      </c>
      <c r="I2088" t="s">
        <v>5989</v>
      </c>
      <c r="J2088" s="9" t="s">
        <v>8729</v>
      </c>
      <c r="S2088" s="9">
        <f>10929-520</f>
        <v>10409</v>
      </c>
      <c r="T2088" s="9">
        <f t="shared" ca="1" si="78"/>
        <v>520</v>
      </c>
      <c r="U2088" s="9">
        <f t="shared" ca="1" si="79"/>
        <v>10929</v>
      </c>
    </row>
    <row r="2089" spans="1:28">
      <c r="A2089" s="3" t="s">
        <v>1070</v>
      </c>
      <c r="D2089" s="3" t="s">
        <v>5990</v>
      </c>
      <c r="E2089" s="4" t="s">
        <v>5991</v>
      </c>
      <c r="F2089" t="s">
        <v>3897</v>
      </c>
      <c r="T2089" s="9" t="str">
        <f t="shared" ca="1" si="78"/>
        <v/>
      </c>
      <c r="U2089" s="9" t="str">
        <f t="shared" ca="1" si="79"/>
        <v/>
      </c>
    </row>
    <row r="2090" spans="1:28">
      <c r="A2090" s="3" t="s">
        <v>1070</v>
      </c>
      <c r="D2090" s="3" t="s">
        <v>5992</v>
      </c>
      <c r="E2090" s="3" t="s">
        <v>5993</v>
      </c>
      <c r="J2090" s="9" t="s">
        <v>8731</v>
      </c>
      <c r="T2090" s="9" t="str">
        <f t="shared" ca="1" si="78"/>
        <v/>
      </c>
      <c r="U2090" s="9" t="str">
        <f t="shared" ca="1" si="79"/>
        <v/>
      </c>
      <c r="Z2090" s="9" t="s">
        <v>8747</v>
      </c>
      <c r="AA2090" s="9" t="s">
        <v>3884</v>
      </c>
      <c r="AB2090" s="9" t="s">
        <v>8697</v>
      </c>
    </row>
    <row r="2091" spans="1:28">
      <c r="A2091" s="3" t="s">
        <v>1071</v>
      </c>
      <c r="D2091" s="3" t="s">
        <v>3284</v>
      </c>
      <c r="E2091" s="4" t="s">
        <v>3285</v>
      </c>
      <c r="F2091" t="s">
        <v>3897</v>
      </c>
      <c r="T2091" s="9" t="str">
        <f t="shared" ca="1" si="78"/>
        <v/>
      </c>
      <c r="U2091" s="9" t="str">
        <f t="shared" ca="1" si="79"/>
        <v/>
      </c>
    </row>
    <row r="2092" spans="1:28">
      <c r="A2092" s="3" t="s">
        <v>1071</v>
      </c>
      <c r="D2092" s="3" t="s">
        <v>5994</v>
      </c>
      <c r="E2092" s="4" t="s">
        <v>5995</v>
      </c>
      <c r="F2092" t="s">
        <v>3897</v>
      </c>
      <c r="T2092" s="9" t="str">
        <f t="shared" ca="1" si="78"/>
        <v/>
      </c>
      <c r="U2092" s="9" t="str">
        <f t="shared" ca="1" si="79"/>
        <v/>
      </c>
    </row>
    <row r="2093" spans="1:28">
      <c r="A2093" s="3" t="s">
        <v>1072</v>
      </c>
      <c r="D2093" s="3" t="s">
        <v>5996</v>
      </c>
      <c r="E2093" s="4" t="s">
        <v>5997</v>
      </c>
      <c r="F2093" t="s">
        <v>4197</v>
      </c>
      <c r="I2093" t="s">
        <v>5998</v>
      </c>
      <c r="J2093" s="9" t="s">
        <v>8731</v>
      </c>
      <c r="T2093" s="9" t="str">
        <f t="shared" ca="1" si="78"/>
        <v/>
      </c>
      <c r="U2093" s="9" t="str">
        <f t="shared" ca="1" si="79"/>
        <v/>
      </c>
      <c r="AB2093" s="9" t="s">
        <v>8694</v>
      </c>
    </row>
    <row r="2094" spans="1:28">
      <c r="A2094" s="3" t="s">
        <v>1072</v>
      </c>
      <c r="D2094" s="3" t="s">
        <v>9075</v>
      </c>
      <c r="E2094" s="3" t="s">
        <v>9076</v>
      </c>
      <c r="J2094" s="9" t="s">
        <v>8729</v>
      </c>
      <c r="S2094" s="9" t="s">
        <v>8739</v>
      </c>
      <c r="T2094" s="9" t="str">
        <f t="shared" ca="1" si="78"/>
        <v/>
      </c>
      <c r="U2094" s="9" t="str">
        <f t="shared" ca="1" si="79"/>
        <v/>
      </c>
      <c r="Y2094" s="9" t="s">
        <v>8735</v>
      </c>
      <c r="AA2094" s="9" t="s">
        <v>3884</v>
      </c>
    </row>
    <row r="2095" spans="1:28">
      <c r="A2095" s="3" t="s">
        <v>1072</v>
      </c>
      <c r="D2095" s="3" t="s">
        <v>3286</v>
      </c>
      <c r="E2095" s="3" t="s">
        <v>3287</v>
      </c>
      <c r="J2095" s="9" t="s">
        <v>8729</v>
      </c>
      <c r="S2095" s="9" t="s">
        <v>8739</v>
      </c>
      <c r="T2095" s="9" t="str">
        <f t="shared" ca="1" si="78"/>
        <v/>
      </c>
      <c r="U2095" s="9" t="str">
        <f t="shared" ca="1" si="79"/>
        <v/>
      </c>
      <c r="Y2095" s="9" t="s">
        <v>8735</v>
      </c>
      <c r="Z2095" s="9" t="s">
        <v>9280</v>
      </c>
      <c r="AA2095" s="9" t="s">
        <v>3884</v>
      </c>
    </row>
    <row r="2096" spans="1:28" ht="29">
      <c r="A2096" s="3" t="s">
        <v>1072</v>
      </c>
      <c r="D2096" s="3" t="s">
        <v>5999</v>
      </c>
      <c r="E2096" s="3" t="s">
        <v>6000</v>
      </c>
      <c r="H2096" t="s">
        <v>3892</v>
      </c>
      <c r="I2096" t="s">
        <v>6001</v>
      </c>
      <c r="J2096" s="9" t="s">
        <v>8731</v>
      </c>
      <c r="T2096" s="9" t="str">
        <f t="shared" ca="1" si="78"/>
        <v/>
      </c>
      <c r="U2096" s="9" t="str">
        <f t="shared" ca="1" si="79"/>
        <v/>
      </c>
      <c r="AB2096" s="9" t="s">
        <v>8694</v>
      </c>
    </row>
    <row r="2097" spans="1:28" ht="29">
      <c r="A2097" s="3" t="s">
        <v>1073</v>
      </c>
      <c r="D2097" s="3" t="s">
        <v>6002</v>
      </c>
      <c r="E2097" s="3" t="s">
        <v>6003</v>
      </c>
      <c r="J2097" s="9" t="s">
        <v>3889</v>
      </c>
      <c r="K2097" s="9">
        <v>1</v>
      </c>
      <c r="L2097" s="9">
        <v>3</v>
      </c>
      <c r="M2097" s="9" t="s">
        <v>8689</v>
      </c>
      <c r="N2097" s="9" t="s">
        <v>8684</v>
      </c>
      <c r="O2097" s="9" t="s">
        <v>8771</v>
      </c>
      <c r="P2097" s="10" t="s">
        <v>8778</v>
      </c>
      <c r="R2097" s="9">
        <v>10929</v>
      </c>
      <c r="T2097" s="9" t="str">
        <f t="shared" ca="1" si="78"/>
        <v/>
      </c>
      <c r="U2097" s="9" t="str">
        <f t="shared" ca="1" si="79"/>
        <v/>
      </c>
    </row>
    <row r="2098" spans="1:28">
      <c r="A2098" s="3" t="s">
        <v>1074</v>
      </c>
      <c r="D2098" s="3" t="s">
        <v>3288</v>
      </c>
      <c r="E2098" s="3" t="s">
        <v>3145</v>
      </c>
      <c r="J2098" s="9" t="s">
        <v>8731</v>
      </c>
      <c r="T2098" s="9" t="str">
        <f t="shared" ca="1" si="78"/>
        <v/>
      </c>
      <c r="U2098" s="9" t="str">
        <f t="shared" ca="1" si="79"/>
        <v/>
      </c>
    </row>
    <row r="2099" spans="1:28">
      <c r="A2099" s="3" t="s">
        <v>1075</v>
      </c>
      <c r="D2099" s="3" t="s">
        <v>3289</v>
      </c>
      <c r="E2099" s="3" t="s">
        <v>3290</v>
      </c>
      <c r="J2099" s="9" t="s">
        <v>8732</v>
      </c>
      <c r="S2099" s="9">
        <f>14-0</f>
        <v>14</v>
      </c>
      <c r="T2099" s="9">
        <f t="shared" ca="1" si="78"/>
        <v>0</v>
      </c>
      <c r="U2099" s="9">
        <f t="shared" ca="1" si="79"/>
        <v>14</v>
      </c>
      <c r="Z2099" s="9" t="s">
        <v>8741</v>
      </c>
      <c r="AA2099" s="9" t="s">
        <v>3884</v>
      </c>
      <c r="AB2099" s="9" t="s">
        <v>8700</v>
      </c>
    </row>
    <row r="2100" spans="1:28" ht="29">
      <c r="A2100" s="3" t="s">
        <v>1076</v>
      </c>
      <c r="D2100" s="3" t="s">
        <v>6004</v>
      </c>
      <c r="E2100" s="3" t="s">
        <v>6005</v>
      </c>
      <c r="H2100" t="s">
        <v>3884</v>
      </c>
      <c r="J2100" s="9" t="s">
        <v>3885</v>
      </c>
      <c r="K2100" s="9">
        <v>1</v>
      </c>
      <c r="L2100" s="9">
        <v>3</v>
      </c>
      <c r="M2100" s="9" t="s">
        <v>8734</v>
      </c>
      <c r="N2100" s="9" t="s">
        <v>8690</v>
      </c>
      <c r="R2100" s="9" t="s">
        <v>8739</v>
      </c>
      <c r="T2100" s="9" t="str">
        <f t="shared" ca="1" si="78"/>
        <v/>
      </c>
      <c r="U2100" s="9" t="str">
        <f t="shared" ca="1" si="79"/>
        <v/>
      </c>
      <c r="AB2100" s="9" t="s">
        <v>8688</v>
      </c>
    </row>
    <row r="2101" spans="1:28">
      <c r="A2101" s="3" t="s">
        <v>1077</v>
      </c>
      <c r="D2101" s="3" t="s">
        <v>3291</v>
      </c>
      <c r="E2101" s="4" t="s">
        <v>3292</v>
      </c>
      <c r="F2101" t="s">
        <v>3897</v>
      </c>
      <c r="T2101" s="9" t="str">
        <f t="shared" ca="1" si="78"/>
        <v/>
      </c>
      <c r="U2101" s="9" t="str">
        <f t="shared" ca="1" si="79"/>
        <v/>
      </c>
    </row>
    <row r="2102" spans="1:28" ht="29">
      <c r="A2102" s="3" t="s">
        <v>1077</v>
      </c>
      <c r="D2102" s="3" t="s">
        <v>6006</v>
      </c>
      <c r="E2102" s="3" t="s">
        <v>6007</v>
      </c>
      <c r="H2102" t="s">
        <v>3892</v>
      </c>
      <c r="I2102" t="s">
        <v>6008</v>
      </c>
      <c r="J2102" s="9" t="s">
        <v>8731</v>
      </c>
      <c r="T2102" s="9" t="str">
        <f t="shared" ca="1" si="78"/>
        <v/>
      </c>
      <c r="U2102" s="9" t="str">
        <f t="shared" ca="1" si="79"/>
        <v/>
      </c>
    </row>
    <row r="2103" spans="1:28">
      <c r="A2103" s="3" t="s">
        <v>1078</v>
      </c>
      <c r="D2103" s="3" t="s">
        <v>9636</v>
      </c>
      <c r="E2103" s="3" t="s">
        <v>9637</v>
      </c>
      <c r="J2103" s="9" t="s">
        <v>8731</v>
      </c>
      <c r="T2103" s="9" t="str">
        <f t="shared" ca="1" si="78"/>
        <v/>
      </c>
      <c r="U2103" s="9" t="str">
        <f t="shared" ca="1" si="79"/>
        <v/>
      </c>
      <c r="AB2103" s="9" t="s">
        <v>8700</v>
      </c>
    </row>
    <row r="2104" spans="1:28">
      <c r="A2104" s="3" t="s">
        <v>1079</v>
      </c>
      <c r="D2104" s="3" t="s">
        <v>9638</v>
      </c>
      <c r="E2104" s="3" t="s">
        <v>9638</v>
      </c>
      <c r="F2104" t="s">
        <v>3932</v>
      </c>
      <c r="I2104" t="s">
        <v>2214</v>
      </c>
      <c r="T2104" s="9" t="str">
        <f t="shared" ca="1" si="78"/>
        <v/>
      </c>
      <c r="U2104" s="9" t="str">
        <f t="shared" ca="1" si="79"/>
        <v/>
      </c>
    </row>
    <row r="2105" spans="1:28">
      <c r="A2105" s="3" t="s">
        <v>1080</v>
      </c>
      <c r="D2105" s="3" t="s">
        <v>3268</v>
      </c>
      <c r="E2105" s="3" t="s">
        <v>3268</v>
      </c>
      <c r="F2105" t="s">
        <v>3932</v>
      </c>
      <c r="I2105" t="s">
        <v>9691</v>
      </c>
      <c r="T2105" s="9" t="str">
        <f t="shared" ca="1" si="78"/>
        <v/>
      </c>
      <c r="U2105" s="9" t="str">
        <f t="shared" ca="1" si="79"/>
        <v/>
      </c>
    </row>
    <row r="2106" spans="1:28">
      <c r="A2106" s="3" t="s">
        <v>1080</v>
      </c>
      <c r="D2106" s="4" t="s">
        <v>3293</v>
      </c>
      <c r="E2106" s="3" t="s">
        <v>3294</v>
      </c>
      <c r="F2106" t="s">
        <v>4196</v>
      </c>
      <c r="I2106" t="s">
        <v>9692</v>
      </c>
      <c r="J2106" s="9" t="s">
        <v>8729</v>
      </c>
      <c r="S2106" s="9" t="s">
        <v>8739</v>
      </c>
      <c r="T2106" s="9" t="str">
        <f t="shared" ca="1" si="78"/>
        <v/>
      </c>
      <c r="U2106" s="9" t="str">
        <f t="shared" ca="1" si="79"/>
        <v/>
      </c>
      <c r="Y2106" s="9" t="s">
        <v>8735</v>
      </c>
      <c r="AA2106" s="9" t="s">
        <v>3884</v>
      </c>
    </row>
    <row r="2107" spans="1:28">
      <c r="A2107" s="3" t="s">
        <v>1081</v>
      </c>
      <c r="D2107" s="3" t="s">
        <v>6009</v>
      </c>
      <c r="E2107" s="3" t="s">
        <v>6010</v>
      </c>
      <c r="H2107" t="s">
        <v>3884</v>
      </c>
      <c r="J2107" s="9" t="s">
        <v>8729</v>
      </c>
      <c r="Q2107" s="9" t="s">
        <v>8685</v>
      </c>
      <c r="S2107" s="9" t="s">
        <v>8739</v>
      </c>
      <c r="T2107" s="9" t="str">
        <f t="shared" ca="1" si="78"/>
        <v/>
      </c>
      <c r="U2107" s="9" t="str">
        <f t="shared" ca="1" si="79"/>
        <v/>
      </c>
      <c r="AB2107" s="9" t="s">
        <v>8688</v>
      </c>
    </row>
    <row r="2108" spans="1:28" ht="29">
      <c r="A2108" s="3" t="s">
        <v>1082</v>
      </c>
      <c r="D2108" s="3" t="s">
        <v>6011</v>
      </c>
      <c r="E2108" s="3" t="s">
        <v>6012</v>
      </c>
      <c r="H2108" t="s">
        <v>3884</v>
      </c>
      <c r="J2108" s="9" t="s">
        <v>8731</v>
      </c>
      <c r="T2108" s="9" t="str">
        <f t="shared" ca="1" si="78"/>
        <v/>
      </c>
      <c r="U2108" s="9" t="str">
        <f t="shared" ca="1" si="79"/>
        <v/>
      </c>
      <c r="Y2108" s="9" t="s">
        <v>8735</v>
      </c>
      <c r="AA2108" s="9" t="s">
        <v>3884</v>
      </c>
    </row>
    <row r="2109" spans="1:28">
      <c r="A2109" s="3" t="s">
        <v>1082</v>
      </c>
      <c r="D2109" s="3" t="s">
        <v>6013</v>
      </c>
      <c r="E2109" s="3" t="s">
        <v>6014</v>
      </c>
      <c r="J2109" s="9" t="s">
        <v>8731</v>
      </c>
      <c r="T2109" s="9" t="str">
        <f t="shared" ca="1" si="78"/>
        <v/>
      </c>
      <c r="U2109" s="9" t="str">
        <f t="shared" ca="1" si="79"/>
        <v/>
      </c>
      <c r="AB2109" s="9" t="s">
        <v>8700</v>
      </c>
    </row>
    <row r="2110" spans="1:28" ht="29">
      <c r="A2110" s="3" t="s">
        <v>1082</v>
      </c>
      <c r="D2110" s="3" t="s">
        <v>6015</v>
      </c>
      <c r="E2110" s="3" t="s">
        <v>6016</v>
      </c>
      <c r="H2110" t="s">
        <v>3884</v>
      </c>
      <c r="J2110" s="9" t="s">
        <v>3885</v>
      </c>
      <c r="K2110" s="9">
        <v>1</v>
      </c>
      <c r="L2110" s="9">
        <v>2</v>
      </c>
      <c r="M2110" s="9" t="s">
        <v>8707</v>
      </c>
      <c r="N2110" s="9" t="s">
        <v>8730</v>
      </c>
      <c r="Q2110" s="9" t="s">
        <v>8685</v>
      </c>
      <c r="R2110" s="9">
        <v>1942</v>
      </c>
      <c r="T2110" s="9" t="str">
        <f t="shared" ca="1" si="78"/>
        <v/>
      </c>
      <c r="U2110" s="9" t="str">
        <f t="shared" ca="1" si="79"/>
        <v/>
      </c>
      <c r="AB2110" s="9" t="s">
        <v>8694</v>
      </c>
    </row>
    <row r="2111" spans="1:28">
      <c r="A2111" s="3" t="s">
        <v>1083</v>
      </c>
      <c r="D2111" s="3" t="s">
        <v>3293</v>
      </c>
      <c r="E2111" s="3" t="s">
        <v>3295</v>
      </c>
      <c r="J2111" s="9" t="s">
        <v>8729</v>
      </c>
      <c r="S2111" s="9" t="s">
        <v>8739</v>
      </c>
      <c r="T2111" s="9" t="str">
        <f t="shared" ca="1" si="78"/>
        <v/>
      </c>
      <c r="U2111" s="9" t="str">
        <f t="shared" ca="1" si="79"/>
        <v/>
      </c>
      <c r="Y2111" s="9" t="s">
        <v>8735</v>
      </c>
      <c r="AA2111" s="9" t="s">
        <v>3884</v>
      </c>
    </row>
    <row r="2112" spans="1:28">
      <c r="A2112" s="3" t="s">
        <v>1083</v>
      </c>
      <c r="D2112" s="3" t="s">
        <v>6017</v>
      </c>
      <c r="E2112" s="3" t="s">
        <v>6018</v>
      </c>
      <c r="G2112" t="s">
        <v>3884</v>
      </c>
      <c r="J2112" s="9" t="s">
        <v>3885</v>
      </c>
      <c r="K2112" s="9">
        <v>1</v>
      </c>
      <c r="L2112" s="9">
        <v>1</v>
      </c>
      <c r="M2112" s="9" t="s">
        <v>8689</v>
      </c>
      <c r="N2112" s="9" t="s">
        <v>8730</v>
      </c>
      <c r="R2112" s="9">
        <v>10929</v>
      </c>
      <c r="T2112" s="9" t="str">
        <f t="shared" ca="1" si="78"/>
        <v/>
      </c>
      <c r="U2112" s="9" t="str">
        <f t="shared" ca="1" si="79"/>
        <v/>
      </c>
    </row>
    <row r="2113" spans="1:28">
      <c r="A2113" s="3" t="s">
        <v>1084</v>
      </c>
      <c r="D2113" s="3" t="s">
        <v>6019</v>
      </c>
      <c r="E2113" s="3" t="s">
        <v>6020</v>
      </c>
      <c r="J2113" s="9" t="s">
        <v>8729</v>
      </c>
      <c r="S2113" s="9">
        <f>84-5</f>
        <v>79</v>
      </c>
      <c r="T2113" s="9">
        <f t="shared" ca="1" si="78"/>
        <v>5</v>
      </c>
      <c r="U2113" s="9">
        <f t="shared" ca="1" si="79"/>
        <v>84</v>
      </c>
    </row>
    <row r="2114" spans="1:28">
      <c r="A2114" s="3" t="s">
        <v>1085</v>
      </c>
      <c r="D2114" s="3" t="s">
        <v>3296</v>
      </c>
      <c r="E2114" s="3" t="s">
        <v>3297</v>
      </c>
      <c r="J2114" s="9" t="s">
        <v>8729</v>
      </c>
      <c r="S2114" s="9" t="s">
        <v>8739</v>
      </c>
      <c r="T2114" s="9" t="str">
        <f t="shared" ca="1" si="78"/>
        <v/>
      </c>
      <c r="U2114" s="9" t="str">
        <f t="shared" ca="1" si="79"/>
        <v/>
      </c>
      <c r="Y2114" s="9" t="s">
        <v>8735</v>
      </c>
      <c r="AA2114" s="9" t="s">
        <v>3884</v>
      </c>
    </row>
    <row r="2115" spans="1:28">
      <c r="A2115" s="3" t="s">
        <v>1086</v>
      </c>
      <c r="D2115" s="3" t="s">
        <v>5475</v>
      </c>
      <c r="E2115" s="3" t="s">
        <v>5476</v>
      </c>
      <c r="H2115" t="s">
        <v>3884</v>
      </c>
      <c r="J2115" s="9" t="s">
        <v>3885</v>
      </c>
      <c r="K2115" s="9">
        <v>1</v>
      </c>
      <c r="L2115" s="9">
        <v>3</v>
      </c>
      <c r="M2115" s="9" t="s">
        <v>8689</v>
      </c>
      <c r="N2115" s="9" t="s">
        <v>8690</v>
      </c>
      <c r="R2115" s="9">
        <v>10929</v>
      </c>
      <c r="T2115" s="9" t="str">
        <f t="shared" ca="1" si="78"/>
        <v/>
      </c>
      <c r="U2115" s="9" t="str">
        <f t="shared" ca="1" si="79"/>
        <v/>
      </c>
    </row>
    <row r="2116" spans="1:28">
      <c r="A2116" s="3" t="s">
        <v>1087</v>
      </c>
      <c r="D2116" s="3" t="s">
        <v>6021</v>
      </c>
      <c r="E2116" s="3" t="s">
        <v>6022</v>
      </c>
      <c r="H2116" t="s">
        <v>3884</v>
      </c>
      <c r="J2116" s="9" t="s">
        <v>8731</v>
      </c>
      <c r="T2116" s="9" t="str">
        <f t="shared" ref="T2116:T2179" ca="1" si="80">IF(ISNUMBER(S2116),VALUE(MID(_xlfn.FORMULATEXT(S2116),SEARCH("-",_xlfn.FORMULATEXT(S2116))+1,LEN(_xlfn.FORMULATEXT(S2116))-SEARCH("-",_xlfn.FORMULATEXT(S2116)))), "")</f>
        <v/>
      </c>
      <c r="U2116" s="9" t="str">
        <f t="shared" ref="U2116:U2179" ca="1" si="81">IF(ISNUMBER(S2116), VALUE(MID(_xlfn.FORMULATEXT(S2116), 2, SEARCH("-", _xlfn.FORMULATEXT(S2116)) - 2)), "")</f>
        <v/>
      </c>
      <c r="Y2116" s="9" t="s">
        <v>8735</v>
      </c>
      <c r="AA2116" s="9" t="s">
        <v>3884</v>
      </c>
    </row>
    <row r="2117" spans="1:28">
      <c r="A2117" s="3" t="s">
        <v>1087</v>
      </c>
      <c r="D2117" s="3" t="s">
        <v>6023</v>
      </c>
      <c r="E2117" s="3" t="s">
        <v>6024</v>
      </c>
      <c r="I2117" t="s">
        <v>9242</v>
      </c>
      <c r="J2117" s="9" t="s">
        <v>8731</v>
      </c>
      <c r="T2117" s="9" t="str">
        <f t="shared" ca="1" si="80"/>
        <v/>
      </c>
      <c r="U2117" s="9" t="str">
        <f t="shared" ca="1" si="81"/>
        <v/>
      </c>
      <c r="V2117" s="9" t="s">
        <v>4</v>
      </c>
    </row>
    <row r="2118" spans="1:28">
      <c r="A2118" s="3" t="s">
        <v>1087</v>
      </c>
      <c r="D2118" s="3" t="s">
        <v>3298</v>
      </c>
      <c r="E2118" s="4" t="s">
        <v>3299</v>
      </c>
      <c r="F2118" t="s">
        <v>3897</v>
      </c>
      <c r="T2118" s="9" t="str">
        <f t="shared" ca="1" si="80"/>
        <v/>
      </c>
      <c r="U2118" s="9" t="str">
        <f t="shared" ca="1" si="81"/>
        <v/>
      </c>
    </row>
    <row r="2119" spans="1:28">
      <c r="A2119" s="3" t="s">
        <v>1088</v>
      </c>
      <c r="D2119" s="3" t="s">
        <v>6025</v>
      </c>
      <c r="E2119" s="3" t="s">
        <v>6026</v>
      </c>
      <c r="F2119" t="s">
        <v>3893</v>
      </c>
      <c r="H2119" t="s">
        <v>3892</v>
      </c>
      <c r="I2119" t="s">
        <v>6027</v>
      </c>
      <c r="T2119" s="9" t="str">
        <f t="shared" ca="1" si="80"/>
        <v/>
      </c>
      <c r="U2119" s="9" t="str">
        <f t="shared" ca="1" si="81"/>
        <v/>
      </c>
    </row>
    <row r="2120" spans="1:28" ht="29">
      <c r="A2120" s="3" t="s">
        <v>1088</v>
      </c>
      <c r="D2120" s="4" t="s">
        <v>6028</v>
      </c>
      <c r="E2120" s="3" t="s">
        <v>6029</v>
      </c>
      <c r="F2120" t="s">
        <v>4196</v>
      </c>
      <c r="I2120" t="s">
        <v>6032</v>
      </c>
      <c r="J2120" s="9" t="s">
        <v>8729</v>
      </c>
      <c r="S2120" s="9" t="s">
        <v>8739</v>
      </c>
      <c r="T2120" s="9" t="str">
        <f t="shared" ca="1" si="80"/>
        <v/>
      </c>
      <c r="U2120" s="9" t="str">
        <f t="shared" ca="1" si="81"/>
        <v/>
      </c>
      <c r="Y2120" s="9" t="s">
        <v>8735</v>
      </c>
      <c r="AA2120" s="9" t="s">
        <v>3884</v>
      </c>
    </row>
    <row r="2121" spans="1:28" ht="29">
      <c r="A2121" s="3" t="s">
        <v>1088</v>
      </c>
      <c r="D2121" s="3" t="s">
        <v>6030</v>
      </c>
      <c r="E2121" s="3" t="s">
        <v>6031</v>
      </c>
      <c r="H2121" t="s">
        <v>3884</v>
      </c>
      <c r="J2121" s="9" t="s">
        <v>8729</v>
      </c>
      <c r="S2121" s="9" t="s">
        <v>8739</v>
      </c>
      <c r="T2121" s="9" t="str">
        <f t="shared" ca="1" si="80"/>
        <v/>
      </c>
      <c r="U2121" s="9" t="str">
        <f t="shared" ca="1" si="81"/>
        <v/>
      </c>
      <c r="AB2121" s="9" t="s">
        <v>8688</v>
      </c>
    </row>
    <row r="2122" spans="1:28">
      <c r="A2122" s="3" t="s">
        <v>1088</v>
      </c>
      <c r="D2122" s="3" t="s">
        <v>6033</v>
      </c>
      <c r="E2122" s="3" t="s">
        <v>6034</v>
      </c>
      <c r="J2122" s="9" t="s">
        <v>8731</v>
      </c>
      <c r="T2122" s="9" t="str">
        <f t="shared" ca="1" si="80"/>
        <v/>
      </c>
      <c r="U2122" s="9" t="str">
        <f t="shared" ca="1" si="81"/>
        <v/>
      </c>
      <c r="AB2122" s="9" t="s">
        <v>8697</v>
      </c>
    </row>
    <row r="2123" spans="1:28" ht="29">
      <c r="A2123" s="3" t="s">
        <v>1089</v>
      </c>
      <c r="D2123" s="3" t="s">
        <v>6035</v>
      </c>
      <c r="E2123" s="3" t="s">
        <v>6036</v>
      </c>
      <c r="H2123" t="s">
        <v>3884</v>
      </c>
      <c r="J2123" s="9" t="s">
        <v>3885</v>
      </c>
      <c r="K2123" s="9">
        <v>1</v>
      </c>
      <c r="L2123" s="9">
        <v>5</v>
      </c>
      <c r="M2123" s="9" t="s">
        <v>8703</v>
      </c>
      <c r="N2123" s="9" t="s">
        <v>8690</v>
      </c>
      <c r="R2123" s="9">
        <v>655</v>
      </c>
      <c r="T2123" s="9" t="str">
        <f t="shared" ca="1" si="80"/>
        <v/>
      </c>
      <c r="U2123" s="9" t="str">
        <f t="shared" ca="1" si="81"/>
        <v/>
      </c>
    </row>
    <row r="2124" spans="1:28">
      <c r="A2124" s="3" t="s">
        <v>1090</v>
      </c>
      <c r="D2124" s="3" t="s">
        <v>6037</v>
      </c>
      <c r="E2124" s="3" t="s">
        <v>6037</v>
      </c>
      <c r="F2124" t="s">
        <v>3932</v>
      </c>
      <c r="I2124" t="s">
        <v>6038</v>
      </c>
      <c r="T2124" s="9" t="str">
        <f t="shared" ca="1" si="80"/>
        <v/>
      </c>
      <c r="U2124" s="9" t="str">
        <f t="shared" ca="1" si="81"/>
        <v/>
      </c>
    </row>
    <row r="2125" spans="1:28">
      <c r="A2125" s="3" t="s">
        <v>1091</v>
      </c>
      <c r="D2125" s="3" t="s">
        <v>6039</v>
      </c>
      <c r="E2125" s="3" t="s">
        <v>6039</v>
      </c>
      <c r="F2125" t="s">
        <v>3932</v>
      </c>
      <c r="I2125" t="s">
        <v>6040</v>
      </c>
      <c r="T2125" s="9" t="str">
        <f t="shared" ca="1" si="80"/>
        <v/>
      </c>
      <c r="U2125" s="9" t="str">
        <f t="shared" ca="1" si="81"/>
        <v/>
      </c>
    </row>
    <row r="2126" spans="1:28" ht="29">
      <c r="A2126" s="3" t="s">
        <v>1091</v>
      </c>
      <c r="D2126" s="3" t="s">
        <v>6041</v>
      </c>
      <c r="E2126" s="3" t="s">
        <v>6041</v>
      </c>
      <c r="F2126" t="s">
        <v>3932</v>
      </c>
      <c r="I2126" t="s">
        <v>6042</v>
      </c>
      <c r="T2126" s="9" t="str">
        <f t="shared" ca="1" si="80"/>
        <v/>
      </c>
      <c r="U2126" s="9" t="str">
        <f t="shared" ca="1" si="81"/>
        <v/>
      </c>
    </row>
    <row r="2127" spans="1:28" ht="29">
      <c r="A2127" s="3" t="s">
        <v>1091</v>
      </c>
      <c r="D2127" s="3" t="s">
        <v>6044</v>
      </c>
      <c r="E2127" s="3" t="s">
        <v>6045</v>
      </c>
      <c r="H2127" t="s">
        <v>3884</v>
      </c>
      <c r="J2127" s="9" t="s">
        <v>8731</v>
      </c>
      <c r="T2127" s="9" t="str">
        <f t="shared" ca="1" si="80"/>
        <v/>
      </c>
      <c r="U2127" s="9" t="str">
        <f t="shared" ca="1" si="81"/>
        <v/>
      </c>
      <c r="Y2127" s="9" t="s">
        <v>8735</v>
      </c>
      <c r="AA2127" s="9" t="s">
        <v>3884</v>
      </c>
    </row>
    <row r="2128" spans="1:28" ht="29">
      <c r="A2128" s="3" t="s">
        <v>1091</v>
      </c>
      <c r="D2128" s="3" t="s">
        <v>6046</v>
      </c>
      <c r="E2128" s="4" t="s">
        <v>6043</v>
      </c>
      <c r="F2128" t="s">
        <v>3897</v>
      </c>
      <c r="T2128" s="9" t="str">
        <f t="shared" ca="1" si="80"/>
        <v/>
      </c>
      <c r="U2128" s="9" t="str">
        <f t="shared" ca="1" si="81"/>
        <v/>
      </c>
    </row>
    <row r="2129" spans="1:28" ht="29">
      <c r="A2129" s="3" t="s">
        <v>1091</v>
      </c>
      <c r="D2129" s="3" t="s">
        <v>6049</v>
      </c>
      <c r="E2129" s="3" t="s">
        <v>6050</v>
      </c>
      <c r="H2129" t="s">
        <v>3884</v>
      </c>
      <c r="J2129" s="9" t="s">
        <v>8731</v>
      </c>
      <c r="T2129" s="9" t="str">
        <f t="shared" ca="1" si="80"/>
        <v/>
      </c>
      <c r="U2129" s="9" t="str">
        <f t="shared" ca="1" si="81"/>
        <v/>
      </c>
      <c r="Y2129" s="9" t="s">
        <v>8735</v>
      </c>
      <c r="AA2129" s="9" t="s">
        <v>3884</v>
      </c>
    </row>
    <row r="2130" spans="1:28" ht="29">
      <c r="A2130" s="3" t="s">
        <v>1091</v>
      </c>
      <c r="D2130" s="3" t="s">
        <v>6047</v>
      </c>
      <c r="E2130" s="3" t="s">
        <v>6048</v>
      </c>
      <c r="F2130" t="s">
        <v>3932</v>
      </c>
      <c r="I2130" t="s">
        <v>6051</v>
      </c>
      <c r="T2130" s="9" t="str">
        <f t="shared" ca="1" si="80"/>
        <v/>
      </c>
      <c r="U2130" s="9" t="str">
        <f t="shared" ca="1" si="81"/>
        <v/>
      </c>
    </row>
    <row r="2131" spans="1:28" ht="29">
      <c r="A2131" s="3" t="s">
        <v>1091</v>
      </c>
      <c r="D2131" s="4" t="s">
        <v>6052</v>
      </c>
      <c r="E2131" s="3" t="s">
        <v>6053</v>
      </c>
      <c r="F2131" t="s">
        <v>3883</v>
      </c>
      <c r="T2131" s="9" t="str">
        <f t="shared" ca="1" si="80"/>
        <v/>
      </c>
      <c r="U2131" s="9" t="str">
        <f t="shared" ca="1" si="81"/>
        <v/>
      </c>
    </row>
    <row r="2132" spans="1:28" ht="29">
      <c r="A2132" s="3" t="s">
        <v>1091</v>
      </c>
      <c r="D2132" s="3" t="s">
        <v>6054</v>
      </c>
      <c r="E2132" s="3" t="s">
        <v>6055</v>
      </c>
      <c r="H2132" t="s">
        <v>3884</v>
      </c>
      <c r="J2132" s="9" t="s">
        <v>3889</v>
      </c>
      <c r="K2132" s="9">
        <v>1</v>
      </c>
      <c r="L2132" s="9">
        <v>3</v>
      </c>
      <c r="M2132" s="9" t="s">
        <v>8698</v>
      </c>
      <c r="N2132" s="9" t="s">
        <v>8690</v>
      </c>
      <c r="R2132" s="9">
        <v>9418</v>
      </c>
      <c r="T2132" s="9" t="str">
        <f t="shared" ca="1" si="80"/>
        <v/>
      </c>
      <c r="U2132" s="9" t="str">
        <f t="shared" ca="1" si="81"/>
        <v/>
      </c>
    </row>
    <row r="2133" spans="1:28">
      <c r="A2133" s="3" t="s">
        <v>1091</v>
      </c>
      <c r="D2133" s="3" t="s">
        <v>6056</v>
      </c>
      <c r="E2133" s="4" t="s">
        <v>6057</v>
      </c>
      <c r="F2133" t="s">
        <v>3897</v>
      </c>
      <c r="T2133" s="9" t="str">
        <f t="shared" ca="1" si="80"/>
        <v/>
      </c>
      <c r="U2133" s="9" t="str">
        <f t="shared" ca="1" si="81"/>
        <v/>
      </c>
    </row>
    <row r="2134" spans="1:28" ht="29">
      <c r="A2134" s="3" t="s">
        <v>1091</v>
      </c>
      <c r="D2134" s="3" t="s">
        <v>6058</v>
      </c>
      <c r="E2134" s="3" t="s">
        <v>6059</v>
      </c>
      <c r="J2134" s="9" t="s">
        <v>8731</v>
      </c>
      <c r="T2134" s="9" t="str">
        <f t="shared" ca="1" si="80"/>
        <v/>
      </c>
      <c r="U2134" s="9" t="str">
        <f t="shared" ca="1" si="81"/>
        <v/>
      </c>
      <c r="AB2134" s="9" t="s">
        <v>8697</v>
      </c>
    </row>
    <row r="2135" spans="1:28">
      <c r="A2135" s="3" t="s">
        <v>1091</v>
      </c>
      <c r="D2135" s="3" t="s">
        <v>3300</v>
      </c>
      <c r="E2135" s="3" t="s">
        <v>3300</v>
      </c>
      <c r="F2135" t="s">
        <v>3932</v>
      </c>
      <c r="I2135" t="s">
        <v>6060</v>
      </c>
      <c r="T2135" s="9" t="str">
        <f t="shared" ca="1" si="80"/>
        <v/>
      </c>
      <c r="U2135" s="9" t="str">
        <f t="shared" ca="1" si="81"/>
        <v/>
      </c>
    </row>
    <row r="2136" spans="1:28">
      <c r="A2136" s="3" t="s">
        <v>1091</v>
      </c>
      <c r="D2136" s="3" t="s">
        <v>6061</v>
      </c>
      <c r="E2136" s="3" t="s">
        <v>6062</v>
      </c>
      <c r="H2136" t="s">
        <v>3884</v>
      </c>
      <c r="J2136" s="9" t="s">
        <v>3885</v>
      </c>
      <c r="K2136" s="9">
        <v>1</v>
      </c>
      <c r="L2136" s="9">
        <v>3</v>
      </c>
      <c r="M2136" s="9" t="s">
        <v>8689</v>
      </c>
      <c r="N2136" s="9" t="s">
        <v>8690</v>
      </c>
      <c r="R2136" s="9">
        <v>10929</v>
      </c>
      <c r="T2136" s="9" t="str">
        <f t="shared" ca="1" si="80"/>
        <v/>
      </c>
      <c r="U2136" s="9" t="str">
        <f t="shared" ca="1" si="81"/>
        <v/>
      </c>
      <c r="AB2136" s="9" t="s">
        <v>8694</v>
      </c>
    </row>
    <row r="2137" spans="1:28">
      <c r="A2137" s="3" t="s">
        <v>1091</v>
      </c>
      <c r="D2137" s="3" t="s">
        <v>3288</v>
      </c>
      <c r="E2137" s="3" t="s">
        <v>3145</v>
      </c>
      <c r="J2137" s="9" t="s">
        <v>8731</v>
      </c>
      <c r="T2137" s="9" t="str">
        <f t="shared" ca="1" si="80"/>
        <v/>
      </c>
      <c r="U2137" s="9" t="str">
        <f t="shared" ca="1" si="81"/>
        <v/>
      </c>
    </row>
    <row r="2138" spans="1:28">
      <c r="A2138" s="3" t="s">
        <v>1091</v>
      </c>
      <c r="D2138" s="3" t="s">
        <v>6063</v>
      </c>
      <c r="E2138" s="3" t="s">
        <v>9639</v>
      </c>
      <c r="J2138" s="9" t="s">
        <v>8729</v>
      </c>
      <c r="S2138" s="9">
        <f>0-1443</f>
        <v>-1443</v>
      </c>
      <c r="T2138" s="9">
        <f t="shared" ca="1" si="80"/>
        <v>1443</v>
      </c>
      <c r="U2138" s="9">
        <f t="shared" ca="1" si="81"/>
        <v>0</v>
      </c>
    </row>
    <row r="2139" spans="1:28">
      <c r="A2139" s="3" t="s">
        <v>1091</v>
      </c>
      <c r="D2139" s="3" t="s">
        <v>3301</v>
      </c>
      <c r="E2139" s="3" t="s">
        <v>3302</v>
      </c>
      <c r="J2139" s="9" t="s">
        <v>8729</v>
      </c>
      <c r="S2139" s="9" t="s">
        <v>8739</v>
      </c>
      <c r="T2139" s="9" t="str">
        <f t="shared" ca="1" si="80"/>
        <v/>
      </c>
      <c r="U2139" s="9" t="str">
        <f t="shared" ca="1" si="81"/>
        <v/>
      </c>
      <c r="AB2139" s="9" t="s">
        <v>8688</v>
      </c>
    </row>
    <row r="2140" spans="1:28">
      <c r="A2140" s="3" t="s">
        <v>1092</v>
      </c>
      <c r="D2140" s="3" t="s">
        <v>6064</v>
      </c>
      <c r="E2140" s="3" t="s">
        <v>9077</v>
      </c>
      <c r="H2140" t="s">
        <v>3884</v>
      </c>
      <c r="J2140" s="9" t="s">
        <v>8729</v>
      </c>
      <c r="Q2140" s="9" t="s">
        <v>8685</v>
      </c>
      <c r="S2140" s="9" t="s">
        <v>8739</v>
      </c>
      <c r="T2140" s="9" t="str">
        <f t="shared" ca="1" si="80"/>
        <v/>
      </c>
      <c r="U2140" s="9" t="str">
        <f t="shared" ca="1" si="81"/>
        <v/>
      </c>
      <c r="AB2140" s="9" t="s">
        <v>8688</v>
      </c>
    </row>
    <row r="2141" spans="1:28" ht="29">
      <c r="A2141" s="3" t="s">
        <v>1093</v>
      </c>
      <c r="D2141" s="3" t="s">
        <v>9509</v>
      </c>
      <c r="E2141" s="3" t="s">
        <v>9511</v>
      </c>
      <c r="J2141" s="9" t="s">
        <v>8731</v>
      </c>
      <c r="T2141" s="9" t="str">
        <f t="shared" ca="1" si="80"/>
        <v/>
      </c>
      <c r="U2141" s="9" t="str">
        <f t="shared" ca="1" si="81"/>
        <v/>
      </c>
    </row>
    <row r="2142" spans="1:28" ht="29">
      <c r="A2142" s="3" t="s">
        <v>1093</v>
      </c>
      <c r="D2142" s="3" t="s">
        <v>9510</v>
      </c>
      <c r="E2142" s="3" t="s">
        <v>9512</v>
      </c>
      <c r="J2142" s="9" t="s">
        <v>3885</v>
      </c>
      <c r="K2142" s="9">
        <v>1</v>
      </c>
      <c r="L2142" s="9">
        <v>1</v>
      </c>
      <c r="M2142" s="9" t="s">
        <v>8689</v>
      </c>
      <c r="N2142" s="9" t="s">
        <v>8730</v>
      </c>
      <c r="R2142" s="9">
        <v>10929</v>
      </c>
      <c r="T2142" s="9" t="str">
        <f t="shared" ca="1" si="80"/>
        <v/>
      </c>
      <c r="U2142" s="9" t="str">
        <f t="shared" ca="1" si="81"/>
        <v/>
      </c>
    </row>
    <row r="2143" spans="1:28" ht="29">
      <c r="A2143" s="3" t="s">
        <v>1093</v>
      </c>
      <c r="D2143" s="3" t="s">
        <v>9079</v>
      </c>
      <c r="E2143" s="3" t="s">
        <v>9078</v>
      </c>
      <c r="J2143" s="9" t="s">
        <v>8731</v>
      </c>
      <c r="T2143" s="9" t="str">
        <f t="shared" ca="1" si="80"/>
        <v/>
      </c>
      <c r="U2143" s="9" t="str">
        <f t="shared" ca="1" si="81"/>
        <v/>
      </c>
    </row>
    <row r="2144" spans="1:28">
      <c r="A2144" s="3" t="s">
        <v>1094</v>
      </c>
      <c r="D2144" s="3" t="s">
        <v>6067</v>
      </c>
      <c r="E2144" s="3" t="s">
        <v>6068</v>
      </c>
      <c r="J2144" s="9" t="s">
        <v>8731</v>
      </c>
      <c r="T2144" s="9" t="str">
        <f t="shared" ca="1" si="80"/>
        <v/>
      </c>
      <c r="U2144" s="9" t="str">
        <f t="shared" ca="1" si="81"/>
        <v/>
      </c>
      <c r="AB2144" s="9" t="s">
        <v>8697</v>
      </c>
    </row>
    <row r="2145" spans="1:28">
      <c r="A2145" s="3" t="s">
        <v>1094</v>
      </c>
      <c r="D2145" s="4" t="s">
        <v>6065</v>
      </c>
      <c r="E2145" s="4" t="s">
        <v>6066</v>
      </c>
      <c r="F2145" t="s">
        <v>6070</v>
      </c>
      <c r="I2145" t="s">
        <v>6071</v>
      </c>
      <c r="T2145" s="9" t="str">
        <f t="shared" ca="1" si="80"/>
        <v/>
      </c>
      <c r="U2145" s="9" t="str">
        <f t="shared" ca="1" si="81"/>
        <v/>
      </c>
    </row>
    <row r="2146" spans="1:28">
      <c r="A2146" s="3" t="s">
        <v>1095</v>
      </c>
      <c r="D2146" s="3" t="s">
        <v>2681</v>
      </c>
      <c r="E2146" s="3" t="s">
        <v>2682</v>
      </c>
      <c r="J2146" s="9" t="s">
        <v>8729</v>
      </c>
      <c r="S2146" s="9" t="s">
        <v>8739</v>
      </c>
      <c r="T2146" s="9" t="str">
        <f t="shared" ca="1" si="80"/>
        <v/>
      </c>
      <c r="U2146" s="9" t="str">
        <f t="shared" ca="1" si="81"/>
        <v/>
      </c>
      <c r="Z2146" s="9" t="s">
        <v>8757</v>
      </c>
      <c r="AA2146" s="9" t="s">
        <v>3884</v>
      </c>
      <c r="AB2146" s="9" t="s">
        <v>8697</v>
      </c>
    </row>
    <row r="2147" spans="1:28">
      <c r="A2147" s="3" t="s">
        <v>1096</v>
      </c>
      <c r="D2147" s="3" t="s">
        <v>6073</v>
      </c>
      <c r="E2147" s="3" t="s">
        <v>6072</v>
      </c>
      <c r="J2147" s="9" t="s">
        <v>8729</v>
      </c>
      <c r="S2147" s="9" t="s">
        <v>8739</v>
      </c>
      <c r="T2147" s="9" t="str">
        <f t="shared" ca="1" si="80"/>
        <v/>
      </c>
      <c r="U2147" s="9" t="str">
        <f t="shared" ca="1" si="81"/>
        <v/>
      </c>
      <c r="AB2147" s="9" t="s">
        <v>8697</v>
      </c>
    </row>
    <row r="2148" spans="1:28">
      <c r="A2148" s="3" t="s">
        <v>1097</v>
      </c>
      <c r="D2148" s="3" t="s">
        <v>6074</v>
      </c>
      <c r="E2148" s="3" t="s">
        <v>6075</v>
      </c>
      <c r="F2148" t="s">
        <v>3893</v>
      </c>
      <c r="H2148" t="s">
        <v>3884</v>
      </c>
      <c r="T2148" s="9" t="str">
        <f t="shared" ca="1" si="80"/>
        <v/>
      </c>
      <c r="U2148" s="9" t="str">
        <f t="shared" ca="1" si="81"/>
        <v/>
      </c>
    </row>
    <row r="2149" spans="1:28">
      <c r="A2149" s="3" t="s">
        <v>1098</v>
      </c>
      <c r="D2149" s="3" t="s">
        <v>6076</v>
      </c>
      <c r="E2149" s="3" t="s">
        <v>9640</v>
      </c>
      <c r="J2149" s="9" t="s">
        <v>8729</v>
      </c>
      <c r="S2149" s="9">
        <f>21-0</f>
        <v>21</v>
      </c>
      <c r="T2149" s="9">
        <f t="shared" ca="1" si="80"/>
        <v>0</v>
      </c>
      <c r="U2149" s="9">
        <f t="shared" ca="1" si="81"/>
        <v>21</v>
      </c>
      <c r="Z2149" s="9" t="s">
        <v>8757</v>
      </c>
      <c r="AA2149" s="9" t="s">
        <v>3884</v>
      </c>
      <c r="AB2149" s="9" t="s">
        <v>8694</v>
      </c>
    </row>
    <row r="2150" spans="1:28">
      <c r="A2150" s="3" t="s">
        <v>1098</v>
      </c>
      <c r="D2150" s="3" t="s">
        <v>6077</v>
      </c>
      <c r="E2150" s="3" t="s">
        <v>9641</v>
      </c>
      <c r="J2150" s="9" t="s">
        <v>8729</v>
      </c>
      <c r="S2150" s="9">
        <f>21-0</f>
        <v>21</v>
      </c>
      <c r="T2150" s="9">
        <f t="shared" ca="1" si="80"/>
        <v>0</v>
      </c>
      <c r="U2150" s="9">
        <f t="shared" ca="1" si="81"/>
        <v>21</v>
      </c>
      <c r="Z2150" s="9" t="s">
        <v>8757</v>
      </c>
      <c r="AA2150" s="9" t="s">
        <v>3884</v>
      </c>
      <c r="AB2150" s="9" t="s">
        <v>8694</v>
      </c>
    </row>
    <row r="2151" spans="1:28">
      <c r="A2151" s="3" t="s">
        <v>1098</v>
      </c>
      <c r="D2151" s="3" t="s">
        <v>6078</v>
      </c>
      <c r="E2151" s="3" t="s">
        <v>6079</v>
      </c>
      <c r="H2151" t="s">
        <v>3884</v>
      </c>
      <c r="J2151" s="9" t="s">
        <v>8729</v>
      </c>
      <c r="S2151" s="9">
        <f>69-203</f>
        <v>-134</v>
      </c>
      <c r="T2151" s="9">
        <f t="shared" ca="1" si="80"/>
        <v>203</v>
      </c>
      <c r="U2151" s="9">
        <f t="shared" ca="1" si="81"/>
        <v>69</v>
      </c>
    </row>
    <row r="2152" spans="1:28">
      <c r="A2152" s="3" t="s">
        <v>1099</v>
      </c>
      <c r="D2152" s="3" t="s">
        <v>5048</v>
      </c>
      <c r="E2152" s="3" t="s">
        <v>3947</v>
      </c>
      <c r="J2152" s="9" t="s">
        <v>8731</v>
      </c>
      <c r="T2152" s="9" t="str">
        <f t="shared" ca="1" si="80"/>
        <v/>
      </c>
      <c r="U2152" s="9" t="str">
        <f t="shared" ca="1" si="81"/>
        <v/>
      </c>
      <c r="Y2152" s="9" t="s">
        <v>9282</v>
      </c>
      <c r="AA2152" s="9" t="s">
        <v>3884</v>
      </c>
    </row>
    <row r="2153" spans="1:28">
      <c r="A2153" s="3" t="s">
        <v>1100</v>
      </c>
      <c r="D2153" s="3" t="s">
        <v>6080</v>
      </c>
      <c r="E2153" s="3" t="s">
        <v>6080</v>
      </c>
      <c r="F2153" t="s">
        <v>3932</v>
      </c>
      <c r="I2153" t="s">
        <v>6081</v>
      </c>
      <c r="T2153" s="9" t="str">
        <f t="shared" ca="1" si="80"/>
        <v/>
      </c>
      <c r="U2153" s="9" t="str">
        <f t="shared" ca="1" si="81"/>
        <v/>
      </c>
    </row>
    <row r="2154" spans="1:28">
      <c r="A2154" s="3" t="s">
        <v>1100</v>
      </c>
      <c r="D2154" s="3" t="s">
        <v>3303</v>
      </c>
      <c r="E2154" s="4" t="s">
        <v>3304</v>
      </c>
      <c r="F2154" t="s">
        <v>3897</v>
      </c>
      <c r="T2154" s="9" t="str">
        <f t="shared" ca="1" si="80"/>
        <v/>
      </c>
      <c r="U2154" s="9" t="str">
        <f t="shared" ca="1" si="81"/>
        <v/>
      </c>
    </row>
    <row r="2155" spans="1:28">
      <c r="A2155" s="3" t="s">
        <v>1101</v>
      </c>
      <c r="D2155" s="3" t="s">
        <v>6082</v>
      </c>
      <c r="E2155" s="3" t="s">
        <v>6083</v>
      </c>
      <c r="H2155" t="s">
        <v>3884</v>
      </c>
      <c r="J2155" s="9" t="s">
        <v>3885</v>
      </c>
      <c r="K2155" s="9">
        <v>1</v>
      </c>
      <c r="L2155" s="9">
        <v>1</v>
      </c>
      <c r="M2155" s="9" t="s">
        <v>8683</v>
      </c>
      <c r="N2155" s="9" t="s">
        <v>8730</v>
      </c>
      <c r="R2155" s="9">
        <v>51</v>
      </c>
      <c r="T2155" s="9" t="str">
        <f t="shared" ca="1" si="80"/>
        <v/>
      </c>
      <c r="U2155" s="9" t="str">
        <f t="shared" ca="1" si="81"/>
        <v/>
      </c>
      <c r="AB2155" s="9" t="s">
        <v>8694</v>
      </c>
    </row>
    <row r="2156" spans="1:28">
      <c r="A2156" s="3" t="s">
        <v>1101</v>
      </c>
      <c r="D2156" s="3" t="s">
        <v>6084</v>
      </c>
      <c r="E2156" s="3" t="s">
        <v>6085</v>
      </c>
      <c r="J2156" s="9" t="s">
        <v>8729</v>
      </c>
      <c r="S2156" s="9">
        <f>165-15</f>
        <v>150</v>
      </c>
      <c r="T2156" s="9">
        <f t="shared" ca="1" si="80"/>
        <v>15</v>
      </c>
      <c r="U2156" s="9">
        <f t="shared" ca="1" si="81"/>
        <v>165</v>
      </c>
    </row>
    <row r="2157" spans="1:28" ht="29">
      <c r="A2157" s="3" t="s">
        <v>1102</v>
      </c>
      <c r="D2157" s="3" t="s">
        <v>6086</v>
      </c>
      <c r="E2157" s="3" t="s">
        <v>6087</v>
      </c>
      <c r="H2157" t="s">
        <v>3884</v>
      </c>
      <c r="J2157" s="9" t="s">
        <v>8731</v>
      </c>
      <c r="T2157" s="9" t="str">
        <f t="shared" ca="1" si="80"/>
        <v/>
      </c>
      <c r="U2157" s="9" t="str">
        <f t="shared" ca="1" si="81"/>
        <v/>
      </c>
    </row>
    <row r="2158" spans="1:28" ht="29">
      <c r="A2158" s="3" t="s">
        <v>1103</v>
      </c>
      <c r="D2158" s="3" t="s">
        <v>6088</v>
      </c>
      <c r="E2158" s="3" t="s">
        <v>6089</v>
      </c>
      <c r="F2158" t="s">
        <v>3893</v>
      </c>
      <c r="H2158" t="s">
        <v>3884</v>
      </c>
      <c r="T2158" s="9" t="str">
        <f t="shared" ca="1" si="80"/>
        <v/>
      </c>
      <c r="U2158" s="9" t="str">
        <f t="shared" ca="1" si="81"/>
        <v/>
      </c>
    </row>
    <row r="2159" spans="1:28" ht="29">
      <c r="A2159" s="3" t="s">
        <v>1104</v>
      </c>
      <c r="D2159" s="3" t="s">
        <v>6090</v>
      </c>
      <c r="E2159" s="3" t="s">
        <v>6091</v>
      </c>
      <c r="H2159" t="s">
        <v>3884</v>
      </c>
      <c r="J2159" s="9" t="s">
        <v>3889</v>
      </c>
      <c r="K2159" s="9">
        <v>1</v>
      </c>
      <c r="L2159" s="9">
        <v>3</v>
      </c>
      <c r="M2159" s="9" t="s">
        <v>8698</v>
      </c>
      <c r="N2159" s="9" t="s">
        <v>8690</v>
      </c>
      <c r="R2159" s="9">
        <v>9418</v>
      </c>
      <c r="T2159" s="9" t="str">
        <f t="shared" ca="1" si="80"/>
        <v/>
      </c>
      <c r="U2159" s="9" t="str">
        <f t="shared" ca="1" si="81"/>
        <v/>
      </c>
    </row>
    <row r="2160" spans="1:28">
      <c r="A2160" s="3" t="s">
        <v>1105</v>
      </c>
      <c r="D2160" s="3" t="s">
        <v>3543</v>
      </c>
      <c r="E2160" s="3" t="s">
        <v>3305</v>
      </c>
      <c r="H2160" t="s">
        <v>3884</v>
      </c>
      <c r="J2160" s="9" t="s">
        <v>8729</v>
      </c>
      <c r="S2160" s="9" t="s">
        <v>8739</v>
      </c>
      <c r="T2160" s="9" t="str">
        <f t="shared" ca="1" si="80"/>
        <v/>
      </c>
      <c r="U2160" s="9" t="str">
        <f t="shared" ca="1" si="81"/>
        <v/>
      </c>
      <c r="AB2160" s="9" t="s">
        <v>8688</v>
      </c>
    </row>
    <row r="2161" spans="1:28" ht="29">
      <c r="A2161" s="3" t="s">
        <v>1105</v>
      </c>
      <c r="D2161" s="3" t="s">
        <v>6093</v>
      </c>
      <c r="E2161" s="4" t="s">
        <v>6092</v>
      </c>
      <c r="F2161" t="s">
        <v>4197</v>
      </c>
      <c r="I2161" t="s">
        <v>6094</v>
      </c>
      <c r="J2161" s="9" t="s">
        <v>8729</v>
      </c>
      <c r="S2161" s="9">
        <f>1485-3678</f>
        <v>-2193</v>
      </c>
      <c r="T2161" s="9">
        <f t="shared" ca="1" si="80"/>
        <v>3678</v>
      </c>
      <c r="U2161" s="9">
        <f t="shared" ca="1" si="81"/>
        <v>1485</v>
      </c>
    </row>
    <row r="2162" spans="1:28">
      <c r="A2162" s="3" t="s">
        <v>1106</v>
      </c>
      <c r="D2162" s="3" t="s">
        <v>6095</v>
      </c>
      <c r="E2162" s="3" t="s">
        <v>6096</v>
      </c>
      <c r="F2162" t="s">
        <v>4397</v>
      </c>
      <c r="H2162" t="s">
        <v>3884</v>
      </c>
      <c r="J2162" s="9" t="s">
        <v>3885</v>
      </c>
      <c r="K2162" s="9">
        <v>1</v>
      </c>
      <c r="L2162" s="9">
        <v>3</v>
      </c>
      <c r="M2162" s="9" t="s">
        <v>8705</v>
      </c>
      <c r="N2162" s="9" t="s">
        <v>8690</v>
      </c>
      <c r="R2162" s="9">
        <v>1443</v>
      </c>
      <c r="T2162" s="9" t="str">
        <f t="shared" ca="1" si="80"/>
        <v/>
      </c>
      <c r="U2162" s="9" t="str">
        <f t="shared" ca="1" si="81"/>
        <v/>
      </c>
      <c r="AB2162" s="9" t="s">
        <v>8694</v>
      </c>
    </row>
    <row r="2163" spans="1:28">
      <c r="A2163" s="3" t="s">
        <v>1106</v>
      </c>
      <c r="D2163" s="3" t="s">
        <v>6097</v>
      </c>
      <c r="E2163" s="3" t="s">
        <v>6098</v>
      </c>
      <c r="H2163" t="s">
        <v>3884</v>
      </c>
      <c r="J2163" s="9" t="s">
        <v>3885</v>
      </c>
      <c r="K2163" s="9">
        <v>1</v>
      </c>
      <c r="L2163" s="9">
        <v>3</v>
      </c>
      <c r="M2163" s="9" t="s">
        <v>8698</v>
      </c>
      <c r="N2163" s="9" t="s">
        <v>8690</v>
      </c>
      <c r="R2163" s="9">
        <v>9418</v>
      </c>
      <c r="T2163" s="9" t="str">
        <f t="shared" ca="1" si="80"/>
        <v/>
      </c>
      <c r="U2163" s="9" t="str">
        <f t="shared" ca="1" si="81"/>
        <v/>
      </c>
    </row>
    <row r="2164" spans="1:28">
      <c r="A2164" s="3" t="s">
        <v>1106</v>
      </c>
      <c r="D2164" s="4" t="s">
        <v>6099</v>
      </c>
      <c r="E2164" s="3" t="s">
        <v>6100</v>
      </c>
      <c r="F2164" t="s">
        <v>3883</v>
      </c>
      <c r="T2164" s="9" t="str">
        <f t="shared" ca="1" si="80"/>
        <v/>
      </c>
      <c r="U2164" s="9" t="str">
        <f t="shared" ca="1" si="81"/>
        <v/>
      </c>
    </row>
    <row r="2165" spans="1:28">
      <c r="A2165" s="3" t="s">
        <v>1107</v>
      </c>
      <c r="D2165" s="4" t="s">
        <v>6101</v>
      </c>
      <c r="E2165" s="3" t="s">
        <v>6102</v>
      </c>
      <c r="F2165" t="s">
        <v>3883</v>
      </c>
      <c r="T2165" s="9" t="str">
        <f t="shared" ca="1" si="80"/>
        <v/>
      </c>
      <c r="U2165" s="9" t="str">
        <f t="shared" ca="1" si="81"/>
        <v/>
      </c>
    </row>
    <row r="2166" spans="1:28">
      <c r="A2166" s="3" t="s">
        <v>1107</v>
      </c>
      <c r="D2166" s="3" t="s">
        <v>6103</v>
      </c>
      <c r="E2166" s="3" t="s">
        <v>6104</v>
      </c>
      <c r="H2166" t="s">
        <v>3884</v>
      </c>
      <c r="J2166" s="9" t="s">
        <v>3885</v>
      </c>
      <c r="K2166" s="9">
        <v>1</v>
      </c>
      <c r="L2166" s="9">
        <v>2</v>
      </c>
      <c r="M2166" s="9" t="s">
        <v>8734</v>
      </c>
      <c r="N2166" s="9" t="s">
        <v>8730</v>
      </c>
      <c r="Q2166" s="9" t="s">
        <v>8685</v>
      </c>
      <c r="R2166" s="9">
        <v>245</v>
      </c>
      <c r="T2166" s="9" t="str">
        <f t="shared" ca="1" si="80"/>
        <v/>
      </c>
      <c r="U2166" s="9" t="str">
        <f t="shared" ca="1" si="81"/>
        <v/>
      </c>
      <c r="AB2166" s="9" t="s">
        <v>8694</v>
      </c>
    </row>
    <row r="2167" spans="1:28" ht="29">
      <c r="A2167" s="3" t="s">
        <v>1108</v>
      </c>
      <c r="D2167" s="3" t="s">
        <v>6105</v>
      </c>
      <c r="E2167" s="3" t="s">
        <v>6106</v>
      </c>
      <c r="H2167" t="s">
        <v>3884</v>
      </c>
      <c r="J2167" s="9" t="s">
        <v>8729</v>
      </c>
      <c r="S2167" s="9">
        <f>340-76</f>
        <v>264</v>
      </c>
      <c r="T2167" s="9">
        <f t="shared" ca="1" si="80"/>
        <v>76</v>
      </c>
      <c r="U2167" s="9">
        <f t="shared" ca="1" si="81"/>
        <v>340</v>
      </c>
    </row>
    <row r="2168" spans="1:28" ht="29">
      <c r="A2168" s="3" t="s">
        <v>1109</v>
      </c>
      <c r="D2168" s="3" t="s">
        <v>9513</v>
      </c>
      <c r="E2168" s="3" t="s">
        <v>9514</v>
      </c>
      <c r="J2168" s="9" t="s">
        <v>3889</v>
      </c>
      <c r="K2168" s="9">
        <v>1</v>
      </c>
      <c r="L2168" s="9">
        <v>1</v>
      </c>
      <c r="M2168" s="9" t="s">
        <v>8689</v>
      </c>
      <c r="N2168" s="9" t="s">
        <v>8730</v>
      </c>
      <c r="Q2168" s="9" t="s">
        <v>8685</v>
      </c>
      <c r="R2168" s="9">
        <v>10929</v>
      </c>
      <c r="T2168" s="9" t="str">
        <f t="shared" ca="1" si="80"/>
        <v/>
      </c>
      <c r="U2168" s="9" t="str">
        <f t="shared" ca="1" si="81"/>
        <v/>
      </c>
    </row>
    <row r="2169" spans="1:28">
      <c r="A2169" s="3" t="s">
        <v>1109</v>
      </c>
      <c r="D2169" s="3" t="s">
        <v>6107</v>
      </c>
      <c r="E2169" s="3" t="s">
        <v>6108</v>
      </c>
      <c r="H2169" t="s">
        <v>3884</v>
      </c>
      <c r="J2169" s="9" t="s">
        <v>3885</v>
      </c>
      <c r="K2169" s="9">
        <v>1</v>
      </c>
      <c r="L2169" s="9">
        <v>3</v>
      </c>
      <c r="M2169" s="9" t="s">
        <v>8698</v>
      </c>
      <c r="N2169" s="9" t="s">
        <v>8690</v>
      </c>
      <c r="R2169" s="9">
        <v>9418</v>
      </c>
      <c r="T2169" s="9" t="str">
        <f t="shared" ca="1" si="80"/>
        <v/>
      </c>
      <c r="U2169" s="9" t="str">
        <f t="shared" ca="1" si="81"/>
        <v/>
      </c>
    </row>
    <row r="2170" spans="1:28">
      <c r="A2170" s="3" t="s">
        <v>1109</v>
      </c>
      <c r="D2170" s="3" t="s">
        <v>6109</v>
      </c>
      <c r="E2170" s="3" t="s">
        <v>6110</v>
      </c>
      <c r="H2170" t="s">
        <v>3884</v>
      </c>
      <c r="J2170" s="9" t="s">
        <v>8729</v>
      </c>
      <c r="S2170" s="9">
        <f>78-653</f>
        <v>-575</v>
      </c>
      <c r="T2170" s="9">
        <f t="shared" ca="1" si="80"/>
        <v>653</v>
      </c>
      <c r="U2170" s="9">
        <f t="shared" ca="1" si="81"/>
        <v>78</v>
      </c>
    </row>
    <row r="2171" spans="1:28">
      <c r="A2171" s="3" t="s">
        <v>1110</v>
      </c>
      <c r="D2171" s="3" t="s">
        <v>6111</v>
      </c>
      <c r="E2171" s="3" t="s">
        <v>6111</v>
      </c>
      <c r="F2171" t="s">
        <v>3932</v>
      </c>
      <c r="I2171" t="s">
        <v>6112</v>
      </c>
      <c r="T2171" s="9" t="str">
        <f t="shared" ca="1" si="80"/>
        <v/>
      </c>
      <c r="U2171" s="9" t="str">
        <f t="shared" ca="1" si="81"/>
        <v/>
      </c>
    </row>
    <row r="2172" spans="1:28">
      <c r="A2172" s="3" t="s">
        <v>1111</v>
      </c>
      <c r="D2172" s="3" t="s">
        <v>2344</v>
      </c>
      <c r="E2172" s="3" t="s">
        <v>3306</v>
      </c>
      <c r="H2172" t="s">
        <v>3884</v>
      </c>
      <c r="J2172" s="9" t="s">
        <v>8729</v>
      </c>
      <c r="S2172" s="9" t="s">
        <v>8739</v>
      </c>
      <c r="T2172" s="9" t="str">
        <f t="shared" ca="1" si="80"/>
        <v/>
      </c>
      <c r="U2172" s="9" t="str">
        <f t="shared" ca="1" si="81"/>
        <v/>
      </c>
      <c r="Y2172" s="9" t="s">
        <v>8735</v>
      </c>
      <c r="AA2172" s="9" t="s">
        <v>3884</v>
      </c>
    </row>
    <row r="2173" spans="1:28" ht="29">
      <c r="A2173" s="3" t="s">
        <v>1111</v>
      </c>
      <c r="D2173" s="3" t="s">
        <v>6113</v>
      </c>
      <c r="E2173" s="3" t="s">
        <v>6114</v>
      </c>
      <c r="H2173" t="s">
        <v>3884</v>
      </c>
      <c r="J2173" s="9" t="s">
        <v>8729</v>
      </c>
      <c r="S2173" s="9" t="s">
        <v>8739</v>
      </c>
      <c r="T2173" s="9" t="str">
        <f t="shared" ca="1" si="80"/>
        <v/>
      </c>
      <c r="U2173" s="9" t="str">
        <f t="shared" ca="1" si="81"/>
        <v/>
      </c>
      <c r="Y2173" s="9" t="s">
        <v>8735</v>
      </c>
      <c r="AA2173" s="9" t="s">
        <v>3884</v>
      </c>
    </row>
    <row r="2174" spans="1:28">
      <c r="A2174" s="3" t="s">
        <v>1112</v>
      </c>
      <c r="D2174" s="3" t="s">
        <v>3307</v>
      </c>
      <c r="E2174" s="3" t="s">
        <v>3307</v>
      </c>
      <c r="F2174" t="s">
        <v>3932</v>
      </c>
      <c r="I2174" t="s">
        <v>6115</v>
      </c>
      <c r="T2174" s="9" t="str">
        <f t="shared" ca="1" si="80"/>
        <v/>
      </c>
      <c r="U2174" s="9" t="str">
        <f t="shared" ca="1" si="81"/>
        <v/>
      </c>
    </row>
    <row r="2175" spans="1:28">
      <c r="A2175" s="3" t="s">
        <v>1113</v>
      </c>
      <c r="D2175" s="3" t="s">
        <v>6116</v>
      </c>
      <c r="E2175" s="3" t="s">
        <v>6116</v>
      </c>
      <c r="F2175" t="s">
        <v>3932</v>
      </c>
      <c r="I2175" t="s">
        <v>6117</v>
      </c>
      <c r="T2175" s="9" t="str">
        <f t="shared" ca="1" si="80"/>
        <v/>
      </c>
      <c r="U2175" s="9" t="str">
        <f t="shared" ca="1" si="81"/>
        <v/>
      </c>
    </row>
    <row r="2176" spans="1:28">
      <c r="A2176" s="3" t="s">
        <v>1114</v>
      </c>
      <c r="D2176" s="3" t="s">
        <v>6118</v>
      </c>
      <c r="E2176" s="3" t="s">
        <v>6119</v>
      </c>
      <c r="H2176" t="s">
        <v>3884</v>
      </c>
      <c r="J2176" s="9" t="s">
        <v>3889</v>
      </c>
      <c r="K2176" s="9">
        <v>1</v>
      </c>
      <c r="L2176" s="9">
        <v>4</v>
      </c>
      <c r="M2176" s="9" t="s">
        <v>8703</v>
      </c>
      <c r="N2176" s="9" t="s">
        <v>8690</v>
      </c>
      <c r="R2176" s="9">
        <v>55</v>
      </c>
      <c r="T2176" s="9" t="str">
        <f t="shared" ca="1" si="80"/>
        <v/>
      </c>
      <c r="U2176" s="9" t="str">
        <f t="shared" ca="1" si="81"/>
        <v/>
      </c>
    </row>
    <row r="2177" spans="1:28">
      <c r="A2177" s="3" t="s">
        <v>1115</v>
      </c>
      <c r="D2177" s="3" t="s">
        <v>6120</v>
      </c>
      <c r="E2177" s="4" t="s">
        <v>6121</v>
      </c>
      <c r="F2177" t="s">
        <v>3897</v>
      </c>
      <c r="T2177" s="9" t="str">
        <f t="shared" ca="1" si="80"/>
        <v/>
      </c>
      <c r="U2177" s="9" t="str">
        <f t="shared" ca="1" si="81"/>
        <v/>
      </c>
    </row>
    <row r="2178" spans="1:28">
      <c r="A2178" s="3" t="s">
        <v>1116</v>
      </c>
      <c r="D2178" s="3" t="s">
        <v>3308</v>
      </c>
      <c r="E2178" s="3" t="s">
        <v>3309</v>
      </c>
      <c r="H2178" t="s">
        <v>3884</v>
      </c>
      <c r="J2178" s="9" t="s">
        <v>8729</v>
      </c>
      <c r="S2178" s="9" t="s">
        <v>8739</v>
      </c>
      <c r="T2178" s="9" t="str">
        <f t="shared" ca="1" si="80"/>
        <v/>
      </c>
      <c r="U2178" s="9" t="str">
        <f t="shared" ca="1" si="81"/>
        <v/>
      </c>
      <c r="Y2178" s="9" t="s">
        <v>8735</v>
      </c>
      <c r="AA2178" s="9" t="s">
        <v>3884</v>
      </c>
    </row>
    <row r="2179" spans="1:28">
      <c r="A2179" s="3" t="s">
        <v>1117</v>
      </c>
      <c r="D2179" s="3" t="s">
        <v>9243</v>
      </c>
      <c r="E2179" s="3" t="s">
        <v>6122</v>
      </c>
      <c r="J2179" s="9" t="s">
        <v>8732</v>
      </c>
      <c r="S2179" s="9" t="s">
        <v>8730</v>
      </c>
      <c r="T2179" s="9" t="str">
        <f t="shared" ca="1" si="80"/>
        <v/>
      </c>
      <c r="U2179" s="9" t="str">
        <f t="shared" ca="1" si="81"/>
        <v/>
      </c>
      <c r="Y2179" s="9" t="s">
        <v>8735</v>
      </c>
      <c r="AA2179" s="9" t="s">
        <v>3891</v>
      </c>
      <c r="AB2179" s="9" t="s">
        <v>8697</v>
      </c>
    </row>
    <row r="2180" spans="1:28">
      <c r="A2180" s="3" t="s">
        <v>1117</v>
      </c>
      <c r="D2180" s="3" t="s">
        <v>6123</v>
      </c>
      <c r="E2180" s="3" t="s">
        <v>6124</v>
      </c>
      <c r="F2180" t="s">
        <v>3881</v>
      </c>
      <c r="T2180" s="9" t="str">
        <f t="shared" ref="T2180:T2243" ca="1" si="82">IF(ISNUMBER(S2180),VALUE(MID(_xlfn.FORMULATEXT(S2180),SEARCH("-",_xlfn.FORMULATEXT(S2180))+1,LEN(_xlfn.FORMULATEXT(S2180))-SEARCH("-",_xlfn.FORMULATEXT(S2180)))), "")</f>
        <v/>
      </c>
      <c r="U2180" s="9" t="str">
        <f t="shared" ref="U2180:U2243" ca="1" si="83">IF(ISNUMBER(S2180), VALUE(MID(_xlfn.FORMULATEXT(S2180), 2, SEARCH("-", _xlfn.FORMULATEXT(S2180)) - 2)), "")</f>
        <v/>
      </c>
    </row>
    <row r="2181" spans="1:28">
      <c r="A2181" s="3" t="s">
        <v>1118</v>
      </c>
      <c r="D2181" s="3" t="s">
        <v>6125</v>
      </c>
      <c r="E2181" s="3" t="s">
        <v>6125</v>
      </c>
      <c r="F2181" t="s">
        <v>3932</v>
      </c>
      <c r="I2181" t="s">
        <v>6126</v>
      </c>
      <c r="T2181" s="9" t="str">
        <f t="shared" ca="1" si="82"/>
        <v/>
      </c>
      <c r="U2181" s="9" t="str">
        <f t="shared" ca="1" si="83"/>
        <v/>
      </c>
    </row>
    <row r="2182" spans="1:28">
      <c r="A2182" s="3" t="s">
        <v>1118</v>
      </c>
      <c r="D2182" s="3" t="s">
        <v>6127</v>
      </c>
      <c r="E2182" s="3" t="s">
        <v>3310</v>
      </c>
      <c r="H2182" t="s">
        <v>3892</v>
      </c>
      <c r="I2182" t="s">
        <v>6128</v>
      </c>
      <c r="J2182" s="9" t="s">
        <v>8729</v>
      </c>
      <c r="S2182" s="9" t="s">
        <v>8739</v>
      </c>
      <c r="T2182" s="9" t="str">
        <f t="shared" ca="1" si="82"/>
        <v/>
      </c>
      <c r="U2182" s="9" t="str">
        <f t="shared" ca="1" si="83"/>
        <v/>
      </c>
      <c r="Y2182" s="9" t="s">
        <v>8735</v>
      </c>
      <c r="AA2182" s="9" t="s">
        <v>3884</v>
      </c>
    </row>
    <row r="2183" spans="1:28">
      <c r="A2183" s="3" t="s">
        <v>1119</v>
      </c>
      <c r="D2183" s="4" t="s">
        <v>3311</v>
      </c>
      <c r="E2183" s="3" t="s">
        <v>3312</v>
      </c>
      <c r="F2183" t="s">
        <v>3883</v>
      </c>
      <c r="T2183" s="9" t="str">
        <f t="shared" ca="1" si="82"/>
        <v/>
      </c>
      <c r="U2183" s="9" t="str">
        <f t="shared" ca="1" si="83"/>
        <v/>
      </c>
    </row>
    <row r="2184" spans="1:28">
      <c r="A2184" s="3" t="s">
        <v>1120</v>
      </c>
      <c r="D2184" s="3" t="s">
        <v>3085</v>
      </c>
      <c r="E2184" s="3" t="s">
        <v>3086</v>
      </c>
      <c r="J2184" s="9" t="s">
        <v>8729</v>
      </c>
      <c r="S2184" s="9" t="s">
        <v>8739</v>
      </c>
      <c r="T2184" s="9" t="str">
        <f t="shared" ca="1" si="82"/>
        <v/>
      </c>
      <c r="U2184" s="9" t="str">
        <f t="shared" ca="1" si="83"/>
        <v/>
      </c>
      <c r="Y2184" s="9" t="s">
        <v>8735</v>
      </c>
      <c r="Z2184" s="9" t="s">
        <v>8742</v>
      </c>
      <c r="AA2184" s="9" t="s">
        <v>3884</v>
      </c>
    </row>
    <row r="2185" spans="1:28">
      <c r="A2185" s="3" t="s">
        <v>1121</v>
      </c>
      <c r="D2185" s="3" t="s">
        <v>3095</v>
      </c>
      <c r="E2185" s="3" t="s">
        <v>3097</v>
      </c>
      <c r="J2185" s="9" t="s">
        <v>8729</v>
      </c>
      <c r="S2185" s="9" t="s">
        <v>8739</v>
      </c>
      <c r="T2185" s="9" t="str">
        <f t="shared" ca="1" si="82"/>
        <v/>
      </c>
      <c r="U2185" s="9" t="str">
        <f t="shared" ca="1" si="83"/>
        <v/>
      </c>
      <c r="Y2185" s="9" t="s">
        <v>8735</v>
      </c>
      <c r="Z2185" s="9" t="s">
        <v>8742</v>
      </c>
      <c r="AA2185" s="9" t="s">
        <v>3884</v>
      </c>
    </row>
    <row r="2186" spans="1:28">
      <c r="A2186" s="3" t="s">
        <v>1122</v>
      </c>
      <c r="D2186" s="3" t="s">
        <v>6132</v>
      </c>
      <c r="E2186" s="3" t="s">
        <v>6133</v>
      </c>
      <c r="G2186" t="s">
        <v>3891</v>
      </c>
      <c r="H2186" t="s">
        <v>3884</v>
      </c>
      <c r="I2186" t="s">
        <v>6129</v>
      </c>
      <c r="J2186" s="9" t="s">
        <v>8729</v>
      </c>
      <c r="S2186" s="9" t="s">
        <v>8739</v>
      </c>
      <c r="T2186" s="9" t="str">
        <f t="shared" ca="1" si="82"/>
        <v/>
      </c>
      <c r="U2186" s="9" t="str">
        <f t="shared" ca="1" si="83"/>
        <v/>
      </c>
      <c r="Y2186" s="9" t="s">
        <v>8735</v>
      </c>
      <c r="AA2186" s="9" t="s">
        <v>3884</v>
      </c>
    </row>
    <row r="2187" spans="1:28">
      <c r="A2187" s="3" t="s">
        <v>1122</v>
      </c>
      <c r="D2187" s="3" t="s">
        <v>6130</v>
      </c>
      <c r="E2187" s="3" t="s">
        <v>6131</v>
      </c>
      <c r="F2187" t="s">
        <v>3932</v>
      </c>
      <c r="I2187" t="s">
        <v>6134</v>
      </c>
      <c r="T2187" s="9" t="str">
        <f t="shared" ca="1" si="82"/>
        <v/>
      </c>
      <c r="U2187" s="9" t="str">
        <f t="shared" ca="1" si="83"/>
        <v/>
      </c>
    </row>
    <row r="2188" spans="1:28" ht="29">
      <c r="A2188" s="3" t="s">
        <v>1122</v>
      </c>
      <c r="D2188" s="3" t="s">
        <v>6135</v>
      </c>
      <c r="E2188" s="3" t="s">
        <v>6136</v>
      </c>
      <c r="J2188" s="9" t="s">
        <v>3889</v>
      </c>
      <c r="K2188" s="9">
        <v>2</v>
      </c>
      <c r="L2188" s="9">
        <v>4</v>
      </c>
      <c r="N2188" s="9" t="s">
        <v>8690</v>
      </c>
      <c r="R2188" s="9">
        <v>872</v>
      </c>
      <c r="T2188" s="9" t="str">
        <f t="shared" ca="1" si="82"/>
        <v/>
      </c>
      <c r="U2188" s="9" t="str">
        <f t="shared" ca="1" si="83"/>
        <v/>
      </c>
    </row>
    <row r="2189" spans="1:28">
      <c r="A2189" s="3" t="s">
        <v>1123</v>
      </c>
      <c r="D2189" s="3" t="s">
        <v>3313</v>
      </c>
      <c r="E2189" s="3" t="s">
        <v>3313</v>
      </c>
      <c r="F2189" t="s">
        <v>3932</v>
      </c>
      <c r="I2189" t="s">
        <v>3762</v>
      </c>
      <c r="T2189" s="9" t="str">
        <f t="shared" ca="1" si="82"/>
        <v/>
      </c>
      <c r="U2189" s="9" t="str">
        <f t="shared" ca="1" si="83"/>
        <v/>
      </c>
    </row>
    <row r="2190" spans="1:28">
      <c r="A2190" s="3" t="s">
        <v>1124</v>
      </c>
      <c r="D2190" s="3" t="s">
        <v>6137</v>
      </c>
      <c r="E2190" s="3" t="s">
        <v>6137</v>
      </c>
      <c r="F2190" t="s">
        <v>3932</v>
      </c>
      <c r="I2190" t="s">
        <v>6138</v>
      </c>
      <c r="T2190" s="9" t="str">
        <f t="shared" ca="1" si="82"/>
        <v/>
      </c>
      <c r="U2190" s="9" t="str">
        <f t="shared" ca="1" si="83"/>
        <v/>
      </c>
    </row>
    <row r="2191" spans="1:28">
      <c r="A2191" s="3" t="s">
        <v>1125</v>
      </c>
      <c r="D2191" s="4" t="s">
        <v>3065</v>
      </c>
      <c r="E2191" s="3" t="s">
        <v>3066</v>
      </c>
      <c r="F2191" t="s">
        <v>3883</v>
      </c>
      <c r="T2191" s="9" t="str">
        <f t="shared" ca="1" si="82"/>
        <v/>
      </c>
      <c r="U2191" s="9" t="str">
        <f t="shared" ca="1" si="83"/>
        <v/>
      </c>
    </row>
    <row r="2192" spans="1:28" ht="29">
      <c r="A2192" s="3" t="s">
        <v>1126</v>
      </c>
      <c r="D2192" s="3" t="s">
        <v>6139</v>
      </c>
      <c r="E2192" s="3" t="s">
        <v>6140</v>
      </c>
      <c r="H2192" t="s">
        <v>3884</v>
      </c>
      <c r="J2192" s="9" t="s">
        <v>3885</v>
      </c>
      <c r="K2192" s="9">
        <v>1</v>
      </c>
      <c r="L2192" s="9">
        <v>2</v>
      </c>
      <c r="M2192" s="9" t="s">
        <v>8734</v>
      </c>
      <c r="N2192" s="9" t="s">
        <v>8730</v>
      </c>
      <c r="R2192" s="9">
        <v>698</v>
      </c>
      <c r="T2192" s="9" t="str">
        <f t="shared" ca="1" si="82"/>
        <v/>
      </c>
      <c r="U2192" s="9" t="str">
        <f t="shared" ca="1" si="83"/>
        <v/>
      </c>
    </row>
    <row r="2193" spans="1:28" ht="29">
      <c r="A2193" s="3" t="s">
        <v>1126</v>
      </c>
      <c r="D2193" s="3" t="s">
        <v>6141</v>
      </c>
      <c r="E2193" s="3" t="s">
        <v>6142</v>
      </c>
      <c r="F2193" t="s">
        <v>3932</v>
      </c>
      <c r="I2193" t="s">
        <v>6143</v>
      </c>
      <c r="T2193" s="9" t="str">
        <f t="shared" ca="1" si="82"/>
        <v/>
      </c>
      <c r="U2193" s="9" t="str">
        <f t="shared" ca="1" si="83"/>
        <v/>
      </c>
    </row>
    <row r="2194" spans="1:28">
      <c r="A2194" s="3" t="s">
        <v>1126</v>
      </c>
      <c r="D2194" s="3" t="s">
        <v>2212</v>
      </c>
      <c r="E2194" s="4" t="s">
        <v>2216</v>
      </c>
      <c r="F2194" t="s">
        <v>3897</v>
      </c>
      <c r="T2194" s="9" t="str">
        <f t="shared" ca="1" si="82"/>
        <v/>
      </c>
      <c r="U2194" s="9" t="str">
        <f t="shared" ca="1" si="83"/>
        <v/>
      </c>
    </row>
    <row r="2195" spans="1:28">
      <c r="A2195" s="3" t="s">
        <v>1127</v>
      </c>
      <c r="D2195" s="3" t="s">
        <v>6144</v>
      </c>
      <c r="E2195" s="3" t="s">
        <v>6145</v>
      </c>
      <c r="G2195" t="s">
        <v>3884</v>
      </c>
      <c r="J2195" s="9" t="s">
        <v>8731</v>
      </c>
      <c r="T2195" s="9" t="str">
        <f t="shared" ca="1" si="82"/>
        <v/>
      </c>
      <c r="U2195" s="9" t="str">
        <f t="shared" ca="1" si="83"/>
        <v/>
      </c>
      <c r="AB2195" s="9" t="s">
        <v>8700</v>
      </c>
    </row>
    <row r="2196" spans="1:28">
      <c r="A2196" s="3" t="s">
        <v>1128</v>
      </c>
      <c r="D2196" s="4" t="s">
        <v>6146</v>
      </c>
      <c r="E2196" s="3" t="s">
        <v>6147</v>
      </c>
      <c r="F2196" t="s">
        <v>3883</v>
      </c>
      <c r="T2196" s="9" t="str">
        <f t="shared" ca="1" si="82"/>
        <v/>
      </c>
      <c r="U2196" s="9" t="str">
        <f t="shared" ca="1" si="83"/>
        <v/>
      </c>
    </row>
    <row r="2197" spans="1:28">
      <c r="A2197" s="3" t="s">
        <v>1128</v>
      </c>
      <c r="D2197" s="3" t="s">
        <v>3314</v>
      </c>
      <c r="E2197" s="3" t="s">
        <v>3315</v>
      </c>
      <c r="J2197" s="9" t="s">
        <v>8729</v>
      </c>
      <c r="S2197" s="9" t="s">
        <v>8739</v>
      </c>
      <c r="T2197" s="9" t="str">
        <f t="shared" ca="1" si="82"/>
        <v/>
      </c>
      <c r="U2197" s="9" t="str">
        <f t="shared" ca="1" si="83"/>
        <v/>
      </c>
      <c r="Y2197" s="9" t="s">
        <v>8735</v>
      </c>
      <c r="Z2197" s="9" t="s">
        <v>9280</v>
      </c>
      <c r="AA2197" s="9" t="s">
        <v>3884</v>
      </c>
    </row>
    <row r="2198" spans="1:28">
      <c r="A2198" s="3" t="s">
        <v>1129</v>
      </c>
      <c r="D2198" s="3" t="s">
        <v>6148</v>
      </c>
      <c r="E2198" s="3" t="s">
        <v>6149</v>
      </c>
      <c r="J2198" s="9" t="s">
        <v>8731</v>
      </c>
      <c r="T2198" s="9" t="str">
        <f t="shared" ca="1" si="82"/>
        <v/>
      </c>
      <c r="U2198" s="9" t="str">
        <f t="shared" ca="1" si="83"/>
        <v/>
      </c>
    </row>
    <row r="2199" spans="1:28" ht="29">
      <c r="A2199" s="3" t="s">
        <v>1129</v>
      </c>
      <c r="D2199" s="3" t="s">
        <v>6150</v>
      </c>
      <c r="E2199" s="3" t="s">
        <v>6150</v>
      </c>
      <c r="F2199" t="s">
        <v>3932</v>
      </c>
      <c r="I2199" t="s">
        <v>6151</v>
      </c>
      <c r="T2199" s="9" t="str">
        <f t="shared" ca="1" si="82"/>
        <v/>
      </c>
      <c r="U2199" s="9" t="str">
        <f t="shared" ca="1" si="83"/>
        <v/>
      </c>
    </row>
    <row r="2200" spans="1:28">
      <c r="A2200" s="3" t="s">
        <v>1130</v>
      </c>
      <c r="D2200" s="3" t="s">
        <v>6152</v>
      </c>
      <c r="E2200" s="3" t="s">
        <v>3316</v>
      </c>
      <c r="H2200" t="s">
        <v>3884</v>
      </c>
      <c r="J2200" s="9" t="s">
        <v>8729</v>
      </c>
      <c r="S2200" s="9" t="s">
        <v>8739</v>
      </c>
      <c r="T2200" s="9" t="str">
        <f t="shared" ca="1" si="82"/>
        <v/>
      </c>
      <c r="U2200" s="9" t="str">
        <f t="shared" ca="1" si="83"/>
        <v/>
      </c>
      <c r="Z2200" s="9" t="s">
        <v>9280</v>
      </c>
      <c r="AA2200" s="9" t="s">
        <v>3884</v>
      </c>
    </row>
    <row r="2201" spans="1:28">
      <c r="A2201" s="3" t="s">
        <v>1130</v>
      </c>
      <c r="D2201" s="3" t="s">
        <v>3317</v>
      </c>
      <c r="E2201" s="3" t="s">
        <v>3318</v>
      </c>
      <c r="J2201" s="9" t="s">
        <v>8729</v>
      </c>
      <c r="S2201" s="9" t="s">
        <v>8739</v>
      </c>
      <c r="T2201" s="9" t="str">
        <f t="shared" ca="1" si="82"/>
        <v/>
      </c>
      <c r="U2201" s="9" t="str">
        <f t="shared" ca="1" si="83"/>
        <v/>
      </c>
      <c r="Z2201" s="9" t="s">
        <v>8741</v>
      </c>
      <c r="AA2201" s="9" t="s">
        <v>3884</v>
      </c>
      <c r="AB2201" s="9" t="s">
        <v>8697</v>
      </c>
    </row>
    <row r="2202" spans="1:28">
      <c r="A2202" s="3" t="s">
        <v>1131</v>
      </c>
      <c r="D2202" s="3" t="s">
        <v>3319</v>
      </c>
      <c r="E2202" s="3" t="s">
        <v>3268</v>
      </c>
      <c r="J2202" s="9" t="s">
        <v>8729</v>
      </c>
      <c r="S2202" s="9" t="s">
        <v>8739</v>
      </c>
      <c r="T2202" s="9" t="str">
        <f t="shared" ca="1" si="82"/>
        <v/>
      </c>
      <c r="U2202" s="9" t="str">
        <f t="shared" ca="1" si="83"/>
        <v/>
      </c>
      <c r="Y2202" s="9" t="s">
        <v>8735</v>
      </c>
      <c r="Z2202" s="9" t="s">
        <v>8832</v>
      </c>
      <c r="AA2202" s="9" t="s">
        <v>3884</v>
      </c>
    </row>
    <row r="2203" spans="1:28">
      <c r="A2203" s="3" t="s">
        <v>1132</v>
      </c>
      <c r="D2203" s="3" t="s">
        <v>6154</v>
      </c>
      <c r="E2203" s="3" t="s">
        <v>6155</v>
      </c>
      <c r="F2203" t="s">
        <v>3932</v>
      </c>
      <c r="I2203" t="s">
        <v>6157</v>
      </c>
      <c r="T2203" s="9" t="str">
        <f t="shared" ca="1" si="82"/>
        <v/>
      </c>
      <c r="U2203" s="9" t="str">
        <f t="shared" ca="1" si="83"/>
        <v/>
      </c>
    </row>
    <row r="2204" spans="1:28">
      <c r="A2204" s="3" t="s">
        <v>1132</v>
      </c>
      <c r="D2204" s="3" t="s">
        <v>6153</v>
      </c>
      <c r="E2204" s="3" t="s">
        <v>6156</v>
      </c>
      <c r="H2204" t="s">
        <v>3884</v>
      </c>
      <c r="J2204" s="9" t="s">
        <v>3885</v>
      </c>
      <c r="K2204" s="9">
        <v>1</v>
      </c>
      <c r="L2204" s="9">
        <v>1</v>
      </c>
      <c r="M2204" s="9" t="s">
        <v>8689</v>
      </c>
      <c r="N2204" s="9" t="s">
        <v>8730</v>
      </c>
      <c r="R2204" s="9">
        <v>10929</v>
      </c>
      <c r="T2204" s="9" t="str">
        <f t="shared" ca="1" si="82"/>
        <v/>
      </c>
      <c r="U2204" s="9" t="str">
        <f t="shared" ca="1" si="83"/>
        <v/>
      </c>
    </row>
    <row r="2205" spans="1:28">
      <c r="A2205" s="3" t="s">
        <v>1133</v>
      </c>
      <c r="D2205" s="3" t="s">
        <v>6158</v>
      </c>
      <c r="E2205" s="3" t="s">
        <v>6159</v>
      </c>
      <c r="J2205" s="9" t="s">
        <v>8731</v>
      </c>
      <c r="T2205" s="9" t="str">
        <f t="shared" ca="1" si="82"/>
        <v/>
      </c>
      <c r="U2205" s="9" t="str">
        <f t="shared" ca="1" si="83"/>
        <v/>
      </c>
    </row>
    <row r="2206" spans="1:28">
      <c r="A2206" s="3" t="s">
        <v>1133</v>
      </c>
      <c r="D2206" s="3" t="s">
        <v>6160</v>
      </c>
      <c r="E2206" s="3" t="s">
        <v>6161</v>
      </c>
      <c r="H2206" t="s">
        <v>3884</v>
      </c>
      <c r="J2206" s="9" t="s">
        <v>3889</v>
      </c>
      <c r="K2206" s="9">
        <v>1</v>
      </c>
      <c r="L2206" s="9">
        <v>3</v>
      </c>
      <c r="M2206" s="9" t="s">
        <v>8689</v>
      </c>
      <c r="N2206" s="9" t="s">
        <v>8690</v>
      </c>
      <c r="R2206" s="9">
        <v>10929</v>
      </c>
      <c r="T2206" s="9" t="str">
        <f t="shared" ca="1" si="82"/>
        <v/>
      </c>
      <c r="U2206" s="9" t="str">
        <f t="shared" ca="1" si="83"/>
        <v/>
      </c>
    </row>
    <row r="2207" spans="1:28">
      <c r="A2207" s="3" t="s">
        <v>1134</v>
      </c>
      <c r="D2207" s="3" t="s">
        <v>3320</v>
      </c>
      <c r="E2207" s="3" t="s">
        <v>3321</v>
      </c>
      <c r="J2207" s="9" t="s">
        <v>8731</v>
      </c>
      <c r="T2207" s="9" t="str">
        <f t="shared" ca="1" si="82"/>
        <v/>
      </c>
      <c r="U2207" s="9" t="str">
        <f t="shared" ca="1" si="83"/>
        <v/>
      </c>
      <c r="Z2207" s="9" t="s">
        <v>8741</v>
      </c>
      <c r="AA2207" s="9" t="s">
        <v>3884</v>
      </c>
    </row>
    <row r="2208" spans="1:28">
      <c r="A2208" s="3" t="s">
        <v>1135</v>
      </c>
      <c r="D2208" s="3" t="s">
        <v>3322</v>
      </c>
      <c r="E2208" s="3" t="s">
        <v>3323</v>
      </c>
      <c r="J2208" s="9" t="s">
        <v>8731</v>
      </c>
      <c r="T2208" s="9" t="str">
        <f t="shared" ca="1" si="82"/>
        <v/>
      </c>
      <c r="U2208" s="9" t="str">
        <f t="shared" ca="1" si="83"/>
        <v/>
      </c>
      <c r="AB2208" s="9" t="s">
        <v>8697</v>
      </c>
    </row>
    <row r="2209" spans="1:28">
      <c r="A2209" s="3" t="s">
        <v>1136</v>
      </c>
      <c r="D2209" s="3" t="s">
        <v>6162</v>
      </c>
      <c r="E2209" s="3" t="s">
        <v>3324</v>
      </c>
      <c r="H2209" t="s">
        <v>3884</v>
      </c>
      <c r="J2209" s="9" t="s">
        <v>8729</v>
      </c>
      <c r="S2209" s="9" t="s">
        <v>8739</v>
      </c>
      <c r="T2209" s="9" t="str">
        <f t="shared" ca="1" si="82"/>
        <v/>
      </c>
      <c r="U2209" s="9" t="str">
        <f t="shared" ca="1" si="83"/>
        <v/>
      </c>
      <c r="Y2209" s="9" t="s">
        <v>8735</v>
      </c>
      <c r="AA2209" s="9" t="s">
        <v>3884</v>
      </c>
    </row>
    <row r="2210" spans="1:28">
      <c r="A2210" s="3" t="s">
        <v>1137</v>
      </c>
      <c r="D2210" s="3" t="s">
        <v>6163</v>
      </c>
      <c r="E2210" s="3" t="s">
        <v>6164</v>
      </c>
      <c r="I2210" t="s">
        <v>9244</v>
      </c>
      <c r="J2210" s="9" t="s">
        <v>3889</v>
      </c>
      <c r="K2210" s="9">
        <v>1</v>
      </c>
      <c r="L2210" s="9">
        <v>2</v>
      </c>
      <c r="M2210" s="9" t="s">
        <v>8689</v>
      </c>
      <c r="N2210" s="9" t="s">
        <v>8730</v>
      </c>
      <c r="R2210" s="9">
        <v>10929</v>
      </c>
      <c r="T2210" s="9" t="str">
        <f t="shared" ca="1" si="82"/>
        <v/>
      </c>
      <c r="U2210" s="9" t="str">
        <f t="shared" ca="1" si="83"/>
        <v/>
      </c>
      <c r="V2210" s="9" t="s">
        <v>8728</v>
      </c>
    </row>
    <row r="2211" spans="1:28">
      <c r="A2211" s="3" t="s">
        <v>1138</v>
      </c>
      <c r="D2211" s="3" t="s">
        <v>6165</v>
      </c>
      <c r="E2211" s="3" t="s">
        <v>6165</v>
      </c>
      <c r="F2211" t="s">
        <v>3932</v>
      </c>
      <c r="I2211" t="s">
        <v>6166</v>
      </c>
      <c r="T2211" s="9" t="str">
        <f t="shared" ca="1" si="82"/>
        <v/>
      </c>
      <c r="U2211" s="9" t="str">
        <f t="shared" ca="1" si="83"/>
        <v/>
      </c>
    </row>
    <row r="2212" spans="1:28">
      <c r="A2212" s="3" t="s">
        <v>1139</v>
      </c>
      <c r="D2212" s="3" t="s">
        <v>3158</v>
      </c>
      <c r="E2212" s="3" t="s">
        <v>3325</v>
      </c>
      <c r="H2212" t="s">
        <v>3884</v>
      </c>
      <c r="J2212" s="9" t="s">
        <v>8732</v>
      </c>
      <c r="S2212" s="9">
        <f>65-9</f>
        <v>56</v>
      </c>
      <c r="T2212" s="9">
        <f t="shared" ca="1" si="82"/>
        <v>9</v>
      </c>
      <c r="U2212" s="9">
        <f t="shared" ca="1" si="83"/>
        <v>65</v>
      </c>
      <c r="Z2212" s="9" t="s">
        <v>8741</v>
      </c>
      <c r="AA2212" s="9" t="s">
        <v>3884</v>
      </c>
    </row>
    <row r="2213" spans="1:28" ht="29">
      <c r="A2213" s="3" t="s">
        <v>1140</v>
      </c>
      <c r="D2213" s="3" t="s">
        <v>6167</v>
      </c>
      <c r="E2213" s="3" t="s">
        <v>6168</v>
      </c>
      <c r="J2213" s="9" t="s">
        <v>3885</v>
      </c>
      <c r="K2213" s="9">
        <v>1</v>
      </c>
      <c r="L2213" s="9">
        <v>3</v>
      </c>
      <c r="M2213" s="9" t="s">
        <v>8689</v>
      </c>
      <c r="N2213" s="9" t="s">
        <v>8684</v>
      </c>
      <c r="O2213" s="9" t="s">
        <v>9080</v>
      </c>
      <c r="P2213" s="10" t="s">
        <v>9081</v>
      </c>
      <c r="R2213" s="9">
        <v>10929</v>
      </c>
      <c r="T2213" s="9" t="str">
        <f t="shared" ca="1" si="82"/>
        <v/>
      </c>
      <c r="U2213" s="9" t="str">
        <f t="shared" ca="1" si="83"/>
        <v/>
      </c>
    </row>
    <row r="2214" spans="1:28">
      <c r="A2214" s="3" t="s">
        <v>1141</v>
      </c>
      <c r="D2214" s="3" t="s">
        <v>6169</v>
      </c>
      <c r="E2214" s="3" t="s">
        <v>3326</v>
      </c>
      <c r="H2214" t="s">
        <v>3884</v>
      </c>
      <c r="J2214" s="9" t="s">
        <v>8729</v>
      </c>
      <c r="S2214" s="9" t="s">
        <v>8739</v>
      </c>
      <c r="T2214" s="9" t="str">
        <f t="shared" ca="1" si="82"/>
        <v/>
      </c>
      <c r="U2214" s="9" t="str">
        <f t="shared" ca="1" si="83"/>
        <v/>
      </c>
      <c r="AB2214" s="9" t="s">
        <v>8688</v>
      </c>
    </row>
    <row r="2215" spans="1:28">
      <c r="A2215" s="3" t="s">
        <v>1142</v>
      </c>
      <c r="D2215" s="4" t="s">
        <v>3327</v>
      </c>
      <c r="E2215" s="3" t="s">
        <v>3328</v>
      </c>
      <c r="F2215" t="s">
        <v>3883</v>
      </c>
      <c r="T2215" s="9" t="str">
        <f t="shared" ca="1" si="82"/>
        <v/>
      </c>
      <c r="U2215" s="9" t="str">
        <f t="shared" ca="1" si="83"/>
        <v/>
      </c>
    </row>
    <row r="2216" spans="1:28" ht="29">
      <c r="A2216" s="3" t="s">
        <v>1143</v>
      </c>
      <c r="D2216" s="3" t="s">
        <v>6170</v>
      </c>
      <c r="E2216" s="3" t="s">
        <v>6171</v>
      </c>
      <c r="H2216" t="s">
        <v>3884</v>
      </c>
      <c r="J2216" s="9" t="s">
        <v>3889</v>
      </c>
      <c r="K2216" s="9">
        <v>1</v>
      </c>
      <c r="L2216" s="9">
        <v>7</v>
      </c>
      <c r="M2216" s="9" t="s">
        <v>8703</v>
      </c>
      <c r="N2216" s="9" t="s">
        <v>8690</v>
      </c>
      <c r="R2216" s="9">
        <v>186</v>
      </c>
      <c r="T2216" s="9" t="str">
        <f t="shared" ca="1" si="82"/>
        <v/>
      </c>
      <c r="U2216" s="9" t="str">
        <f t="shared" ca="1" si="83"/>
        <v/>
      </c>
    </row>
    <row r="2217" spans="1:28">
      <c r="A2217" s="3" t="s">
        <v>1144</v>
      </c>
      <c r="D2217" s="3" t="s">
        <v>6172</v>
      </c>
      <c r="E2217" s="3" t="s">
        <v>6172</v>
      </c>
      <c r="F2217" t="s">
        <v>3932</v>
      </c>
      <c r="I2217" t="s">
        <v>6173</v>
      </c>
      <c r="T2217" s="9" t="str">
        <f t="shared" ca="1" si="82"/>
        <v/>
      </c>
      <c r="U2217" s="9" t="str">
        <f t="shared" ca="1" si="83"/>
        <v/>
      </c>
    </row>
    <row r="2218" spans="1:28">
      <c r="A2218" s="3" t="s">
        <v>1145</v>
      </c>
      <c r="D2218" s="3" t="s">
        <v>6174</v>
      </c>
      <c r="E2218" s="3" t="s">
        <v>6175</v>
      </c>
      <c r="J2218" s="9" t="s">
        <v>8729</v>
      </c>
      <c r="S2218" s="9">
        <f>18-0</f>
        <v>18</v>
      </c>
      <c r="T2218" s="9">
        <f t="shared" ca="1" si="82"/>
        <v>0</v>
      </c>
      <c r="U2218" s="9">
        <f t="shared" ca="1" si="83"/>
        <v>18</v>
      </c>
    </row>
    <row r="2219" spans="1:28">
      <c r="A2219" s="3" t="s">
        <v>1146</v>
      </c>
      <c r="D2219" s="3" t="s">
        <v>6176</v>
      </c>
      <c r="E2219" s="3" t="s">
        <v>6177</v>
      </c>
      <c r="H2219" t="s">
        <v>3884</v>
      </c>
      <c r="J2219" s="9" t="s">
        <v>8729</v>
      </c>
      <c r="S2219" s="9">
        <f>79-3678</f>
        <v>-3599</v>
      </c>
      <c r="T2219" s="9">
        <f t="shared" ca="1" si="82"/>
        <v>3678</v>
      </c>
      <c r="U2219" s="9">
        <f t="shared" ca="1" si="83"/>
        <v>79</v>
      </c>
    </row>
    <row r="2220" spans="1:28">
      <c r="A2220" s="3" t="s">
        <v>1147</v>
      </c>
      <c r="D2220" s="3" t="s">
        <v>3329</v>
      </c>
      <c r="E2220" s="4" t="s">
        <v>3330</v>
      </c>
      <c r="F2220" t="s">
        <v>3897</v>
      </c>
      <c r="T2220" s="9" t="str">
        <f t="shared" ca="1" si="82"/>
        <v/>
      </c>
      <c r="U2220" s="9" t="str">
        <f t="shared" ca="1" si="83"/>
        <v/>
      </c>
    </row>
    <row r="2221" spans="1:28" ht="29">
      <c r="A2221" s="3" t="s">
        <v>1148</v>
      </c>
      <c r="D2221" s="3" t="s">
        <v>6178</v>
      </c>
      <c r="E2221" s="4" t="s">
        <v>6179</v>
      </c>
      <c r="F2221" t="s">
        <v>3897</v>
      </c>
      <c r="I2221" t="s">
        <v>6180</v>
      </c>
      <c r="T2221" s="9" t="str">
        <f t="shared" ca="1" si="82"/>
        <v/>
      </c>
      <c r="U2221" s="9" t="str">
        <f t="shared" ca="1" si="83"/>
        <v/>
      </c>
    </row>
    <row r="2222" spans="1:28">
      <c r="A2222" s="3" t="s">
        <v>1148</v>
      </c>
      <c r="D2222" s="3" t="s">
        <v>6181</v>
      </c>
      <c r="E2222" s="3" t="s">
        <v>6182</v>
      </c>
      <c r="H2222" t="s">
        <v>3884</v>
      </c>
      <c r="J2222" s="9" t="s">
        <v>8731</v>
      </c>
      <c r="T2222" s="9" t="str">
        <f t="shared" ca="1" si="82"/>
        <v/>
      </c>
      <c r="U2222" s="9" t="str">
        <f t="shared" ca="1" si="83"/>
        <v/>
      </c>
      <c r="Z2222" s="9" t="s">
        <v>8741</v>
      </c>
      <c r="AA2222" s="9" t="s">
        <v>3884</v>
      </c>
      <c r="AB2222" s="9" t="s">
        <v>8694</v>
      </c>
    </row>
    <row r="2223" spans="1:28">
      <c r="A2223" s="3" t="s">
        <v>1149</v>
      </c>
      <c r="D2223" s="3" t="s">
        <v>3331</v>
      </c>
      <c r="E2223" s="3" t="s">
        <v>3332</v>
      </c>
      <c r="J2223" s="9" t="s">
        <v>8731</v>
      </c>
      <c r="T2223" s="9" t="str">
        <f t="shared" ca="1" si="82"/>
        <v/>
      </c>
      <c r="U2223" s="9" t="str">
        <f t="shared" ca="1" si="83"/>
        <v/>
      </c>
      <c r="AB2223" s="9" t="s">
        <v>8697</v>
      </c>
    </row>
    <row r="2224" spans="1:28">
      <c r="A2224" s="3" t="s">
        <v>1150</v>
      </c>
      <c r="D2224" s="3" t="s">
        <v>5048</v>
      </c>
      <c r="E2224" s="3" t="s">
        <v>3947</v>
      </c>
      <c r="J2224" s="9" t="s">
        <v>8731</v>
      </c>
      <c r="T2224" s="9" t="str">
        <f t="shared" ca="1" si="82"/>
        <v/>
      </c>
      <c r="U2224" s="9" t="str">
        <f t="shared" ca="1" si="83"/>
        <v/>
      </c>
      <c r="Y2224" s="9" t="s">
        <v>9282</v>
      </c>
      <c r="AA2224" s="9" t="s">
        <v>3884</v>
      </c>
    </row>
    <row r="2225" spans="1:28">
      <c r="A2225" s="3" t="s">
        <v>1151</v>
      </c>
      <c r="D2225" s="3" t="s">
        <v>6183</v>
      </c>
      <c r="E2225" s="3" t="s">
        <v>6184</v>
      </c>
      <c r="H2225" t="s">
        <v>3884</v>
      </c>
      <c r="J2225" s="9" t="s">
        <v>3889</v>
      </c>
      <c r="K2225" s="9">
        <v>1</v>
      </c>
      <c r="L2225" s="9">
        <v>2</v>
      </c>
      <c r="M2225" s="9" t="s">
        <v>8707</v>
      </c>
      <c r="N2225" s="9" t="s">
        <v>8730</v>
      </c>
      <c r="R2225" s="9">
        <v>1942</v>
      </c>
      <c r="T2225" s="9" t="str">
        <f t="shared" ca="1" si="82"/>
        <v/>
      </c>
      <c r="U2225" s="9" t="str">
        <f t="shared" ca="1" si="83"/>
        <v/>
      </c>
    </row>
    <row r="2226" spans="1:28">
      <c r="A2226" s="3" t="s">
        <v>1152</v>
      </c>
      <c r="D2226" s="3" t="s">
        <v>3333</v>
      </c>
      <c r="E2226" s="3" t="s">
        <v>2338</v>
      </c>
      <c r="J2226" s="9" t="s">
        <v>8731</v>
      </c>
      <c r="T2226" s="9" t="str">
        <f t="shared" ca="1" si="82"/>
        <v/>
      </c>
      <c r="U2226" s="9" t="str">
        <f t="shared" ca="1" si="83"/>
        <v/>
      </c>
      <c r="Z2226" s="9" t="s">
        <v>8742</v>
      </c>
      <c r="AA2226" s="9" t="s">
        <v>3884</v>
      </c>
      <c r="AB2226" s="9" t="s">
        <v>8697</v>
      </c>
    </row>
    <row r="2227" spans="1:28">
      <c r="A2227" s="3" t="s">
        <v>1152</v>
      </c>
      <c r="D2227" s="4" t="s">
        <v>6185</v>
      </c>
      <c r="E2227" s="3" t="s">
        <v>6186</v>
      </c>
      <c r="F2227" t="s">
        <v>3883</v>
      </c>
      <c r="T2227" s="9" t="str">
        <f t="shared" ca="1" si="82"/>
        <v/>
      </c>
      <c r="U2227" s="9" t="str">
        <f t="shared" ca="1" si="83"/>
        <v/>
      </c>
    </row>
    <row r="2228" spans="1:28" ht="29">
      <c r="A2228" s="3" t="s">
        <v>1153</v>
      </c>
      <c r="D2228" s="3" t="s">
        <v>6187</v>
      </c>
      <c r="E2228" s="3" t="s">
        <v>6187</v>
      </c>
      <c r="F2228" t="s">
        <v>3932</v>
      </c>
      <c r="I2228" t="s">
        <v>6188</v>
      </c>
      <c r="T2228" s="9" t="str">
        <f t="shared" ca="1" si="82"/>
        <v/>
      </c>
      <c r="U2228" s="9" t="str">
        <f t="shared" ca="1" si="83"/>
        <v/>
      </c>
    </row>
    <row r="2229" spans="1:28">
      <c r="A2229" s="3" t="s">
        <v>1154</v>
      </c>
      <c r="D2229" s="3" t="s">
        <v>6189</v>
      </c>
      <c r="E2229" s="3" t="s">
        <v>6189</v>
      </c>
      <c r="F2229" t="s">
        <v>3932</v>
      </c>
      <c r="I2229" t="s">
        <v>6190</v>
      </c>
      <c r="T2229" s="9" t="str">
        <f t="shared" ca="1" si="82"/>
        <v/>
      </c>
      <c r="U2229" s="9" t="str">
        <f t="shared" ca="1" si="83"/>
        <v/>
      </c>
    </row>
    <row r="2230" spans="1:28">
      <c r="A2230" s="3" t="s">
        <v>1154</v>
      </c>
      <c r="D2230" s="3" t="s">
        <v>3334</v>
      </c>
      <c r="E2230" s="3" t="s">
        <v>3335</v>
      </c>
      <c r="J2230" s="9" t="s">
        <v>8729</v>
      </c>
      <c r="S2230" s="9" t="s">
        <v>8739</v>
      </c>
      <c r="T2230" s="9" t="str">
        <f t="shared" ca="1" si="82"/>
        <v/>
      </c>
      <c r="U2230" s="9" t="str">
        <f t="shared" ca="1" si="83"/>
        <v/>
      </c>
      <c r="Z2230" s="9" t="s">
        <v>8741</v>
      </c>
      <c r="AA2230" s="9" t="s">
        <v>3884</v>
      </c>
      <c r="AB2230" s="9" t="s">
        <v>8697</v>
      </c>
    </row>
    <row r="2231" spans="1:28">
      <c r="A2231" s="3" t="s">
        <v>1155</v>
      </c>
      <c r="D2231" s="3" t="s">
        <v>3336</v>
      </c>
      <c r="E2231" s="3" t="s">
        <v>3337</v>
      </c>
      <c r="J2231" s="9" t="s">
        <v>8729</v>
      </c>
      <c r="S2231" s="9" t="s">
        <v>8739</v>
      </c>
      <c r="T2231" s="9" t="str">
        <f t="shared" ca="1" si="82"/>
        <v/>
      </c>
      <c r="U2231" s="9" t="str">
        <f t="shared" ca="1" si="83"/>
        <v/>
      </c>
      <c r="Z2231" s="9" t="s">
        <v>8741</v>
      </c>
      <c r="AA2231" s="9" t="s">
        <v>3884</v>
      </c>
      <c r="AB2231" s="9" t="s">
        <v>8688</v>
      </c>
    </row>
    <row r="2232" spans="1:28">
      <c r="A2232" s="3" t="s">
        <v>1156</v>
      </c>
      <c r="D2232" s="3" t="s">
        <v>3338</v>
      </c>
      <c r="E2232" s="3" t="s">
        <v>3339</v>
      </c>
      <c r="J2232" s="9" t="s">
        <v>8729</v>
      </c>
      <c r="S2232" s="9" t="s">
        <v>8739</v>
      </c>
      <c r="T2232" s="9" t="str">
        <f t="shared" ca="1" si="82"/>
        <v/>
      </c>
      <c r="U2232" s="9" t="str">
        <f t="shared" ca="1" si="83"/>
        <v/>
      </c>
      <c r="AB2232" s="9" t="s">
        <v>8697</v>
      </c>
    </row>
    <row r="2233" spans="1:28">
      <c r="A2233" s="3" t="s">
        <v>1156</v>
      </c>
      <c r="D2233" s="3" t="s">
        <v>3340</v>
      </c>
      <c r="E2233" s="3" t="s">
        <v>3341</v>
      </c>
      <c r="J2233" s="9" t="s">
        <v>8729</v>
      </c>
      <c r="S2233" s="9" t="s">
        <v>8739</v>
      </c>
      <c r="T2233" s="9" t="str">
        <f t="shared" ca="1" si="82"/>
        <v/>
      </c>
      <c r="U2233" s="9" t="str">
        <f t="shared" ca="1" si="83"/>
        <v/>
      </c>
      <c r="Z2233" s="9" t="s">
        <v>9280</v>
      </c>
      <c r="AA2233" s="9" t="s">
        <v>3884</v>
      </c>
      <c r="AB2233" s="9" t="s">
        <v>8697</v>
      </c>
    </row>
    <row r="2234" spans="1:28">
      <c r="A2234" s="3" t="s">
        <v>1157</v>
      </c>
      <c r="D2234" s="3" t="s">
        <v>6191</v>
      </c>
      <c r="E2234" s="3" t="s">
        <v>6192</v>
      </c>
      <c r="J2234" s="9" t="s">
        <v>8729</v>
      </c>
      <c r="S2234" s="9">
        <f>16-36</f>
        <v>-20</v>
      </c>
      <c r="T2234" s="9">
        <f t="shared" ca="1" si="82"/>
        <v>36</v>
      </c>
      <c r="U2234" s="9">
        <f t="shared" ca="1" si="83"/>
        <v>16</v>
      </c>
    </row>
    <row r="2235" spans="1:28">
      <c r="A2235" s="3" t="s">
        <v>1158</v>
      </c>
      <c r="D2235" s="4" t="s">
        <v>3342</v>
      </c>
      <c r="E2235" s="3" t="s">
        <v>3339</v>
      </c>
      <c r="F2235" t="s">
        <v>3883</v>
      </c>
      <c r="T2235" s="9" t="str">
        <f t="shared" ca="1" si="82"/>
        <v/>
      </c>
      <c r="U2235" s="9" t="str">
        <f t="shared" ca="1" si="83"/>
        <v/>
      </c>
    </row>
    <row r="2236" spans="1:28">
      <c r="A2236" s="3" t="s">
        <v>1159</v>
      </c>
      <c r="D2236" s="3" t="s">
        <v>3343</v>
      </c>
      <c r="E2236" s="3" t="s">
        <v>6193</v>
      </c>
      <c r="G2236" t="s">
        <v>3887</v>
      </c>
      <c r="J2236" s="9" t="s">
        <v>8732</v>
      </c>
      <c r="S2236" s="9" t="s">
        <v>8739</v>
      </c>
      <c r="T2236" s="9" t="str">
        <f t="shared" ca="1" si="82"/>
        <v/>
      </c>
      <c r="U2236" s="9" t="str">
        <f t="shared" ca="1" si="83"/>
        <v/>
      </c>
      <c r="Z2236" s="9" t="s">
        <v>9285</v>
      </c>
      <c r="AA2236" s="9" t="s">
        <v>3891</v>
      </c>
      <c r="AB2236" s="9" t="s">
        <v>8697</v>
      </c>
    </row>
    <row r="2237" spans="1:28">
      <c r="A2237" s="3" t="s">
        <v>1159</v>
      </c>
      <c r="D2237" s="3" t="s">
        <v>6194</v>
      </c>
      <c r="E2237" s="3" t="s">
        <v>6194</v>
      </c>
      <c r="F2237" t="s">
        <v>3932</v>
      </c>
      <c r="I2237" t="s">
        <v>6195</v>
      </c>
      <c r="T2237" s="9" t="str">
        <f t="shared" ca="1" si="82"/>
        <v/>
      </c>
      <c r="U2237" s="9" t="str">
        <f t="shared" ca="1" si="83"/>
        <v/>
      </c>
    </row>
    <row r="2238" spans="1:28">
      <c r="A2238" s="3" t="s">
        <v>1159</v>
      </c>
      <c r="D2238" s="3" t="s">
        <v>6196</v>
      </c>
      <c r="E2238" s="3" t="s">
        <v>3344</v>
      </c>
      <c r="H2238" t="s">
        <v>3884</v>
      </c>
      <c r="J2238" s="9" t="s">
        <v>8731</v>
      </c>
      <c r="T2238" s="9" t="str">
        <f t="shared" ca="1" si="82"/>
        <v/>
      </c>
      <c r="U2238" s="9" t="str">
        <f t="shared" ca="1" si="83"/>
        <v/>
      </c>
      <c r="Z2238" s="9" t="s">
        <v>9285</v>
      </c>
      <c r="AA2238" s="9" t="s">
        <v>3884</v>
      </c>
    </row>
    <row r="2239" spans="1:28">
      <c r="A2239" s="3" t="s">
        <v>1160</v>
      </c>
      <c r="D2239" s="3" t="s">
        <v>6197</v>
      </c>
      <c r="E2239" s="3" t="s">
        <v>6198</v>
      </c>
      <c r="H2239" t="s">
        <v>3884</v>
      </c>
      <c r="J2239" s="9" t="s">
        <v>3885</v>
      </c>
      <c r="K2239" s="9">
        <v>1</v>
      </c>
      <c r="L2239" s="9">
        <v>2</v>
      </c>
      <c r="M2239" s="9" t="s">
        <v>8707</v>
      </c>
      <c r="N2239" s="9" t="s">
        <v>8730</v>
      </c>
      <c r="R2239" s="9">
        <v>519</v>
      </c>
      <c r="T2239" s="9" t="str">
        <f t="shared" ca="1" si="82"/>
        <v/>
      </c>
      <c r="U2239" s="9" t="str">
        <f t="shared" ca="1" si="83"/>
        <v/>
      </c>
      <c r="AB2239" s="9" t="s">
        <v>8694</v>
      </c>
    </row>
    <row r="2240" spans="1:28">
      <c r="A2240" s="3" t="s">
        <v>1161</v>
      </c>
      <c r="D2240" s="3" t="s">
        <v>3345</v>
      </c>
      <c r="E2240" s="3" t="s">
        <v>3346</v>
      </c>
      <c r="J2240" s="9" t="s">
        <v>8731</v>
      </c>
      <c r="T2240" s="9" t="str">
        <f t="shared" ca="1" si="82"/>
        <v/>
      </c>
      <c r="U2240" s="9" t="str">
        <f t="shared" ca="1" si="83"/>
        <v/>
      </c>
      <c r="Z2240" s="9" t="s">
        <v>9285</v>
      </c>
      <c r="AA2240" s="9" t="s">
        <v>3884</v>
      </c>
    </row>
    <row r="2241" spans="1:28">
      <c r="A2241" s="3" t="s">
        <v>1161</v>
      </c>
      <c r="D2241" s="3" t="s">
        <v>3347</v>
      </c>
      <c r="E2241" s="3" t="s">
        <v>3348</v>
      </c>
      <c r="J2241" s="9" t="s">
        <v>8731</v>
      </c>
      <c r="T2241" s="9" t="str">
        <f t="shared" ca="1" si="82"/>
        <v/>
      </c>
      <c r="U2241" s="9" t="str">
        <f t="shared" ca="1" si="83"/>
        <v/>
      </c>
      <c r="Z2241" s="9" t="s">
        <v>9285</v>
      </c>
      <c r="AA2241" s="9" t="s">
        <v>3884</v>
      </c>
    </row>
    <row r="2242" spans="1:28">
      <c r="A2242" s="3" t="s">
        <v>1162</v>
      </c>
      <c r="D2242" s="3" t="s">
        <v>6199</v>
      </c>
      <c r="E2242" s="3" t="s">
        <v>6200</v>
      </c>
      <c r="F2242" t="s">
        <v>3881</v>
      </c>
      <c r="T2242" s="9" t="str">
        <f t="shared" ca="1" si="82"/>
        <v/>
      </c>
      <c r="U2242" s="9" t="str">
        <f t="shared" ca="1" si="83"/>
        <v/>
      </c>
    </row>
    <row r="2243" spans="1:28">
      <c r="A2243" s="3" t="s">
        <v>1162</v>
      </c>
      <c r="D2243" s="3" t="s">
        <v>3350</v>
      </c>
      <c r="E2243" s="3" t="s">
        <v>3351</v>
      </c>
      <c r="F2243" t="s">
        <v>3881</v>
      </c>
      <c r="G2243" t="s">
        <v>3884</v>
      </c>
      <c r="J2243" s="9" t="s">
        <v>8729</v>
      </c>
      <c r="S2243" s="9" t="s">
        <v>8739</v>
      </c>
      <c r="T2243" s="9" t="str">
        <f t="shared" ca="1" si="82"/>
        <v/>
      </c>
      <c r="U2243" s="9" t="str">
        <f t="shared" ca="1" si="83"/>
        <v/>
      </c>
      <c r="Z2243" s="9" t="s">
        <v>9280</v>
      </c>
      <c r="AA2243" s="9" t="s">
        <v>3884</v>
      </c>
      <c r="AB2243" s="9" t="s">
        <v>8697</v>
      </c>
    </row>
    <row r="2244" spans="1:28">
      <c r="A2244" s="3" t="s">
        <v>1163</v>
      </c>
      <c r="D2244" s="3" t="s">
        <v>3353</v>
      </c>
      <c r="E2244" s="3" t="s">
        <v>3354</v>
      </c>
      <c r="J2244" s="9" t="s">
        <v>8729</v>
      </c>
      <c r="S2244" s="9" t="s">
        <v>8739</v>
      </c>
      <c r="T2244" s="9" t="str">
        <f t="shared" ref="T2244:T2307" ca="1" si="84">IF(ISNUMBER(S2244),VALUE(MID(_xlfn.FORMULATEXT(S2244),SEARCH("-",_xlfn.FORMULATEXT(S2244))+1,LEN(_xlfn.FORMULATEXT(S2244))-SEARCH("-",_xlfn.FORMULATEXT(S2244)))), "")</f>
        <v/>
      </c>
      <c r="U2244" s="9" t="str">
        <f t="shared" ref="U2244:U2307" ca="1" si="85">IF(ISNUMBER(S2244), VALUE(MID(_xlfn.FORMULATEXT(S2244), 2, SEARCH("-", _xlfn.FORMULATEXT(S2244)) - 2)), "")</f>
        <v/>
      </c>
      <c r="Z2244" s="9" t="s">
        <v>8742</v>
      </c>
      <c r="AA2244" s="9" t="s">
        <v>3884</v>
      </c>
      <c r="AB2244" s="9" t="s">
        <v>8697</v>
      </c>
    </row>
    <row r="2245" spans="1:28">
      <c r="A2245" s="3" t="s">
        <v>1164</v>
      </c>
      <c r="D2245" s="3" t="s">
        <v>3355</v>
      </c>
      <c r="E2245" s="3" t="s">
        <v>3356</v>
      </c>
      <c r="F2245" t="s">
        <v>3881</v>
      </c>
      <c r="T2245" s="9" t="str">
        <f t="shared" ca="1" si="84"/>
        <v/>
      </c>
      <c r="U2245" s="9" t="str">
        <f t="shared" ca="1" si="85"/>
        <v/>
      </c>
    </row>
    <row r="2246" spans="1:28" ht="29">
      <c r="A2246" s="3" t="s">
        <v>1164</v>
      </c>
      <c r="D2246" s="3" t="s">
        <v>6201</v>
      </c>
      <c r="E2246" s="3" t="s">
        <v>6202</v>
      </c>
      <c r="F2246" t="s">
        <v>4397</v>
      </c>
      <c r="H2246" t="s">
        <v>3884</v>
      </c>
      <c r="I2246" t="s">
        <v>9084</v>
      </c>
      <c r="J2246" s="9" t="s">
        <v>3885</v>
      </c>
      <c r="K2246" s="9">
        <v>4</v>
      </c>
      <c r="L2246" s="9">
        <v>10</v>
      </c>
      <c r="N2246" s="9" t="s">
        <v>8684</v>
      </c>
      <c r="O2246" s="9" t="s">
        <v>9082</v>
      </c>
      <c r="P2246" s="10" t="s">
        <v>9083</v>
      </c>
      <c r="R2246" s="9">
        <v>0</v>
      </c>
      <c r="T2246" s="9" t="str">
        <f t="shared" ca="1" si="84"/>
        <v/>
      </c>
      <c r="U2246" s="9" t="str">
        <f t="shared" ca="1" si="85"/>
        <v/>
      </c>
      <c r="AB2246" s="9" t="s">
        <v>8694</v>
      </c>
    </row>
    <row r="2247" spans="1:28" ht="29">
      <c r="A2247" s="3" t="s">
        <v>1164</v>
      </c>
      <c r="D2247" s="3" t="s">
        <v>6203</v>
      </c>
      <c r="E2247" s="3" t="s">
        <v>6204</v>
      </c>
      <c r="H2247" t="s">
        <v>3884</v>
      </c>
      <c r="J2247" s="9" t="s">
        <v>3885</v>
      </c>
      <c r="K2247" s="9">
        <v>1</v>
      </c>
      <c r="L2247" s="9">
        <v>4</v>
      </c>
      <c r="M2247" s="9" t="s">
        <v>8703</v>
      </c>
      <c r="N2247" s="9" t="s">
        <v>8684</v>
      </c>
      <c r="O2247" s="9" t="s">
        <v>8777</v>
      </c>
      <c r="P2247" s="10" t="s">
        <v>8772</v>
      </c>
      <c r="Q2247" s="9" t="s">
        <v>8685</v>
      </c>
      <c r="R2247" s="9">
        <v>0</v>
      </c>
      <c r="T2247" s="9" t="str">
        <f t="shared" ca="1" si="84"/>
        <v/>
      </c>
      <c r="U2247" s="9" t="str">
        <f t="shared" ca="1" si="85"/>
        <v/>
      </c>
    </row>
    <row r="2248" spans="1:28">
      <c r="A2248" s="3" t="s">
        <v>1164</v>
      </c>
      <c r="D2248" s="3" t="s">
        <v>3358</v>
      </c>
      <c r="E2248" s="4" t="s">
        <v>3359</v>
      </c>
      <c r="F2248" t="s">
        <v>3897</v>
      </c>
      <c r="T2248" s="9" t="str">
        <f t="shared" ca="1" si="84"/>
        <v/>
      </c>
      <c r="U2248" s="9" t="str">
        <f t="shared" ca="1" si="85"/>
        <v/>
      </c>
    </row>
    <row r="2249" spans="1:28" ht="29">
      <c r="A2249" s="3" t="s">
        <v>1165</v>
      </c>
      <c r="D2249" s="3" t="s">
        <v>6205</v>
      </c>
      <c r="E2249" s="3" t="s">
        <v>6206</v>
      </c>
      <c r="F2249" t="s">
        <v>4397</v>
      </c>
      <c r="H2249" t="s">
        <v>3892</v>
      </c>
      <c r="J2249" s="9" t="s">
        <v>8731</v>
      </c>
      <c r="T2249" s="9" t="str">
        <f t="shared" ca="1" si="84"/>
        <v/>
      </c>
      <c r="U2249" s="9" t="str">
        <f t="shared" ca="1" si="85"/>
        <v/>
      </c>
      <c r="AB2249" s="9" t="s">
        <v>8688</v>
      </c>
    </row>
    <row r="2250" spans="1:28">
      <c r="A2250" s="3" t="s">
        <v>1165</v>
      </c>
      <c r="D2250" s="3" t="s">
        <v>6208</v>
      </c>
      <c r="E2250" s="3" t="s">
        <v>6209</v>
      </c>
      <c r="F2250" t="s">
        <v>3932</v>
      </c>
      <c r="I2250" t="s">
        <v>6211</v>
      </c>
      <c r="T2250" s="9" t="str">
        <f t="shared" ca="1" si="84"/>
        <v/>
      </c>
      <c r="U2250" s="9" t="str">
        <f t="shared" ca="1" si="85"/>
        <v/>
      </c>
    </row>
    <row r="2251" spans="1:28">
      <c r="A2251" s="3" t="s">
        <v>1165</v>
      </c>
      <c r="D2251" s="3" t="s">
        <v>6207</v>
      </c>
      <c r="E2251" s="3" t="s">
        <v>6210</v>
      </c>
      <c r="H2251" t="s">
        <v>3884</v>
      </c>
      <c r="J2251" s="9" t="s">
        <v>3885</v>
      </c>
      <c r="K2251" s="9">
        <v>1</v>
      </c>
      <c r="L2251" s="9">
        <v>3</v>
      </c>
      <c r="M2251" s="9" t="s">
        <v>8698</v>
      </c>
      <c r="N2251" s="9" t="s">
        <v>8690</v>
      </c>
      <c r="R2251" s="9">
        <v>9418</v>
      </c>
      <c r="T2251" s="9" t="str">
        <f t="shared" ca="1" si="84"/>
        <v/>
      </c>
      <c r="U2251" s="9" t="str">
        <f t="shared" ca="1" si="85"/>
        <v/>
      </c>
    </row>
    <row r="2252" spans="1:28">
      <c r="A2252" s="3" t="s">
        <v>1166</v>
      </c>
      <c r="D2252" s="3" t="s">
        <v>3360</v>
      </c>
      <c r="E2252" s="3" t="s">
        <v>3361</v>
      </c>
      <c r="J2252" s="9" t="s">
        <v>8729</v>
      </c>
      <c r="S2252" s="9" t="s">
        <v>8739</v>
      </c>
      <c r="T2252" s="9" t="str">
        <f t="shared" ca="1" si="84"/>
        <v/>
      </c>
      <c r="U2252" s="9" t="str">
        <f t="shared" ca="1" si="85"/>
        <v/>
      </c>
      <c r="Z2252" s="9" t="s">
        <v>9280</v>
      </c>
      <c r="AA2252" s="9" t="s">
        <v>3884</v>
      </c>
      <c r="AB2252" s="9" t="s">
        <v>8697</v>
      </c>
    </row>
    <row r="2253" spans="1:28">
      <c r="A2253" s="3" t="s">
        <v>1166</v>
      </c>
      <c r="D2253" s="3" t="s">
        <v>6212</v>
      </c>
      <c r="E2253" s="3" t="s">
        <v>6213</v>
      </c>
      <c r="H2253" t="s">
        <v>3884</v>
      </c>
      <c r="J2253" s="9" t="s">
        <v>3885</v>
      </c>
      <c r="K2253" s="9">
        <v>1</v>
      </c>
      <c r="L2253" s="9">
        <v>1</v>
      </c>
      <c r="M2253" s="9" t="s">
        <v>8689</v>
      </c>
      <c r="N2253" s="9" t="s">
        <v>8730</v>
      </c>
      <c r="R2253" s="9">
        <v>10929</v>
      </c>
      <c r="T2253" s="9" t="str">
        <f t="shared" ca="1" si="84"/>
        <v/>
      </c>
      <c r="U2253" s="9" t="str">
        <f t="shared" ca="1" si="85"/>
        <v/>
      </c>
      <c r="AB2253" s="9" t="s">
        <v>8694</v>
      </c>
    </row>
    <row r="2254" spans="1:28">
      <c r="A2254" s="3" t="s">
        <v>1167</v>
      </c>
      <c r="D2254" s="3" t="s">
        <v>6214</v>
      </c>
      <c r="E2254" s="3" t="s">
        <v>3362</v>
      </c>
      <c r="H2254" t="s">
        <v>3884</v>
      </c>
      <c r="J2254" s="9" t="s">
        <v>8729</v>
      </c>
      <c r="S2254" s="9" t="s">
        <v>8739</v>
      </c>
      <c r="T2254" s="9" t="str">
        <f t="shared" ca="1" si="84"/>
        <v/>
      </c>
      <c r="U2254" s="9" t="str">
        <f t="shared" ca="1" si="85"/>
        <v/>
      </c>
      <c r="AB2254" s="9" t="s">
        <v>8688</v>
      </c>
    </row>
    <row r="2255" spans="1:28" ht="29">
      <c r="A2255" s="3" t="s">
        <v>1168</v>
      </c>
      <c r="D2255" s="3" t="s">
        <v>6215</v>
      </c>
      <c r="E2255" s="3" t="s">
        <v>6216</v>
      </c>
      <c r="F2255" t="s">
        <v>3893</v>
      </c>
      <c r="H2255" t="s">
        <v>3884</v>
      </c>
      <c r="I2255" s="7"/>
      <c r="J2255" s="9" t="s">
        <v>8729</v>
      </c>
      <c r="S2255" s="9" t="s">
        <v>8739</v>
      </c>
      <c r="T2255" s="9" t="str">
        <f t="shared" ca="1" si="84"/>
        <v/>
      </c>
      <c r="U2255" s="9" t="str">
        <f t="shared" ca="1" si="85"/>
        <v/>
      </c>
      <c r="Z2255" s="9" t="s">
        <v>8861</v>
      </c>
      <c r="AA2255" s="9" t="s">
        <v>3884</v>
      </c>
      <c r="AB2255" s="9" t="s">
        <v>8688</v>
      </c>
    </row>
    <row r="2256" spans="1:28" ht="29">
      <c r="A2256" s="3" t="s">
        <v>1168</v>
      </c>
      <c r="D2256" s="3" t="s">
        <v>6217</v>
      </c>
      <c r="E2256" s="3" t="s">
        <v>6218</v>
      </c>
      <c r="H2256" t="s">
        <v>3884</v>
      </c>
      <c r="J2256" s="9" t="s">
        <v>8729</v>
      </c>
      <c r="S2256" s="9" t="s">
        <v>8739</v>
      </c>
      <c r="T2256" s="9" t="str">
        <f t="shared" ca="1" si="84"/>
        <v/>
      </c>
      <c r="U2256" s="9" t="str">
        <f t="shared" ca="1" si="85"/>
        <v/>
      </c>
      <c r="AB2256" s="9" t="s">
        <v>8688</v>
      </c>
    </row>
    <row r="2257" spans="1:28">
      <c r="A2257" s="3" t="s">
        <v>1169</v>
      </c>
      <c r="D2257" s="3" t="s">
        <v>6219</v>
      </c>
      <c r="E2257" s="3" t="s">
        <v>6220</v>
      </c>
      <c r="J2257" s="9" t="s">
        <v>8731</v>
      </c>
      <c r="T2257" s="9" t="str">
        <f t="shared" ca="1" si="84"/>
        <v/>
      </c>
      <c r="U2257" s="9" t="str">
        <f t="shared" ca="1" si="85"/>
        <v/>
      </c>
      <c r="AB2257" s="9" t="s">
        <v>8700</v>
      </c>
    </row>
    <row r="2258" spans="1:28">
      <c r="A2258" s="3" t="s">
        <v>1170</v>
      </c>
      <c r="D2258" s="3" t="s">
        <v>3363</v>
      </c>
      <c r="E2258" s="3" t="s">
        <v>3364</v>
      </c>
      <c r="I2258" s="7"/>
      <c r="J2258" s="9" t="s">
        <v>8731</v>
      </c>
      <c r="T2258" s="9" t="str">
        <f t="shared" ca="1" si="84"/>
        <v/>
      </c>
      <c r="U2258" s="9" t="str">
        <f t="shared" ca="1" si="85"/>
        <v/>
      </c>
      <c r="AB2258" s="9" t="s">
        <v>8694</v>
      </c>
    </row>
    <row r="2259" spans="1:28" ht="29">
      <c r="A2259" s="3" t="s">
        <v>1171</v>
      </c>
      <c r="D2259" s="3" t="s">
        <v>6221</v>
      </c>
      <c r="E2259" s="3" t="s">
        <v>6222</v>
      </c>
      <c r="H2259" t="s">
        <v>3884</v>
      </c>
      <c r="J2259" s="9" t="s">
        <v>3885</v>
      </c>
      <c r="K2259" s="9">
        <v>1</v>
      </c>
      <c r="L2259" s="9">
        <v>5</v>
      </c>
      <c r="M2259" s="9" t="s">
        <v>8705</v>
      </c>
      <c r="N2259" s="9" t="s">
        <v>8690</v>
      </c>
      <c r="R2259" s="9">
        <v>3678</v>
      </c>
      <c r="T2259" s="9" t="str">
        <f t="shared" ca="1" si="84"/>
        <v/>
      </c>
      <c r="U2259" s="9" t="str">
        <f t="shared" ca="1" si="85"/>
        <v/>
      </c>
    </row>
    <row r="2260" spans="1:28" ht="43.5">
      <c r="A2260" s="3" t="s">
        <v>1172</v>
      </c>
      <c r="D2260" s="3" t="s">
        <v>6223</v>
      </c>
      <c r="E2260" s="3" t="s">
        <v>6224</v>
      </c>
      <c r="H2260" t="s">
        <v>3884</v>
      </c>
      <c r="J2260" s="9" t="s">
        <v>8729</v>
      </c>
      <c r="Q2260" s="9" t="s">
        <v>8691</v>
      </c>
      <c r="S2260" s="9">
        <f>27-12</f>
        <v>15</v>
      </c>
      <c r="T2260" s="9">
        <f t="shared" ca="1" si="84"/>
        <v>12</v>
      </c>
      <c r="U2260" s="9">
        <f t="shared" ca="1" si="85"/>
        <v>27</v>
      </c>
    </row>
    <row r="2261" spans="1:28">
      <c r="A2261" s="3" t="s">
        <v>1172</v>
      </c>
      <c r="D2261" s="3" t="s">
        <v>6225</v>
      </c>
      <c r="E2261" s="3" t="s">
        <v>6226</v>
      </c>
      <c r="H2261" t="s">
        <v>3884</v>
      </c>
      <c r="J2261" s="9" t="s">
        <v>8729</v>
      </c>
      <c r="S2261" s="9" t="s">
        <v>8739</v>
      </c>
      <c r="T2261" s="9" t="str">
        <f t="shared" ca="1" si="84"/>
        <v/>
      </c>
      <c r="U2261" s="9" t="str">
        <f t="shared" ca="1" si="85"/>
        <v/>
      </c>
      <c r="AB2261" s="9" t="s">
        <v>8688</v>
      </c>
    </row>
    <row r="2262" spans="1:28">
      <c r="A2262" s="3" t="s">
        <v>1173</v>
      </c>
      <c r="D2262" s="3" t="s">
        <v>6227</v>
      </c>
      <c r="E2262" s="3" t="s">
        <v>6229</v>
      </c>
      <c r="J2262" s="9" t="s">
        <v>8729</v>
      </c>
      <c r="S2262" s="9" t="s">
        <v>8739</v>
      </c>
      <c r="T2262" s="9" t="str">
        <f t="shared" ca="1" si="84"/>
        <v/>
      </c>
      <c r="U2262" s="9" t="str">
        <f t="shared" ca="1" si="85"/>
        <v/>
      </c>
      <c r="Z2262" s="9" t="s">
        <v>8741</v>
      </c>
      <c r="AA2262" s="9" t="s">
        <v>3884</v>
      </c>
      <c r="AB2262" s="9" t="s">
        <v>8697</v>
      </c>
    </row>
    <row r="2263" spans="1:28">
      <c r="A2263" s="3" t="s">
        <v>1173</v>
      </c>
      <c r="D2263" s="3" t="s">
        <v>6228</v>
      </c>
      <c r="E2263" s="3" t="s">
        <v>6230</v>
      </c>
      <c r="J2263" s="9" t="s">
        <v>8729</v>
      </c>
      <c r="S2263" s="9" t="s">
        <v>8739</v>
      </c>
      <c r="T2263" s="9" t="str">
        <f t="shared" ca="1" si="84"/>
        <v/>
      </c>
      <c r="U2263" s="9" t="str">
        <f t="shared" ca="1" si="85"/>
        <v/>
      </c>
      <c r="Z2263" s="9" t="s">
        <v>8741</v>
      </c>
      <c r="AA2263" s="9" t="s">
        <v>3884</v>
      </c>
      <c r="AB2263" s="9" t="s">
        <v>8697</v>
      </c>
    </row>
    <row r="2264" spans="1:28">
      <c r="A2264" s="3" t="s">
        <v>1174</v>
      </c>
      <c r="D2264" s="3" t="s">
        <v>3366</v>
      </c>
      <c r="E2264" s="3" t="s">
        <v>3366</v>
      </c>
      <c r="F2264" t="s">
        <v>3932</v>
      </c>
      <c r="I2264" t="s">
        <v>3375</v>
      </c>
      <c r="T2264" s="9" t="str">
        <f t="shared" ca="1" si="84"/>
        <v/>
      </c>
      <c r="U2264" s="9" t="str">
        <f t="shared" ca="1" si="85"/>
        <v/>
      </c>
    </row>
    <row r="2265" spans="1:28">
      <c r="A2265" s="3" t="s">
        <v>1174</v>
      </c>
      <c r="D2265" s="3" t="s">
        <v>6231</v>
      </c>
      <c r="E2265" s="3" t="s">
        <v>3367</v>
      </c>
      <c r="H2265" t="s">
        <v>3884</v>
      </c>
      <c r="J2265" s="9" t="s">
        <v>8729</v>
      </c>
      <c r="S2265" s="9" t="s">
        <v>8739</v>
      </c>
      <c r="T2265" s="9" t="str">
        <f t="shared" ca="1" si="84"/>
        <v/>
      </c>
      <c r="U2265" s="9" t="str">
        <f t="shared" ca="1" si="85"/>
        <v/>
      </c>
      <c r="AB2265" s="9" t="s">
        <v>8688</v>
      </c>
    </row>
    <row r="2266" spans="1:28">
      <c r="A2266" s="3" t="s">
        <v>1175</v>
      </c>
      <c r="D2266" s="3" t="s">
        <v>3368</v>
      </c>
      <c r="E2266" s="3" t="s">
        <v>3369</v>
      </c>
      <c r="J2266" s="9" t="s">
        <v>8731</v>
      </c>
      <c r="T2266" s="9" t="str">
        <f t="shared" ca="1" si="84"/>
        <v/>
      </c>
      <c r="U2266" s="9" t="str">
        <f t="shared" ca="1" si="85"/>
        <v/>
      </c>
      <c r="Z2266" s="9" t="s">
        <v>8757</v>
      </c>
      <c r="AA2266" s="9" t="s">
        <v>3884</v>
      </c>
      <c r="AB2266" s="9" t="s">
        <v>8697</v>
      </c>
    </row>
    <row r="2267" spans="1:28">
      <c r="A2267" s="3" t="s">
        <v>1176</v>
      </c>
      <c r="D2267" s="3" t="s">
        <v>6232</v>
      </c>
      <c r="E2267" s="3" t="s">
        <v>6232</v>
      </c>
      <c r="F2267" t="s">
        <v>3932</v>
      </c>
      <c r="I2267" t="s">
        <v>6233</v>
      </c>
      <c r="T2267" s="9" t="str">
        <f t="shared" ca="1" si="84"/>
        <v/>
      </c>
      <c r="U2267" s="9" t="str">
        <f t="shared" ca="1" si="85"/>
        <v/>
      </c>
    </row>
    <row r="2268" spans="1:28">
      <c r="A2268" s="3" t="s">
        <v>1176</v>
      </c>
      <c r="D2268" s="3" t="s">
        <v>3370</v>
      </c>
      <c r="E2268" s="3" t="s">
        <v>3371</v>
      </c>
      <c r="G2268" t="s">
        <v>3891</v>
      </c>
      <c r="J2268" s="9" t="s">
        <v>8729</v>
      </c>
      <c r="S2268" s="9" t="s">
        <v>8739</v>
      </c>
      <c r="T2268" s="9" t="str">
        <f t="shared" ca="1" si="84"/>
        <v/>
      </c>
      <c r="U2268" s="9" t="str">
        <f t="shared" ca="1" si="85"/>
        <v/>
      </c>
      <c r="AB2268" s="9" t="s">
        <v>8697</v>
      </c>
    </row>
    <row r="2269" spans="1:28">
      <c r="A2269" s="3" t="s">
        <v>1177</v>
      </c>
      <c r="D2269" s="3" t="s">
        <v>3372</v>
      </c>
      <c r="E2269" s="3" t="s">
        <v>3373</v>
      </c>
      <c r="J2269" s="9" t="s">
        <v>8729</v>
      </c>
      <c r="S2269" s="9" t="s">
        <v>8739</v>
      </c>
      <c r="T2269" s="9" t="str">
        <f t="shared" ca="1" si="84"/>
        <v/>
      </c>
      <c r="U2269" s="9" t="str">
        <f t="shared" ca="1" si="85"/>
        <v/>
      </c>
      <c r="Z2269" s="9" t="s">
        <v>8741</v>
      </c>
      <c r="AA2269" s="9" t="s">
        <v>3884</v>
      </c>
      <c r="AB2269" s="9" t="s">
        <v>8697</v>
      </c>
    </row>
    <row r="2270" spans="1:28">
      <c r="A2270" s="3" t="s">
        <v>1178</v>
      </c>
      <c r="D2270" s="3" t="s">
        <v>3374</v>
      </c>
      <c r="E2270" s="3" t="s">
        <v>3375</v>
      </c>
      <c r="J2270" s="9" t="s">
        <v>8729</v>
      </c>
      <c r="S2270" s="9" t="s">
        <v>8739</v>
      </c>
      <c r="T2270" s="9" t="str">
        <f t="shared" ca="1" si="84"/>
        <v/>
      </c>
      <c r="U2270" s="9" t="str">
        <f t="shared" ca="1" si="85"/>
        <v/>
      </c>
      <c r="Z2270" s="9" t="s">
        <v>8741</v>
      </c>
      <c r="AA2270" s="9" t="s">
        <v>3884</v>
      </c>
      <c r="AB2270" s="9" t="s">
        <v>8697</v>
      </c>
    </row>
    <row r="2271" spans="1:28">
      <c r="A2271" s="3" t="s">
        <v>1179</v>
      </c>
      <c r="D2271" s="3" t="s">
        <v>3374</v>
      </c>
      <c r="E2271" s="3" t="s">
        <v>3376</v>
      </c>
      <c r="H2271" t="s">
        <v>3892</v>
      </c>
      <c r="I2271" t="s">
        <v>3375</v>
      </c>
      <c r="J2271" s="9" t="s">
        <v>8729</v>
      </c>
      <c r="S2271" s="9" t="s">
        <v>8739</v>
      </c>
      <c r="T2271" s="9" t="str">
        <f t="shared" ca="1" si="84"/>
        <v/>
      </c>
      <c r="U2271" s="9" t="str">
        <f t="shared" ca="1" si="85"/>
        <v/>
      </c>
      <c r="Z2271" s="9" t="s">
        <v>8741</v>
      </c>
      <c r="AA2271" s="9" t="s">
        <v>3891</v>
      </c>
      <c r="AB2271" s="9" t="s">
        <v>8688</v>
      </c>
    </row>
    <row r="2272" spans="1:28">
      <c r="A2272" s="3" t="s">
        <v>1179</v>
      </c>
      <c r="D2272" s="3" t="s">
        <v>6234</v>
      </c>
      <c r="E2272" s="3" t="s">
        <v>6234</v>
      </c>
      <c r="F2272" t="s">
        <v>3932</v>
      </c>
      <c r="I2272" t="s">
        <v>6235</v>
      </c>
      <c r="T2272" s="9" t="str">
        <f t="shared" ca="1" si="84"/>
        <v/>
      </c>
      <c r="U2272" s="9" t="str">
        <f t="shared" ca="1" si="85"/>
        <v/>
      </c>
    </row>
    <row r="2273" spans="1:29" ht="29">
      <c r="A2273" s="3" t="s">
        <v>1180</v>
      </c>
      <c r="D2273" s="3" t="s">
        <v>6236</v>
      </c>
      <c r="E2273" s="3" t="s">
        <v>6237</v>
      </c>
      <c r="H2273" t="s">
        <v>3884</v>
      </c>
      <c r="I2273" t="s">
        <v>8865</v>
      </c>
      <c r="J2273" s="9" t="s">
        <v>3894</v>
      </c>
      <c r="T2273" s="9" t="str">
        <f t="shared" ca="1" si="84"/>
        <v/>
      </c>
      <c r="U2273" s="9" t="str">
        <f t="shared" ca="1" si="85"/>
        <v/>
      </c>
      <c r="AB2273" s="9" t="s">
        <v>8694</v>
      </c>
      <c r="AC2273" s="9" t="s">
        <v>3884</v>
      </c>
    </row>
    <row r="2274" spans="1:29" ht="29">
      <c r="A2274" s="3" t="s">
        <v>1181</v>
      </c>
      <c r="D2274" s="3" t="s">
        <v>9085</v>
      </c>
      <c r="E2274" s="3" t="s">
        <v>9086</v>
      </c>
      <c r="J2274" s="9" t="s">
        <v>8731</v>
      </c>
      <c r="T2274" s="9" t="str">
        <f t="shared" ca="1" si="84"/>
        <v/>
      </c>
      <c r="U2274" s="9" t="str">
        <f t="shared" ca="1" si="85"/>
        <v/>
      </c>
      <c r="Y2274" s="9" t="s">
        <v>9282</v>
      </c>
      <c r="AA2274" s="9" t="s">
        <v>3884</v>
      </c>
    </row>
    <row r="2275" spans="1:29" ht="29">
      <c r="A2275" s="3" t="s">
        <v>1181</v>
      </c>
      <c r="D2275" s="3" t="s">
        <v>6238</v>
      </c>
      <c r="E2275" s="3" t="s">
        <v>9087</v>
      </c>
      <c r="H2275" t="s">
        <v>3884</v>
      </c>
      <c r="J2275" s="9" t="s">
        <v>3885</v>
      </c>
      <c r="K2275" s="9">
        <v>1</v>
      </c>
      <c r="L2275" s="9">
        <v>9</v>
      </c>
      <c r="M2275" s="9" t="s">
        <v>8683</v>
      </c>
      <c r="N2275" s="9" t="s">
        <v>8684</v>
      </c>
      <c r="O2275" s="9" t="s">
        <v>8771</v>
      </c>
      <c r="P2275" s="10" t="s">
        <v>8778</v>
      </c>
      <c r="R2275" s="9">
        <v>9</v>
      </c>
      <c r="T2275" s="9" t="str">
        <f t="shared" ca="1" si="84"/>
        <v/>
      </c>
      <c r="U2275" s="9" t="str">
        <f t="shared" ca="1" si="85"/>
        <v/>
      </c>
      <c r="AB2275" s="9" t="s">
        <v>8694</v>
      </c>
    </row>
    <row r="2276" spans="1:29">
      <c r="A2276" s="3" t="s">
        <v>1181</v>
      </c>
      <c r="D2276" s="3" t="s">
        <v>3377</v>
      </c>
      <c r="E2276" s="3" t="s">
        <v>3377</v>
      </c>
      <c r="F2276" t="s">
        <v>3932</v>
      </c>
      <c r="I2276" t="s">
        <v>6239</v>
      </c>
      <c r="T2276" s="9" t="str">
        <f t="shared" ca="1" si="84"/>
        <v/>
      </c>
      <c r="U2276" s="9" t="str">
        <f t="shared" ca="1" si="85"/>
        <v/>
      </c>
    </row>
    <row r="2277" spans="1:29">
      <c r="A2277" s="3" t="s">
        <v>1182</v>
      </c>
      <c r="D2277" s="3" t="s">
        <v>3378</v>
      </c>
      <c r="E2277" s="3" t="s">
        <v>3379</v>
      </c>
      <c r="J2277" s="9" t="s">
        <v>8729</v>
      </c>
      <c r="S2277" s="9" t="s">
        <v>8739</v>
      </c>
      <c r="T2277" s="9" t="str">
        <f t="shared" ca="1" si="84"/>
        <v/>
      </c>
      <c r="U2277" s="9" t="str">
        <f t="shared" ca="1" si="85"/>
        <v/>
      </c>
      <c r="Z2277" s="9" t="s">
        <v>8757</v>
      </c>
      <c r="AA2277" s="9" t="s">
        <v>3884</v>
      </c>
      <c r="AB2277" s="9" t="s">
        <v>8697</v>
      </c>
    </row>
    <row r="2278" spans="1:29">
      <c r="A2278" s="3" t="s">
        <v>1183</v>
      </c>
      <c r="D2278" s="3" t="s">
        <v>6240</v>
      </c>
      <c r="E2278" s="3" t="s">
        <v>6241</v>
      </c>
      <c r="H2278" t="s">
        <v>3884</v>
      </c>
      <c r="J2278" s="9" t="s">
        <v>3885</v>
      </c>
      <c r="K2278" s="9">
        <v>1</v>
      </c>
      <c r="L2278" s="9">
        <v>2</v>
      </c>
      <c r="M2278" s="9" t="s">
        <v>8698</v>
      </c>
      <c r="N2278" s="9" t="s">
        <v>8730</v>
      </c>
      <c r="Q2278" s="9" t="s">
        <v>8685</v>
      </c>
      <c r="R2278" s="9">
        <v>1</v>
      </c>
      <c r="T2278" s="9" t="str">
        <f t="shared" ca="1" si="84"/>
        <v/>
      </c>
      <c r="U2278" s="9" t="str">
        <f t="shared" ca="1" si="85"/>
        <v/>
      </c>
    </row>
    <row r="2279" spans="1:29" ht="43.5">
      <c r="A2279" s="3" t="s">
        <v>1183</v>
      </c>
      <c r="D2279" s="3" t="s">
        <v>6242</v>
      </c>
      <c r="E2279" s="3" t="s">
        <v>6242</v>
      </c>
      <c r="F2279" t="s">
        <v>3932</v>
      </c>
      <c r="I2279" t="s">
        <v>6243</v>
      </c>
      <c r="T2279" s="9" t="str">
        <f t="shared" ca="1" si="84"/>
        <v/>
      </c>
      <c r="U2279" s="9" t="str">
        <f t="shared" ca="1" si="85"/>
        <v/>
      </c>
    </row>
    <row r="2280" spans="1:29">
      <c r="A2280" s="3" t="s">
        <v>1184</v>
      </c>
      <c r="D2280" s="3" t="s">
        <v>6244</v>
      </c>
      <c r="E2280" s="3" t="s">
        <v>6246</v>
      </c>
      <c r="H2280" t="s">
        <v>3888</v>
      </c>
      <c r="I2280" t="s">
        <v>6245</v>
      </c>
      <c r="J2280" s="9" t="s">
        <v>3885</v>
      </c>
      <c r="K2280" s="9">
        <v>1</v>
      </c>
      <c r="L2280" s="9">
        <v>3</v>
      </c>
      <c r="M2280" s="9" t="s">
        <v>8689</v>
      </c>
      <c r="N2280" s="9" t="s">
        <v>8690</v>
      </c>
      <c r="R2280" s="9">
        <v>10929</v>
      </c>
      <c r="T2280" s="9" t="str">
        <f t="shared" ca="1" si="84"/>
        <v/>
      </c>
      <c r="U2280" s="9" t="str">
        <f t="shared" ca="1" si="85"/>
        <v/>
      </c>
      <c r="AB2280" s="9" t="s">
        <v>8694</v>
      </c>
    </row>
    <row r="2281" spans="1:29">
      <c r="A2281" s="3" t="s">
        <v>1185</v>
      </c>
      <c r="D2281" s="3" t="s">
        <v>9088</v>
      </c>
      <c r="E2281" s="3" t="s">
        <v>9089</v>
      </c>
      <c r="H2281" t="s">
        <v>3888</v>
      </c>
      <c r="J2281" s="9" t="s">
        <v>8729</v>
      </c>
      <c r="S2281" s="9">
        <f>0-2</f>
        <v>-2</v>
      </c>
      <c r="T2281" s="9">
        <f t="shared" ca="1" si="84"/>
        <v>2</v>
      </c>
      <c r="U2281" s="9">
        <f t="shared" ca="1" si="85"/>
        <v>0</v>
      </c>
      <c r="Z2281" s="9" t="s">
        <v>8741</v>
      </c>
      <c r="AA2281" s="9" t="s">
        <v>3884</v>
      </c>
      <c r="AB2281" s="9" t="s">
        <v>8700</v>
      </c>
    </row>
    <row r="2282" spans="1:29" ht="29">
      <c r="A2282" s="3" t="s">
        <v>1185</v>
      </c>
      <c r="D2282" s="3" t="s">
        <v>6247</v>
      </c>
      <c r="E2282" s="3" t="s">
        <v>6248</v>
      </c>
      <c r="J2282" s="9" t="s">
        <v>3885</v>
      </c>
      <c r="K2282" s="9">
        <v>1</v>
      </c>
      <c r="L2282" s="9">
        <v>2</v>
      </c>
      <c r="M2282" s="9" t="s">
        <v>8689</v>
      </c>
      <c r="N2282" s="9" t="s">
        <v>8730</v>
      </c>
      <c r="R2282" s="9">
        <v>10929</v>
      </c>
      <c r="T2282" s="9" t="str">
        <f t="shared" ca="1" si="84"/>
        <v/>
      </c>
      <c r="U2282" s="9" t="str">
        <f t="shared" ca="1" si="85"/>
        <v/>
      </c>
    </row>
    <row r="2283" spans="1:29" ht="29">
      <c r="A2283" s="3" t="s">
        <v>1185</v>
      </c>
      <c r="D2283" s="4" t="s">
        <v>6249</v>
      </c>
      <c r="E2283" s="3" t="s">
        <v>6250</v>
      </c>
      <c r="F2283" t="s">
        <v>3883</v>
      </c>
      <c r="T2283" s="9" t="str">
        <f t="shared" ca="1" si="84"/>
        <v/>
      </c>
      <c r="U2283" s="9" t="str">
        <f t="shared" ca="1" si="85"/>
        <v/>
      </c>
    </row>
    <row r="2284" spans="1:29">
      <c r="A2284" s="3" t="s">
        <v>1186</v>
      </c>
      <c r="D2284" s="3" t="s">
        <v>3381</v>
      </c>
      <c r="E2284" s="4" t="s">
        <v>3380</v>
      </c>
      <c r="F2284" t="s">
        <v>3897</v>
      </c>
      <c r="T2284" s="9" t="str">
        <f t="shared" ca="1" si="84"/>
        <v/>
      </c>
      <c r="U2284" s="9" t="str">
        <f t="shared" ca="1" si="85"/>
        <v/>
      </c>
    </row>
    <row r="2285" spans="1:29">
      <c r="A2285" s="3" t="s">
        <v>1187</v>
      </c>
      <c r="D2285" s="3" t="s">
        <v>6251</v>
      </c>
      <c r="E2285" s="3" t="s">
        <v>6252</v>
      </c>
      <c r="H2285" t="s">
        <v>3884</v>
      </c>
      <c r="J2285" s="9" t="s">
        <v>3889</v>
      </c>
      <c r="K2285" s="9">
        <v>1</v>
      </c>
      <c r="L2285" s="9">
        <v>2</v>
      </c>
      <c r="M2285" s="9" t="s">
        <v>8689</v>
      </c>
      <c r="N2285" s="9" t="s">
        <v>8730</v>
      </c>
      <c r="R2285" s="9">
        <v>10929</v>
      </c>
      <c r="T2285" s="9" t="str">
        <f t="shared" ca="1" si="84"/>
        <v/>
      </c>
      <c r="U2285" s="9" t="str">
        <f t="shared" ca="1" si="85"/>
        <v/>
      </c>
    </row>
    <row r="2286" spans="1:29">
      <c r="A2286" s="3" t="s">
        <v>1187</v>
      </c>
      <c r="D2286" s="3" t="s">
        <v>6253</v>
      </c>
      <c r="E2286" s="3" t="s">
        <v>9642</v>
      </c>
      <c r="F2286" t="s">
        <v>3893</v>
      </c>
      <c r="H2286" t="s">
        <v>3884</v>
      </c>
      <c r="T2286" s="9" t="str">
        <f t="shared" ca="1" si="84"/>
        <v/>
      </c>
      <c r="U2286" s="9" t="str">
        <f t="shared" ca="1" si="85"/>
        <v/>
      </c>
    </row>
    <row r="2287" spans="1:29">
      <c r="A2287" s="3" t="s">
        <v>1188</v>
      </c>
      <c r="D2287" s="3" t="s">
        <v>3382</v>
      </c>
      <c r="E2287" s="3" t="s">
        <v>3382</v>
      </c>
      <c r="F2287" t="s">
        <v>3932</v>
      </c>
      <c r="I2287" t="s">
        <v>6254</v>
      </c>
      <c r="T2287" s="9" t="str">
        <f t="shared" ca="1" si="84"/>
        <v/>
      </c>
      <c r="U2287" s="9" t="str">
        <f t="shared" ca="1" si="85"/>
        <v/>
      </c>
    </row>
    <row r="2288" spans="1:29">
      <c r="A2288" s="3" t="s">
        <v>1188</v>
      </c>
      <c r="D2288" s="4" t="s">
        <v>3383</v>
      </c>
      <c r="E2288" s="3" t="s">
        <v>3384</v>
      </c>
      <c r="F2288" t="s">
        <v>3883</v>
      </c>
      <c r="T2288" s="9" t="str">
        <f t="shared" ca="1" si="84"/>
        <v/>
      </c>
      <c r="U2288" s="9" t="str">
        <f t="shared" ca="1" si="85"/>
        <v/>
      </c>
    </row>
    <row r="2289" spans="1:28">
      <c r="A2289" s="3" t="s">
        <v>1189</v>
      </c>
      <c r="D2289" s="3" t="s">
        <v>3385</v>
      </c>
      <c r="E2289" s="3" t="s">
        <v>3386</v>
      </c>
      <c r="J2289" s="9" t="s">
        <v>8729</v>
      </c>
      <c r="S2289" s="9" t="s">
        <v>8739</v>
      </c>
      <c r="T2289" s="9" t="str">
        <f t="shared" ca="1" si="84"/>
        <v/>
      </c>
      <c r="U2289" s="9" t="str">
        <f t="shared" ca="1" si="85"/>
        <v/>
      </c>
      <c r="Z2289" s="9" t="s">
        <v>8741</v>
      </c>
      <c r="AA2289" s="9" t="s">
        <v>3884</v>
      </c>
      <c r="AB2289" s="9" t="s">
        <v>8697</v>
      </c>
    </row>
    <row r="2290" spans="1:28">
      <c r="A2290" s="3" t="s">
        <v>1190</v>
      </c>
      <c r="D2290" s="3" t="s">
        <v>6255</v>
      </c>
      <c r="E2290" s="3" t="s">
        <v>6256</v>
      </c>
      <c r="J2290" s="9" t="s">
        <v>8729</v>
      </c>
      <c r="S2290" s="9" t="s">
        <v>8739</v>
      </c>
      <c r="T2290" s="9" t="str">
        <f t="shared" ca="1" si="84"/>
        <v/>
      </c>
      <c r="U2290" s="9" t="str">
        <f t="shared" ca="1" si="85"/>
        <v/>
      </c>
      <c r="Z2290" s="9" t="s">
        <v>8757</v>
      </c>
      <c r="AA2290" s="9" t="s">
        <v>3884</v>
      </c>
      <c r="AB2290" s="9" t="s">
        <v>8697</v>
      </c>
    </row>
    <row r="2291" spans="1:28">
      <c r="A2291" s="3" t="s">
        <v>1191</v>
      </c>
      <c r="D2291" s="3" t="s">
        <v>6257</v>
      </c>
      <c r="E2291" s="3" t="s">
        <v>6257</v>
      </c>
      <c r="F2291" t="s">
        <v>3932</v>
      </c>
      <c r="I2291" t="s">
        <v>6188</v>
      </c>
      <c r="T2291" s="9" t="str">
        <f t="shared" ca="1" si="84"/>
        <v/>
      </c>
      <c r="U2291" s="9" t="str">
        <f t="shared" ca="1" si="85"/>
        <v/>
      </c>
    </row>
    <row r="2292" spans="1:28">
      <c r="A2292" s="3" t="s">
        <v>1192</v>
      </c>
      <c r="D2292" s="3" t="s">
        <v>3387</v>
      </c>
      <c r="E2292" s="3" t="s">
        <v>3387</v>
      </c>
      <c r="F2292" t="s">
        <v>3932</v>
      </c>
      <c r="I2292" t="s">
        <v>6258</v>
      </c>
      <c r="T2292" s="9" t="str">
        <f t="shared" ca="1" si="84"/>
        <v/>
      </c>
      <c r="U2292" s="9" t="str">
        <f t="shared" ca="1" si="85"/>
        <v/>
      </c>
    </row>
    <row r="2293" spans="1:28">
      <c r="A2293" s="3" t="s">
        <v>1192</v>
      </c>
      <c r="D2293" s="3" t="s">
        <v>6259</v>
      </c>
      <c r="E2293" s="3" t="s">
        <v>6260</v>
      </c>
      <c r="F2293" t="s">
        <v>3893</v>
      </c>
      <c r="H2293" t="s">
        <v>3884</v>
      </c>
      <c r="T2293" s="9" t="str">
        <f t="shared" ca="1" si="84"/>
        <v/>
      </c>
      <c r="U2293" s="9" t="str">
        <f t="shared" ca="1" si="85"/>
        <v/>
      </c>
    </row>
    <row r="2294" spans="1:28">
      <c r="A2294" s="3" t="s">
        <v>1193</v>
      </c>
      <c r="B2294" s="3" t="s">
        <v>6261</v>
      </c>
      <c r="C2294" s="3" t="s">
        <v>6262</v>
      </c>
      <c r="D2294" s="3" t="s">
        <v>6263</v>
      </c>
      <c r="E2294" s="3" t="s">
        <v>6264</v>
      </c>
      <c r="I2294" s="7"/>
      <c r="J2294" s="9" t="s">
        <v>8729</v>
      </c>
      <c r="S2294" s="9">
        <f>32-0</f>
        <v>32</v>
      </c>
      <c r="T2294" s="9">
        <f t="shared" ca="1" si="84"/>
        <v>0</v>
      </c>
      <c r="U2294" s="9">
        <f t="shared" ca="1" si="85"/>
        <v>32</v>
      </c>
    </row>
    <row r="2295" spans="1:28">
      <c r="A2295" s="3" t="s">
        <v>1194</v>
      </c>
      <c r="D2295" s="3" t="s">
        <v>6265</v>
      </c>
      <c r="E2295" s="3" t="s">
        <v>6266</v>
      </c>
      <c r="J2295" s="9" t="s">
        <v>8729</v>
      </c>
      <c r="S2295" s="9">
        <f>37-11</f>
        <v>26</v>
      </c>
      <c r="T2295" s="9">
        <f t="shared" ca="1" si="84"/>
        <v>11</v>
      </c>
      <c r="U2295" s="9">
        <f t="shared" ca="1" si="85"/>
        <v>37</v>
      </c>
    </row>
    <row r="2296" spans="1:28" ht="29">
      <c r="A2296" s="3" t="s">
        <v>1195</v>
      </c>
      <c r="D2296" s="3" t="s">
        <v>6267</v>
      </c>
      <c r="E2296" s="3" t="s">
        <v>6268</v>
      </c>
      <c r="J2296" s="9" t="s">
        <v>3885</v>
      </c>
      <c r="K2296" s="9">
        <v>1</v>
      </c>
      <c r="L2296" s="9">
        <v>1</v>
      </c>
      <c r="M2296" s="9" t="s">
        <v>8698</v>
      </c>
      <c r="N2296" s="9" t="s">
        <v>8730</v>
      </c>
      <c r="Q2296" s="9" t="s">
        <v>8685</v>
      </c>
      <c r="R2296" s="9">
        <v>1</v>
      </c>
      <c r="T2296" s="9" t="str">
        <f t="shared" ca="1" si="84"/>
        <v/>
      </c>
      <c r="U2296" s="9" t="str">
        <f t="shared" ca="1" si="85"/>
        <v/>
      </c>
    </row>
    <row r="2297" spans="1:28" ht="43.5">
      <c r="A2297" s="3" t="s">
        <v>1195</v>
      </c>
      <c r="D2297" s="3" t="s">
        <v>6270</v>
      </c>
      <c r="E2297" s="3" t="s">
        <v>6271</v>
      </c>
      <c r="F2297" t="s">
        <v>3886</v>
      </c>
      <c r="H2297" t="s">
        <v>3892</v>
      </c>
      <c r="J2297" s="9" t="s">
        <v>8729</v>
      </c>
      <c r="S2297" s="9">
        <f xml:space="preserve"> 40-1</f>
        <v>39</v>
      </c>
      <c r="T2297" s="9">
        <f t="shared" ca="1" si="84"/>
        <v>1</v>
      </c>
      <c r="U2297" s="9">
        <f t="shared" ca="1" si="85"/>
        <v>40</v>
      </c>
      <c r="AB2297" s="9" t="s">
        <v>8694</v>
      </c>
    </row>
    <row r="2298" spans="1:28" ht="43.5">
      <c r="A2298" s="3" t="s">
        <v>1195</v>
      </c>
      <c r="D2298" s="3" t="s">
        <v>6272</v>
      </c>
      <c r="E2298" s="3" t="s">
        <v>6269</v>
      </c>
      <c r="H2298" t="s">
        <v>3888</v>
      </c>
      <c r="I2298" t="s">
        <v>9693</v>
      </c>
      <c r="J2298" s="9" t="s">
        <v>3889</v>
      </c>
      <c r="K2298" s="9">
        <v>3</v>
      </c>
      <c r="L2298" s="9">
        <v>18</v>
      </c>
      <c r="N2298" s="9" t="s">
        <v>8684</v>
      </c>
      <c r="O2298" s="9" t="s">
        <v>8944</v>
      </c>
      <c r="P2298" s="10" t="s">
        <v>9011</v>
      </c>
      <c r="R2298" s="9">
        <v>1</v>
      </c>
      <c r="T2298" s="9" t="str">
        <f t="shared" ca="1" si="84"/>
        <v/>
      </c>
      <c r="U2298" s="9" t="str">
        <f t="shared" ca="1" si="85"/>
        <v/>
      </c>
    </row>
    <row r="2299" spans="1:28">
      <c r="A2299" s="3" t="s">
        <v>1196</v>
      </c>
      <c r="D2299" s="3" t="s">
        <v>6273</v>
      </c>
      <c r="E2299" s="3" t="s">
        <v>6278</v>
      </c>
      <c r="F2299" t="s">
        <v>3893</v>
      </c>
      <c r="H2299" t="s">
        <v>3892</v>
      </c>
      <c r="T2299" s="9" t="str">
        <f t="shared" ca="1" si="84"/>
        <v/>
      </c>
      <c r="U2299" s="9" t="str">
        <f t="shared" ca="1" si="85"/>
        <v/>
      </c>
    </row>
    <row r="2300" spans="1:28">
      <c r="A2300" s="3" t="s">
        <v>1196</v>
      </c>
      <c r="D2300" s="3" t="s">
        <v>6275</v>
      </c>
      <c r="E2300" s="3" t="s">
        <v>6274</v>
      </c>
      <c r="J2300" s="9" t="s">
        <v>8729</v>
      </c>
      <c r="S2300" s="9">
        <f xml:space="preserve"> 68-4</f>
        <v>64</v>
      </c>
      <c r="T2300" s="9">
        <f t="shared" ca="1" si="84"/>
        <v>4</v>
      </c>
      <c r="U2300" s="9">
        <f t="shared" ca="1" si="85"/>
        <v>68</v>
      </c>
      <c r="Z2300" s="9" t="s">
        <v>8741</v>
      </c>
      <c r="AA2300" s="9" t="s">
        <v>3884</v>
      </c>
      <c r="AB2300" s="9" t="s">
        <v>8700</v>
      </c>
    </row>
    <row r="2301" spans="1:28">
      <c r="A2301" s="3" t="s">
        <v>1196</v>
      </c>
      <c r="D2301" s="3" t="s">
        <v>6276</v>
      </c>
      <c r="E2301" s="3" t="s">
        <v>6277</v>
      </c>
      <c r="F2301" t="s">
        <v>3932</v>
      </c>
      <c r="I2301" t="s">
        <v>6279</v>
      </c>
      <c r="T2301" s="9" t="str">
        <f t="shared" ca="1" si="84"/>
        <v/>
      </c>
      <c r="U2301" s="9" t="str">
        <f t="shared" ca="1" si="85"/>
        <v/>
      </c>
    </row>
    <row r="2302" spans="1:28">
      <c r="A2302" s="3" t="s">
        <v>1196</v>
      </c>
      <c r="D2302" s="3" t="s">
        <v>3388</v>
      </c>
      <c r="E2302" s="3" t="s">
        <v>3389</v>
      </c>
      <c r="J2302" s="9" t="s">
        <v>8731</v>
      </c>
      <c r="T2302" s="9" t="str">
        <f t="shared" ca="1" si="84"/>
        <v/>
      </c>
      <c r="U2302" s="9" t="str">
        <f t="shared" ca="1" si="85"/>
        <v/>
      </c>
      <c r="Z2302" s="9" t="s">
        <v>8832</v>
      </c>
      <c r="AA2302" s="9" t="s">
        <v>3884</v>
      </c>
    </row>
    <row r="2303" spans="1:28" ht="29">
      <c r="A2303" s="3" t="s">
        <v>1197</v>
      </c>
      <c r="D2303" s="3" t="s">
        <v>6280</v>
      </c>
      <c r="E2303" s="3" t="s">
        <v>6282</v>
      </c>
      <c r="F2303" t="s">
        <v>3932</v>
      </c>
      <c r="I2303" t="s">
        <v>6281</v>
      </c>
      <c r="T2303" s="9" t="str">
        <f t="shared" ca="1" si="84"/>
        <v/>
      </c>
      <c r="U2303" s="9" t="str">
        <f t="shared" ca="1" si="85"/>
        <v/>
      </c>
    </row>
    <row r="2304" spans="1:28">
      <c r="A2304" s="3" t="s">
        <v>1197</v>
      </c>
      <c r="D2304" s="3" t="s">
        <v>3390</v>
      </c>
      <c r="E2304" s="3" t="s">
        <v>3390</v>
      </c>
      <c r="F2304" t="s">
        <v>3932</v>
      </c>
      <c r="I2304" t="s">
        <v>3391</v>
      </c>
      <c r="T2304" s="9" t="str">
        <f t="shared" ca="1" si="84"/>
        <v/>
      </c>
      <c r="U2304" s="9" t="str">
        <f t="shared" ca="1" si="85"/>
        <v/>
      </c>
    </row>
    <row r="2305" spans="1:28" ht="29">
      <c r="A2305" s="3" t="s">
        <v>1197</v>
      </c>
      <c r="D2305" s="3" t="s">
        <v>6283</v>
      </c>
      <c r="E2305" s="3" t="s">
        <v>6284</v>
      </c>
      <c r="H2305" t="s">
        <v>3884</v>
      </c>
      <c r="J2305" s="9" t="s">
        <v>3885</v>
      </c>
      <c r="K2305" s="9">
        <v>1</v>
      </c>
      <c r="L2305" s="9">
        <v>3</v>
      </c>
      <c r="M2305" s="9" t="s">
        <v>8689</v>
      </c>
      <c r="N2305" s="9" t="s">
        <v>8690</v>
      </c>
      <c r="R2305" s="9">
        <v>10929</v>
      </c>
      <c r="T2305" s="9" t="str">
        <f t="shared" ca="1" si="84"/>
        <v/>
      </c>
      <c r="U2305" s="9" t="str">
        <f t="shared" ca="1" si="85"/>
        <v/>
      </c>
    </row>
    <row r="2306" spans="1:28" ht="29">
      <c r="A2306" s="3" t="s">
        <v>1197</v>
      </c>
      <c r="D2306" s="3" t="s">
        <v>6285</v>
      </c>
      <c r="E2306" s="3" t="s">
        <v>6286</v>
      </c>
      <c r="F2306" t="s">
        <v>3932</v>
      </c>
      <c r="I2306" s="7"/>
      <c r="T2306" s="9" t="str">
        <f t="shared" ca="1" si="84"/>
        <v/>
      </c>
      <c r="U2306" s="9" t="str">
        <f t="shared" ca="1" si="85"/>
        <v/>
      </c>
    </row>
    <row r="2307" spans="1:28" ht="29">
      <c r="A2307" s="3" t="s">
        <v>1198</v>
      </c>
      <c r="D2307" s="3" t="s">
        <v>6287</v>
      </c>
      <c r="E2307" s="3" t="s">
        <v>6288</v>
      </c>
      <c r="H2307" t="s">
        <v>3884</v>
      </c>
      <c r="J2307" s="9" t="s">
        <v>3885</v>
      </c>
      <c r="K2307" s="9">
        <v>1</v>
      </c>
      <c r="L2307" s="9">
        <v>2</v>
      </c>
      <c r="M2307" s="9" t="s">
        <v>8707</v>
      </c>
      <c r="N2307" s="9" t="s">
        <v>8730</v>
      </c>
      <c r="R2307" s="9">
        <v>1942</v>
      </c>
      <c r="T2307" s="9" t="str">
        <f t="shared" ca="1" si="84"/>
        <v/>
      </c>
      <c r="U2307" s="9" t="str">
        <f t="shared" ca="1" si="85"/>
        <v/>
      </c>
    </row>
    <row r="2308" spans="1:28" ht="29">
      <c r="A2308" s="3" t="s">
        <v>1198</v>
      </c>
      <c r="D2308" s="4" t="s">
        <v>6289</v>
      </c>
      <c r="E2308" s="3" t="s">
        <v>6290</v>
      </c>
      <c r="F2308" t="s">
        <v>3890</v>
      </c>
      <c r="J2308" s="9" t="s">
        <v>8729</v>
      </c>
      <c r="S2308" s="9" t="s">
        <v>8739</v>
      </c>
      <c r="T2308" s="9" t="str">
        <f t="shared" ref="T2308:T2372" ca="1" si="86">IF(ISNUMBER(S2308),VALUE(MID(_xlfn.FORMULATEXT(S2308),SEARCH("-",_xlfn.FORMULATEXT(S2308))+1,LEN(_xlfn.FORMULATEXT(S2308))-SEARCH("-",_xlfn.FORMULATEXT(S2308)))), "")</f>
        <v/>
      </c>
      <c r="U2308" s="9" t="str">
        <f t="shared" ref="U2308:U2372" ca="1" si="87">IF(ISNUMBER(S2308), VALUE(MID(_xlfn.FORMULATEXT(S2308), 2, SEARCH("-", _xlfn.FORMULATEXT(S2308)) - 2)), "")</f>
        <v/>
      </c>
      <c r="Y2308" s="9" t="s">
        <v>8735</v>
      </c>
      <c r="AA2308" s="9" t="s">
        <v>3884</v>
      </c>
    </row>
    <row r="2309" spans="1:28" ht="29">
      <c r="A2309" s="3" t="s">
        <v>1198</v>
      </c>
      <c r="D2309" s="3" t="s">
        <v>6291</v>
      </c>
      <c r="E2309" s="3" t="s">
        <v>6292</v>
      </c>
      <c r="H2309" t="s">
        <v>3892</v>
      </c>
      <c r="I2309" t="s">
        <v>6293</v>
      </c>
      <c r="J2309" s="9" t="s">
        <v>3885</v>
      </c>
      <c r="K2309" s="9">
        <v>1</v>
      </c>
      <c r="L2309" s="9">
        <v>1</v>
      </c>
      <c r="M2309" s="9" t="s">
        <v>8689</v>
      </c>
      <c r="N2309" s="9" t="s">
        <v>8730</v>
      </c>
      <c r="R2309" s="9">
        <v>10929</v>
      </c>
      <c r="T2309" s="9" t="str">
        <f t="shared" ca="1" si="86"/>
        <v/>
      </c>
      <c r="U2309" s="9" t="str">
        <f t="shared" ca="1" si="87"/>
        <v/>
      </c>
    </row>
    <row r="2310" spans="1:28">
      <c r="A2310" s="3" t="s">
        <v>1199</v>
      </c>
      <c r="D2310" s="3" t="s">
        <v>5490</v>
      </c>
      <c r="E2310" s="3" t="s">
        <v>5491</v>
      </c>
      <c r="J2310" s="9" t="s">
        <v>8729</v>
      </c>
      <c r="S2310" s="9" t="s">
        <v>8739</v>
      </c>
      <c r="T2310" s="9" t="str">
        <f t="shared" ca="1" si="86"/>
        <v/>
      </c>
      <c r="U2310" s="9" t="str">
        <f t="shared" ca="1" si="87"/>
        <v/>
      </c>
      <c r="Z2310" s="9" t="s">
        <v>8741</v>
      </c>
      <c r="AA2310" s="9" t="s">
        <v>3884</v>
      </c>
      <c r="AB2310" s="9" t="s">
        <v>8697</v>
      </c>
    </row>
    <row r="2311" spans="1:28">
      <c r="A2311" s="3" t="s">
        <v>1200</v>
      </c>
      <c r="D2311" s="3" t="s">
        <v>6294</v>
      </c>
      <c r="E2311" s="3" t="s">
        <v>3392</v>
      </c>
      <c r="H2311" t="s">
        <v>3884</v>
      </c>
      <c r="J2311" s="9" t="s">
        <v>8731</v>
      </c>
      <c r="T2311" s="9" t="str">
        <f t="shared" ca="1" si="86"/>
        <v/>
      </c>
      <c r="U2311" s="9" t="str">
        <f t="shared" ca="1" si="87"/>
        <v/>
      </c>
      <c r="AB2311" s="9" t="s">
        <v>8688</v>
      </c>
    </row>
    <row r="2312" spans="1:28">
      <c r="A2312" s="3" t="s">
        <v>1200</v>
      </c>
      <c r="D2312" s="3" t="s">
        <v>6295</v>
      </c>
      <c r="E2312" s="3" t="s">
        <v>3393</v>
      </c>
      <c r="H2312" t="s">
        <v>3884</v>
      </c>
      <c r="J2312" s="9" t="s">
        <v>8729</v>
      </c>
      <c r="S2312" s="9" t="s">
        <v>8739</v>
      </c>
      <c r="T2312" s="9" t="str">
        <f t="shared" ca="1" si="86"/>
        <v/>
      </c>
      <c r="U2312" s="9" t="str">
        <f t="shared" ca="1" si="87"/>
        <v/>
      </c>
      <c r="AB2312" s="9" t="s">
        <v>8688</v>
      </c>
    </row>
    <row r="2313" spans="1:28" ht="29">
      <c r="A2313" s="3" t="s">
        <v>1201</v>
      </c>
      <c r="D2313" s="3" t="s">
        <v>9090</v>
      </c>
      <c r="E2313" s="3" t="s">
        <v>9091</v>
      </c>
      <c r="H2313" t="s">
        <v>3884</v>
      </c>
      <c r="J2313" s="9" t="s">
        <v>8731</v>
      </c>
      <c r="T2313" s="9" t="str">
        <f t="shared" ca="1" si="86"/>
        <v/>
      </c>
      <c r="U2313" s="9" t="str">
        <f t="shared" ca="1" si="87"/>
        <v/>
      </c>
      <c r="AB2313" s="9" t="s">
        <v>8694</v>
      </c>
    </row>
    <row r="2314" spans="1:28" ht="58">
      <c r="A2314" s="3" t="s">
        <v>1201</v>
      </c>
      <c r="D2314" s="3" t="s">
        <v>6296</v>
      </c>
      <c r="E2314" s="3" t="s">
        <v>6297</v>
      </c>
      <c r="H2314" t="s">
        <v>3884</v>
      </c>
      <c r="J2314" s="9" t="s">
        <v>8729</v>
      </c>
      <c r="S2314" s="9">
        <f>20-74</f>
        <v>-54</v>
      </c>
      <c r="T2314" s="9">
        <f t="shared" ca="1" si="86"/>
        <v>74</v>
      </c>
      <c r="U2314" s="9">
        <f t="shared" ca="1" si="87"/>
        <v>20</v>
      </c>
    </row>
    <row r="2315" spans="1:28" ht="58">
      <c r="A2315" s="3" t="s">
        <v>1201</v>
      </c>
      <c r="D2315" s="3" t="s">
        <v>6298</v>
      </c>
      <c r="E2315" s="3" t="s">
        <v>6299</v>
      </c>
      <c r="F2315" t="s">
        <v>3932</v>
      </c>
      <c r="I2315" t="s">
        <v>6300</v>
      </c>
      <c r="T2315" s="9" t="str">
        <f t="shared" ca="1" si="86"/>
        <v/>
      </c>
      <c r="U2315" s="9" t="str">
        <f t="shared" ca="1" si="87"/>
        <v/>
      </c>
    </row>
    <row r="2316" spans="1:28">
      <c r="A2316" s="3" t="s">
        <v>1202</v>
      </c>
      <c r="D2316" s="3" t="s">
        <v>6301</v>
      </c>
      <c r="E2316" s="3" t="s">
        <v>6301</v>
      </c>
      <c r="F2316" t="s">
        <v>3932</v>
      </c>
      <c r="I2316" t="s">
        <v>6302</v>
      </c>
      <c r="T2316" s="9" t="str">
        <f t="shared" ca="1" si="86"/>
        <v/>
      </c>
      <c r="U2316" s="9" t="str">
        <f t="shared" ca="1" si="87"/>
        <v/>
      </c>
    </row>
    <row r="2317" spans="1:28">
      <c r="A2317" s="3" t="s">
        <v>1202</v>
      </c>
      <c r="D2317" s="3" t="s">
        <v>3394</v>
      </c>
      <c r="E2317" s="3" t="s">
        <v>3395</v>
      </c>
      <c r="J2317" s="9" t="s">
        <v>8731</v>
      </c>
      <c r="T2317" s="9" t="str">
        <f t="shared" ca="1" si="86"/>
        <v/>
      </c>
      <c r="U2317" s="9" t="str">
        <f t="shared" ca="1" si="87"/>
        <v/>
      </c>
      <c r="Z2317" s="9" t="s">
        <v>8832</v>
      </c>
      <c r="AA2317" s="9" t="s">
        <v>3884</v>
      </c>
      <c r="AB2317" s="9" t="s">
        <v>8697</v>
      </c>
    </row>
    <row r="2318" spans="1:28">
      <c r="A2318" s="3" t="s">
        <v>1203</v>
      </c>
      <c r="D2318" s="3" t="s">
        <v>6303</v>
      </c>
      <c r="E2318" s="3" t="s">
        <v>6304</v>
      </c>
      <c r="J2318" s="9" t="s">
        <v>8731</v>
      </c>
      <c r="T2318" s="9" t="str">
        <f t="shared" ca="1" si="86"/>
        <v/>
      </c>
      <c r="U2318" s="9" t="str">
        <f t="shared" ca="1" si="87"/>
        <v/>
      </c>
    </row>
    <row r="2319" spans="1:28">
      <c r="A2319" s="3" t="s">
        <v>1203</v>
      </c>
      <c r="D2319" s="3" t="s">
        <v>6305</v>
      </c>
      <c r="E2319" s="3" t="s">
        <v>6306</v>
      </c>
      <c r="J2319" s="9" t="s">
        <v>3885</v>
      </c>
      <c r="K2319" s="9">
        <v>1</v>
      </c>
      <c r="L2319" s="9">
        <v>3</v>
      </c>
      <c r="M2319" s="9" t="s">
        <v>8689</v>
      </c>
      <c r="N2319" s="9" t="s">
        <v>8690</v>
      </c>
      <c r="R2319" s="9">
        <v>10929</v>
      </c>
      <c r="T2319" s="9" t="str">
        <f t="shared" ca="1" si="86"/>
        <v/>
      </c>
      <c r="U2319" s="9" t="str">
        <f t="shared" ca="1" si="87"/>
        <v/>
      </c>
    </row>
    <row r="2320" spans="1:28">
      <c r="A2320" s="3" t="s">
        <v>1204</v>
      </c>
      <c r="D2320" s="3" t="s">
        <v>5490</v>
      </c>
      <c r="E2320" s="3" t="s">
        <v>5491</v>
      </c>
      <c r="J2320" s="9" t="s">
        <v>8729</v>
      </c>
      <c r="S2320" s="9" t="s">
        <v>8739</v>
      </c>
      <c r="T2320" s="9" t="str">
        <f t="shared" ca="1" si="86"/>
        <v/>
      </c>
      <c r="U2320" s="9" t="str">
        <f t="shared" ca="1" si="87"/>
        <v/>
      </c>
      <c r="Z2320" s="9" t="s">
        <v>8741</v>
      </c>
      <c r="AA2320" s="9" t="s">
        <v>3884</v>
      </c>
      <c r="AB2320" s="9" t="s">
        <v>8697</v>
      </c>
    </row>
    <row r="2321" spans="1:28">
      <c r="A2321" s="3" t="s">
        <v>1205</v>
      </c>
      <c r="D2321" s="3" t="s">
        <v>5490</v>
      </c>
      <c r="E2321" s="3" t="s">
        <v>5491</v>
      </c>
      <c r="J2321" s="9" t="s">
        <v>8729</v>
      </c>
      <c r="S2321" s="9" t="s">
        <v>8739</v>
      </c>
      <c r="T2321" s="9" t="str">
        <f t="shared" ca="1" si="86"/>
        <v/>
      </c>
      <c r="U2321" s="9" t="str">
        <f t="shared" ca="1" si="87"/>
        <v/>
      </c>
      <c r="Z2321" s="9" t="s">
        <v>8741</v>
      </c>
      <c r="AA2321" s="9" t="s">
        <v>3884</v>
      </c>
      <c r="AB2321" s="9" t="s">
        <v>8697</v>
      </c>
    </row>
    <row r="2322" spans="1:28">
      <c r="A2322" s="3" t="s">
        <v>1206</v>
      </c>
      <c r="D2322" s="3" t="s">
        <v>3396</v>
      </c>
      <c r="E2322" s="3" t="s">
        <v>3397</v>
      </c>
      <c r="J2322" s="9" t="s">
        <v>8731</v>
      </c>
      <c r="T2322" s="9" t="str">
        <f t="shared" ca="1" si="86"/>
        <v/>
      </c>
      <c r="U2322" s="9" t="str">
        <f t="shared" ca="1" si="87"/>
        <v/>
      </c>
      <c r="Z2322" s="9" t="s">
        <v>8832</v>
      </c>
      <c r="AA2322" s="9" t="s">
        <v>3884</v>
      </c>
      <c r="AB2322" s="9" t="s">
        <v>8697</v>
      </c>
    </row>
    <row r="2323" spans="1:28">
      <c r="A2323" s="3" t="s">
        <v>1207</v>
      </c>
      <c r="D2323" s="3" t="s">
        <v>6307</v>
      </c>
      <c r="E2323" s="3" t="s">
        <v>6308</v>
      </c>
      <c r="J2323" s="9" t="s">
        <v>8731</v>
      </c>
      <c r="T2323" s="9" t="str">
        <f t="shared" ca="1" si="86"/>
        <v/>
      </c>
      <c r="U2323" s="9" t="str">
        <f t="shared" ca="1" si="87"/>
        <v/>
      </c>
      <c r="Z2323" s="9" t="s">
        <v>8741</v>
      </c>
      <c r="AA2323" s="9" t="s">
        <v>3884</v>
      </c>
    </row>
    <row r="2324" spans="1:28">
      <c r="A2324" s="3" t="s">
        <v>1208</v>
      </c>
      <c r="D2324" s="3" t="s">
        <v>6309</v>
      </c>
      <c r="E2324" s="4" t="s">
        <v>6310</v>
      </c>
      <c r="F2324" t="s">
        <v>3897</v>
      </c>
      <c r="T2324" s="9" t="str">
        <f t="shared" ca="1" si="86"/>
        <v/>
      </c>
      <c r="U2324" s="9" t="str">
        <f t="shared" ca="1" si="87"/>
        <v/>
      </c>
    </row>
    <row r="2325" spans="1:28">
      <c r="A2325" s="3" t="s">
        <v>1208</v>
      </c>
      <c r="D2325" s="3" t="s">
        <v>6311</v>
      </c>
      <c r="E2325" s="3" t="s">
        <v>3398</v>
      </c>
      <c r="H2325" t="s">
        <v>3884</v>
      </c>
      <c r="J2325" s="9" t="s">
        <v>8729</v>
      </c>
      <c r="S2325" s="9" t="s">
        <v>8739</v>
      </c>
      <c r="T2325" s="9" t="str">
        <f t="shared" ca="1" si="86"/>
        <v/>
      </c>
      <c r="U2325" s="9" t="str">
        <f t="shared" ca="1" si="87"/>
        <v/>
      </c>
      <c r="AB2325" s="9" t="s">
        <v>8688</v>
      </c>
    </row>
    <row r="2326" spans="1:28">
      <c r="A2326" s="3" t="s">
        <v>1209</v>
      </c>
      <c r="D2326" s="3" t="s">
        <v>6312</v>
      </c>
      <c r="E2326" s="3" t="s">
        <v>6312</v>
      </c>
      <c r="F2326" t="s">
        <v>3932</v>
      </c>
      <c r="I2326" t="s">
        <v>6313</v>
      </c>
      <c r="T2326" s="9" t="str">
        <f t="shared" ca="1" si="86"/>
        <v/>
      </c>
      <c r="U2326" s="9" t="str">
        <f t="shared" ca="1" si="87"/>
        <v/>
      </c>
    </row>
    <row r="2327" spans="1:28">
      <c r="A2327" s="3" t="s">
        <v>1209</v>
      </c>
      <c r="D2327" s="3" t="s">
        <v>6314</v>
      </c>
      <c r="E2327" s="3" t="s">
        <v>6314</v>
      </c>
      <c r="F2327" t="s">
        <v>3932</v>
      </c>
      <c r="I2327" t="s">
        <v>6315</v>
      </c>
      <c r="T2327" s="9" t="str">
        <f t="shared" ca="1" si="86"/>
        <v/>
      </c>
      <c r="U2327" s="9" t="str">
        <f t="shared" ca="1" si="87"/>
        <v/>
      </c>
    </row>
    <row r="2328" spans="1:28">
      <c r="A2328" s="3" t="s">
        <v>1210</v>
      </c>
      <c r="D2328" s="3" t="s">
        <v>6316</v>
      </c>
      <c r="E2328" s="3" t="s">
        <v>6317</v>
      </c>
      <c r="H2328" t="s">
        <v>3884</v>
      </c>
      <c r="J2328" s="9" t="s">
        <v>3889</v>
      </c>
      <c r="K2328" s="9">
        <v>1</v>
      </c>
      <c r="L2328" s="9">
        <v>3</v>
      </c>
      <c r="M2328" s="9" t="s">
        <v>8689</v>
      </c>
      <c r="N2328" s="9" t="s">
        <v>8690</v>
      </c>
      <c r="R2328" s="9">
        <v>10929</v>
      </c>
      <c r="T2328" s="9" t="str">
        <f t="shared" ca="1" si="86"/>
        <v/>
      </c>
      <c r="U2328" s="9" t="str">
        <f t="shared" ca="1" si="87"/>
        <v/>
      </c>
    </row>
    <row r="2329" spans="1:28">
      <c r="A2329" s="3" t="s">
        <v>1211</v>
      </c>
      <c r="D2329" s="3" t="s">
        <v>6318</v>
      </c>
      <c r="E2329" s="3" t="s">
        <v>6319</v>
      </c>
      <c r="F2329" t="s">
        <v>3893</v>
      </c>
      <c r="T2329" s="9" t="str">
        <f t="shared" ca="1" si="86"/>
        <v/>
      </c>
      <c r="U2329" s="9" t="str">
        <f t="shared" ca="1" si="87"/>
        <v/>
      </c>
    </row>
    <row r="2330" spans="1:28" ht="29">
      <c r="A2330" s="3" t="s">
        <v>1212</v>
      </c>
      <c r="D2330" s="3" t="s">
        <v>6321</v>
      </c>
      <c r="E2330" s="3" t="s">
        <v>6320</v>
      </c>
      <c r="F2330" t="s">
        <v>3893</v>
      </c>
      <c r="H2330" t="s">
        <v>3884</v>
      </c>
      <c r="T2330" s="9" t="str">
        <f t="shared" ca="1" si="86"/>
        <v/>
      </c>
      <c r="U2330" s="9" t="str">
        <f t="shared" ca="1" si="87"/>
        <v/>
      </c>
    </row>
    <row r="2331" spans="1:28" ht="43.5">
      <c r="A2331" s="3" t="s">
        <v>1212</v>
      </c>
      <c r="D2331" s="3" t="s">
        <v>6322</v>
      </c>
      <c r="E2331" s="3" t="s">
        <v>6323</v>
      </c>
      <c r="H2331" t="s">
        <v>3884</v>
      </c>
      <c r="I2331" t="s">
        <v>9094</v>
      </c>
      <c r="J2331" s="9" t="s">
        <v>3885</v>
      </c>
      <c r="K2331" s="9">
        <v>5</v>
      </c>
      <c r="L2331" s="9">
        <v>17</v>
      </c>
      <c r="N2331" s="9" t="s">
        <v>8684</v>
      </c>
      <c r="O2331" s="9" t="s">
        <v>9092</v>
      </c>
      <c r="P2331" s="10" t="s">
        <v>9093</v>
      </c>
      <c r="Q2331" s="9" t="s">
        <v>8685</v>
      </c>
      <c r="R2331" s="9">
        <v>1</v>
      </c>
      <c r="T2331" s="9" t="str">
        <f t="shared" ca="1" si="86"/>
        <v/>
      </c>
      <c r="U2331" s="9" t="str">
        <f t="shared" ca="1" si="87"/>
        <v/>
      </c>
      <c r="AB2331" s="9" t="s">
        <v>8694</v>
      </c>
    </row>
    <row r="2332" spans="1:28" ht="246.5">
      <c r="A2332" s="3" t="s">
        <v>1213</v>
      </c>
      <c r="D2332" s="3" t="s">
        <v>9095</v>
      </c>
      <c r="E2332" s="3" t="s">
        <v>9643</v>
      </c>
      <c r="H2332" t="s">
        <v>3884</v>
      </c>
      <c r="I2332" t="s">
        <v>9694</v>
      </c>
      <c r="J2332" s="9" t="s">
        <v>3889</v>
      </c>
      <c r="K2332" s="9">
        <v>46</v>
      </c>
      <c r="L2332" s="9">
        <v>204</v>
      </c>
      <c r="N2332" s="9" t="s">
        <v>8684</v>
      </c>
      <c r="O2332" s="9" t="s">
        <v>8740</v>
      </c>
      <c r="P2332" s="10" t="s">
        <v>9018</v>
      </c>
      <c r="R2332" s="9">
        <v>23</v>
      </c>
      <c r="T2332" s="9" t="str">
        <f t="shared" ca="1" si="86"/>
        <v/>
      </c>
      <c r="U2332" s="9" t="str">
        <f t="shared" ca="1" si="87"/>
        <v/>
      </c>
    </row>
    <row r="2333" spans="1:28">
      <c r="A2333" s="3" t="s">
        <v>1214</v>
      </c>
      <c r="D2333" s="3" t="s">
        <v>6324</v>
      </c>
      <c r="E2333" s="3" t="s">
        <v>6325</v>
      </c>
      <c r="H2333" t="s">
        <v>3892</v>
      </c>
      <c r="I2333" t="s">
        <v>6326</v>
      </c>
      <c r="J2333" s="9" t="s">
        <v>8731</v>
      </c>
      <c r="T2333" s="9" t="str">
        <f t="shared" ca="1" si="86"/>
        <v/>
      </c>
      <c r="U2333" s="9" t="str">
        <f t="shared" ca="1" si="87"/>
        <v/>
      </c>
      <c r="AB2333" s="9" t="s">
        <v>8697</v>
      </c>
    </row>
    <row r="2334" spans="1:28" ht="29">
      <c r="A2334" s="3" t="s">
        <v>1214</v>
      </c>
      <c r="D2334" s="3" t="s">
        <v>6327</v>
      </c>
      <c r="E2334" s="4" t="s">
        <v>6328</v>
      </c>
      <c r="F2334" t="s">
        <v>3897</v>
      </c>
      <c r="T2334" s="9" t="str">
        <f t="shared" ca="1" si="86"/>
        <v/>
      </c>
      <c r="U2334" s="9" t="str">
        <f t="shared" ca="1" si="87"/>
        <v/>
      </c>
    </row>
    <row r="2335" spans="1:28" ht="29">
      <c r="A2335" s="3" t="s">
        <v>1215</v>
      </c>
      <c r="D2335" s="3" t="s">
        <v>6329</v>
      </c>
      <c r="E2335" s="3" t="s">
        <v>6330</v>
      </c>
      <c r="J2335" s="9" t="s">
        <v>3885</v>
      </c>
      <c r="K2335" s="9">
        <v>1</v>
      </c>
      <c r="L2335" s="9">
        <v>1</v>
      </c>
      <c r="M2335" s="9" t="s">
        <v>8689</v>
      </c>
      <c r="N2335" s="9" t="s">
        <v>8730</v>
      </c>
      <c r="Q2335" s="9" t="s">
        <v>8685</v>
      </c>
      <c r="R2335" s="9">
        <v>10929</v>
      </c>
      <c r="T2335" s="9" t="str">
        <f t="shared" ca="1" si="86"/>
        <v/>
      </c>
      <c r="U2335" s="9" t="str">
        <f t="shared" ca="1" si="87"/>
        <v/>
      </c>
    </row>
    <row r="2336" spans="1:28">
      <c r="A2336" s="3" t="s">
        <v>1216</v>
      </c>
      <c r="D2336" s="4" t="s">
        <v>6331</v>
      </c>
      <c r="E2336" s="3" t="s">
        <v>6332</v>
      </c>
      <c r="F2336" t="s">
        <v>3883</v>
      </c>
      <c r="T2336" s="9" t="str">
        <f t="shared" ca="1" si="86"/>
        <v/>
      </c>
      <c r="U2336" s="9" t="str">
        <f t="shared" ca="1" si="87"/>
        <v/>
      </c>
    </row>
    <row r="2337" spans="1:28">
      <c r="A2337" s="3" t="s">
        <v>1217</v>
      </c>
      <c r="D2337" s="3" t="s">
        <v>3399</v>
      </c>
      <c r="E2337" s="3" t="s">
        <v>3399</v>
      </c>
      <c r="F2337" t="s">
        <v>3932</v>
      </c>
      <c r="I2337" t="s">
        <v>6333</v>
      </c>
      <c r="T2337" s="9" t="str">
        <f t="shared" ca="1" si="86"/>
        <v/>
      </c>
      <c r="U2337" s="9" t="str">
        <f t="shared" ca="1" si="87"/>
        <v/>
      </c>
    </row>
    <row r="2338" spans="1:28" ht="29">
      <c r="A2338" s="3" t="s">
        <v>1218</v>
      </c>
      <c r="D2338" s="3" t="s">
        <v>6334</v>
      </c>
      <c r="E2338" s="3" t="s">
        <v>6335</v>
      </c>
      <c r="H2338" t="s">
        <v>3884</v>
      </c>
      <c r="J2338" s="9" t="s">
        <v>3885</v>
      </c>
      <c r="K2338" s="9">
        <v>1</v>
      </c>
      <c r="L2338" s="9">
        <v>1</v>
      </c>
      <c r="M2338" s="9" t="s">
        <v>8698</v>
      </c>
      <c r="N2338" s="9" t="s">
        <v>8730</v>
      </c>
      <c r="R2338" s="9">
        <v>55</v>
      </c>
      <c r="T2338" s="9" t="str">
        <f t="shared" ca="1" si="86"/>
        <v/>
      </c>
      <c r="U2338" s="9" t="str">
        <f t="shared" ca="1" si="87"/>
        <v/>
      </c>
    </row>
    <row r="2339" spans="1:28">
      <c r="A2339" s="3" t="s">
        <v>1218</v>
      </c>
      <c r="D2339" s="3" t="s">
        <v>6336</v>
      </c>
      <c r="E2339" s="3" t="s">
        <v>6337</v>
      </c>
      <c r="F2339" t="s">
        <v>3932</v>
      </c>
      <c r="I2339" t="s">
        <v>6338</v>
      </c>
      <c r="T2339" s="9" t="str">
        <f t="shared" ca="1" si="86"/>
        <v/>
      </c>
      <c r="U2339" s="9" t="str">
        <f t="shared" ca="1" si="87"/>
        <v/>
      </c>
    </row>
    <row r="2340" spans="1:28" ht="29">
      <c r="A2340" s="3" t="s">
        <v>1219</v>
      </c>
      <c r="D2340" s="3" t="s">
        <v>6339</v>
      </c>
      <c r="E2340" s="3" t="s">
        <v>6340</v>
      </c>
      <c r="H2340" t="s">
        <v>3888</v>
      </c>
      <c r="J2340" s="9" t="s">
        <v>8729</v>
      </c>
      <c r="S2340" s="9" t="s">
        <v>8739</v>
      </c>
      <c r="T2340" s="9" t="str">
        <f t="shared" ca="1" si="86"/>
        <v/>
      </c>
      <c r="U2340" s="9" t="str">
        <f t="shared" ca="1" si="87"/>
        <v/>
      </c>
      <c r="AB2340" s="9" t="s">
        <v>8697</v>
      </c>
    </row>
    <row r="2341" spans="1:28">
      <c r="A2341" s="3" t="s">
        <v>1220</v>
      </c>
      <c r="D2341" s="3" t="s">
        <v>3400</v>
      </c>
      <c r="E2341" s="3" t="s">
        <v>3400</v>
      </c>
      <c r="F2341" t="s">
        <v>3932</v>
      </c>
      <c r="I2341" t="s">
        <v>6341</v>
      </c>
      <c r="T2341" s="9" t="str">
        <f t="shared" ca="1" si="86"/>
        <v/>
      </c>
      <c r="U2341" s="9" t="str">
        <f t="shared" ca="1" si="87"/>
        <v/>
      </c>
    </row>
    <row r="2342" spans="1:28">
      <c r="A2342" s="3" t="s">
        <v>1220</v>
      </c>
      <c r="D2342" s="3" t="s">
        <v>3401</v>
      </c>
      <c r="E2342" s="3" t="s">
        <v>3401</v>
      </c>
      <c r="F2342" t="s">
        <v>3932</v>
      </c>
      <c r="I2342" t="s">
        <v>6342</v>
      </c>
      <c r="T2342" s="9" t="str">
        <f t="shared" ca="1" si="86"/>
        <v/>
      </c>
      <c r="U2342" s="9" t="str">
        <f t="shared" ca="1" si="87"/>
        <v/>
      </c>
    </row>
    <row r="2343" spans="1:28">
      <c r="A2343" s="3" t="s">
        <v>1221</v>
      </c>
      <c r="D2343" s="3" t="s">
        <v>3402</v>
      </c>
      <c r="E2343" s="3" t="s">
        <v>3403</v>
      </c>
      <c r="J2343" s="9" t="s">
        <v>8729</v>
      </c>
      <c r="S2343" s="9" t="s">
        <v>8739</v>
      </c>
      <c r="T2343" s="9" t="str">
        <f t="shared" ca="1" si="86"/>
        <v/>
      </c>
      <c r="U2343" s="9" t="str">
        <f t="shared" ca="1" si="87"/>
        <v/>
      </c>
      <c r="Z2343" s="9" t="s">
        <v>8747</v>
      </c>
      <c r="AA2343" s="9" t="s">
        <v>3884</v>
      </c>
      <c r="AB2343" s="9" t="s">
        <v>8697</v>
      </c>
    </row>
    <row r="2344" spans="1:28" ht="29">
      <c r="A2344" s="3" t="s">
        <v>1221</v>
      </c>
      <c r="D2344" s="3" t="s">
        <v>6345</v>
      </c>
      <c r="E2344" s="3" t="s">
        <v>6344</v>
      </c>
      <c r="H2344" t="s">
        <v>3884</v>
      </c>
      <c r="J2344" s="9" t="s">
        <v>3889</v>
      </c>
      <c r="K2344" s="9">
        <v>1</v>
      </c>
      <c r="L2344" s="9">
        <v>3</v>
      </c>
      <c r="M2344" s="9" t="s">
        <v>8703</v>
      </c>
      <c r="N2344" s="9" t="s">
        <v>8690</v>
      </c>
      <c r="R2344" s="9">
        <v>627</v>
      </c>
      <c r="T2344" s="9" t="str">
        <f t="shared" ca="1" si="86"/>
        <v/>
      </c>
      <c r="U2344" s="9" t="str">
        <f t="shared" ca="1" si="87"/>
        <v/>
      </c>
    </row>
    <row r="2345" spans="1:28" ht="29">
      <c r="A2345" s="3" t="s">
        <v>1221</v>
      </c>
      <c r="D2345" s="3" t="s">
        <v>6343</v>
      </c>
      <c r="E2345" s="3" t="s">
        <v>6346</v>
      </c>
      <c r="H2345" t="s">
        <v>3884</v>
      </c>
      <c r="I2345" s="7"/>
      <c r="J2345" s="9" t="s">
        <v>3885</v>
      </c>
      <c r="K2345" s="9">
        <v>2</v>
      </c>
      <c r="L2345" s="9">
        <v>7</v>
      </c>
      <c r="N2345" s="9" t="s">
        <v>8690</v>
      </c>
      <c r="R2345" s="9" t="s">
        <v>8739</v>
      </c>
      <c r="T2345" s="9" t="str">
        <f t="shared" ca="1" si="86"/>
        <v/>
      </c>
      <c r="U2345" s="9" t="str">
        <f t="shared" ca="1" si="87"/>
        <v/>
      </c>
      <c r="AB2345" s="9" t="s">
        <v>8688</v>
      </c>
    </row>
    <row r="2346" spans="1:28">
      <c r="A2346" s="3" t="s">
        <v>1222</v>
      </c>
      <c r="D2346" s="3" t="s">
        <v>3404</v>
      </c>
      <c r="E2346" s="3" t="s">
        <v>3404</v>
      </c>
      <c r="F2346" t="s">
        <v>3932</v>
      </c>
      <c r="I2346" t="s">
        <v>6347</v>
      </c>
      <c r="T2346" s="9" t="str">
        <f t="shared" ca="1" si="86"/>
        <v/>
      </c>
      <c r="U2346" s="9" t="str">
        <f t="shared" ca="1" si="87"/>
        <v/>
      </c>
    </row>
    <row r="2347" spans="1:28" ht="29">
      <c r="A2347" s="3" t="s">
        <v>1223</v>
      </c>
      <c r="D2347" s="3" t="s">
        <v>6349</v>
      </c>
      <c r="E2347" s="3" t="s">
        <v>6348</v>
      </c>
      <c r="J2347" s="9" t="s">
        <v>3889</v>
      </c>
      <c r="K2347" s="9">
        <v>1</v>
      </c>
      <c r="L2347" s="9">
        <v>5</v>
      </c>
      <c r="M2347" s="9" t="s">
        <v>8705</v>
      </c>
      <c r="N2347" s="9" t="s">
        <v>8684</v>
      </c>
      <c r="O2347" s="9" t="s">
        <v>8777</v>
      </c>
      <c r="P2347" s="10" t="s">
        <v>8772</v>
      </c>
      <c r="R2347" s="9">
        <v>3678</v>
      </c>
      <c r="T2347" s="9" t="str">
        <f t="shared" ca="1" si="86"/>
        <v/>
      </c>
      <c r="U2347" s="9" t="str">
        <f t="shared" ca="1" si="87"/>
        <v/>
      </c>
    </row>
    <row r="2348" spans="1:28" ht="29">
      <c r="A2348" s="3" t="s">
        <v>1223</v>
      </c>
      <c r="D2348" s="3" t="s">
        <v>6350</v>
      </c>
      <c r="E2348" s="3" t="s">
        <v>6351</v>
      </c>
      <c r="F2348" t="s">
        <v>3932</v>
      </c>
      <c r="I2348" t="s">
        <v>6352</v>
      </c>
      <c r="T2348" s="9" t="str">
        <f t="shared" ca="1" si="86"/>
        <v/>
      </c>
      <c r="U2348" s="9" t="str">
        <f t="shared" ca="1" si="87"/>
        <v/>
      </c>
    </row>
    <row r="2349" spans="1:28" ht="43.5">
      <c r="A2349" s="3" t="s">
        <v>1224</v>
      </c>
      <c r="D2349" s="3" t="s">
        <v>6353</v>
      </c>
      <c r="E2349" s="3" t="s">
        <v>6354</v>
      </c>
      <c r="F2349" t="s">
        <v>3932</v>
      </c>
      <c r="I2349" t="s">
        <v>2966</v>
      </c>
      <c r="T2349" s="9" t="str">
        <f t="shared" ca="1" si="86"/>
        <v/>
      </c>
      <c r="U2349" s="9" t="str">
        <f t="shared" ca="1" si="87"/>
        <v/>
      </c>
    </row>
    <row r="2350" spans="1:28" ht="29">
      <c r="A2350" s="3" t="s">
        <v>1225</v>
      </c>
      <c r="D2350" s="3" t="s">
        <v>9096</v>
      </c>
      <c r="E2350" s="3" t="s">
        <v>9097</v>
      </c>
      <c r="H2350" t="s">
        <v>3884</v>
      </c>
      <c r="J2350" s="9" t="s">
        <v>8731</v>
      </c>
      <c r="T2350" s="9" t="str">
        <f t="shared" ca="1" si="86"/>
        <v/>
      </c>
      <c r="U2350" s="9" t="str">
        <f t="shared" ca="1" si="87"/>
        <v/>
      </c>
    </row>
    <row r="2351" spans="1:28">
      <c r="A2351" s="3" t="s">
        <v>1225</v>
      </c>
      <c r="D2351" s="3" t="s">
        <v>6355</v>
      </c>
      <c r="E2351" s="3" t="s">
        <v>6356</v>
      </c>
      <c r="H2351" t="s">
        <v>3884</v>
      </c>
      <c r="J2351" s="9" t="s">
        <v>8731</v>
      </c>
      <c r="T2351" s="9" t="str">
        <f t="shared" ca="1" si="86"/>
        <v/>
      </c>
      <c r="U2351" s="9" t="str">
        <f t="shared" ca="1" si="87"/>
        <v/>
      </c>
      <c r="AB2351" s="9" t="s">
        <v>8694</v>
      </c>
    </row>
    <row r="2352" spans="1:28">
      <c r="A2352" s="3" t="s">
        <v>1226</v>
      </c>
      <c r="D2352" s="3" t="s">
        <v>3405</v>
      </c>
      <c r="E2352" s="3" t="s">
        <v>3405</v>
      </c>
      <c r="F2352" t="s">
        <v>3932</v>
      </c>
      <c r="I2352" t="s">
        <v>2721</v>
      </c>
      <c r="T2352" s="9" t="str">
        <f t="shared" ca="1" si="86"/>
        <v/>
      </c>
      <c r="U2352" s="9" t="str">
        <f t="shared" ca="1" si="87"/>
        <v/>
      </c>
    </row>
    <row r="2353" spans="1:28">
      <c r="A2353" s="3" t="s">
        <v>1226</v>
      </c>
      <c r="D2353" s="4" t="s">
        <v>3406</v>
      </c>
      <c r="E2353" s="3" t="s">
        <v>3406</v>
      </c>
      <c r="F2353" t="s">
        <v>4196</v>
      </c>
      <c r="I2353" t="s">
        <v>9515</v>
      </c>
      <c r="J2353" s="9" t="s">
        <v>8731</v>
      </c>
      <c r="T2353" s="9" t="str">
        <f t="shared" ca="1" si="86"/>
        <v/>
      </c>
      <c r="U2353" s="9" t="str">
        <f t="shared" ca="1" si="87"/>
        <v/>
      </c>
    </row>
    <row r="2354" spans="1:28">
      <c r="A2354" s="3" t="s">
        <v>1227</v>
      </c>
      <c r="D2354" s="4" t="s">
        <v>6357</v>
      </c>
      <c r="E2354" s="3" t="s">
        <v>9516</v>
      </c>
      <c r="F2354" t="s">
        <v>3883</v>
      </c>
      <c r="T2354" s="9" t="str">
        <f t="shared" ca="1" si="86"/>
        <v/>
      </c>
      <c r="U2354" s="9" t="str">
        <f t="shared" ca="1" si="87"/>
        <v/>
      </c>
    </row>
    <row r="2355" spans="1:28">
      <c r="A2355" s="3" t="s">
        <v>1227</v>
      </c>
      <c r="D2355" s="4" t="s">
        <v>9517</v>
      </c>
      <c r="E2355" s="3" t="s">
        <v>9518</v>
      </c>
      <c r="F2355" t="s">
        <v>4196</v>
      </c>
      <c r="I2355" t="s">
        <v>9519</v>
      </c>
      <c r="J2355" s="9" t="s">
        <v>8731</v>
      </c>
      <c r="T2355" s="9" t="str">
        <f t="shared" ref="T2355" ca="1" si="88">IF(ISNUMBER(S2355),VALUE(MID(_xlfn.FORMULATEXT(S2355),SEARCH("-",_xlfn.FORMULATEXT(S2355))+1,LEN(_xlfn.FORMULATEXT(S2355))-SEARCH("-",_xlfn.FORMULATEXT(S2355)))), "")</f>
        <v/>
      </c>
      <c r="U2355" s="9" t="str">
        <f t="shared" ref="U2355" ca="1" si="89">IF(ISNUMBER(S2355), VALUE(MID(_xlfn.FORMULATEXT(S2355), 2, SEARCH("-", _xlfn.FORMULATEXT(S2355)) - 2)), "")</f>
        <v/>
      </c>
      <c r="AB2355" s="9" t="s">
        <v>8694</v>
      </c>
    </row>
    <row r="2356" spans="1:28" ht="29">
      <c r="A2356" s="3" t="s">
        <v>1227</v>
      </c>
      <c r="D2356" s="3" t="s">
        <v>6358</v>
      </c>
      <c r="E2356" s="3" t="s">
        <v>6359</v>
      </c>
      <c r="J2356" s="9" t="s">
        <v>3885</v>
      </c>
      <c r="K2356" s="9">
        <v>1</v>
      </c>
      <c r="L2356" s="9">
        <v>3</v>
      </c>
      <c r="M2356" s="9" t="s">
        <v>8689</v>
      </c>
      <c r="N2356" s="9" t="s">
        <v>8684</v>
      </c>
      <c r="O2356" s="9" t="s">
        <v>8777</v>
      </c>
      <c r="P2356" s="10" t="s">
        <v>8778</v>
      </c>
      <c r="Q2356" s="9" t="s">
        <v>8685</v>
      </c>
      <c r="R2356" s="9">
        <v>10929</v>
      </c>
      <c r="T2356" s="9" t="str">
        <f t="shared" ca="1" si="86"/>
        <v/>
      </c>
      <c r="U2356" s="9" t="str">
        <f t="shared" ca="1" si="87"/>
        <v/>
      </c>
    </row>
    <row r="2357" spans="1:28" ht="29">
      <c r="A2357" s="3" t="s">
        <v>1228</v>
      </c>
      <c r="D2357" s="3" t="s">
        <v>6362</v>
      </c>
      <c r="E2357" s="3" t="s">
        <v>6361</v>
      </c>
      <c r="H2357" t="s">
        <v>3884</v>
      </c>
      <c r="J2357" s="9" t="s">
        <v>3889</v>
      </c>
      <c r="K2357" s="9">
        <v>1</v>
      </c>
      <c r="L2357" s="9">
        <v>3</v>
      </c>
      <c r="M2357" s="9" t="s">
        <v>8689</v>
      </c>
      <c r="N2357" s="9" t="s">
        <v>8690</v>
      </c>
      <c r="R2357" s="9">
        <v>10929</v>
      </c>
      <c r="T2357" s="9" t="str">
        <f t="shared" ca="1" si="86"/>
        <v/>
      </c>
      <c r="U2357" s="9" t="str">
        <f t="shared" ca="1" si="87"/>
        <v/>
      </c>
    </row>
    <row r="2358" spans="1:28" ht="29">
      <c r="A2358" s="3" t="s">
        <v>1228</v>
      </c>
      <c r="D2358" s="3" t="s">
        <v>6360</v>
      </c>
      <c r="E2358" s="3" t="s">
        <v>6363</v>
      </c>
      <c r="J2358" s="9" t="s">
        <v>3885</v>
      </c>
      <c r="K2358" s="9">
        <v>1</v>
      </c>
      <c r="L2358" s="9">
        <v>2</v>
      </c>
      <c r="M2358" s="9" t="s">
        <v>8705</v>
      </c>
      <c r="N2358" s="9" t="s">
        <v>8730</v>
      </c>
      <c r="Q2358" s="9" t="s">
        <v>8685</v>
      </c>
      <c r="R2358" s="9">
        <v>615</v>
      </c>
      <c r="T2358" s="9" t="str">
        <f t="shared" ca="1" si="86"/>
        <v/>
      </c>
      <c r="U2358" s="9" t="str">
        <f t="shared" ca="1" si="87"/>
        <v/>
      </c>
    </row>
    <row r="2359" spans="1:28" ht="29">
      <c r="A2359" s="3" t="s">
        <v>1229</v>
      </c>
      <c r="D2359" s="3" t="s">
        <v>6365</v>
      </c>
      <c r="E2359" s="3" t="s">
        <v>6366</v>
      </c>
      <c r="J2359" s="9" t="s">
        <v>8729</v>
      </c>
      <c r="S2359" s="9">
        <f>519-329</f>
        <v>190</v>
      </c>
      <c r="T2359" s="9">
        <f t="shared" ca="1" si="86"/>
        <v>329</v>
      </c>
      <c r="U2359" s="9">
        <f t="shared" ca="1" si="87"/>
        <v>519</v>
      </c>
    </row>
    <row r="2360" spans="1:28" ht="29">
      <c r="A2360" s="3" t="s">
        <v>1229</v>
      </c>
      <c r="D2360" s="3" t="s">
        <v>6364</v>
      </c>
      <c r="E2360" s="3" t="s">
        <v>6367</v>
      </c>
      <c r="J2360" s="9" t="s">
        <v>3885</v>
      </c>
      <c r="K2360" s="9">
        <v>1</v>
      </c>
      <c r="L2360" s="9">
        <v>3</v>
      </c>
      <c r="M2360" s="9" t="s">
        <v>8689</v>
      </c>
      <c r="N2360" s="9" t="s">
        <v>8690</v>
      </c>
      <c r="R2360" s="9">
        <v>10929</v>
      </c>
      <c r="T2360" s="9" t="str">
        <f t="shared" ca="1" si="86"/>
        <v/>
      </c>
      <c r="U2360" s="9" t="str">
        <f t="shared" ca="1" si="87"/>
        <v/>
      </c>
    </row>
    <row r="2361" spans="1:28">
      <c r="A2361" s="3" t="s">
        <v>1229</v>
      </c>
      <c r="D2361" s="3" t="s">
        <v>6368</v>
      </c>
      <c r="E2361" s="3" t="s">
        <v>6369</v>
      </c>
      <c r="J2361" s="9" t="s">
        <v>8731</v>
      </c>
      <c r="T2361" s="9" t="str">
        <f t="shared" ca="1" si="86"/>
        <v/>
      </c>
      <c r="U2361" s="9" t="str">
        <f t="shared" ca="1" si="87"/>
        <v/>
      </c>
    </row>
    <row r="2362" spans="1:28">
      <c r="A2362" s="3" t="s">
        <v>1230</v>
      </c>
      <c r="D2362" s="3" t="s">
        <v>3407</v>
      </c>
      <c r="E2362" s="3" t="s">
        <v>3408</v>
      </c>
      <c r="I2362" t="s">
        <v>9245</v>
      </c>
      <c r="J2362" s="9" t="s">
        <v>8729</v>
      </c>
      <c r="S2362" s="9">
        <f>0-15</f>
        <v>-15</v>
      </c>
      <c r="T2362" s="9">
        <f t="shared" ca="1" si="86"/>
        <v>15</v>
      </c>
      <c r="U2362" s="9">
        <f t="shared" ca="1" si="87"/>
        <v>0</v>
      </c>
      <c r="V2362" s="9" t="s">
        <v>8728</v>
      </c>
    </row>
    <row r="2363" spans="1:28" ht="29">
      <c r="A2363" s="3" t="s">
        <v>1230</v>
      </c>
      <c r="D2363" s="3" t="s">
        <v>6370</v>
      </c>
      <c r="E2363" s="3" t="s">
        <v>6371</v>
      </c>
      <c r="J2363" s="9" t="s">
        <v>8731</v>
      </c>
      <c r="T2363" s="9" t="str">
        <f t="shared" ca="1" si="86"/>
        <v/>
      </c>
      <c r="U2363" s="9" t="str">
        <f t="shared" ca="1" si="87"/>
        <v/>
      </c>
    </row>
    <row r="2364" spans="1:28" ht="29">
      <c r="A2364" s="3" t="s">
        <v>1230</v>
      </c>
      <c r="D2364" s="3" t="s">
        <v>6372</v>
      </c>
      <c r="E2364" s="3" t="s">
        <v>6372</v>
      </c>
      <c r="F2364" t="s">
        <v>3932</v>
      </c>
      <c r="I2364" t="s">
        <v>6373</v>
      </c>
      <c r="T2364" s="9" t="str">
        <f t="shared" ca="1" si="86"/>
        <v/>
      </c>
      <c r="U2364" s="9" t="str">
        <f t="shared" ca="1" si="87"/>
        <v/>
      </c>
    </row>
    <row r="2365" spans="1:28">
      <c r="A2365" s="3" t="s">
        <v>1231</v>
      </c>
      <c r="D2365" s="3" t="s">
        <v>6374</v>
      </c>
      <c r="E2365" s="3" t="s">
        <v>6374</v>
      </c>
      <c r="F2365" t="s">
        <v>3932</v>
      </c>
      <c r="I2365" t="s">
        <v>6375</v>
      </c>
      <c r="T2365" s="9" t="str">
        <f t="shared" ca="1" si="86"/>
        <v/>
      </c>
      <c r="U2365" s="9" t="str">
        <f t="shared" ca="1" si="87"/>
        <v/>
      </c>
    </row>
    <row r="2366" spans="1:28">
      <c r="A2366" s="3" t="s">
        <v>1232</v>
      </c>
      <c r="D2366" s="3" t="s">
        <v>6376</v>
      </c>
      <c r="E2366" s="4" t="s">
        <v>6377</v>
      </c>
      <c r="F2366" t="s">
        <v>3897</v>
      </c>
      <c r="T2366" s="9" t="str">
        <f t="shared" ca="1" si="86"/>
        <v/>
      </c>
      <c r="U2366" s="9" t="str">
        <f t="shared" ca="1" si="87"/>
        <v/>
      </c>
    </row>
    <row r="2367" spans="1:28" ht="29">
      <c r="A2367" s="3" t="s">
        <v>1233</v>
      </c>
      <c r="D2367" s="3" t="s">
        <v>6378</v>
      </c>
      <c r="E2367" s="3" t="s">
        <v>6379</v>
      </c>
      <c r="J2367" s="9" t="s">
        <v>8731</v>
      </c>
      <c r="T2367" s="9" t="str">
        <f t="shared" ca="1" si="86"/>
        <v/>
      </c>
      <c r="U2367" s="9" t="str">
        <f t="shared" ca="1" si="87"/>
        <v/>
      </c>
      <c r="Y2367" s="9" t="s">
        <v>9282</v>
      </c>
      <c r="AA2367" s="9" t="s">
        <v>3884</v>
      </c>
    </row>
    <row r="2368" spans="1:28" ht="29">
      <c r="A2368" s="3" t="s">
        <v>1233</v>
      </c>
      <c r="D2368" s="3" t="s">
        <v>6380</v>
      </c>
      <c r="E2368" s="3" t="s">
        <v>6381</v>
      </c>
      <c r="H2368" t="s">
        <v>3884</v>
      </c>
      <c r="J2368" s="9" t="s">
        <v>8731</v>
      </c>
      <c r="T2368" s="9" t="str">
        <f t="shared" ca="1" si="86"/>
        <v/>
      </c>
      <c r="U2368" s="9" t="str">
        <f t="shared" ca="1" si="87"/>
        <v/>
      </c>
    </row>
    <row r="2369" spans="1:28" ht="29">
      <c r="A2369" s="3" t="s">
        <v>1234</v>
      </c>
      <c r="D2369" s="3" t="s">
        <v>6382</v>
      </c>
      <c r="E2369" s="3" t="s">
        <v>6383</v>
      </c>
      <c r="J2369" s="9" t="s">
        <v>3885</v>
      </c>
      <c r="K2369" s="9">
        <v>1</v>
      </c>
      <c r="L2369" s="9">
        <v>2</v>
      </c>
      <c r="M2369" s="9" t="s">
        <v>8689</v>
      </c>
      <c r="N2369" s="9" t="s">
        <v>8730</v>
      </c>
      <c r="R2369" s="9">
        <v>10929</v>
      </c>
      <c r="T2369" s="9" t="str">
        <f t="shared" ca="1" si="86"/>
        <v/>
      </c>
      <c r="U2369" s="9" t="str">
        <f t="shared" ca="1" si="87"/>
        <v/>
      </c>
    </row>
    <row r="2370" spans="1:28" ht="29">
      <c r="A2370" s="3" t="s">
        <v>1234</v>
      </c>
      <c r="D2370" s="3" t="s">
        <v>6384</v>
      </c>
      <c r="E2370" s="3" t="s">
        <v>6385</v>
      </c>
      <c r="F2370" t="s">
        <v>3932</v>
      </c>
      <c r="I2370" t="s">
        <v>6386</v>
      </c>
      <c r="T2370" s="9" t="str">
        <f t="shared" ca="1" si="86"/>
        <v/>
      </c>
      <c r="U2370" s="9" t="str">
        <f t="shared" ca="1" si="87"/>
        <v/>
      </c>
    </row>
    <row r="2371" spans="1:28">
      <c r="A2371" s="3" t="s">
        <v>1235</v>
      </c>
      <c r="D2371" s="3" t="s">
        <v>3409</v>
      </c>
      <c r="E2371" s="3" t="s">
        <v>3409</v>
      </c>
      <c r="F2371" t="s">
        <v>3932</v>
      </c>
      <c r="I2371" t="s">
        <v>3410</v>
      </c>
      <c r="T2371" s="9" t="str">
        <f t="shared" ca="1" si="86"/>
        <v/>
      </c>
      <c r="U2371" s="9" t="str">
        <f t="shared" ca="1" si="87"/>
        <v/>
      </c>
    </row>
    <row r="2372" spans="1:28">
      <c r="A2372" s="3" t="s">
        <v>1236</v>
      </c>
      <c r="D2372" s="3" t="s">
        <v>6387</v>
      </c>
      <c r="E2372" s="3" t="s">
        <v>6388</v>
      </c>
      <c r="J2372" s="9" t="s">
        <v>3885</v>
      </c>
      <c r="K2372" s="9">
        <v>1</v>
      </c>
      <c r="L2372" s="9">
        <v>3</v>
      </c>
      <c r="M2372" s="9" t="s">
        <v>8689</v>
      </c>
      <c r="N2372" s="9" t="s">
        <v>8690</v>
      </c>
      <c r="R2372" s="9">
        <v>10929</v>
      </c>
      <c r="T2372" s="9" t="str">
        <f t="shared" ca="1" si="86"/>
        <v/>
      </c>
      <c r="U2372" s="9" t="str">
        <f t="shared" ca="1" si="87"/>
        <v/>
      </c>
    </row>
    <row r="2373" spans="1:28">
      <c r="A2373" s="3" t="s">
        <v>1237</v>
      </c>
      <c r="D2373" s="3" t="s">
        <v>3411</v>
      </c>
      <c r="E2373" s="3" t="s">
        <v>3412</v>
      </c>
      <c r="J2373" s="9" t="s">
        <v>8731</v>
      </c>
      <c r="T2373" s="9" t="str">
        <f t="shared" ref="T2373:T2436" ca="1" si="90">IF(ISNUMBER(S2373),VALUE(MID(_xlfn.FORMULATEXT(S2373),SEARCH("-",_xlfn.FORMULATEXT(S2373))+1,LEN(_xlfn.FORMULATEXT(S2373))-SEARCH("-",_xlfn.FORMULATEXT(S2373)))), "")</f>
        <v/>
      </c>
      <c r="U2373" s="9" t="str">
        <f t="shared" ref="U2373:U2436" ca="1" si="91">IF(ISNUMBER(S2373), VALUE(MID(_xlfn.FORMULATEXT(S2373), 2, SEARCH("-", _xlfn.FORMULATEXT(S2373)) - 2)), "")</f>
        <v/>
      </c>
      <c r="Z2373" s="9" t="s">
        <v>8742</v>
      </c>
      <c r="AA2373" s="9" t="s">
        <v>3884</v>
      </c>
    </row>
    <row r="2374" spans="1:28" ht="29">
      <c r="A2374" s="3" t="s">
        <v>1238</v>
      </c>
      <c r="D2374" s="3" t="s">
        <v>6389</v>
      </c>
      <c r="E2374" s="3" t="s">
        <v>6390</v>
      </c>
      <c r="J2374" s="9" t="s">
        <v>3885</v>
      </c>
      <c r="K2374" s="9">
        <v>2</v>
      </c>
      <c r="L2374" s="9">
        <v>10</v>
      </c>
      <c r="N2374" s="9" t="s">
        <v>8690</v>
      </c>
      <c r="R2374" s="9">
        <v>1225</v>
      </c>
      <c r="T2374" s="9" t="str">
        <f t="shared" ca="1" si="90"/>
        <v/>
      </c>
      <c r="U2374" s="9" t="str">
        <f t="shared" ca="1" si="91"/>
        <v/>
      </c>
    </row>
    <row r="2375" spans="1:28">
      <c r="A2375" s="3" t="s">
        <v>1238</v>
      </c>
      <c r="D2375" s="3" t="s">
        <v>3413</v>
      </c>
      <c r="E2375" s="3" t="s">
        <v>3413</v>
      </c>
      <c r="F2375" t="s">
        <v>3932</v>
      </c>
      <c r="I2375" t="s">
        <v>6391</v>
      </c>
      <c r="T2375" s="9" t="str">
        <f t="shared" ca="1" si="90"/>
        <v/>
      </c>
      <c r="U2375" s="9" t="str">
        <f t="shared" ca="1" si="91"/>
        <v/>
      </c>
    </row>
    <row r="2376" spans="1:28">
      <c r="A2376" s="3" t="s">
        <v>1238</v>
      </c>
      <c r="D2376" s="3" t="s">
        <v>3414</v>
      </c>
      <c r="E2376" s="4" t="s">
        <v>3415</v>
      </c>
      <c r="F2376" t="s">
        <v>3897</v>
      </c>
      <c r="T2376" s="9" t="str">
        <f t="shared" ca="1" si="90"/>
        <v/>
      </c>
      <c r="U2376" s="9" t="str">
        <f t="shared" ca="1" si="91"/>
        <v/>
      </c>
    </row>
    <row r="2377" spans="1:28" ht="29">
      <c r="A2377" s="3" t="s">
        <v>1239</v>
      </c>
      <c r="D2377" s="3" t="s">
        <v>6392</v>
      </c>
      <c r="E2377" s="3" t="s">
        <v>6393</v>
      </c>
      <c r="J2377" s="9" t="s">
        <v>3889</v>
      </c>
      <c r="K2377" s="9">
        <v>1</v>
      </c>
      <c r="L2377" s="9">
        <v>2</v>
      </c>
      <c r="M2377" s="9" t="s">
        <v>8703</v>
      </c>
      <c r="N2377" s="9" t="s">
        <v>8730</v>
      </c>
      <c r="R2377" s="9">
        <v>1225</v>
      </c>
      <c r="T2377" s="9" t="str">
        <f t="shared" ca="1" si="90"/>
        <v/>
      </c>
      <c r="U2377" s="9" t="str">
        <f t="shared" ca="1" si="91"/>
        <v/>
      </c>
    </row>
    <row r="2378" spans="1:28">
      <c r="A2378" s="3" t="s">
        <v>1239</v>
      </c>
      <c r="D2378" s="3" t="s">
        <v>6394</v>
      </c>
      <c r="E2378" s="3" t="s">
        <v>6395</v>
      </c>
      <c r="J2378" s="9" t="s">
        <v>8729</v>
      </c>
      <c r="S2378" s="9">
        <f>7-0</f>
        <v>7</v>
      </c>
      <c r="T2378" s="9">
        <f t="shared" ca="1" si="90"/>
        <v>0</v>
      </c>
      <c r="U2378" s="9">
        <f t="shared" ca="1" si="91"/>
        <v>7</v>
      </c>
      <c r="AB2378" s="9" t="s">
        <v>8700</v>
      </c>
    </row>
    <row r="2379" spans="1:28" ht="29">
      <c r="A2379" s="3" t="s">
        <v>1240</v>
      </c>
      <c r="D2379" s="3" t="s">
        <v>6396</v>
      </c>
      <c r="E2379" s="3" t="s">
        <v>6396</v>
      </c>
      <c r="F2379" t="s">
        <v>3932</v>
      </c>
      <c r="I2379" t="s">
        <v>6397</v>
      </c>
      <c r="T2379" s="9" t="str">
        <f t="shared" ca="1" si="90"/>
        <v/>
      </c>
      <c r="U2379" s="9" t="str">
        <f t="shared" ca="1" si="91"/>
        <v/>
      </c>
    </row>
    <row r="2380" spans="1:28">
      <c r="A2380" s="3" t="s">
        <v>1241</v>
      </c>
      <c r="D2380" s="3" t="s">
        <v>3416</v>
      </c>
      <c r="E2380" s="3" t="s">
        <v>3416</v>
      </c>
      <c r="F2380" t="s">
        <v>3932</v>
      </c>
      <c r="I2380" t="s">
        <v>6398</v>
      </c>
      <c r="T2380" s="9" t="str">
        <f t="shared" ca="1" si="90"/>
        <v/>
      </c>
      <c r="U2380" s="9" t="str">
        <f t="shared" ca="1" si="91"/>
        <v/>
      </c>
    </row>
    <row r="2381" spans="1:28">
      <c r="A2381" s="3" t="s">
        <v>1242</v>
      </c>
      <c r="D2381" s="3" t="s">
        <v>3417</v>
      </c>
      <c r="E2381" s="3" t="s">
        <v>3418</v>
      </c>
      <c r="J2381" s="9" t="s">
        <v>8729</v>
      </c>
      <c r="S2381" s="9" t="s">
        <v>8739</v>
      </c>
      <c r="T2381" s="9" t="str">
        <f t="shared" ca="1" si="90"/>
        <v/>
      </c>
      <c r="U2381" s="9" t="str">
        <f t="shared" ca="1" si="91"/>
        <v/>
      </c>
      <c r="Z2381" s="9" t="s">
        <v>8742</v>
      </c>
      <c r="AA2381" s="9" t="s">
        <v>3884</v>
      </c>
      <c r="AB2381" s="9" t="s">
        <v>8697</v>
      </c>
    </row>
    <row r="2382" spans="1:28">
      <c r="A2382" s="3" t="s">
        <v>1243</v>
      </c>
      <c r="D2382" s="3" t="s">
        <v>6399</v>
      </c>
      <c r="E2382" s="3" t="s">
        <v>6401</v>
      </c>
      <c r="F2382" t="s">
        <v>3932</v>
      </c>
      <c r="I2382" t="s">
        <v>6400</v>
      </c>
      <c r="T2382" s="9" t="str">
        <f t="shared" ca="1" si="90"/>
        <v/>
      </c>
      <c r="U2382" s="9" t="str">
        <f t="shared" ca="1" si="91"/>
        <v/>
      </c>
    </row>
    <row r="2383" spans="1:28">
      <c r="A2383" s="3" t="s">
        <v>1243</v>
      </c>
      <c r="D2383" s="3" t="s">
        <v>6402</v>
      </c>
      <c r="E2383" s="3" t="s">
        <v>9098</v>
      </c>
      <c r="J2383" s="9" t="s">
        <v>3889</v>
      </c>
      <c r="K2383" s="9">
        <v>1</v>
      </c>
      <c r="L2383" s="9">
        <v>1</v>
      </c>
      <c r="M2383" s="9" t="s">
        <v>8689</v>
      </c>
      <c r="N2383" s="9" t="s">
        <v>8730</v>
      </c>
      <c r="Q2383" s="9" t="s">
        <v>8685</v>
      </c>
      <c r="R2383" s="9">
        <v>10929</v>
      </c>
      <c r="T2383" s="9" t="str">
        <f t="shared" ca="1" si="90"/>
        <v/>
      </c>
      <c r="U2383" s="9" t="str">
        <f t="shared" ca="1" si="91"/>
        <v/>
      </c>
    </row>
    <row r="2384" spans="1:28" ht="43.5">
      <c r="A2384" s="3" t="s">
        <v>1244</v>
      </c>
      <c r="D2384" s="3" t="s">
        <v>6403</v>
      </c>
      <c r="E2384" s="3" t="s">
        <v>6403</v>
      </c>
      <c r="F2384" t="s">
        <v>3932</v>
      </c>
      <c r="I2384" t="s">
        <v>6404</v>
      </c>
      <c r="T2384" s="9" t="str">
        <f t="shared" ca="1" si="90"/>
        <v/>
      </c>
      <c r="U2384" s="9" t="str">
        <f t="shared" ca="1" si="91"/>
        <v/>
      </c>
    </row>
    <row r="2385" spans="1:28" ht="29">
      <c r="A2385" s="3" t="s">
        <v>1244</v>
      </c>
      <c r="D2385" s="3" t="s">
        <v>6405</v>
      </c>
      <c r="E2385" s="3" t="s">
        <v>6406</v>
      </c>
      <c r="H2385" t="s">
        <v>3884</v>
      </c>
      <c r="J2385" s="9" t="s">
        <v>3889</v>
      </c>
      <c r="K2385" s="9">
        <v>1</v>
      </c>
      <c r="L2385" s="9">
        <v>6</v>
      </c>
      <c r="M2385" s="9" t="s">
        <v>8683</v>
      </c>
      <c r="N2385" s="9" t="s">
        <v>8684</v>
      </c>
      <c r="O2385" s="9" t="s">
        <v>9080</v>
      </c>
      <c r="P2385" s="10" t="s">
        <v>9081</v>
      </c>
      <c r="R2385" s="9">
        <v>24</v>
      </c>
      <c r="T2385" s="9" t="str">
        <f t="shared" ca="1" si="90"/>
        <v/>
      </c>
      <c r="U2385" s="9" t="str">
        <f t="shared" ca="1" si="91"/>
        <v/>
      </c>
    </row>
    <row r="2386" spans="1:28">
      <c r="A2386" s="3" t="s">
        <v>1244</v>
      </c>
      <c r="D2386" s="3" t="s">
        <v>3419</v>
      </c>
      <c r="E2386" s="3" t="s">
        <v>3420</v>
      </c>
      <c r="J2386" s="9" t="s">
        <v>8731</v>
      </c>
      <c r="T2386" s="9" t="str">
        <f t="shared" ca="1" si="90"/>
        <v/>
      </c>
      <c r="U2386" s="9" t="str">
        <f t="shared" ca="1" si="91"/>
        <v/>
      </c>
      <c r="Z2386" s="9" t="s">
        <v>8747</v>
      </c>
      <c r="AA2386" s="9" t="s">
        <v>3884</v>
      </c>
    </row>
    <row r="2387" spans="1:28">
      <c r="A2387" s="3" t="s">
        <v>1245</v>
      </c>
      <c r="D2387" s="3" t="s">
        <v>6407</v>
      </c>
      <c r="E2387" s="3" t="s">
        <v>6408</v>
      </c>
      <c r="F2387" t="s">
        <v>4397</v>
      </c>
      <c r="H2387" t="s">
        <v>3884</v>
      </c>
      <c r="J2387" s="9" t="s">
        <v>3885</v>
      </c>
      <c r="K2387" s="9">
        <v>1</v>
      </c>
      <c r="L2387" s="9">
        <v>4</v>
      </c>
      <c r="M2387" s="9" t="s">
        <v>8683</v>
      </c>
      <c r="N2387" s="9" t="s">
        <v>8684</v>
      </c>
      <c r="O2387" s="9" t="s">
        <v>8771</v>
      </c>
      <c r="P2387" s="10" t="s">
        <v>8778</v>
      </c>
      <c r="R2387" s="9" t="s">
        <v>8730</v>
      </c>
      <c r="T2387" s="9" t="str">
        <f t="shared" ca="1" si="90"/>
        <v/>
      </c>
      <c r="U2387" s="9" t="str">
        <f t="shared" ca="1" si="91"/>
        <v/>
      </c>
      <c r="AB2387" s="9" t="s">
        <v>8688</v>
      </c>
    </row>
    <row r="2388" spans="1:28" ht="29">
      <c r="A2388" s="3" t="s">
        <v>1245</v>
      </c>
      <c r="D2388" s="3" t="s">
        <v>6409</v>
      </c>
      <c r="E2388" s="3" t="s">
        <v>6409</v>
      </c>
      <c r="F2388" t="s">
        <v>3932</v>
      </c>
      <c r="I2388" t="s">
        <v>6410</v>
      </c>
      <c r="T2388" s="9" t="str">
        <f t="shared" ca="1" si="90"/>
        <v/>
      </c>
      <c r="U2388" s="9" t="str">
        <f t="shared" ca="1" si="91"/>
        <v/>
      </c>
    </row>
    <row r="2389" spans="1:28">
      <c r="A2389" s="3" t="s">
        <v>1246</v>
      </c>
      <c r="D2389" s="3" t="s">
        <v>6411</v>
      </c>
      <c r="E2389" s="3" t="s">
        <v>6411</v>
      </c>
      <c r="F2389" t="s">
        <v>3932</v>
      </c>
      <c r="I2389" t="s">
        <v>6412</v>
      </c>
      <c r="T2389" s="9" t="str">
        <f t="shared" ca="1" si="90"/>
        <v/>
      </c>
      <c r="U2389" s="9" t="str">
        <f t="shared" ca="1" si="91"/>
        <v/>
      </c>
    </row>
    <row r="2390" spans="1:28" ht="29">
      <c r="A2390" s="3" t="s">
        <v>1246</v>
      </c>
      <c r="D2390" s="4" t="s">
        <v>6413</v>
      </c>
      <c r="E2390" s="3" t="s">
        <v>6414</v>
      </c>
      <c r="F2390" t="s">
        <v>3883</v>
      </c>
      <c r="T2390" s="9" t="str">
        <f t="shared" ca="1" si="90"/>
        <v/>
      </c>
      <c r="U2390" s="9" t="str">
        <f t="shared" ca="1" si="91"/>
        <v/>
      </c>
    </row>
    <row r="2391" spans="1:28" ht="29">
      <c r="A2391" s="3" t="s">
        <v>1247</v>
      </c>
      <c r="D2391" s="3" t="s">
        <v>6415</v>
      </c>
      <c r="E2391" s="3" t="s">
        <v>6416</v>
      </c>
      <c r="H2391" t="s">
        <v>3884</v>
      </c>
      <c r="J2391" s="9" t="s">
        <v>8731</v>
      </c>
      <c r="T2391" s="9" t="str">
        <f t="shared" ca="1" si="90"/>
        <v/>
      </c>
      <c r="U2391" s="9" t="str">
        <f t="shared" ca="1" si="91"/>
        <v/>
      </c>
      <c r="AB2391" s="9" t="s">
        <v>8694</v>
      </c>
    </row>
    <row r="2392" spans="1:28">
      <c r="A2392" s="3" t="s">
        <v>1247</v>
      </c>
      <c r="D2392" s="3" t="s">
        <v>6417</v>
      </c>
      <c r="E2392" s="3" t="s">
        <v>6418</v>
      </c>
      <c r="J2392" s="9" t="s">
        <v>8729</v>
      </c>
      <c r="S2392" s="9">
        <f xml:space="preserve"> 1942-872</f>
        <v>1070</v>
      </c>
      <c r="T2392" s="9">
        <f t="shared" ca="1" si="90"/>
        <v>872</v>
      </c>
      <c r="U2392" s="9">
        <f t="shared" ca="1" si="91"/>
        <v>1942</v>
      </c>
    </row>
    <row r="2393" spans="1:28">
      <c r="A2393" s="3" t="s">
        <v>1248</v>
      </c>
      <c r="D2393" s="3" t="s">
        <v>3421</v>
      </c>
      <c r="E2393" s="3" t="s">
        <v>3422</v>
      </c>
      <c r="J2393" s="9" t="s">
        <v>8731</v>
      </c>
      <c r="T2393" s="9" t="str">
        <f t="shared" ca="1" si="90"/>
        <v/>
      </c>
      <c r="U2393" s="9" t="str">
        <f t="shared" ca="1" si="91"/>
        <v/>
      </c>
      <c r="Z2393" s="9" t="s">
        <v>8741</v>
      </c>
      <c r="AA2393" s="9" t="s">
        <v>3884</v>
      </c>
    </row>
    <row r="2394" spans="1:28">
      <c r="A2394" s="3" t="s">
        <v>1249</v>
      </c>
      <c r="D2394" s="3" t="s">
        <v>6419</v>
      </c>
      <c r="E2394" s="4" t="s">
        <v>6420</v>
      </c>
      <c r="F2394" t="s">
        <v>3897</v>
      </c>
      <c r="T2394" s="9" t="str">
        <f t="shared" ca="1" si="90"/>
        <v/>
      </c>
      <c r="U2394" s="9" t="str">
        <f t="shared" ca="1" si="91"/>
        <v/>
      </c>
    </row>
    <row r="2395" spans="1:28">
      <c r="A2395" s="3" t="s">
        <v>1250</v>
      </c>
      <c r="D2395" s="4" t="s">
        <v>6421</v>
      </c>
      <c r="E2395" s="3" t="s">
        <v>6422</v>
      </c>
      <c r="F2395" t="s">
        <v>3883</v>
      </c>
      <c r="H2395" t="s">
        <v>3884</v>
      </c>
      <c r="J2395" s="9" t="s">
        <v>3889</v>
      </c>
      <c r="K2395" s="9">
        <v>1</v>
      </c>
      <c r="L2395" s="9">
        <v>3</v>
      </c>
      <c r="M2395" s="9" t="s">
        <v>8698</v>
      </c>
      <c r="N2395" s="9" t="s">
        <v>8684</v>
      </c>
      <c r="O2395" s="9" t="s">
        <v>8777</v>
      </c>
      <c r="P2395" s="10" t="s">
        <v>8778</v>
      </c>
      <c r="R2395" s="9">
        <v>9418</v>
      </c>
      <c r="T2395" s="9" t="str">
        <f t="shared" ca="1" si="90"/>
        <v/>
      </c>
      <c r="U2395" s="9" t="str">
        <f t="shared" ca="1" si="91"/>
        <v/>
      </c>
    </row>
    <row r="2396" spans="1:28">
      <c r="A2396" s="3" t="s">
        <v>1250</v>
      </c>
      <c r="D2396" s="3" t="s">
        <v>6423</v>
      </c>
      <c r="E2396" s="3" t="s">
        <v>6424</v>
      </c>
      <c r="H2396" t="s">
        <v>3884</v>
      </c>
      <c r="J2396" s="9" t="s">
        <v>3885</v>
      </c>
      <c r="K2396" s="9">
        <v>1</v>
      </c>
      <c r="L2396" s="9">
        <v>3</v>
      </c>
      <c r="M2396" s="9" t="s">
        <v>8705</v>
      </c>
      <c r="N2396" s="9" t="s">
        <v>8690</v>
      </c>
      <c r="R2396" s="9">
        <v>1485</v>
      </c>
      <c r="T2396" s="9" t="str">
        <f t="shared" ca="1" si="90"/>
        <v/>
      </c>
      <c r="U2396" s="9" t="str">
        <f t="shared" ca="1" si="91"/>
        <v/>
      </c>
    </row>
    <row r="2397" spans="1:28">
      <c r="A2397" s="3" t="s">
        <v>1251</v>
      </c>
      <c r="D2397" s="3" t="s">
        <v>6425</v>
      </c>
      <c r="E2397" s="3" t="s">
        <v>6425</v>
      </c>
      <c r="F2397" t="s">
        <v>3932</v>
      </c>
      <c r="I2397" t="s">
        <v>6426</v>
      </c>
      <c r="T2397" s="9" t="str">
        <f t="shared" ca="1" si="90"/>
        <v/>
      </c>
      <c r="U2397" s="9" t="str">
        <f t="shared" ca="1" si="91"/>
        <v/>
      </c>
    </row>
    <row r="2398" spans="1:28" ht="29">
      <c r="A2398" s="3" t="s">
        <v>1251</v>
      </c>
      <c r="D2398" s="3" t="s">
        <v>6427</v>
      </c>
      <c r="E2398" s="3" t="s">
        <v>6428</v>
      </c>
      <c r="J2398" s="9" t="s">
        <v>8731</v>
      </c>
      <c r="T2398" s="9" t="str">
        <f t="shared" ca="1" si="90"/>
        <v/>
      </c>
      <c r="U2398" s="9" t="str">
        <f t="shared" ca="1" si="91"/>
        <v/>
      </c>
    </row>
    <row r="2399" spans="1:28" ht="29">
      <c r="A2399" s="3" t="s">
        <v>1251</v>
      </c>
      <c r="D2399" s="3" t="s">
        <v>6429</v>
      </c>
      <c r="E2399" s="3" t="s">
        <v>6430</v>
      </c>
      <c r="F2399" t="s">
        <v>3932</v>
      </c>
      <c r="I2399" t="s">
        <v>6431</v>
      </c>
      <c r="T2399" s="9" t="str">
        <f t="shared" ca="1" si="90"/>
        <v/>
      </c>
      <c r="U2399" s="9" t="str">
        <f t="shared" ca="1" si="91"/>
        <v/>
      </c>
    </row>
    <row r="2400" spans="1:28">
      <c r="A2400" s="3" t="s">
        <v>1252</v>
      </c>
      <c r="D2400" s="3" t="s">
        <v>9099</v>
      </c>
      <c r="E2400" s="3" t="s">
        <v>9100</v>
      </c>
      <c r="J2400" s="9" t="s">
        <v>8731</v>
      </c>
      <c r="T2400" s="9" t="str">
        <f t="shared" ca="1" si="90"/>
        <v/>
      </c>
      <c r="U2400" s="9" t="str">
        <f t="shared" ca="1" si="91"/>
        <v/>
      </c>
      <c r="Z2400" s="9" t="s">
        <v>8757</v>
      </c>
      <c r="AA2400" s="9" t="s">
        <v>3884</v>
      </c>
      <c r="AB2400" s="9" t="s">
        <v>8700</v>
      </c>
    </row>
    <row r="2401" spans="1:28">
      <c r="A2401" s="3" t="s">
        <v>1252</v>
      </c>
      <c r="D2401" s="3" t="s">
        <v>3423</v>
      </c>
      <c r="E2401" s="3" t="s">
        <v>3424</v>
      </c>
      <c r="J2401" s="9" t="s">
        <v>8731</v>
      </c>
      <c r="T2401" s="9" t="str">
        <f t="shared" ca="1" si="90"/>
        <v/>
      </c>
      <c r="U2401" s="9" t="str">
        <f t="shared" ca="1" si="91"/>
        <v/>
      </c>
      <c r="Z2401" s="9" t="s">
        <v>8757</v>
      </c>
      <c r="AA2401" s="9" t="s">
        <v>3884</v>
      </c>
      <c r="AB2401" s="9" t="s">
        <v>8700</v>
      </c>
    </row>
    <row r="2402" spans="1:28">
      <c r="A2402" s="3" t="s">
        <v>1252</v>
      </c>
      <c r="D2402" s="3" t="s">
        <v>3425</v>
      </c>
      <c r="E2402" s="3" t="s">
        <v>2228</v>
      </c>
      <c r="J2402" s="9" t="s">
        <v>8731</v>
      </c>
      <c r="T2402" s="9" t="str">
        <f t="shared" ca="1" si="90"/>
        <v/>
      </c>
      <c r="U2402" s="9" t="str">
        <f t="shared" ca="1" si="91"/>
        <v/>
      </c>
      <c r="Z2402" s="9" t="s">
        <v>8757</v>
      </c>
      <c r="AA2402" s="9" t="s">
        <v>3884</v>
      </c>
      <c r="AB2402" s="9" t="s">
        <v>8700</v>
      </c>
    </row>
    <row r="2403" spans="1:28">
      <c r="A2403" s="3" t="s">
        <v>1252</v>
      </c>
      <c r="D2403" s="3" t="s">
        <v>3426</v>
      </c>
      <c r="E2403" s="3" t="s">
        <v>3427</v>
      </c>
      <c r="J2403" s="9" t="s">
        <v>8731</v>
      </c>
      <c r="T2403" s="9" t="str">
        <f t="shared" ca="1" si="90"/>
        <v/>
      </c>
      <c r="U2403" s="9" t="str">
        <f t="shared" ca="1" si="91"/>
        <v/>
      </c>
      <c r="Z2403" s="9" t="s">
        <v>8757</v>
      </c>
      <c r="AA2403" s="9" t="s">
        <v>3884</v>
      </c>
      <c r="AB2403" s="9" t="s">
        <v>8700</v>
      </c>
    </row>
    <row r="2404" spans="1:28">
      <c r="A2404" s="3" t="s">
        <v>1252</v>
      </c>
      <c r="D2404" s="4" t="s">
        <v>3428</v>
      </c>
      <c r="E2404" s="3" t="s">
        <v>3429</v>
      </c>
      <c r="F2404" t="s">
        <v>4196</v>
      </c>
      <c r="I2404" t="s">
        <v>6432</v>
      </c>
      <c r="J2404" s="9" t="s">
        <v>8731</v>
      </c>
      <c r="T2404" s="9" t="str">
        <f t="shared" ca="1" si="90"/>
        <v/>
      </c>
      <c r="U2404" s="9" t="str">
        <f t="shared" ca="1" si="91"/>
        <v/>
      </c>
      <c r="AB2404" s="9" t="s">
        <v>8697</v>
      </c>
    </row>
    <row r="2405" spans="1:28" ht="87">
      <c r="A2405" s="3" t="s">
        <v>1253</v>
      </c>
      <c r="D2405" s="3" t="s">
        <v>6433</v>
      </c>
      <c r="E2405" s="3" t="s">
        <v>9644</v>
      </c>
      <c r="I2405" s="7"/>
      <c r="J2405" s="9" t="s">
        <v>3889</v>
      </c>
      <c r="K2405" s="9">
        <v>10</v>
      </c>
      <c r="L2405" s="9">
        <v>36</v>
      </c>
      <c r="N2405" s="9" t="s">
        <v>8684</v>
      </c>
      <c r="O2405" s="9" t="s">
        <v>9101</v>
      </c>
      <c r="P2405" s="10" t="s">
        <v>9102</v>
      </c>
      <c r="Q2405" s="9" t="s">
        <v>8685</v>
      </c>
      <c r="R2405" s="9">
        <v>23</v>
      </c>
      <c r="T2405" s="9" t="str">
        <f t="shared" ca="1" si="90"/>
        <v/>
      </c>
      <c r="U2405" s="9" t="str">
        <f t="shared" ca="1" si="91"/>
        <v/>
      </c>
    </row>
    <row r="2406" spans="1:28">
      <c r="A2406" s="3" t="s">
        <v>1254</v>
      </c>
      <c r="D2406" s="3" t="s">
        <v>6434</v>
      </c>
      <c r="E2406" s="3" t="s">
        <v>6435</v>
      </c>
      <c r="J2406" s="9" t="s">
        <v>8729</v>
      </c>
      <c r="S2406" s="9">
        <f>0-1</f>
        <v>-1</v>
      </c>
      <c r="T2406" s="9">
        <f t="shared" ca="1" si="90"/>
        <v>1</v>
      </c>
      <c r="U2406" s="9">
        <f t="shared" ca="1" si="91"/>
        <v>0</v>
      </c>
    </row>
    <row r="2407" spans="1:28">
      <c r="A2407" s="3" t="s">
        <v>1255</v>
      </c>
      <c r="D2407" s="3" t="s">
        <v>9520</v>
      </c>
      <c r="E2407" s="3" t="s">
        <v>6436</v>
      </c>
      <c r="J2407" s="9" t="s">
        <v>8731</v>
      </c>
      <c r="T2407" s="9" t="str">
        <f t="shared" ca="1" si="90"/>
        <v/>
      </c>
      <c r="U2407" s="9" t="str">
        <f t="shared" ca="1" si="91"/>
        <v/>
      </c>
      <c r="Z2407" s="9" t="s">
        <v>8742</v>
      </c>
      <c r="AA2407" s="9" t="s">
        <v>3884</v>
      </c>
    </row>
    <row r="2408" spans="1:28">
      <c r="A2408" s="3" t="s">
        <v>1255</v>
      </c>
      <c r="D2408" s="3" t="s">
        <v>9521</v>
      </c>
      <c r="E2408" s="3" t="s">
        <v>6437</v>
      </c>
      <c r="H2408" t="s">
        <v>3884</v>
      </c>
      <c r="J2408" s="9" t="s">
        <v>8729</v>
      </c>
      <c r="S2408" s="9">
        <f>1-10929</f>
        <v>-10928</v>
      </c>
      <c r="T2408" s="9">
        <f t="shared" ca="1" si="90"/>
        <v>10929</v>
      </c>
      <c r="U2408" s="9">
        <f t="shared" ca="1" si="91"/>
        <v>1</v>
      </c>
    </row>
    <row r="2409" spans="1:28">
      <c r="A2409" s="3" t="s">
        <v>1255</v>
      </c>
      <c r="D2409" s="3" t="s">
        <v>3320</v>
      </c>
      <c r="E2409" s="3" t="s">
        <v>3321</v>
      </c>
      <c r="I2409" t="s">
        <v>6438</v>
      </c>
      <c r="J2409" s="9" t="s">
        <v>8731</v>
      </c>
      <c r="T2409" s="9" t="str">
        <f t="shared" ca="1" si="90"/>
        <v/>
      </c>
      <c r="U2409" s="9" t="str">
        <f t="shared" ca="1" si="91"/>
        <v/>
      </c>
      <c r="Z2409" s="9" t="s">
        <v>8741</v>
      </c>
      <c r="AA2409" s="9" t="s">
        <v>3884</v>
      </c>
    </row>
    <row r="2410" spans="1:28">
      <c r="A2410" s="3" t="s">
        <v>1255</v>
      </c>
      <c r="D2410" s="3" t="s">
        <v>6440</v>
      </c>
      <c r="E2410" s="3" t="s">
        <v>6439</v>
      </c>
      <c r="J2410" s="9" t="s">
        <v>8731</v>
      </c>
      <c r="T2410" s="9" t="str">
        <f t="shared" ca="1" si="90"/>
        <v/>
      </c>
      <c r="U2410" s="9" t="str">
        <f t="shared" ca="1" si="91"/>
        <v/>
      </c>
      <c r="Z2410" s="9" t="s">
        <v>8832</v>
      </c>
      <c r="AA2410" s="9" t="s">
        <v>3884</v>
      </c>
    </row>
    <row r="2411" spans="1:28" ht="29">
      <c r="A2411" s="3" t="s">
        <v>1255</v>
      </c>
      <c r="D2411" s="3" t="s">
        <v>6441</v>
      </c>
      <c r="E2411" s="3" t="s">
        <v>6442</v>
      </c>
      <c r="H2411" t="s">
        <v>3884</v>
      </c>
      <c r="J2411" s="9" t="s">
        <v>3885</v>
      </c>
      <c r="K2411" s="9">
        <v>1</v>
      </c>
      <c r="L2411" s="9">
        <v>2</v>
      </c>
      <c r="M2411" s="9" t="s">
        <v>8689</v>
      </c>
      <c r="N2411" s="9" t="s">
        <v>8730</v>
      </c>
      <c r="R2411" s="9">
        <v>10929</v>
      </c>
      <c r="T2411" s="9" t="str">
        <f t="shared" ca="1" si="90"/>
        <v/>
      </c>
      <c r="U2411" s="9" t="str">
        <f t="shared" ca="1" si="91"/>
        <v/>
      </c>
      <c r="AB2411" s="9" t="s">
        <v>8694</v>
      </c>
    </row>
    <row r="2412" spans="1:28" ht="29">
      <c r="A2412" s="3" t="s">
        <v>1255</v>
      </c>
      <c r="D2412" s="3" t="s">
        <v>6443</v>
      </c>
      <c r="E2412" s="3" t="s">
        <v>6444</v>
      </c>
      <c r="J2412" s="9" t="s">
        <v>8729</v>
      </c>
      <c r="S2412" s="9">
        <f>79-3678</f>
        <v>-3599</v>
      </c>
      <c r="T2412" s="9">
        <f t="shared" ca="1" si="90"/>
        <v>3678</v>
      </c>
      <c r="U2412" s="9">
        <f t="shared" ca="1" si="91"/>
        <v>79</v>
      </c>
    </row>
    <row r="2413" spans="1:28" ht="29">
      <c r="A2413" s="3" t="s">
        <v>1256</v>
      </c>
      <c r="D2413" s="3" t="s">
        <v>6445</v>
      </c>
      <c r="E2413" s="3" t="s">
        <v>6446</v>
      </c>
      <c r="H2413" t="s">
        <v>3884</v>
      </c>
      <c r="J2413" s="9" t="s">
        <v>3889</v>
      </c>
      <c r="K2413" s="9">
        <v>1</v>
      </c>
      <c r="L2413" s="9">
        <v>3</v>
      </c>
      <c r="M2413" s="9" t="s">
        <v>8689</v>
      </c>
      <c r="N2413" s="9" t="s">
        <v>8690</v>
      </c>
      <c r="R2413" s="9">
        <v>10929</v>
      </c>
      <c r="T2413" s="9" t="str">
        <f t="shared" ca="1" si="90"/>
        <v/>
      </c>
      <c r="U2413" s="9" t="str">
        <f t="shared" ca="1" si="91"/>
        <v/>
      </c>
    </row>
    <row r="2414" spans="1:28">
      <c r="A2414" s="3" t="s">
        <v>1256</v>
      </c>
      <c r="D2414" s="3" t="s">
        <v>6449</v>
      </c>
      <c r="E2414" s="3" t="s">
        <v>6449</v>
      </c>
      <c r="F2414" t="s">
        <v>3932</v>
      </c>
      <c r="I2414" t="s">
        <v>6450</v>
      </c>
      <c r="T2414" s="9" t="str">
        <f t="shared" ca="1" si="90"/>
        <v/>
      </c>
      <c r="U2414" s="9" t="str">
        <f t="shared" ca="1" si="91"/>
        <v/>
      </c>
    </row>
    <row r="2415" spans="1:28" ht="29">
      <c r="A2415" s="3" t="s">
        <v>1256</v>
      </c>
      <c r="D2415" s="3" t="s">
        <v>6447</v>
      </c>
      <c r="E2415" s="3" t="s">
        <v>6447</v>
      </c>
      <c r="F2415" t="s">
        <v>3932</v>
      </c>
      <c r="I2415" t="s">
        <v>6448</v>
      </c>
      <c r="T2415" s="9" t="str">
        <f t="shared" ca="1" si="90"/>
        <v/>
      </c>
      <c r="U2415" s="9" t="str">
        <f t="shared" ca="1" si="91"/>
        <v/>
      </c>
    </row>
    <row r="2416" spans="1:28">
      <c r="A2416" s="3" t="s">
        <v>1257</v>
      </c>
      <c r="D2416" s="3" t="s">
        <v>6451</v>
      </c>
      <c r="E2416" s="3" t="s">
        <v>6452</v>
      </c>
      <c r="J2416" s="9" t="s">
        <v>8731</v>
      </c>
      <c r="T2416" s="9" t="str">
        <f t="shared" ca="1" si="90"/>
        <v/>
      </c>
      <c r="U2416" s="9" t="str">
        <f t="shared" ca="1" si="91"/>
        <v/>
      </c>
      <c r="AB2416" s="9" t="s">
        <v>8700</v>
      </c>
    </row>
    <row r="2417" spans="1:28">
      <c r="A2417" s="3" t="s">
        <v>1258</v>
      </c>
      <c r="D2417" s="3" t="s">
        <v>3372</v>
      </c>
      <c r="E2417" s="3" t="s">
        <v>3372</v>
      </c>
      <c r="F2417" t="s">
        <v>3932</v>
      </c>
      <c r="I2417" t="s">
        <v>3373</v>
      </c>
      <c r="T2417" s="9" t="str">
        <f t="shared" ca="1" si="90"/>
        <v/>
      </c>
      <c r="U2417" s="9" t="str">
        <f t="shared" ca="1" si="91"/>
        <v/>
      </c>
    </row>
    <row r="2418" spans="1:28" ht="29">
      <c r="A2418" s="3" t="s">
        <v>1258</v>
      </c>
      <c r="D2418" s="3" t="s">
        <v>6453</v>
      </c>
      <c r="E2418" s="3" t="s">
        <v>6454</v>
      </c>
      <c r="H2418" t="s">
        <v>3884</v>
      </c>
      <c r="J2418" s="9" t="s">
        <v>8731</v>
      </c>
      <c r="T2418" s="9" t="str">
        <f t="shared" ca="1" si="90"/>
        <v/>
      </c>
      <c r="U2418" s="9" t="str">
        <f t="shared" ca="1" si="91"/>
        <v/>
      </c>
    </row>
    <row r="2419" spans="1:28">
      <c r="A2419" s="3" t="s">
        <v>1259</v>
      </c>
      <c r="D2419" s="3" t="s">
        <v>6455</v>
      </c>
      <c r="E2419" s="3" t="s">
        <v>3430</v>
      </c>
      <c r="H2419" t="s">
        <v>3884</v>
      </c>
      <c r="J2419" s="9" t="s">
        <v>8729</v>
      </c>
      <c r="Q2419" s="9" t="s">
        <v>8685</v>
      </c>
      <c r="S2419" s="9" t="s">
        <v>8739</v>
      </c>
      <c r="T2419" s="9" t="str">
        <f t="shared" ca="1" si="90"/>
        <v/>
      </c>
      <c r="U2419" s="9" t="str">
        <f t="shared" ca="1" si="91"/>
        <v/>
      </c>
      <c r="Y2419" s="9" t="s">
        <v>8735</v>
      </c>
      <c r="AA2419" s="9" t="s">
        <v>3884</v>
      </c>
    </row>
    <row r="2420" spans="1:28" ht="58">
      <c r="A2420" s="3" t="s">
        <v>1260</v>
      </c>
      <c r="D2420" s="3" t="s">
        <v>6456</v>
      </c>
      <c r="E2420" s="3" t="s">
        <v>6457</v>
      </c>
      <c r="H2420" t="s">
        <v>3884</v>
      </c>
      <c r="I2420" t="s">
        <v>9695</v>
      </c>
      <c r="J2420" s="9" t="s">
        <v>3889</v>
      </c>
      <c r="K2420" s="9">
        <v>9</v>
      </c>
      <c r="L2420" s="9">
        <v>37</v>
      </c>
      <c r="N2420" s="9" t="s">
        <v>8684</v>
      </c>
      <c r="O2420" s="9" t="s">
        <v>8740</v>
      </c>
      <c r="P2420" s="10" t="s">
        <v>9103</v>
      </c>
      <c r="R2420" s="9">
        <v>58</v>
      </c>
      <c r="T2420" s="9" t="str">
        <f t="shared" ca="1" si="90"/>
        <v/>
      </c>
      <c r="U2420" s="9" t="str">
        <f t="shared" ca="1" si="91"/>
        <v/>
      </c>
    </row>
    <row r="2421" spans="1:28">
      <c r="A2421" s="3" t="s">
        <v>1260</v>
      </c>
      <c r="D2421" s="3" t="s">
        <v>3421</v>
      </c>
      <c r="E2421" s="3" t="s">
        <v>3422</v>
      </c>
      <c r="J2421" s="9" t="s">
        <v>8731</v>
      </c>
      <c r="T2421" s="9" t="str">
        <f t="shared" ca="1" si="90"/>
        <v/>
      </c>
      <c r="U2421" s="9" t="str">
        <f t="shared" ca="1" si="91"/>
        <v/>
      </c>
      <c r="Z2421" s="9" t="s">
        <v>8741</v>
      </c>
      <c r="AA2421" s="9" t="s">
        <v>3884</v>
      </c>
    </row>
    <row r="2422" spans="1:28">
      <c r="A2422" s="3" t="s">
        <v>1260</v>
      </c>
      <c r="D2422" s="4" t="s">
        <v>6458</v>
      </c>
      <c r="E2422" s="3" t="s">
        <v>6459</v>
      </c>
      <c r="F2422" t="s">
        <v>4196</v>
      </c>
      <c r="G2422" t="s">
        <v>3884</v>
      </c>
      <c r="J2422" s="9" t="s">
        <v>8731</v>
      </c>
      <c r="T2422" s="9" t="str">
        <f t="shared" ca="1" si="90"/>
        <v/>
      </c>
      <c r="U2422" s="9" t="str">
        <f t="shared" ca="1" si="91"/>
        <v/>
      </c>
      <c r="AB2422" s="9" t="s">
        <v>8700</v>
      </c>
    </row>
    <row r="2423" spans="1:28">
      <c r="A2423" s="3" t="s">
        <v>1260</v>
      </c>
      <c r="D2423" s="3" t="s">
        <v>6460</v>
      </c>
      <c r="E2423" s="3" t="s">
        <v>6461</v>
      </c>
      <c r="H2423" t="s">
        <v>3884</v>
      </c>
      <c r="J2423" s="9" t="s">
        <v>3889</v>
      </c>
      <c r="K2423" s="9">
        <v>1</v>
      </c>
      <c r="L2423" s="9">
        <v>2</v>
      </c>
      <c r="M2423" s="9" t="s">
        <v>8689</v>
      </c>
      <c r="N2423" s="9" t="s">
        <v>8730</v>
      </c>
      <c r="R2423" s="9">
        <v>10929</v>
      </c>
      <c r="T2423" s="9" t="str">
        <f t="shared" ca="1" si="90"/>
        <v/>
      </c>
      <c r="U2423" s="9" t="str">
        <f t="shared" ca="1" si="91"/>
        <v/>
      </c>
    </row>
    <row r="2424" spans="1:28" ht="29">
      <c r="A2424" s="3" t="s">
        <v>1261</v>
      </c>
      <c r="D2424" s="3" t="s">
        <v>6463</v>
      </c>
      <c r="E2424" s="3" t="s">
        <v>6462</v>
      </c>
      <c r="H2424" t="s">
        <v>3884</v>
      </c>
      <c r="J2424" s="9" t="s">
        <v>3889</v>
      </c>
      <c r="K2424" s="9">
        <v>1</v>
      </c>
      <c r="L2424" s="9">
        <v>3</v>
      </c>
      <c r="M2424" s="9" t="s">
        <v>8689</v>
      </c>
      <c r="N2424" s="9" t="s">
        <v>8690</v>
      </c>
      <c r="R2424" s="9">
        <v>10929</v>
      </c>
      <c r="T2424" s="9" t="str">
        <f t="shared" ca="1" si="90"/>
        <v/>
      </c>
      <c r="U2424" s="9" t="str">
        <f t="shared" ca="1" si="91"/>
        <v/>
      </c>
    </row>
    <row r="2425" spans="1:28" ht="29">
      <c r="A2425" s="3" t="s">
        <v>1261</v>
      </c>
      <c r="D2425" s="3" t="s">
        <v>6464</v>
      </c>
      <c r="E2425" s="3" t="s">
        <v>6465</v>
      </c>
      <c r="J2425" s="9" t="s">
        <v>8731</v>
      </c>
      <c r="T2425" s="9" t="str">
        <f t="shared" ca="1" si="90"/>
        <v/>
      </c>
      <c r="U2425" s="9" t="str">
        <f t="shared" ca="1" si="91"/>
        <v/>
      </c>
      <c r="Z2425" s="9" t="s">
        <v>8741</v>
      </c>
      <c r="AA2425" s="9" t="s">
        <v>3884</v>
      </c>
    </row>
    <row r="2426" spans="1:28">
      <c r="A2426" s="3" t="s">
        <v>1261</v>
      </c>
      <c r="D2426" s="3" t="s">
        <v>3431</v>
      </c>
      <c r="E2426" s="3" t="s">
        <v>3432</v>
      </c>
      <c r="J2426" s="9" t="s">
        <v>8729</v>
      </c>
      <c r="S2426" s="9" t="s">
        <v>8739</v>
      </c>
      <c r="T2426" s="9" t="str">
        <f t="shared" ca="1" si="90"/>
        <v/>
      </c>
      <c r="U2426" s="9" t="str">
        <f t="shared" ca="1" si="91"/>
        <v/>
      </c>
      <c r="Y2426" s="9" t="s">
        <v>8735</v>
      </c>
      <c r="AA2426" s="9" t="s">
        <v>3884</v>
      </c>
    </row>
    <row r="2427" spans="1:28">
      <c r="A2427" s="3" t="s">
        <v>1261</v>
      </c>
      <c r="D2427" s="3" t="s">
        <v>6466</v>
      </c>
      <c r="E2427" s="3" t="s">
        <v>6467</v>
      </c>
      <c r="H2427" t="s">
        <v>3884</v>
      </c>
      <c r="J2427" s="9" t="s">
        <v>8729</v>
      </c>
      <c r="S2427" s="9" t="s">
        <v>8739</v>
      </c>
      <c r="T2427" s="9" t="str">
        <f t="shared" ca="1" si="90"/>
        <v/>
      </c>
      <c r="U2427" s="9" t="str">
        <f t="shared" ca="1" si="91"/>
        <v/>
      </c>
      <c r="Y2427" s="9" t="s">
        <v>8735</v>
      </c>
      <c r="AA2427" s="9" t="s">
        <v>3884</v>
      </c>
    </row>
    <row r="2428" spans="1:28">
      <c r="A2428" s="3" t="s">
        <v>1261</v>
      </c>
      <c r="D2428" s="3" t="s">
        <v>6468</v>
      </c>
      <c r="E2428" s="3" t="s">
        <v>6469</v>
      </c>
      <c r="J2428" s="9" t="s">
        <v>8731</v>
      </c>
      <c r="T2428" s="9" t="str">
        <f t="shared" ca="1" si="90"/>
        <v/>
      </c>
      <c r="U2428" s="9" t="str">
        <f t="shared" ca="1" si="91"/>
        <v/>
      </c>
      <c r="AB2428" s="9" t="s">
        <v>8700</v>
      </c>
    </row>
    <row r="2429" spans="1:28">
      <c r="A2429" s="3" t="s">
        <v>1261</v>
      </c>
      <c r="D2429" s="3" t="s">
        <v>3433</v>
      </c>
      <c r="E2429" s="3" t="s">
        <v>6470</v>
      </c>
      <c r="J2429" s="9" t="s">
        <v>8731</v>
      </c>
      <c r="T2429" s="9" t="str">
        <f t="shared" ca="1" si="90"/>
        <v/>
      </c>
      <c r="U2429" s="9" t="str">
        <f t="shared" ca="1" si="91"/>
        <v/>
      </c>
      <c r="Z2429" s="9" t="s">
        <v>8741</v>
      </c>
      <c r="AA2429" s="9" t="s">
        <v>3884</v>
      </c>
    </row>
    <row r="2430" spans="1:28">
      <c r="A2430" s="3" t="s">
        <v>1262</v>
      </c>
      <c r="D2430" s="3" t="s">
        <v>3434</v>
      </c>
      <c r="E2430" s="3" t="s">
        <v>3435</v>
      </c>
      <c r="J2430" s="9" t="s">
        <v>8729</v>
      </c>
      <c r="S2430" s="9" t="s">
        <v>8739</v>
      </c>
      <c r="T2430" s="9" t="str">
        <f t="shared" ca="1" si="90"/>
        <v/>
      </c>
      <c r="U2430" s="9" t="str">
        <f t="shared" ca="1" si="91"/>
        <v/>
      </c>
      <c r="Z2430" s="9" t="s">
        <v>8742</v>
      </c>
      <c r="AA2430" s="9" t="s">
        <v>3884</v>
      </c>
      <c r="AB2430" s="9" t="s">
        <v>8697</v>
      </c>
    </row>
    <row r="2431" spans="1:28" ht="29">
      <c r="A2431" s="3" t="s">
        <v>1262</v>
      </c>
      <c r="D2431" s="3" t="s">
        <v>6472</v>
      </c>
      <c r="E2431" s="3" t="s">
        <v>6471</v>
      </c>
      <c r="J2431" s="9" t="s">
        <v>3889</v>
      </c>
      <c r="K2431" s="9">
        <v>1</v>
      </c>
      <c r="L2431" s="9">
        <v>3</v>
      </c>
      <c r="M2431" s="9" t="s">
        <v>8683</v>
      </c>
      <c r="N2431" s="9" t="s">
        <v>8690</v>
      </c>
      <c r="R2431" s="9">
        <v>99</v>
      </c>
      <c r="T2431" s="9" t="str">
        <f t="shared" ca="1" si="90"/>
        <v/>
      </c>
      <c r="U2431" s="9" t="str">
        <f t="shared" ca="1" si="91"/>
        <v/>
      </c>
    </row>
    <row r="2432" spans="1:28" ht="29">
      <c r="A2432" s="3" t="s">
        <v>1262</v>
      </c>
      <c r="D2432" s="3" t="s">
        <v>6473</v>
      </c>
      <c r="E2432" s="3" t="s">
        <v>6474</v>
      </c>
      <c r="J2432" s="9" t="s">
        <v>8729</v>
      </c>
      <c r="S2432" s="9">
        <f>3678-3678</f>
        <v>0</v>
      </c>
      <c r="T2432" s="9">
        <f t="shared" ca="1" si="90"/>
        <v>3678</v>
      </c>
      <c r="U2432" s="9">
        <f t="shared" ca="1" si="91"/>
        <v>3678</v>
      </c>
    </row>
    <row r="2433" spans="1:28">
      <c r="A2433" s="3" t="s">
        <v>1263</v>
      </c>
      <c r="D2433" s="3" t="s">
        <v>6475</v>
      </c>
      <c r="E2433" s="3" t="s">
        <v>6476</v>
      </c>
      <c r="H2433" t="s">
        <v>3884</v>
      </c>
      <c r="J2433" s="9" t="s">
        <v>3885</v>
      </c>
      <c r="K2433" s="9">
        <v>1</v>
      </c>
      <c r="L2433" s="9">
        <v>1</v>
      </c>
      <c r="M2433" s="9" t="s">
        <v>8705</v>
      </c>
      <c r="N2433" s="9" t="s">
        <v>8730</v>
      </c>
      <c r="Q2433" s="9" t="s">
        <v>8685</v>
      </c>
      <c r="R2433" s="9">
        <v>615</v>
      </c>
      <c r="T2433" s="9" t="str">
        <f t="shared" ca="1" si="90"/>
        <v/>
      </c>
      <c r="U2433" s="9" t="str">
        <f t="shared" ca="1" si="91"/>
        <v/>
      </c>
      <c r="AB2433" s="9" t="s">
        <v>8694</v>
      </c>
    </row>
    <row r="2434" spans="1:28">
      <c r="A2434" s="3" t="s">
        <v>1263</v>
      </c>
      <c r="D2434" s="3" t="s">
        <v>6477</v>
      </c>
      <c r="E2434" s="3" t="s">
        <v>6478</v>
      </c>
      <c r="H2434" t="s">
        <v>3884</v>
      </c>
      <c r="J2434" s="9" t="s">
        <v>8731</v>
      </c>
      <c r="T2434" s="9" t="str">
        <f t="shared" ca="1" si="90"/>
        <v/>
      </c>
      <c r="U2434" s="9" t="str">
        <f t="shared" ca="1" si="91"/>
        <v/>
      </c>
      <c r="Z2434" s="9" t="s">
        <v>8861</v>
      </c>
      <c r="AA2434" s="9" t="s">
        <v>3884</v>
      </c>
      <c r="AB2434" s="9" t="s">
        <v>8688</v>
      </c>
    </row>
    <row r="2435" spans="1:28">
      <c r="A2435" s="3" t="s">
        <v>1264</v>
      </c>
      <c r="D2435" s="3" t="s">
        <v>6479</v>
      </c>
      <c r="E2435" s="3" t="s">
        <v>6480</v>
      </c>
      <c r="F2435" t="s">
        <v>3893</v>
      </c>
      <c r="T2435" s="9" t="str">
        <f t="shared" ca="1" si="90"/>
        <v/>
      </c>
      <c r="U2435" s="9" t="str">
        <f t="shared" ca="1" si="91"/>
        <v/>
      </c>
    </row>
    <row r="2436" spans="1:28">
      <c r="A2436" s="3" t="s">
        <v>1264</v>
      </c>
      <c r="D2436" s="3" t="s">
        <v>6477</v>
      </c>
      <c r="E2436" s="4" t="s">
        <v>6481</v>
      </c>
      <c r="F2436" t="s">
        <v>3897</v>
      </c>
      <c r="T2436" s="9" t="str">
        <f t="shared" ca="1" si="90"/>
        <v/>
      </c>
      <c r="U2436" s="9" t="str">
        <f t="shared" ca="1" si="91"/>
        <v/>
      </c>
    </row>
    <row r="2437" spans="1:28">
      <c r="A2437" s="3" t="s">
        <v>1265</v>
      </c>
      <c r="D2437" s="3" t="s">
        <v>3436</v>
      </c>
      <c r="E2437" s="3" t="s">
        <v>6482</v>
      </c>
      <c r="H2437" t="s">
        <v>3884</v>
      </c>
      <c r="J2437" s="9" t="s">
        <v>8729</v>
      </c>
      <c r="S2437" s="9" t="s">
        <v>8739</v>
      </c>
      <c r="T2437" s="9" t="str">
        <f t="shared" ref="T2437:T2500" ca="1" si="92">IF(ISNUMBER(S2437),VALUE(MID(_xlfn.FORMULATEXT(S2437),SEARCH("-",_xlfn.FORMULATEXT(S2437))+1,LEN(_xlfn.FORMULATEXT(S2437))-SEARCH("-",_xlfn.FORMULATEXT(S2437)))), "")</f>
        <v/>
      </c>
      <c r="U2437" s="9" t="str">
        <f t="shared" ref="U2437:U2500" ca="1" si="93">IF(ISNUMBER(S2437), VALUE(MID(_xlfn.FORMULATEXT(S2437), 2, SEARCH("-", _xlfn.FORMULATEXT(S2437)) - 2)), "")</f>
        <v/>
      </c>
      <c r="Y2437" s="9" t="s">
        <v>8735</v>
      </c>
      <c r="AA2437" s="9" t="s">
        <v>3884</v>
      </c>
    </row>
    <row r="2438" spans="1:28">
      <c r="A2438" s="3" t="s">
        <v>1266</v>
      </c>
      <c r="D2438" s="3" t="s">
        <v>3437</v>
      </c>
      <c r="E2438" s="3" t="s">
        <v>3365</v>
      </c>
      <c r="J2438" s="9" t="s">
        <v>8729</v>
      </c>
      <c r="S2438" s="9" t="s">
        <v>8739</v>
      </c>
      <c r="T2438" s="9" t="str">
        <f t="shared" ca="1" si="92"/>
        <v/>
      </c>
      <c r="U2438" s="9" t="str">
        <f t="shared" ca="1" si="93"/>
        <v/>
      </c>
      <c r="AB2438" s="9" t="s">
        <v>8697</v>
      </c>
    </row>
    <row r="2439" spans="1:28">
      <c r="A2439" s="3" t="s">
        <v>1267</v>
      </c>
      <c r="D2439" s="3" t="s">
        <v>2257</v>
      </c>
      <c r="E2439" s="3" t="s">
        <v>2257</v>
      </c>
      <c r="F2439" t="s">
        <v>3932</v>
      </c>
      <c r="I2439" t="s">
        <v>2194</v>
      </c>
      <c r="T2439" s="9" t="str">
        <f t="shared" ca="1" si="92"/>
        <v/>
      </c>
      <c r="U2439" s="9" t="str">
        <f t="shared" ca="1" si="93"/>
        <v/>
      </c>
    </row>
    <row r="2440" spans="1:28">
      <c r="A2440" s="3" t="s">
        <v>1268</v>
      </c>
      <c r="D2440" s="3" t="s">
        <v>3438</v>
      </c>
      <c r="E2440" s="3" t="s">
        <v>3439</v>
      </c>
      <c r="J2440" s="9" t="s">
        <v>8729</v>
      </c>
      <c r="S2440" s="9" t="s">
        <v>8739</v>
      </c>
      <c r="T2440" s="9" t="str">
        <f t="shared" ca="1" si="92"/>
        <v/>
      </c>
      <c r="U2440" s="9" t="str">
        <f t="shared" ca="1" si="93"/>
        <v/>
      </c>
      <c r="Z2440" s="9" t="s">
        <v>8742</v>
      </c>
      <c r="AA2440" s="9" t="s">
        <v>3884</v>
      </c>
    </row>
    <row r="2441" spans="1:28">
      <c r="A2441" s="3" t="s">
        <v>1268</v>
      </c>
      <c r="D2441" s="3" t="s">
        <v>6483</v>
      </c>
      <c r="E2441" s="3" t="s">
        <v>6484</v>
      </c>
      <c r="J2441" s="9" t="s">
        <v>8729</v>
      </c>
      <c r="S2441" s="9">
        <f>1942-2</f>
        <v>1940</v>
      </c>
      <c r="T2441" s="9">
        <f t="shared" ca="1" si="92"/>
        <v>2</v>
      </c>
      <c r="U2441" s="9">
        <f t="shared" ca="1" si="93"/>
        <v>1942</v>
      </c>
      <c r="AB2441" s="9" t="s">
        <v>8700</v>
      </c>
    </row>
    <row r="2442" spans="1:28">
      <c r="A2442" s="3" t="s">
        <v>1268</v>
      </c>
      <c r="D2442" s="3" t="s">
        <v>6485</v>
      </c>
      <c r="E2442" s="3" t="s">
        <v>6486</v>
      </c>
      <c r="J2442" s="9" t="s">
        <v>8729</v>
      </c>
      <c r="S2442" s="9" t="s">
        <v>8739</v>
      </c>
      <c r="T2442" s="9" t="str">
        <f t="shared" ca="1" si="92"/>
        <v/>
      </c>
      <c r="U2442" s="9" t="str">
        <f t="shared" ca="1" si="93"/>
        <v/>
      </c>
      <c r="Z2442" s="9" t="s">
        <v>8747</v>
      </c>
      <c r="AA2442" s="9" t="s">
        <v>3884</v>
      </c>
      <c r="AB2442" s="9" t="s">
        <v>8697</v>
      </c>
    </row>
    <row r="2443" spans="1:28">
      <c r="A2443" s="3" t="s">
        <v>1269</v>
      </c>
      <c r="D2443" s="3" t="s">
        <v>6487</v>
      </c>
      <c r="E2443" s="4" t="s">
        <v>6488</v>
      </c>
      <c r="F2443" t="s">
        <v>3897</v>
      </c>
      <c r="T2443" s="9" t="str">
        <f t="shared" ca="1" si="92"/>
        <v/>
      </c>
      <c r="U2443" s="9" t="str">
        <f t="shared" ca="1" si="93"/>
        <v/>
      </c>
    </row>
    <row r="2444" spans="1:28">
      <c r="A2444" s="3" t="s">
        <v>1270</v>
      </c>
      <c r="D2444" s="3" t="s">
        <v>3438</v>
      </c>
      <c r="E2444" s="3" t="s">
        <v>3439</v>
      </c>
      <c r="J2444" s="9" t="s">
        <v>8729</v>
      </c>
      <c r="S2444" s="9" t="s">
        <v>8739</v>
      </c>
      <c r="T2444" s="9" t="str">
        <f t="shared" ca="1" si="92"/>
        <v/>
      </c>
      <c r="U2444" s="9" t="str">
        <f t="shared" ca="1" si="93"/>
        <v/>
      </c>
      <c r="Z2444" s="9" t="s">
        <v>8742</v>
      </c>
      <c r="AA2444" s="9" t="s">
        <v>3884</v>
      </c>
    </row>
    <row r="2445" spans="1:28">
      <c r="A2445" s="3" t="s">
        <v>1271</v>
      </c>
      <c r="D2445" s="3" t="s">
        <v>1984</v>
      </c>
      <c r="E2445" s="3" t="s">
        <v>1985</v>
      </c>
      <c r="J2445" s="9" t="s">
        <v>8729</v>
      </c>
      <c r="S2445" s="9" t="s">
        <v>8739</v>
      </c>
      <c r="T2445" s="9" t="str">
        <f t="shared" ca="1" si="92"/>
        <v/>
      </c>
      <c r="U2445" s="9" t="str">
        <f t="shared" ca="1" si="93"/>
        <v/>
      </c>
      <c r="Z2445" s="9" t="s">
        <v>8741</v>
      </c>
      <c r="AA2445" s="9" t="s">
        <v>3884</v>
      </c>
      <c r="AB2445" s="9" t="s">
        <v>8697</v>
      </c>
    </row>
    <row r="2446" spans="1:28">
      <c r="A2446" s="3" t="s">
        <v>1272</v>
      </c>
      <c r="D2446" s="3" t="s">
        <v>3440</v>
      </c>
      <c r="E2446" s="3" t="s">
        <v>3441</v>
      </c>
      <c r="J2446" s="9" t="s">
        <v>8729</v>
      </c>
      <c r="S2446" s="9" t="s">
        <v>8739</v>
      </c>
      <c r="T2446" s="9" t="str">
        <f t="shared" ca="1" si="92"/>
        <v/>
      </c>
      <c r="U2446" s="9" t="str">
        <f t="shared" ca="1" si="93"/>
        <v/>
      </c>
      <c r="Z2446" s="9" t="s">
        <v>8742</v>
      </c>
      <c r="AA2446" s="9" t="s">
        <v>3884</v>
      </c>
      <c r="AB2446" s="9" t="s">
        <v>8697</v>
      </c>
    </row>
    <row r="2447" spans="1:28">
      <c r="A2447" s="3" t="s">
        <v>1273</v>
      </c>
      <c r="D2447" s="4" t="s">
        <v>6489</v>
      </c>
      <c r="E2447" s="3" t="s">
        <v>6490</v>
      </c>
      <c r="F2447" t="s">
        <v>3883</v>
      </c>
      <c r="T2447" s="9" t="str">
        <f t="shared" ca="1" si="92"/>
        <v/>
      </c>
      <c r="U2447" s="9" t="str">
        <f t="shared" ca="1" si="93"/>
        <v/>
      </c>
    </row>
    <row r="2448" spans="1:28">
      <c r="A2448" s="3" t="s">
        <v>1274</v>
      </c>
      <c r="D2448" s="3" t="s">
        <v>3442</v>
      </c>
      <c r="E2448" s="4" t="s">
        <v>3443</v>
      </c>
      <c r="F2448" t="s">
        <v>3897</v>
      </c>
      <c r="T2448" s="9" t="str">
        <f t="shared" ca="1" si="92"/>
        <v/>
      </c>
      <c r="U2448" s="9" t="str">
        <f t="shared" ca="1" si="93"/>
        <v/>
      </c>
    </row>
    <row r="2449" spans="1:28" ht="43.5">
      <c r="A2449" s="3" t="s">
        <v>1275</v>
      </c>
      <c r="D2449" s="3" t="s">
        <v>6491</v>
      </c>
      <c r="E2449" s="3" t="s">
        <v>6492</v>
      </c>
      <c r="H2449" t="s">
        <v>3884</v>
      </c>
      <c r="J2449" s="9" t="s">
        <v>3885</v>
      </c>
      <c r="K2449" s="9">
        <v>1</v>
      </c>
      <c r="L2449" s="9">
        <v>2</v>
      </c>
      <c r="M2449" s="9" t="s">
        <v>8689</v>
      </c>
      <c r="N2449" s="9" t="s">
        <v>8730</v>
      </c>
      <c r="R2449" s="9">
        <v>10929</v>
      </c>
      <c r="T2449" s="9" t="str">
        <f t="shared" ca="1" si="92"/>
        <v/>
      </c>
      <c r="U2449" s="9" t="str">
        <f t="shared" ca="1" si="93"/>
        <v/>
      </c>
      <c r="AB2449" s="9" t="s">
        <v>8694</v>
      </c>
    </row>
    <row r="2450" spans="1:28" ht="43.5">
      <c r="A2450" s="3" t="s">
        <v>1275</v>
      </c>
      <c r="D2450" s="3" t="s">
        <v>6491</v>
      </c>
      <c r="E2450" s="3" t="s">
        <v>9104</v>
      </c>
      <c r="H2450" t="s">
        <v>3884</v>
      </c>
      <c r="I2450" t="s">
        <v>6493</v>
      </c>
      <c r="J2450" s="9" t="s">
        <v>3885</v>
      </c>
      <c r="K2450" s="9">
        <v>2</v>
      </c>
      <c r="L2450" s="9">
        <v>11</v>
      </c>
      <c r="N2450" s="9" t="s">
        <v>8684</v>
      </c>
      <c r="O2450" s="9" t="s">
        <v>9092</v>
      </c>
      <c r="P2450" s="10" t="s">
        <v>9103</v>
      </c>
      <c r="R2450" s="9">
        <v>100</v>
      </c>
      <c r="T2450" s="9" t="str">
        <f t="shared" ca="1" si="92"/>
        <v/>
      </c>
      <c r="U2450" s="9" t="str">
        <f t="shared" ca="1" si="93"/>
        <v/>
      </c>
    </row>
    <row r="2451" spans="1:28" ht="29">
      <c r="A2451" s="3" t="s">
        <v>1275</v>
      </c>
      <c r="D2451" s="3" t="s">
        <v>6494</v>
      </c>
      <c r="E2451" s="3" t="s">
        <v>9105</v>
      </c>
      <c r="J2451" s="9" t="s">
        <v>8731</v>
      </c>
      <c r="T2451" s="9" t="str">
        <f t="shared" ca="1" si="92"/>
        <v/>
      </c>
      <c r="U2451" s="9" t="str">
        <f t="shared" ca="1" si="93"/>
        <v/>
      </c>
    </row>
    <row r="2452" spans="1:28" ht="29">
      <c r="A2452" s="3" t="s">
        <v>1275</v>
      </c>
      <c r="D2452" s="3" t="s">
        <v>6495</v>
      </c>
      <c r="E2452" s="4" t="s">
        <v>6496</v>
      </c>
      <c r="F2452" t="s">
        <v>3897</v>
      </c>
      <c r="T2452" s="9" t="str">
        <f t="shared" ca="1" si="92"/>
        <v/>
      </c>
      <c r="U2452" s="9" t="str">
        <f t="shared" ca="1" si="93"/>
        <v/>
      </c>
    </row>
    <row r="2453" spans="1:28" ht="29">
      <c r="A2453" s="3" t="s">
        <v>1275</v>
      </c>
      <c r="D2453" s="3" t="s">
        <v>6497</v>
      </c>
      <c r="E2453" s="3" t="s">
        <v>6498</v>
      </c>
      <c r="H2453" t="s">
        <v>3884</v>
      </c>
      <c r="J2453" s="9" t="s">
        <v>8729</v>
      </c>
      <c r="S2453" s="9" t="s">
        <v>8739</v>
      </c>
      <c r="T2453" s="9" t="str">
        <f t="shared" ca="1" si="92"/>
        <v/>
      </c>
      <c r="U2453" s="9" t="str">
        <f t="shared" ca="1" si="93"/>
        <v/>
      </c>
      <c r="Z2453" s="9" t="s">
        <v>8832</v>
      </c>
      <c r="AA2453" s="9" t="s">
        <v>3884</v>
      </c>
      <c r="AB2453" s="9" t="s">
        <v>8688</v>
      </c>
    </row>
    <row r="2454" spans="1:28">
      <c r="A2454" s="3" t="s">
        <v>1276</v>
      </c>
      <c r="D2454" s="3" t="s">
        <v>3438</v>
      </c>
      <c r="E2454" s="3" t="s">
        <v>3439</v>
      </c>
      <c r="J2454" s="9" t="s">
        <v>8729</v>
      </c>
      <c r="S2454" s="9" t="s">
        <v>8739</v>
      </c>
      <c r="T2454" s="9" t="str">
        <f t="shared" ca="1" si="92"/>
        <v/>
      </c>
      <c r="U2454" s="9" t="str">
        <f t="shared" ca="1" si="93"/>
        <v/>
      </c>
      <c r="Z2454" s="9" t="s">
        <v>8742</v>
      </c>
      <c r="AA2454" s="9" t="s">
        <v>3884</v>
      </c>
    </row>
    <row r="2455" spans="1:28">
      <c r="A2455" s="3" t="s">
        <v>1277</v>
      </c>
      <c r="D2455" s="3" t="s">
        <v>6499</v>
      </c>
      <c r="E2455" s="3" t="s">
        <v>3444</v>
      </c>
      <c r="H2455" t="s">
        <v>3884</v>
      </c>
      <c r="J2455" s="9" t="s">
        <v>8729</v>
      </c>
      <c r="S2455" s="9" t="s">
        <v>8739</v>
      </c>
      <c r="T2455" s="9" t="str">
        <f t="shared" ca="1" si="92"/>
        <v/>
      </c>
      <c r="U2455" s="9" t="str">
        <f t="shared" ca="1" si="93"/>
        <v/>
      </c>
      <c r="AB2455" s="9" t="s">
        <v>8688</v>
      </c>
    </row>
    <row r="2456" spans="1:28">
      <c r="A2456" s="3" t="s">
        <v>1277</v>
      </c>
      <c r="D2456" s="3" t="s">
        <v>6500</v>
      </c>
      <c r="E2456" s="3" t="s">
        <v>6501</v>
      </c>
      <c r="H2456" t="s">
        <v>3892</v>
      </c>
      <c r="I2456" t="s">
        <v>6502</v>
      </c>
      <c r="J2456" s="9" t="s">
        <v>8729</v>
      </c>
      <c r="S2456" s="9">
        <f>329-17</f>
        <v>312</v>
      </c>
      <c r="T2456" s="9">
        <f t="shared" ca="1" si="92"/>
        <v>17</v>
      </c>
      <c r="U2456" s="9">
        <f t="shared" ca="1" si="93"/>
        <v>329</v>
      </c>
    </row>
    <row r="2457" spans="1:28">
      <c r="A2457" s="3" t="s">
        <v>1278</v>
      </c>
      <c r="D2457" s="3" t="s">
        <v>3445</v>
      </c>
      <c r="E2457" s="3" t="s">
        <v>3446</v>
      </c>
      <c r="J2457" s="9" t="s">
        <v>8729</v>
      </c>
      <c r="S2457" s="9" t="s">
        <v>8739</v>
      </c>
      <c r="T2457" s="9" t="str">
        <f t="shared" ca="1" si="92"/>
        <v/>
      </c>
      <c r="U2457" s="9" t="str">
        <f t="shared" ca="1" si="93"/>
        <v/>
      </c>
      <c r="Z2457" s="9" t="s">
        <v>8742</v>
      </c>
      <c r="AA2457" s="9" t="s">
        <v>3884</v>
      </c>
    </row>
    <row r="2458" spans="1:28">
      <c r="A2458" s="3" t="s">
        <v>1278</v>
      </c>
      <c r="D2458" s="3" t="s">
        <v>6503</v>
      </c>
      <c r="E2458" s="3" t="s">
        <v>6504</v>
      </c>
      <c r="J2458" s="9" t="s">
        <v>8731</v>
      </c>
      <c r="T2458" s="9" t="str">
        <f t="shared" ca="1" si="92"/>
        <v/>
      </c>
      <c r="U2458" s="9" t="str">
        <f t="shared" ca="1" si="93"/>
        <v/>
      </c>
    </row>
    <row r="2459" spans="1:28">
      <c r="A2459" s="3" t="s">
        <v>1278</v>
      </c>
      <c r="D2459" s="3" t="s">
        <v>6505</v>
      </c>
      <c r="E2459" s="3" t="s">
        <v>6506</v>
      </c>
      <c r="F2459" t="s">
        <v>3932</v>
      </c>
      <c r="I2459" t="s">
        <v>6507</v>
      </c>
      <c r="T2459" s="9" t="str">
        <f t="shared" ca="1" si="92"/>
        <v/>
      </c>
      <c r="U2459" s="9" t="str">
        <f t="shared" ca="1" si="93"/>
        <v/>
      </c>
    </row>
    <row r="2460" spans="1:28" ht="29">
      <c r="A2460" s="3" t="s">
        <v>1278</v>
      </c>
      <c r="D2460" s="3" t="s">
        <v>6508</v>
      </c>
      <c r="E2460" s="3" t="s">
        <v>6508</v>
      </c>
      <c r="F2460" t="s">
        <v>3932</v>
      </c>
      <c r="I2460" t="s">
        <v>6509</v>
      </c>
      <c r="T2460" s="9" t="str">
        <f t="shared" ca="1" si="92"/>
        <v/>
      </c>
      <c r="U2460" s="9" t="str">
        <f t="shared" ca="1" si="93"/>
        <v/>
      </c>
    </row>
    <row r="2461" spans="1:28">
      <c r="A2461" s="3" t="s">
        <v>1279</v>
      </c>
      <c r="D2461" s="3" t="s">
        <v>3447</v>
      </c>
      <c r="E2461" s="3" t="s">
        <v>3448</v>
      </c>
      <c r="J2461" s="9" t="s">
        <v>8729</v>
      </c>
      <c r="S2461" s="9" t="s">
        <v>8739</v>
      </c>
      <c r="T2461" s="9" t="str">
        <f t="shared" ca="1" si="92"/>
        <v/>
      </c>
      <c r="U2461" s="9" t="str">
        <f t="shared" ca="1" si="93"/>
        <v/>
      </c>
      <c r="AB2461" s="9" t="s">
        <v>8688</v>
      </c>
    </row>
    <row r="2462" spans="1:28">
      <c r="A2462" s="3" t="s">
        <v>1280</v>
      </c>
      <c r="D2462" s="3" t="s">
        <v>6510</v>
      </c>
      <c r="E2462" s="4" t="s">
        <v>6511</v>
      </c>
      <c r="F2462" t="s">
        <v>3897</v>
      </c>
      <c r="T2462" s="9" t="str">
        <f t="shared" ca="1" si="92"/>
        <v/>
      </c>
      <c r="U2462" s="9" t="str">
        <f t="shared" ca="1" si="93"/>
        <v/>
      </c>
    </row>
    <row r="2463" spans="1:28">
      <c r="A2463" s="3" t="s">
        <v>1280</v>
      </c>
      <c r="D2463" s="3" t="s">
        <v>6512</v>
      </c>
      <c r="E2463" s="3" t="s">
        <v>6513</v>
      </c>
      <c r="F2463" t="s">
        <v>3893</v>
      </c>
      <c r="H2463" t="s">
        <v>3884</v>
      </c>
      <c r="T2463" s="9" t="str">
        <f t="shared" ca="1" si="92"/>
        <v/>
      </c>
      <c r="U2463" s="9" t="str">
        <f t="shared" ca="1" si="93"/>
        <v/>
      </c>
    </row>
    <row r="2464" spans="1:28">
      <c r="A2464" s="3" t="s">
        <v>1280</v>
      </c>
      <c r="D2464" s="3" t="s">
        <v>3449</v>
      </c>
      <c r="E2464" s="3" t="s">
        <v>3449</v>
      </c>
      <c r="F2464" t="s">
        <v>3932</v>
      </c>
      <c r="I2464" t="s">
        <v>6514</v>
      </c>
      <c r="T2464" s="9" t="str">
        <f t="shared" ca="1" si="92"/>
        <v/>
      </c>
      <c r="U2464" s="9" t="str">
        <f t="shared" ca="1" si="93"/>
        <v/>
      </c>
    </row>
    <row r="2465" spans="1:28">
      <c r="A2465" s="3" t="s">
        <v>1281</v>
      </c>
      <c r="D2465" s="3" t="s">
        <v>6515</v>
      </c>
      <c r="E2465" s="3" t="s">
        <v>6516</v>
      </c>
      <c r="F2465" t="s">
        <v>3893</v>
      </c>
      <c r="H2465" t="s">
        <v>3884</v>
      </c>
      <c r="T2465" s="9" t="str">
        <f t="shared" ca="1" si="92"/>
        <v/>
      </c>
      <c r="U2465" s="9" t="str">
        <f t="shared" ca="1" si="93"/>
        <v/>
      </c>
    </row>
    <row r="2466" spans="1:28" ht="43.5">
      <c r="A2466" s="3" t="s">
        <v>1282</v>
      </c>
      <c r="D2466" s="3" t="s">
        <v>6517</v>
      </c>
      <c r="E2466" s="3" t="s">
        <v>6518</v>
      </c>
      <c r="F2466" t="s">
        <v>3932</v>
      </c>
      <c r="I2466" t="s">
        <v>6519</v>
      </c>
      <c r="T2466" s="9" t="str">
        <f t="shared" ca="1" si="92"/>
        <v/>
      </c>
      <c r="U2466" s="9" t="str">
        <f t="shared" ca="1" si="93"/>
        <v/>
      </c>
    </row>
    <row r="2467" spans="1:28" ht="43.5">
      <c r="A2467" s="3" t="s">
        <v>1282</v>
      </c>
      <c r="D2467" s="3" t="s">
        <v>6520</v>
      </c>
      <c r="E2467" s="3" t="s">
        <v>6521</v>
      </c>
      <c r="H2467" t="s">
        <v>3884</v>
      </c>
      <c r="J2467" s="9" t="s">
        <v>8731</v>
      </c>
      <c r="T2467" s="9" t="str">
        <f t="shared" ca="1" si="92"/>
        <v/>
      </c>
      <c r="U2467" s="9" t="str">
        <f t="shared" ca="1" si="93"/>
        <v/>
      </c>
    </row>
    <row r="2468" spans="1:28" ht="43.5">
      <c r="A2468" s="3" t="s">
        <v>1282</v>
      </c>
      <c r="D2468" s="3" t="s">
        <v>6522</v>
      </c>
      <c r="E2468" s="3" t="s">
        <v>6523</v>
      </c>
      <c r="H2468" t="s">
        <v>3888</v>
      </c>
      <c r="I2468" t="s">
        <v>3335</v>
      </c>
      <c r="J2468" s="9" t="s">
        <v>8731</v>
      </c>
      <c r="T2468" s="9" t="str">
        <f t="shared" ca="1" si="92"/>
        <v/>
      </c>
      <c r="U2468" s="9" t="str">
        <f t="shared" ca="1" si="93"/>
        <v/>
      </c>
      <c r="Z2468" s="9" t="s">
        <v>8741</v>
      </c>
      <c r="AA2468" s="9" t="s">
        <v>3884</v>
      </c>
    </row>
    <row r="2469" spans="1:28" ht="29">
      <c r="A2469" s="3" t="s">
        <v>1283</v>
      </c>
      <c r="D2469" s="3" t="s">
        <v>6524</v>
      </c>
      <c r="E2469" s="3" t="s">
        <v>6525</v>
      </c>
      <c r="H2469" t="s">
        <v>3884</v>
      </c>
      <c r="J2469" s="9" t="s">
        <v>3885</v>
      </c>
      <c r="K2469" s="9">
        <v>1</v>
      </c>
      <c r="L2469" s="9">
        <v>4</v>
      </c>
      <c r="M2469" s="9" t="s">
        <v>8703</v>
      </c>
      <c r="N2469" s="9" t="s">
        <v>8690</v>
      </c>
      <c r="R2469" s="9">
        <v>13</v>
      </c>
      <c r="T2469" s="9" t="str">
        <f t="shared" ca="1" si="92"/>
        <v/>
      </c>
      <c r="U2469" s="9" t="str">
        <f t="shared" ca="1" si="93"/>
        <v/>
      </c>
      <c r="AB2469" s="9" t="s">
        <v>8694</v>
      </c>
    </row>
    <row r="2470" spans="1:28">
      <c r="A2470" s="3" t="s">
        <v>1284</v>
      </c>
      <c r="D2470" s="3" t="s">
        <v>6526</v>
      </c>
      <c r="E2470" s="3" t="s">
        <v>6527</v>
      </c>
      <c r="F2470" t="s">
        <v>3932</v>
      </c>
      <c r="I2470" t="s">
        <v>6528</v>
      </c>
      <c r="T2470" s="9" t="str">
        <f t="shared" ca="1" si="92"/>
        <v/>
      </c>
      <c r="U2470" s="9" t="str">
        <f t="shared" ca="1" si="93"/>
        <v/>
      </c>
    </row>
    <row r="2471" spans="1:28">
      <c r="A2471" s="3" t="s">
        <v>1285</v>
      </c>
      <c r="D2471" s="3" t="s">
        <v>6529</v>
      </c>
      <c r="E2471" s="3" t="s">
        <v>6529</v>
      </c>
      <c r="F2471" t="s">
        <v>3932</v>
      </c>
      <c r="I2471" t="s">
        <v>6530</v>
      </c>
      <c r="T2471" s="9" t="str">
        <f t="shared" ca="1" si="92"/>
        <v/>
      </c>
      <c r="U2471" s="9" t="str">
        <f t="shared" ca="1" si="93"/>
        <v/>
      </c>
    </row>
    <row r="2472" spans="1:28">
      <c r="A2472" s="3" t="s">
        <v>1285</v>
      </c>
      <c r="D2472" s="3" t="s">
        <v>6531</v>
      </c>
      <c r="E2472" s="3" t="s">
        <v>6532</v>
      </c>
      <c r="F2472" t="s">
        <v>4397</v>
      </c>
      <c r="H2472" t="s">
        <v>3884</v>
      </c>
      <c r="J2472" s="9" t="s">
        <v>3885</v>
      </c>
      <c r="K2472" s="9">
        <v>1</v>
      </c>
      <c r="L2472" s="9">
        <v>4</v>
      </c>
      <c r="M2472" s="9" t="s">
        <v>8734</v>
      </c>
      <c r="N2472" s="9" t="s">
        <v>8684</v>
      </c>
      <c r="O2472" s="9" t="s">
        <v>8771</v>
      </c>
      <c r="P2472" s="10" t="s">
        <v>8772</v>
      </c>
      <c r="Q2472" s="9" t="s">
        <v>8685</v>
      </c>
      <c r="R2472" s="9" t="s">
        <v>8730</v>
      </c>
      <c r="T2472" s="9" t="str">
        <f t="shared" ca="1" si="92"/>
        <v/>
      </c>
      <c r="U2472" s="9" t="str">
        <f t="shared" ca="1" si="93"/>
        <v/>
      </c>
      <c r="AB2472" s="9" t="s">
        <v>8688</v>
      </c>
    </row>
    <row r="2473" spans="1:28">
      <c r="A2473" s="3" t="s">
        <v>1286</v>
      </c>
      <c r="D2473" s="3" t="s">
        <v>3450</v>
      </c>
      <c r="E2473" s="3" t="s">
        <v>3450</v>
      </c>
      <c r="F2473" t="s">
        <v>3932</v>
      </c>
      <c r="I2473" t="s">
        <v>6533</v>
      </c>
      <c r="T2473" s="9" t="str">
        <f t="shared" ca="1" si="92"/>
        <v/>
      </c>
      <c r="U2473" s="9" t="str">
        <f t="shared" ca="1" si="93"/>
        <v/>
      </c>
    </row>
    <row r="2474" spans="1:28">
      <c r="A2474" s="3" t="s">
        <v>1286</v>
      </c>
      <c r="D2474" s="3" t="s">
        <v>6534</v>
      </c>
      <c r="E2474" s="4" t="s">
        <v>6535</v>
      </c>
      <c r="F2474" t="s">
        <v>3897</v>
      </c>
      <c r="T2474" s="9" t="str">
        <f t="shared" ca="1" si="92"/>
        <v/>
      </c>
      <c r="U2474" s="9" t="str">
        <f t="shared" ca="1" si="93"/>
        <v/>
      </c>
    </row>
    <row r="2475" spans="1:28">
      <c r="A2475" s="3" t="s">
        <v>1286</v>
      </c>
      <c r="D2475" s="3" t="s">
        <v>6536</v>
      </c>
      <c r="E2475" s="3" t="s">
        <v>6536</v>
      </c>
      <c r="F2475" t="s">
        <v>3932</v>
      </c>
      <c r="I2475" t="s">
        <v>6537</v>
      </c>
      <c r="T2475" s="9" t="str">
        <f t="shared" ca="1" si="92"/>
        <v/>
      </c>
      <c r="U2475" s="9" t="str">
        <f t="shared" ca="1" si="93"/>
        <v/>
      </c>
    </row>
    <row r="2476" spans="1:28">
      <c r="A2476" s="3" t="s">
        <v>1286</v>
      </c>
      <c r="D2476" s="3" t="s">
        <v>6538</v>
      </c>
      <c r="E2476" s="3" t="s">
        <v>9106</v>
      </c>
      <c r="H2476" t="s">
        <v>3884</v>
      </c>
      <c r="J2476" s="9" t="s">
        <v>3889</v>
      </c>
      <c r="K2476" s="9">
        <v>1</v>
      </c>
      <c r="L2476" s="9">
        <v>3</v>
      </c>
      <c r="M2476" s="9" t="s">
        <v>8689</v>
      </c>
      <c r="N2476" s="9" t="s">
        <v>8684</v>
      </c>
      <c r="O2476" s="9" t="s">
        <v>8771</v>
      </c>
      <c r="P2476" s="10" t="s">
        <v>8778</v>
      </c>
      <c r="R2476" s="9">
        <v>10929</v>
      </c>
      <c r="T2476" s="9" t="str">
        <f t="shared" ca="1" si="92"/>
        <v/>
      </c>
      <c r="U2476" s="9" t="str">
        <f t="shared" ca="1" si="93"/>
        <v/>
      </c>
    </row>
    <row r="2477" spans="1:28">
      <c r="A2477" s="3" t="s">
        <v>1286</v>
      </c>
      <c r="D2477" s="3" t="s">
        <v>6539</v>
      </c>
      <c r="E2477" s="3" t="s">
        <v>6540</v>
      </c>
      <c r="H2477" t="s">
        <v>3884</v>
      </c>
      <c r="J2477" s="9" t="s">
        <v>3885</v>
      </c>
      <c r="K2477" s="9">
        <v>1</v>
      </c>
      <c r="L2477" s="9">
        <v>3</v>
      </c>
      <c r="M2477" s="9" t="s">
        <v>8698</v>
      </c>
      <c r="N2477" s="9" t="s">
        <v>8684</v>
      </c>
      <c r="O2477" s="9" t="s">
        <v>8777</v>
      </c>
      <c r="P2477" s="10" t="s">
        <v>8778</v>
      </c>
      <c r="Q2477" s="9" t="s">
        <v>8685</v>
      </c>
      <c r="R2477" s="9">
        <v>9418</v>
      </c>
      <c r="T2477" s="9" t="str">
        <f t="shared" ca="1" si="92"/>
        <v/>
      </c>
      <c r="U2477" s="9" t="str">
        <f t="shared" ca="1" si="93"/>
        <v/>
      </c>
      <c r="AB2477" s="9" t="s">
        <v>8694</v>
      </c>
    </row>
    <row r="2478" spans="1:28">
      <c r="A2478" s="3" t="s">
        <v>1287</v>
      </c>
      <c r="D2478" s="3" t="s">
        <v>3451</v>
      </c>
      <c r="E2478" s="3" t="s">
        <v>3452</v>
      </c>
      <c r="J2478" s="9" t="s">
        <v>8729</v>
      </c>
      <c r="S2478" s="9" t="s">
        <v>8730</v>
      </c>
      <c r="T2478" s="9" t="str">
        <f t="shared" ca="1" si="92"/>
        <v/>
      </c>
      <c r="U2478" s="9" t="str">
        <f t="shared" ca="1" si="93"/>
        <v/>
      </c>
      <c r="Z2478" s="9" t="s">
        <v>8757</v>
      </c>
      <c r="AA2478" s="9" t="s">
        <v>3884</v>
      </c>
      <c r="AB2478" s="9" t="s">
        <v>8697</v>
      </c>
    </row>
    <row r="2479" spans="1:28">
      <c r="A2479" s="3" t="s">
        <v>1288</v>
      </c>
      <c r="D2479" s="3" t="s">
        <v>6541</v>
      </c>
      <c r="E2479" s="3" t="s">
        <v>6541</v>
      </c>
      <c r="F2479" t="s">
        <v>3932</v>
      </c>
      <c r="T2479" s="9" t="str">
        <f t="shared" ca="1" si="92"/>
        <v/>
      </c>
      <c r="U2479" s="9" t="str">
        <f t="shared" ca="1" si="93"/>
        <v/>
      </c>
    </row>
    <row r="2480" spans="1:28">
      <c r="A2480" s="3" t="s">
        <v>1288</v>
      </c>
      <c r="D2480" s="3" t="s">
        <v>6542</v>
      </c>
      <c r="E2480" s="3" t="s">
        <v>6543</v>
      </c>
      <c r="H2480" t="s">
        <v>3884</v>
      </c>
      <c r="J2480" s="9" t="s">
        <v>3885</v>
      </c>
      <c r="K2480" s="9">
        <v>1</v>
      </c>
      <c r="L2480" s="9">
        <v>3</v>
      </c>
      <c r="M2480" s="9" t="s">
        <v>8703</v>
      </c>
      <c r="N2480" s="9" t="s">
        <v>8684</v>
      </c>
      <c r="O2480" s="9" t="s">
        <v>8771</v>
      </c>
      <c r="P2480" s="10" t="s">
        <v>8778</v>
      </c>
      <c r="R2480" s="9">
        <v>0</v>
      </c>
      <c r="T2480" s="9" t="str">
        <f t="shared" ca="1" si="92"/>
        <v/>
      </c>
      <c r="U2480" s="9" t="str">
        <f t="shared" ca="1" si="93"/>
        <v/>
      </c>
      <c r="AB2480" s="9" t="s">
        <v>8694</v>
      </c>
    </row>
    <row r="2481" spans="1:28" ht="29">
      <c r="A2481" s="3" t="s">
        <v>1289</v>
      </c>
      <c r="D2481" s="3" t="s">
        <v>6544</v>
      </c>
      <c r="E2481" s="3" t="s">
        <v>6544</v>
      </c>
      <c r="F2481" t="s">
        <v>3932</v>
      </c>
      <c r="I2481" t="s">
        <v>9696</v>
      </c>
      <c r="T2481" s="9" t="str">
        <f t="shared" ca="1" si="92"/>
        <v/>
      </c>
      <c r="U2481" s="9" t="str">
        <f t="shared" ca="1" si="93"/>
        <v/>
      </c>
    </row>
    <row r="2482" spans="1:28" ht="29">
      <c r="A2482" s="3" t="s">
        <v>1289</v>
      </c>
      <c r="D2482" s="3" t="s">
        <v>6545</v>
      </c>
      <c r="E2482" s="3" t="s">
        <v>6546</v>
      </c>
      <c r="F2482" t="s">
        <v>3932</v>
      </c>
      <c r="I2482" t="s">
        <v>9697</v>
      </c>
      <c r="T2482" s="9" t="str">
        <f t="shared" ca="1" si="92"/>
        <v/>
      </c>
      <c r="U2482" s="9" t="str">
        <f t="shared" ca="1" si="93"/>
        <v/>
      </c>
    </row>
    <row r="2483" spans="1:28">
      <c r="A2483" s="3" t="s">
        <v>1290</v>
      </c>
      <c r="D2483" s="3" t="s">
        <v>3453</v>
      </c>
      <c r="E2483" s="3" t="s">
        <v>3453</v>
      </c>
      <c r="F2483" t="s">
        <v>3932</v>
      </c>
      <c r="I2483" t="s">
        <v>6547</v>
      </c>
      <c r="T2483" s="9" t="str">
        <f t="shared" ca="1" si="92"/>
        <v/>
      </c>
      <c r="U2483" s="9" t="str">
        <f t="shared" ca="1" si="93"/>
        <v/>
      </c>
    </row>
    <row r="2484" spans="1:28">
      <c r="A2484" s="3" t="s">
        <v>1291</v>
      </c>
      <c r="D2484" s="3" t="s">
        <v>3454</v>
      </c>
      <c r="E2484" s="3" t="s">
        <v>3455</v>
      </c>
      <c r="J2484" s="9" t="s">
        <v>8731</v>
      </c>
      <c r="T2484" s="9" t="str">
        <f t="shared" ca="1" si="92"/>
        <v/>
      </c>
      <c r="U2484" s="9" t="str">
        <f t="shared" ca="1" si="93"/>
        <v/>
      </c>
      <c r="Z2484" s="9" t="s">
        <v>8757</v>
      </c>
      <c r="AA2484" s="9" t="s">
        <v>3884</v>
      </c>
    </row>
    <row r="2485" spans="1:28" ht="29">
      <c r="A2485" s="3" t="s">
        <v>1291</v>
      </c>
      <c r="D2485" s="3" t="s">
        <v>6549</v>
      </c>
      <c r="E2485" s="3" t="s">
        <v>6550</v>
      </c>
      <c r="F2485" t="s">
        <v>3932</v>
      </c>
      <c r="I2485" t="s">
        <v>2207</v>
      </c>
      <c r="T2485" s="9" t="str">
        <f t="shared" ca="1" si="92"/>
        <v/>
      </c>
      <c r="U2485" s="9" t="str">
        <f t="shared" ca="1" si="93"/>
        <v/>
      </c>
    </row>
    <row r="2486" spans="1:28" ht="29">
      <c r="A2486" s="3" t="s">
        <v>1291</v>
      </c>
      <c r="D2486" s="3" t="s">
        <v>6548</v>
      </c>
      <c r="E2486" s="3" t="s">
        <v>6551</v>
      </c>
      <c r="H2486" t="s">
        <v>3884</v>
      </c>
      <c r="J2486" s="9" t="s">
        <v>3885</v>
      </c>
      <c r="K2486" s="9">
        <v>1</v>
      </c>
      <c r="L2486" s="9">
        <v>3</v>
      </c>
      <c r="M2486" s="9" t="s">
        <v>8689</v>
      </c>
      <c r="N2486" s="9" t="s">
        <v>8690</v>
      </c>
      <c r="R2486" s="9">
        <v>10929</v>
      </c>
      <c r="T2486" s="9" t="str">
        <f t="shared" ca="1" si="92"/>
        <v/>
      </c>
      <c r="U2486" s="9" t="str">
        <f t="shared" ca="1" si="93"/>
        <v/>
      </c>
    </row>
    <row r="2487" spans="1:28">
      <c r="A2487" s="3" t="s">
        <v>1292</v>
      </c>
      <c r="D2487" s="3" t="s">
        <v>6552</v>
      </c>
      <c r="E2487" s="3" t="s">
        <v>6553</v>
      </c>
      <c r="H2487" t="s">
        <v>3884</v>
      </c>
      <c r="J2487" s="9" t="s">
        <v>8729</v>
      </c>
      <c r="S2487" s="9" t="s">
        <v>8730</v>
      </c>
      <c r="T2487" s="9" t="str">
        <f t="shared" ca="1" si="92"/>
        <v/>
      </c>
      <c r="U2487" s="9" t="str">
        <f t="shared" ca="1" si="93"/>
        <v/>
      </c>
      <c r="AB2487" s="9" t="s">
        <v>8697</v>
      </c>
    </row>
    <row r="2488" spans="1:28" ht="29">
      <c r="A2488" s="3" t="s">
        <v>1292</v>
      </c>
      <c r="D2488" s="3" t="s">
        <v>6554</v>
      </c>
      <c r="E2488" s="3" t="s">
        <v>6555</v>
      </c>
      <c r="J2488" s="9" t="s">
        <v>3889</v>
      </c>
      <c r="K2488" s="9">
        <v>1</v>
      </c>
      <c r="L2488" s="9">
        <v>3</v>
      </c>
      <c r="M2488" s="9" t="s">
        <v>8689</v>
      </c>
      <c r="N2488" s="9" t="s">
        <v>8690</v>
      </c>
      <c r="R2488" s="9">
        <v>10929</v>
      </c>
      <c r="T2488" s="9" t="str">
        <f t="shared" ca="1" si="92"/>
        <v/>
      </c>
      <c r="U2488" s="9" t="str">
        <f t="shared" ca="1" si="93"/>
        <v/>
      </c>
    </row>
    <row r="2489" spans="1:28">
      <c r="A2489" s="3" t="s">
        <v>1293</v>
      </c>
      <c r="D2489" s="3" t="s">
        <v>6556</v>
      </c>
      <c r="E2489" s="3" t="s">
        <v>6557</v>
      </c>
      <c r="H2489" t="s">
        <v>3892</v>
      </c>
      <c r="I2489" t="s">
        <v>6558</v>
      </c>
      <c r="J2489" s="9" t="s">
        <v>8732</v>
      </c>
      <c r="S2489" s="9">
        <f>3-3</f>
        <v>0</v>
      </c>
      <c r="T2489" s="9">
        <f t="shared" ca="1" si="92"/>
        <v>3</v>
      </c>
      <c r="U2489" s="9">
        <f t="shared" ca="1" si="93"/>
        <v>3</v>
      </c>
      <c r="AB2489" s="9" t="s">
        <v>8694</v>
      </c>
    </row>
    <row r="2490" spans="1:28">
      <c r="A2490" s="3" t="s">
        <v>1293</v>
      </c>
      <c r="D2490" s="3" t="s">
        <v>6559</v>
      </c>
      <c r="E2490" s="3" t="s">
        <v>6560</v>
      </c>
      <c r="G2490" t="s">
        <v>3884</v>
      </c>
      <c r="J2490" s="9" t="s">
        <v>8731</v>
      </c>
      <c r="T2490" s="9" t="str">
        <f t="shared" ca="1" si="92"/>
        <v/>
      </c>
      <c r="U2490" s="9" t="str">
        <f t="shared" ca="1" si="93"/>
        <v/>
      </c>
      <c r="AB2490" s="9" t="s">
        <v>8697</v>
      </c>
    </row>
    <row r="2491" spans="1:28">
      <c r="A2491" s="3" t="s">
        <v>1294</v>
      </c>
      <c r="D2491" s="3" t="s">
        <v>3456</v>
      </c>
      <c r="E2491" s="3" t="s">
        <v>3457</v>
      </c>
      <c r="J2491" s="9" t="s">
        <v>8731</v>
      </c>
      <c r="T2491" s="9" t="str">
        <f t="shared" ca="1" si="92"/>
        <v/>
      </c>
      <c r="U2491" s="9" t="str">
        <f t="shared" ca="1" si="93"/>
        <v/>
      </c>
    </row>
    <row r="2492" spans="1:28">
      <c r="A2492" s="3" t="s">
        <v>1295</v>
      </c>
      <c r="D2492" s="3" t="s">
        <v>6561</v>
      </c>
      <c r="E2492" s="3" t="s">
        <v>6562</v>
      </c>
      <c r="G2492" t="s">
        <v>3884</v>
      </c>
      <c r="J2492" s="9" t="s">
        <v>8729</v>
      </c>
      <c r="S2492" s="9">
        <f>69-203</f>
        <v>-134</v>
      </c>
      <c r="T2492" s="9">
        <f t="shared" ca="1" si="92"/>
        <v>203</v>
      </c>
      <c r="U2492" s="9">
        <f t="shared" ca="1" si="93"/>
        <v>69</v>
      </c>
    </row>
    <row r="2493" spans="1:28" ht="29">
      <c r="A2493" s="3" t="s">
        <v>1296</v>
      </c>
      <c r="D2493" s="3" t="s">
        <v>6563</v>
      </c>
      <c r="E2493" s="3" t="s">
        <v>6564</v>
      </c>
      <c r="J2493" s="9" t="s">
        <v>8729</v>
      </c>
      <c r="S2493" s="9" t="s">
        <v>8739</v>
      </c>
      <c r="T2493" s="9" t="str">
        <f t="shared" ca="1" si="92"/>
        <v/>
      </c>
      <c r="U2493" s="9" t="str">
        <f t="shared" ca="1" si="93"/>
        <v/>
      </c>
      <c r="Y2493" s="9" t="s">
        <v>8735</v>
      </c>
      <c r="AA2493" s="9" t="s">
        <v>3884</v>
      </c>
    </row>
    <row r="2494" spans="1:28" ht="29">
      <c r="A2494" s="3" t="s">
        <v>1296</v>
      </c>
      <c r="D2494" s="3" t="s">
        <v>6565</v>
      </c>
      <c r="E2494" s="3" t="s">
        <v>6566</v>
      </c>
      <c r="J2494" s="9" t="s">
        <v>8731</v>
      </c>
      <c r="T2494" s="9" t="str">
        <f t="shared" ca="1" si="92"/>
        <v/>
      </c>
      <c r="U2494" s="9" t="str">
        <f t="shared" ca="1" si="93"/>
        <v/>
      </c>
    </row>
    <row r="2495" spans="1:28">
      <c r="A2495" s="3" t="s">
        <v>1297</v>
      </c>
      <c r="D2495" s="3" t="s">
        <v>6567</v>
      </c>
      <c r="E2495" s="3" t="s">
        <v>6568</v>
      </c>
      <c r="H2495" t="s">
        <v>3884</v>
      </c>
      <c r="J2495" s="9" t="s">
        <v>8731</v>
      </c>
      <c r="T2495" s="9" t="str">
        <f t="shared" ca="1" si="92"/>
        <v/>
      </c>
      <c r="U2495" s="9" t="str">
        <f t="shared" ca="1" si="93"/>
        <v/>
      </c>
    </row>
    <row r="2496" spans="1:28">
      <c r="A2496" s="3" t="s">
        <v>1298</v>
      </c>
      <c r="D2496" s="3" t="s">
        <v>6569</v>
      </c>
      <c r="E2496" s="3" t="s">
        <v>6569</v>
      </c>
      <c r="F2496" t="s">
        <v>3932</v>
      </c>
      <c r="I2496" t="s">
        <v>6570</v>
      </c>
      <c r="T2496" s="9" t="str">
        <f t="shared" ca="1" si="92"/>
        <v/>
      </c>
      <c r="U2496" s="9" t="str">
        <f t="shared" ca="1" si="93"/>
        <v/>
      </c>
    </row>
    <row r="2497" spans="1:28">
      <c r="A2497" s="3" t="s">
        <v>1299</v>
      </c>
      <c r="D2497" s="3" t="s">
        <v>6571</v>
      </c>
      <c r="E2497" s="3" t="s">
        <v>6571</v>
      </c>
      <c r="F2497" t="s">
        <v>3932</v>
      </c>
      <c r="I2497" t="s">
        <v>6572</v>
      </c>
      <c r="T2497" s="9" t="str">
        <f t="shared" ca="1" si="92"/>
        <v/>
      </c>
      <c r="U2497" s="9" t="str">
        <f t="shared" ca="1" si="93"/>
        <v/>
      </c>
    </row>
    <row r="2498" spans="1:28">
      <c r="A2498" s="3" t="s">
        <v>1300</v>
      </c>
      <c r="D2498" s="3" t="s">
        <v>6573</v>
      </c>
      <c r="E2498" s="3" t="s">
        <v>6574</v>
      </c>
      <c r="H2498" t="s">
        <v>3884</v>
      </c>
      <c r="I2498" t="s">
        <v>9246</v>
      </c>
      <c r="J2498" s="9" t="s">
        <v>3885</v>
      </c>
      <c r="K2498" s="9">
        <v>1</v>
      </c>
      <c r="L2498" s="9">
        <v>1</v>
      </c>
      <c r="M2498" s="9" t="s">
        <v>8698</v>
      </c>
      <c r="N2498" s="9" t="s">
        <v>8730</v>
      </c>
      <c r="R2498" s="9">
        <v>1</v>
      </c>
      <c r="T2498" s="9" t="str">
        <f t="shared" ca="1" si="92"/>
        <v/>
      </c>
      <c r="U2498" s="9" t="str">
        <f t="shared" ca="1" si="93"/>
        <v/>
      </c>
      <c r="V2498" s="9" t="s">
        <v>8728</v>
      </c>
    </row>
    <row r="2499" spans="1:28">
      <c r="A2499" s="3" t="s">
        <v>1301</v>
      </c>
      <c r="D2499" s="3" t="s">
        <v>6575</v>
      </c>
      <c r="E2499" s="3" t="s">
        <v>6576</v>
      </c>
      <c r="J2499" s="9" t="s">
        <v>8731</v>
      </c>
      <c r="T2499" s="9" t="str">
        <f t="shared" ca="1" si="92"/>
        <v/>
      </c>
      <c r="U2499" s="9" t="str">
        <f t="shared" ca="1" si="93"/>
        <v/>
      </c>
    </row>
    <row r="2500" spans="1:28">
      <c r="A2500" s="3" t="s">
        <v>1302</v>
      </c>
      <c r="D2500" s="3" t="s">
        <v>6577</v>
      </c>
      <c r="E2500" s="3" t="s">
        <v>6578</v>
      </c>
      <c r="H2500" t="s">
        <v>3884</v>
      </c>
      <c r="J2500" s="9" t="s">
        <v>3885</v>
      </c>
      <c r="K2500" s="9">
        <v>1</v>
      </c>
      <c r="L2500" s="9">
        <v>3</v>
      </c>
      <c r="M2500" s="9" t="s">
        <v>8698</v>
      </c>
      <c r="N2500" s="9" t="s">
        <v>8690</v>
      </c>
      <c r="R2500" s="9">
        <v>9418</v>
      </c>
      <c r="T2500" s="9" t="str">
        <f t="shared" ca="1" si="92"/>
        <v/>
      </c>
      <c r="U2500" s="9" t="str">
        <f t="shared" ca="1" si="93"/>
        <v/>
      </c>
    </row>
    <row r="2501" spans="1:28">
      <c r="A2501" s="3" t="s">
        <v>1303</v>
      </c>
      <c r="D2501" s="3" t="s">
        <v>6579</v>
      </c>
      <c r="E2501" s="3" t="s">
        <v>6579</v>
      </c>
      <c r="F2501" t="s">
        <v>3932</v>
      </c>
      <c r="I2501" t="s">
        <v>6580</v>
      </c>
      <c r="T2501" s="9" t="str">
        <f t="shared" ref="T2501:T2563" ca="1" si="94">IF(ISNUMBER(S2501),VALUE(MID(_xlfn.FORMULATEXT(S2501),SEARCH("-",_xlfn.FORMULATEXT(S2501))+1,LEN(_xlfn.FORMULATEXT(S2501))-SEARCH("-",_xlfn.FORMULATEXT(S2501)))), "")</f>
        <v/>
      </c>
      <c r="U2501" s="9" t="str">
        <f t="shared" ref="U2501:U2563" ca="1" si="95">IF(ISNUMBER(S2501), VALUE(MID(_xlfn.FORMULATEXT(S2501), 2, SEARCH("-", _xlfn.FORMULATEXT(S2501)) - 2)), "")</f>
        <v/>
      </c>
    </row>
    <row r="2502" spans="1:28">
      <c r="A2502" s="3" t="s">
        <v>1304</v>
      </c>
      <c r="D2502" s="3" t="s">
        <v>6581</v>
      </c>
      <c r="E2502" s="3" t="s">
        <v>6582</v>
      </c>
      <c r="J2502" s="9" t="s">
        <v>8731</v>
      </c>
      <c r="T2502" s="9" t="str">
        <f t="shared" ca="1" si="94"/>
        <v/>
      </c>
      <c r="U2502" s="9" t="str">
        <f t="shared" ca="1" si="95"/>
        <v/>
      </c>
    </row>
    <row r="2503" spans="1:28">
      <c r="A2503" s="3" t="s">
        <v>1304</v>
      </c>
      <c r="D2503" s="3" t="s">
        <v>6583</v>
      </c>
      <c r="E2503" s="3" t="s">
        <v>6584</v>
      </c>
      <c r="J2503" s="9" t="s">
        <v>8731</v>
      </c>
      <c r="T2503" s="9" t="str">
        <f t="shared" ca="1" si="94"/>
        <v/>
      </c>
      <c r="U2503" s="9" t="str">
        <f t="shared" ca="1" si="95"/>
        <v/>
      </c>
    </row>
    <row r="2504" spans="1:28">
      <c r="A2504" s="3" t="s">
        <v>1304</v>
      </c>
      <c r="D2504" s="4" t="s">
        <v>6585</v>
      </c>
      <c r="E2504" s="3" t="s">
        <v>6586</v>
      </c>
      <c r="F2504" t="s">
        <v>3883</v>
      </c>
      <c r="T2504" s="9" t="str">
        <f t="shared" ca="1" si="94"/>
        <v/>
      </c>
      <c r="U2504" s="9" t="str">
        <f t="shared" ca="1" si="95"/>
        <v/>
      </c>
    </row>
    <row r="2505" spans="1:28">
      <c r="A2505" s="3" t="s">
        <v>1305</v>
      </c>
      <c r="D2505" s="3" t="s">
        <v>6587</v>
      </c>
      <c r="E2505" s="3" t="s">
        <v>6588</v>
      </c>
      <c r="H2505" t="s">
        <v>3884</v>
      </c>
      <c r="J2505" s="9" t="s">
        <v>8729</v>
      </c>
      <c r="S2505" s="9" t="s">
        <v>8730</v>
      </c>
      <c r="T2505" s="9" t="str">
        <f t="shared" ca="1" si="94"/>
        <v/>
      </c>
      <c r="U2505" s="9" t="str">
        <f t="shared" ca="1" si="95"/>
        <v/>
      </c>
      <c r="Y2505" s="9" t="s">
        <v>8735</v>
      </c>
      <c r="AA2505" s="9" t="s">
        <v>3884</v>
      </c>
    </row>
    <row r="2506" spans="1:28">
      <c r="A2506" s="3" t="s">
        <v>1305</v>
      </c>
      <c r="D2506" s="3" t="s">
        <v>3459</v>
      </c>
      <c r="E2506" s="3" t="s">
        <v>3460</v>
      </c>
      <c r="J2506" s="9" t="s">
        <v>8729</v>
      </c>
      <c r="S2506" s="9" t="s">
        <v>8739</v>
      </c>
      <c r="T2506" s="9" t="str">
        <f t="shared" ca="1" si="94"/>
        <v/>
      </c>
      <c r="U2506" s="9" t="str">
        <f t="shared" ca="1" si="95"/>
        <v/>
      </c>
      <c r="Z2506" s="9" t="s">
        <v>8741</v>
      </c>
      <c r="AA2506" s="9" t="s">
        <v>3884</v>
      </c>
    </row>
    <row r="2507" spans="1:28">
      <c r="A2507" s="3" t="s">
        <v>1306</v>
      </c>
      <c r="D2507" s="3" t="s">
        <v>9107</v>
      </c>
      <c r="E2507" s="3" t="s">
        <v>9645</v>
      </c>
      <c r="J2507" s="9" t="s">
        <v>3889</v>
      </c>
      <c r="K2507" s="9">
        <v>1</v>
      </c>
      <c r="L2507" s="9">
        <v>1</v>
      </c>
      <c r="M2507" s="9" t="s">
        <v>8689</v>
      </c>
      <c r="N2507" s="9" t="s">
        <v>8730</v>
      </c>
      <c r="R2507" s="9">
        <v>10929</v>
      </c>
      <c r="T2507" s="9" t="str">
        <f t="shared" ca="1" si="94"/>
        <v/>
      </c>
      <c r="U2507" s="9" t="str">
        <f t="shared" ca="1" si="95"/>
        <v/>
      </c>
    </row>
    <row r="2508" spans="1:28">
      <c r="A2508" s="3" t="s">
        <v>1306</v>
      </c>
      <c r="D2508" s="3" t="s">
        <v>5048</v>
      </c>
      <c r="E2508" s="3" t="s">
        <v>3947</v>
      </c>
      <c r="J2508" s="9" t="s">
        <v>8731</v>
      </c>
      <c r="T2508" s="9" t="str">
        <f t="shared" ca="1" si="94"/>
        <v/>
      </c>
      <c r="U2508" s="9" t="str">
        <f t="shared" ca="1" si="95"/>
        <v/>
      </c>
      <c r="Y2508" s="9" t="s">
        <v>9282</v>
      </c>
      <c r="AA2508" s="9" t="s">
        <v>3884</v>
      </c>
    </row>
    <row r="2509" spans="1:28">
      <c r="A2509" s="3" t="s">
        <v>1307</v>
      </c>
      <c r="D2509" s="3" t="s">
        <v>6589</v>
      </c>
      <c r="E2509" s="3" t="s">
        <v>6590</v>
      </c>
      <c r="J2509" s="9" t="s">
        <v>8731</v>
      </c>
      <c r="T2509" s="9" t="str">
        <f t="shared" ca="1" si="94"/>
        <v/>
      </c>
      <c r="U2509" s="9" t="str">
        <f t="shared" ca="1" si="95"/>
        <v/>
      </c>
      <c r="AB2509" s="9" t="s">
        <v>8700</v>
      </c>
    </row>
    <row r="2510" spans="1:28">
      <c r="A2510" s="3" t="s">
        <v>1307</v>
      </c>
      <c r="D2510" s="3" t="s">
        <v>6591</v>
      </c>
      <c r="E2510" s="3" t="s">
        <v>6591</v>
      </c>
      <c r="F2510" t="s">
        <v>3932</v>
      </c>
      <c r="I2510" t="s">
        <v>6592</v>
      </c>
      <c r="T2510" s="9" t="str">
        <f t="shared" ca="1" si="94"/>
        <v/>
      </c>
      <c r="U2510" s="9" t="str">
        <f t="shared" ca="1" si="95"/>
        <v/>
      </c>
    </row>
    <row r="2511" spans="1:28">
      <c r="A2511" s="3" t="s">
        <v>1308</v>
      </c>
      <c r="D2511" s="3" t="s">
        <v>3461</v>
      </c>
      <c r="E2511" s="3" t="s">
        <v>3462</v>
      </c>
      <c r="J2511" s="9" t="s">
        <v>8731</v>
      </c>
      <c r="T2511" s="9" t="str">
        <f t="shared" ca="1" si="94"/>
        <v/>
      </c>
      <c r="U2511" s="9" t="str">
        <f t="shared" ca="1" si="95"/>
        <v/>
      </c>
      <c r="Z2511" s="9" t="s">
        <v>9280</v>
      </c>
      <c r="AA2511" s="9" t="s">
        <v>3884</v>
      </c>
      <c r="AB2511" s="9" t="s">
        <v>8697</v>
      </c>
    </row>
    <row r="2512" spans="1:28" ht="29">
      <c r="A2512" s="3" t="s">
        <v>1308</v>
      </c>
      <c r="D2512" s="3" t="s">
        <v>6593</v>
      </c>
      <c r="E2512" s="3" t="s">
        <v>6593</v>
      </c>
      <c r="F2512" t="s">
        <v>3932</v>
      </c>
      <c r="I2512" t="s">
        <v>6594</v>
      </c>
      <c r="T2512" s="9" t="str">
        <f t="shared" ca="1" si="94"/>
        <v/>
      </c>
      <c r="U2512" s="9" t="str">
        <f t="shared" ca="1" si="95"/>
        <v/>
      </c>
    </row>
    <row r="2513" spans="1:28">
      <c r="A2513" s="3" t="s">
        <v>1309</v>
      </c>
      <c r="D2513" s="3" t="s">
        <v>6595</v>
      </c>
      <c r="E2513" s="3" t="s">
        <v>6595</v>
      </c>
      <c r="F2513" t="s">
        <v>3932</v>
      </c>
      <c r="I2513" t="s">
        <v>6596</v>
      </c>
      <c r="T2513" s="9" t="str">
        <f t="shared" ca="1" si="94"/>
        <v/>
      </c>
      <c r="U2513" s="9" t="str">
        <f t="shared" ca="1" si="95"/>
        <v/>
      </c>
    </row>
    <row r="2514" spans="1:28">
      <c r="A2514" s="3" t="s">
        <v>1310</v>
      </c>
      <c r="D2514" s="3" t="s">
        <v>3463</v>
      </c>
      <c r="E2514" s="3" t="s">
        <v>3464</v>
      </c>
      <c r="J2514" s="9" t="s">
        <v>8729</v>
      </c>
      <c r="S2514" s="9" t="s">
        <v>8739</v>
      </c>
      <c r="T2514" s="9" t="str">
        <f t="shared" ca="1" si="94"/>
        <v/>
      </c>
      <c r="U2514" s="9" t="str">
        <f t="shared" ca="1" si="95"/>
        <v/>
      </c>
      <c r="Y2514" s="9" t="s">
        <v>8735</v>
      </c>
      <c r="AA2514" s="9" t="s">
        <v>3884</v>
      </c>
    </row>
    <row r="2515" spans="1:28">
      <c r="A2515" s="3" t="s">
        <v>1311</v>
      </c>
      <c r="D2515" s="3" t="s">
        <v>3465</v>
      </c>
      <c r="E2515" s="3" t="s">
        <v>3466</v>
      </c>
      <c r="J2515" s="9" t="s">
        <v>8729</v>
      </c>
      <c r="S2515" s="9" t="s">
        <v>8739</v>
      </c>
      <c r="T2515" s="9" t="str">
        <f t="shared" ca="1" si="94"/>
        <v/>
      </c>
      <c r="U2515" s="9" t="str">
        <f t="shared" ca="1" si="95"/>
        <v/>
      </c>
      <c r="Z2515" s="9" t="s">
        <v>8741</v>
      </c>
      <c r="AA2515" s="9" t="s">
        <v>3884</v>
      </c>
      <c r="AB2515" s="9" t="s">
        <v>8697</v>
      </c>
    </row>
    <row r="2516" spans="1:28">
      <c r="A2516" s="3" t="s">
        <v>1312</v>
      </c>
      <c r="D2516" s="3" t="s">
        <v>6597</v>
      </c>
      <c r="E2516" s="4" t="s">
        <v>6598</v>
      </c>
      <c r="F2516" t="s">
        <v>3897</v>
      </c>
      <c r="T2516" s="9" t="str">
        <f t="shared" ca="1" si="94"/>
        <v/>
      </c>
      <c r="U2516" s="9" t="str">
        <f t="shared" ca="1" si="95"/>
        <v/>
      </c>
    </row>
    <row r="2517" spans="1:28" ht="29">
      <c r="A2517" s="3" t="s">
        <v>1313</v>
      </c>
      <c r="D2517" s="3" t="s">
        <v>6600</v>
      </c>
      <c r="E2517" s="3" t="s">
        <v>6601</v>
      </c>
      <c r="F2517" t="s">
        <v>3932</v>
      </c>
      <c r="I2517" t="s">
        <v>6599</v>
      </c>
      <c r="T2517" s="9" t="str">
        <f t="shared" ca="1" si="94"/>
        <v/>
      </c>
      <c r="U2517" s="9" t="str">
        <f t="shared" ca="1" si="95"/>
        <v/>
      </c>
    </row>
    <row r="2518" spans="1:28" ht="29">
      <c r="A2518" s="3" t="s">
        <v>1313</v>
      </c>
      <c r="D2518" s="3" t="s">
        <v>6602</v>
      </c>
      <c r="E2518" s="3" t="s">
        <v>6603</v>
      </c>
      <c r="J2518" s="9" t="s">
        <v>8729</v>
      </c>
      <c r="S2518" s="9">
        <f>6-10</f>
        <v>-4</v>
      </c>
      <c r="T2518" s="9">
        <f t="shared" ca="1" si="94"/>
        <v>10</v>
      </c>
      <c r="U2518" s="9">
        <f t="shared" ca="1" si="95"/>
        <v>6</v>
      </c>
      <c r="Z2518" s="9" t="s">
        <v>8757</v>
      </c>
      <c r="AA2518" s="9" t="s">
        <v>3884</v>
      </c>
      <c r="AB2518" s="9" t="s">
        <v>8700</v>
      </c>
    </row>
    <row r="2519" spans="1:28">
      <c r="A2519" s="3" t="s">
        <v>1314</v>
      </c>
      <c r="D2519" s="3" t="s">
        <v>6604</v>
      </c>
      <c r="E2519" s="3" t="s">
        <v>6604</v>
      </c>
      <c r="F2519" t="s">
        <v>3932</v>
      </c>
      <c r="I2519" t="s">
        <v>2125</v>
      </c>
      <c r="T2519" s="9" t="str">
        <f t="shared" ca="1" si="94"/>
        <v/>
      </c>
      <c r="U2519" s="9" t="str">
        <f t="shared" ca="1" si="95"/>
        <v/>
      </c>
    </row>
    <row r="2520" spans="1:28" ht="29">
      <c r="A2520" s="3" t="s">
        <v>1315</v>
      </c>
      <c r="D2520" s="3" t="s">
        <v>6605</v>
      </c>
      <c r="E2520" s="3" t="s">
        <v>6605</v>
      </c>
      <c r="F2520" t="s">
        <v>3932</v>
      </c>
      <c r="I2520" t="s">
        <v>6606</v>
      </c>
      <c r="T2520" s="9" t="str">
        <f t="shared" ca="1" si="94"/>
        <v/>
      </c>
      <c r="U2520" s="9" t="str">
        <f t="shared" ca="1" si="95"/>
        <v/>
      </c>
    </row>
    <row r="2521" spans="1:28">
      <c r="A2521" s="3" t="s">
        <v>1316</v>
      </c>
      <c r="D2521" s="3" t="s">
        <v>2763</v>
      </c>
      <c r="E2521" s="3" t="s">
        <v>2763</v>
      </c>
      <c r="F2521" t="s">
        <v>3932</v>
      </c>
      <c r="I2521" t="s">
        <v>2764</v>
      </c>
      <c r="T2521" s="9" t="str">
        <f t="shared" ca="1" si="94"/>
        <v/>
      </c>
      <c r="U2521" s="9" t="str">
        <f t="shared" ca="1" si="95"/>
        <v/>
      </c>
    </row>
    <row r="2522" spans="1:28">
      <c r="A2522" s="3" t="s">
        <v>1316</v>
      </c>
      <c r="D2522" s="3" t="s">
        <v>6607</v>
      </c>
      <c r="E2522" s="3" t="s">
        <v>6608</v>
      </c>
      <c r="H2522" t="s">
        <v>3884</v>
      </c>
      <c r="J2522" s="9" t="s">
        <v>3885</v>
      </c>
      <c r="K2522" s="9">
        <v>1</v>
      </c>
      <c r="L2522" s="9">
        <v>1</v>
      </c>
      <c r="M2522" s="9" t="s">
        <v>8698</v>
      </c>
      <c r="N2522" s="9" t="s">
        <v>8730</v>
      </c>
      <c r="R2522" s="9">
        <v>55</v>
      </c>
      <c r="T2522" s="9" t="str">
        <f t="shared" ca="1" si="94"/>
        <v/>
      </c>
      <c r="U2522" s="9" t="str">
        <f t="shared" ca="1" si="95"/>
        <v/>
      </c>
    </row>
    <row r="2523" spans="1:28">
      <c r="A2523" s="3" t="s">
        <v>1316</v>
      </c>
      <c r="D2523" s="3" t="s">
        <v>6609</v>
      </c>
      <c r="E2523" s="3" t="s">
        <v>6610</v>
      </c>
      <c r="J2523" s="9" t="s">
        <v>8731</v>
      </c>
      <c r="T2523" s="9" t="str">
        <f t="shared" ca="1" si="94"/>
        <v/>
      </c>
      <c r="U2523" s="9" t="str">
        <f t="shared" ca="1" si="95"/>
        <v/>
      </c>
      <c r="Z2523" s="9" t="s">
        <v>9038</v>
      </c>
      <c r="AA2523" s="9" t="s">
        <v>3884</v>
      </c>
      <c r="AB2523" s="9" t="s">
        <v>8697</v>
      </c>
    </row>
    <row r="2524" spans="1:28" ht="29">
      <c r="A2524" s="3" t="s">
        <v>1316</v>
      </c>
      <c r="D2524" s="3" t="s">
        <v>6611</v>
      </c>
      <c r="E2524" s="3" t="s">
        <v>6611</v>
      </c>
      <c r="F2524" t="s">
        <v>3932</v>
      </c>
      <c r="I2524" t="s">
        <v>1965</v>
      </c>
      <c r="T2524" s="9" t="str">
        <f t="shared" ca="1" si="94"/>
        <v/>
      </c>
      <c r="U2524" s="9" t="str">
        <f t="shared" ca="1" si="95"/>
        <v/>
      </c>
    </row>
    <row r="2525" spans="1:28" ht="29">
      <c r="A2525" s="3" t="s">
        <v>1316</v>
      </c>
      <c r="D2525" s="3" t="s">
        <v>6612</v>
      </c>
      <c r="E2525" s="3" t="s">
        <v>6612</v>
      </c>
      <c r="F2525" t="s">
        <v>3932</v>
      </c>
      <c r="I2525" t="s">
        <v>5560</v>
      </c>
      <c r="T2525" s="9" t="str">
        <f t="shared" ca="1" si="94"/>
        <v/>
      </c>
      <c r="U2525" s="9" t="str">
        <f t="shared" ca="1" si="95"/>
        <v/>
      </c>
    </row>
    <row r="2526" spans="1:28" ht="29">
      <c r="A2526" s="3" t="s">
        <v>1316</v>
      </c>
      <c r="D2526" s="3" t="s">
        <v>6613</v>
      </c>
      <c r="E2526" s="3" t="s">
        <v>6613</v>
      </c>
      <c r="F2526" t="s">
        <v>3932</v>
      </c>
      <c r="I2526" t="s">
        <v>6614</v>
      </c>
      <c r="T2526" s="9" t="str">
        <f t="shared" ca="1" si="94"/>
        <v/>
      </c>
      <c r="U2526" s="9" t="str">
        <f t="shared" ca="1" si="95"/>
        <v/>
      </c>
    </row>
    <row r="2527" spans="1:28" ht="29">
      <c r="A2527" s="3" t="s">
        <v>1316</v>
      </c>
      <c r="D2527" s="3" t="s">
        <v>6615</v>
      </c>
      <c r="E2527" s="3" t="s">
        <v>6616</v>
      </c>
      <c r="J2527" s="9" t="s">
        <v>8731</v>
      </c>
      <c r="T2527" s="9" t="str">
        <f t="shared" ca="1" si="94"/>
        <v/>
      </c>
      <c r="U2527" s="9" t="str">
        <f t="shared" ca="1" si="95"/>
        <v/>
      </c>
    </row>
    <row r="2528" spans="1:28">
      <c r="A2528" s="3" t="s">
        <v>1316</v>
      </c>
      <c r="D2528" s="3" t="s">
        <v>6617</v>
      </c>
      <c r="E2528" s="3" t="s">
        <v>6618</v>
      </c>
      <c r="J2528" s="9" t="s">
        <v>8729</v>
      </c>
      <c r="S2528" s="9" t="s">
        <v>8739</v>
      </c>
      <c r="T2528" s="9" t="str">
        <f t="shared" ca="1" si="94"/>
        <v/>
      </c>
      <c r="U2528" s="9" t="str">
        <f t="shared" ca="1" si="95"/>
        <v/>
      </c>
      <c r="AB2528" s="9" t="s">
        <v>8697</v>
      </c>
    </row>
    <row r="2529" spans="1:28">
      <c r="A2529" s="3" t="s">
        <v>1317</v>
      </c>
      <c r="D2529" s="3" t="s">
        <v>6619</v>
      </c>
      <c r="E2529" s="3" t="s">
        <v>6620</v>
      </c>
      <c r="H2529" t="s">
        <v>3884</v>
      </c>
      <c r="J2529" s="9" t="s">
        <v>3885</v>
      </c>
      <c r="K2529" s="9">
        <v>1</v>
      </c>
      <c r="L2529" s="9">
        <v>3</v>
      </c>
      <c r="M2529" s="9" t="s">
        <v>8689</v>
      </c>
      <c r="N2529" s="9" t="s">
        <v>8684</v>
      </c>
      <c r="O2529" s="9" t="s">
        <v>8771</v>
      </c>
      <c r="P2529" s="10" t="s">
        <v>8778</v>
      </c>
      <c r="R2529" s="9">
        <v>10929</v>
      </c>
      <c r="T2529" s="9" t="str">
        <f t="shared" ca="1" si="94"/>
        <v/>
      </c>
      <c r="U2529" s="9" t="str">
        <f t="shared" ca="1" si="95"/>
        <v/>
      </c>
    </row>
    <row r="2530" spans="1:28">
      <c r="A2530" s="3" t="s">
        <v>1318</v>
      </c>
      <c r="D2530" s="3" t="s">
        <v>1997</v>
      </c>
      <c r="E2530" s="3" t="s">
        <v>3010</v>
      </c>
      <c r="J2530" s="9" t="s">
        <v>8731</v>
      </c>
      <c r="T2530" s="9" t="str">
        <f t="shared" ca="1" si="94"/>
        <v/>
      </c>
      <c r="U2530" s="9" t="str">
        <f t="shared" ca="1" si="95"/>
        <v/>
      </c>
      <c r="Z2530" s="9" t="s">
        <v>9279</v>
      </c>
      <c r="AA2530" s="9" t="s">
        <v>3884</v>
      </c>
    </row>
    <row r="2531" spans="1:28" ht="29">
      <c r="A2531" s="3" t="s">
        <v>1318</v>
      </c>
      <c r="D2531" s="3" t="s">
        <v>6621</v>
      </c>
      <c r="E2531" s="3" t="s">
        <v>6622</v>
      </c>
      <c r="H2531" t="s">
        <v>3884</v>
      </c>
      <c r="J2531" s="9" t="s">
        <v>3885</v>
      </c>
      <c r="K2531" s="9">
        <v>1</v>
      </c>
      <c r="L2531" s="9">
        <v>2</v>
      </c>
      <c r="M2531" s="9" t="s">
        <v>8695</v>
      </c>
      <c r="N2531" s="9" t="s">
        <v>8730</v>
      </c>
      <c r="R2531" s="9">
        <v>0</v>
      </c>
      <c r="T2531" s="9" t="str">
        <f t="shared" ca="1" si="94"/>
        <v/>
      </c>
      <c r="U2531" s="9" t="str">
        <f t="shared" ca="1" si="95"/>
        <v/>
      </c>
    </row>
    <row r="2532" spans="1:28">
      <c r="A2532" s="3" t="s">
        <v>1319</v>
      </c>
      <c r="D2532" s="3" t="s">
        <v>6623</v>
      </c>
      <c r="E2532" s="3" t="s">
        <v>6624</v>
      </c>
      <c r="H2532" t="s">
        <v>3884</v>
      </c>
      <c r="J2532" s="9" t="s">
        <v>3885</v>
      </c>
      <c r="K2532" s="9">
        <v>2</v>
      </c>
      <c r="L2532" s="9">
        <v>5</v>
      </c>
      <c r="N2532" s="9" t="s">
        <v>8690</v>
      </c>
      <c r="R2532" s="9">
        <v>1</v>
      </c>
      <c r="T2532" s="9" t="str">
        <f t="shared" ca="1" si="94"/>
        <v/>
      </c>
      <c r="U2532" s="9" t="str">
        <f t="shared" ca="1" si="95"/>
        <v/>
      </c>
      <c r="AB2532" s="9" t="s">
        <v>8694</v>
      </c>
    </row>
    <row r="2533" spans="1:28">
      <c r="A2533" s="3" t="s">
        <v>1320</v>
      </c>
      <c r="D2533" s="3" t="s">
        <v>1997</v>
      </c>
      <c r="E2533" s="3" t="s">
        <v>3010</v>
      </c>
      <c r="J2533" s="9" t="s">
        <v>8731</v>
      </c>
      <c r="T2533" s="9" t="str">
        <f t="shared" ca="1" si="94"/>
        <v/>
      </c>
      <c r="U2533" s="9" t="str">
        <f t="shared" ca="1" si="95"/>
        <v/>
      </c>
      <c r="Z2533" s="9" t="s">
        <v>9279</v>
      </c>
      <c r="AA2533" s="9" t="s">
        <v>3884</v>
      </c>
    </row>
    <row r="2534" spans="1:28">
      <c r="A2534" s="3" t="s">
        <v>1321</v>
      </c>
      <c r="D2534" s="3" t="s">
        <v>6625</v>
      </c>
      <c r="E2534" s="3" t="s">
        <v>6626</v>
      </c>
      <c r="I2534" t="s">
        <v>9247</v>
      </c>
      <c r="J2534" s="9" t="s">
        <v>8731</v>
      </c>
      <c r="T2534" s="9" t="str">
        <f t="shared" ca="1" si="94"/>
        <v/>
      </c>
      <c r="U2534" s="9" t="str">
        <f t="shared" ca="1" si="95"/>
        <v/>
      </c>
      <c r="V2534" s="9" t="s">
        <v>4</v>
      </c>
    </row>
    <row r="2535" spans="1:28">
      <c r="A2535" s="3" t="s">
        <v>1321</v>
      </c>
      <c r="D2535" s="3" t="s">
        <v>4978</v>
      </c>
      <c r="E2535" s="3" t="s">
        <v>4977</v>
      </c>
      <c r="G2535" t="s">
        <v>3884</v>
      </c>
      <c r="I2535" t="s">
        <v>9248</v>
      </c>
      <c r="J2535" s="9" t="s">
        <v>8731</v>
      </c>
      <c r="T2535" s="9" t="str">
        <f t="shared" ca="1" si="94"/>
        <v/>
      </c>
      <c r="U2535" s="9" t="str">
        <f t="shared" ca="1" si="95"/>
        <v/>
      </c>
      <c r="V2535" s="9" t="s">
        <v>4</v>
      </c>
    </row>
    <row r="2536" spans="1:28">
      <c r="A2536" s="3" t="s">
        <v>1321</v>
      </c>
      <c r="D2536" s="3" t="s">
        <v>6158</v>
      </c>
      <c r="E2536" s="3" t="s">
        <v>6158</v>
      </c>
      <c r="F2536" t="s">
        <v>3932</v>
      </c>
      <c r="I2536" t="s">
        <v>6627</v>
      </c>
      <c r="T2536" s="9" t="str">
        <f t="shared" ca="1" si="94"/>
        <v/>
      </c>
      <c r="U2536" s="9" t="str">
        <f t="shared" ca="1" si="95"/>
        <v/>
      </c>
    </row>
    <row r="2537" spans="1:28" ht="29">
      <c r="A2537" s="3" t="s">
        <v>1322</v>
      </c>
      <c r="D2537" s="3" t="s">
        <v>6628</v>
      </c>
      <c r="E2537" s="3" t="s">
        <v>6629</v>
      </c>
      <c r="H2537" t="s">
        <v>3884</v>
      </c>
      <c r="J2537" s="9" t="s">
        <v>3889</v>
      </c>
      <c r="K2537" s="9">
        <v>1</v>
      </c>
      <c r="L2537" s="9">
        <v>2</v>
      </c>
      <c r="M2537" s="9" t="s">
        <v>8689</v>
      </c>
      <c r="N2537" s="9" t="s">
        <v>8730</v>
      </c>
      <c r="R2537" s="9">
        <v>10929</v>
      </c>
      <c r="T2537" s="9" t="str">
        <f t="shared" ca="1" si="94"/>
        <v/>
      </c>
      <c r="U2537" s="9" t="str">
        <f t="shared" ca="1" si="95"/>
        <v/>
      </c>
    </row>
    <row r="2538" spans="1:28" ht="43.5">
      <c r="A2538" s="3" t="s">
        <v>1322</v>
      </c>
      <c r="D2538" s="3" t="s">
        <v>6630</v>
      </c>
      <c r="E2538" s="3" t="s">
        <v>6631</v>
      </c>
      <c r="F2538" t="s">
        <v>3932</v>
      </c>
      <c r="I2538" t="s">
        <v>2425</v>
      </c>
      <c r="T2538" s="9" t="str">
        <f t="shared" ca="1" si="94"/>
        <v/>
      </c>
      <c r="U2538" s="9" t="str">
        <f t="shared" ca="1" si="95"/>
        <v/>
      </c>
    </row>
    <row r="2539" spans="1:28" ht="29">
      <c r="A2539" s="3" t="s">
        <v>1322</v>
      </c>
      <c r="D2539" s="3" t="s">
        <v>6632</v>
      </c>
      <c r="E2539" s="3" t="s">
        <v>6633</v>
      </c>
      <c r="F2539" t="s">
        <v>3932</v>
      </c>
      <c r="I2539" t="s">
        <v>2093</v>
      </c>
      <c r="T2539" s="9" t="str">
        <f t="shared" ca="1" si="94"/>
        <v/>
      </c>
      <c r="U2539" s="9" t="str">
        <f t="shared" ca="1" si="95"/>
        <v/>
      </c>
    </row>
    <row r="2540" spans="1:28" ht="29">
      <c r="A2540" s="3" t="s">
        <v>1323</v>
      </c>
      <c r="D2540" s="3" t="s">
        <v>6634</v>
      </c>
      <c r="E2540" s="3" t="s">
        <v>6635</v>
      </c>
      <c r="F2540" t="s">
        <v>3932</v>
      </c>
      <c r="I2540" t="s">
        <v>9698</v>
      </c>
      <c r="T2540" s="9" t="str">
        <f t="shared" ca="1" si="94"/>
        <v/>
      </c>
      <c r="U2540" s="9" t="str">
        <f t="shared" ca="1" si="95"/>
        <v/>
      </c>
    </row>
    <row r="2541" spans="1:28" ht="29">
      <c r="A2541" s="3" t="s">
        <v>1323</v>
      </c>
      <c r="D2541" s="3" t="s">
        <v>6636</v>
      </c>
      <c r="E2541" s="3" t="s">
        <v>6637</v>
      </c>
      <c r="J2541" s="9" t="s">
        <v>8729</v>
      </c>
      <c r="Q2541" s="9" t="s">
        <v>8685</v>
      </c>
      <c r="S2541" s="9">
        <f xml:space="preserve"> 698-1485</f>
        <v>-787</v>
      </c>
      <c r="T2541" s="9">
        <f t="shared" ca="1" si="94"/>
        <v>1485</v>
      </c>
      <c r="U2541" s="9">
        <f t="shared" ca="1" si="95"/>
        <v>698</v>
      </c>
      <c r="AB2541" s="9" t="s">
        <v>8700</v>
      </c>
    </row>
    <row r="2542" spans="1:28">
      <c r="A2542" s="3" t="s">
        <v>1324</v>
      </c>
      <c r="D2542" s="3" t="s">
        <v>6638</v>
      </c>
      <c r="E2542" s="3" t="s">
        <v>6638</v>
      </c>
      <c r="F2542" t="s">
        <v>3932</v>
      </c>
      <c r="I2542" t="s">
        <v>6639</v>
      </c>
      <c r="T2542" s="9" t="str">
        <f t="shared" ca="1" si="94"/>
        <v/>
      </c>
      <c r="U2542" s="9" t="str">
        <f t="shared" ca="1" si="95"/>
        <v/>
      </c>
    </row>
    <row r="2543" spans="1:28">
      <c r="A2543" s="3" t="s">
        <v>1324</v>
      </c>
      <c r="D2543" s="3" t="s">
        <v>3875</v>
      </c>
      <c r="E2543" s="3" t="s">
        <v>3467</v>
      </c>
      <c r="H2543" t="s">
        <v>3884</v>
      </c>
      <c r="J2543" s="9" t="s">
        <v>8731</v>
      </c>
      <c r="T2543" s="9" t="str">
        <f t="shared" ca="1" si="94"/>
        <v/>
      </c>
      <c r="U2543" s="9" t="str">
        <f t="shared" ca="1" si="95"/>
        <v/>
      </c>
      <c r="Z2543" s="9" t="s">
        <v>9280</v>
      </c>
      <c r="AA2543" s="9" t="s">
        <v>3884</v>
      </c>
      <c r="AB2543" s="9" t="s">
        <v>8688</v>
      </c>
    </row>
    <row r="2544" spans="1:28">
      <c r="A2544" s="3" t="s">
        <v>1325</v>
      </c>
      <c r="D2544" s="4" t="s">
        <v>3065</v>
      </c>
      <c r="E2544" s="3" t="s">
        <v>3066</v>
      </c>
      <c r="F2544" t="s">
        <v>3883</v>
      </c>
      <c r="T2544" s="9" t="str">
        <f t="shared" ca="1" si="94"/>
        <v/>
      </c>
      <c r="U2544" s="9" t="str">
        <f t="shared" ca="1" si="95"/>
        <v/>
      </c>
    </row>
    <row r="2545" spans="1:28" ht="29">
      <c r="A2545" s="3" t="s">
        <v>1326</v>
      </c>
      <c r="D2545" s="3" t="s">
        <v>6640</v>
      </c>
      <c r="E2545" s="3" t="s">
        <v>6641</v>
      </c>
      <c r="J2545" s="9" t="s">
        <v>8729</v>
      </c>
      <c r="Q2545" s="9" t="s">
        <v>8685</v>
      </c>
      <c r="S2545" s="9">
        <f>10929-520</f>
        <v>10409</v>
      </c>
      <c r="T2545" s="9">
        <f t="shared" ca="1" si="94"/>
        <v>520</v>
      </c>
      <c r="U2545" s="9">
        <f t="shared" ca="1" si="95"/>
        <v>10929</v>
      </c>
    </row>
    <row r="2546" spans="1:28" ht="29">
      <c r="A2546" s="3" t="s">
        <v>1327</v>
      </c>
      <c r="D2546" s="3" t="s">
        <v>6642</v>
      </c>
      <c r="E2546" s="3" t="s">
        <v>6643</v>
      </c>
      <c r="H2546" t="s">
        <v>3884</v>
      </c>
      <c r="I2546" t="s">
        <v>9108</v>
      </c>
      <c r="J2546" s="9" t="s">
        <v>3885</v>
      </c>
      <c r="K2546" s="9">
        <v>1</v>
      </c>
      <c r="L2546" s="9">
        <v>2</v>
      </c>
      <c r="M2546" s="9" t="s">
        <v>8736</v>
      </c>
      <c r="N2546" s="9" t="s">
        <v>8730</v>
      </c>
      <c r="R2546" s="9">
        <v>0</v>
      </c>
      <c r="T2546" s="9" t="str">
        <f t="shared" ca="1" si="94"/>
        <v/>
      </c>
      <c r="U2546" s="9" t="str">
        <f t="shared" ca="1" si="95"/>
        <v/>
      </c>
      <c r="AB2546" s="9" t="s">
        <v>8694</v>
      </c>
    </row>
    <row r="2547" spans="1:28" ht="29">
      <c r="A2547" s="3" t="s">
        <v>1328</v>
      </c>
      <c r="D2547" s="3" t="s">
        <v>6644</v>
      </c>
      <c r="E2547" s="4" t="s">
        <v>6645</v>
      </c>
      <c r="F2547" t="s">
        <v>3897</v>
      </c>
      <c r="J2547" s="9" t="s">
        <v>3889</v>
      </c>
      <c r="K2547" s="9">
        <v>1</v>
      </c>
      <c r="L2547" s="9">
        <v>6</v>
      </c>
      <c r="M2547" s="9" t="s">
        <v>8703</v>
      </c>
      <c r="N2547" s="9" t="s">
        <v>8690</v>
      </c>
      <c r="R2547" s="9">
        <v>32</v>
      </c>
      <c r="T2547" s="9" t="str">
        <f t="shared" ca="1" si="94"/>
        <v/>
      </c>
      <c r="U2547" s="9" t="str">
        <f t="shared" ca="1" si="95"/>
        <v/>
      </c>
    </row>
    <row r="2548" spans="1:28">
      <c r="A2548" s="3" t="s">
        <v>1328</v>
      </c>
      <c r="D2548" s="3" t="s">
        <v>9109</v>
      </c>
      <c r="E2548" s="3" t="s">
        <v>9110</v>
      </c>
      <c r="H2548" t="s">
        <v>3892</v>
      </c>
      <c r="I2548" t="s">
        <v>6646</v>
      </c>
      <c r="J2548" s="9" t="s">
        <v>8731</v>
      </c>
      <c r="T2548" s="9" t="str">
        <f t="shared" ca="1" si="94"/>
        <v/>
      </c>
      <c r="U2548" s="9" t="str">
        <f t="shared" ca="1" si="95"/>
        <v/>
      </c>
      <c r="Z2548" s="9" t="s">
        <v>8757</v>
      </c>
      <c r="AA2548" s="9" t="s">
        <v>3884</v>
      </c>
      <c r="AB2548" s="9" t="s">
        <v>8700</v>
      </c>
    </row>
    <row r="2549" spans="1:28">
      <c r="A2549" s="3" t="s">
        <v>1328</v>
      </c>
      <c r="D2549" s="3" t="s">
        <v>3468</v>
      </c>
      <c r="E2549" s="3" t="s">
        <v>3469</v>
      </c>
      <c r="J2549" s="9" t="s">
        <v>8731</v>
      </c>
      <c r="T2549" s="9" t="str">
        <f t="shared" ca="1" si="94"/>
        <v/>
      </c>
      <c r="U2549" s="9" t="str">
        <f t="shared" ca="1" si="95"/>
        <v/>
      </c>
      <c r="AB2549" s="9" t="s">
        <v>8697</v>
      </c>
    </row>
    <row r="2550" spans="1:28" ht="29">
      <c r="A2550" s="3" t="s">
        <v>1329</v>
      </c>
      <c r="D2550" s="3" t="s">
        <v>6648</v>
      </c>
      <c r="E2550" s="3" t="s">
        <v>6649</v>
      </c>
      <c r="J2550" s="9" t="s">
        <v>8732</v>
      </c>
      <c r="S2550" s="9">
        <f>0-0</f>
        <v>0</v>
      </c>
      <c r="T2550" s="9">
        <f t="shared" ca="1" si="94"/>
        <v>0</v>
      </c>
      <c r="U2550" s="9">
        <f t="shared" ca="1" si="95"/>
        <v>0</v>
      </c>
      <c r="Z2550" s="9" t="s">
        <v>8741</v>
      </c>
      <c r="AA2550" s="9" t="s">
        <v>3884</v>
      </c>
      <c r="AB2550" s="9" t="s">
        <v>8700</v>
      </c>
    </row>
    <row r="2551" spans="1:28" ht="29">
      <c r="A2551" s="3" t="s">
        <v>1329</v>
      </c>
      <c r="D2551" s="3" t="s">
        <v>6650</v>
      </c>
      <c r="E2551" s="4" t="s">
        <v>6647</v>
      </c>
      <c r="F2551" t="s">
        <v>3897</v>
      </c>
      <c r="T2551" s="9" t="str">
        <f t="shared" ca="1" si="94"/>
        <v/>
      </c>
      <c r="U2551" s="9" t="str">
        <f t="shared" ca="1" si="95"/>
        <v/>
      </c>
    </row>
    <row r="2552" spans="1:28">
      <c r="A2552" s="3" t="s">
        <v>1330</v>
      </c>
      <c r="D2552" s="3" t="s">
        <v>6651</v>
      </c>
      <c r="E2552" s="3" t="s">
        <v>6652</v>
      </c>
      <c r="H2552" t="s">
        <v>3884</v>
      </c>
      <c r="J2552" s="9" t="s">
        <v>3885</v>
      </c>
      <c r="K2552" s="9">
        <v>1</v>
      </c>
      <c r="L2552" s="9">
        <v>1</v>
      </c>
      <c r="M2552" s="9" t="s">
        <v>8705</v>
      </c>
      <c r="N2552" s="9" t="s">
        <v>8730</v>
      </c>
      <c r="R2552" s="9">
        <v>615</v>
      </c>
      <c r="T2552" s="9" t="str">
        <f t="shared" ca="1" si="94"/>
        <v/>
      </c>
      <c r="U2552" s="9" t="str">
        <f t="shared" ca="1" si="95"/>
        <v/>
      </c>
      <c r="AB2552" s="9" t="s">
        <v>8694</v>
      </c>
    </row>
    <row r="2553" spans="1:28">
      <c r="A2553" s="3" t="s">
        <v>1330</v>
      </c>
      <c r="D2553" s="3" t="s">
        <v>6653</v>
      </c>
      <c r="E2553" s="3" t="s">
        <v>6653</v>
      </c>
      <c r="F2553" t="s">
        <v>3932</v>
      </c>
      <c r="I2553" t="s">
        <v>6654</v>
      </c>
      <c r="T2553" s="9" t="str">
        <f t="shared" ca="1" si="94"/>
        <v/>
      </c>
      <c r="U2553" s="9" t="str">
        <f t="shared" ca="1" si="95"/>
        <v/>
      </c>
    </row>
    <row r="2554" spans="1:28">
      <c r="A2554" s="3" t="s">
        <v>1331</v>
      </c>
      <c r="D2554" s="3" t="s">
        <v>6655</v>
      </c>
      <c r="E2554" s="3" t="s">
        <v>6656</v>
      </c>
      <c r="I2554" t="s">
        <v>9249</v>
      </c>
      <c r="J2554" s="9" t="s">
        <v>3889</v>
      </c>
      <c r="K2554" s="9">
        <v>1</v>
      </c>
      <c r="L2554" s="9">
        <v>2</v>
      </c>
      <c r="M2554" s="9" t="s">
        <v>8705</v>
      </c>
      <c r="N2554" s="9" t="s">
        <v>8730</v>
      </c>
      <c r="R2554" s="9">
        <v>231</v>
      </c>
      <c r="T2554" s="9" t="str">
        <f t="shared" ca="1" si="94"/>
        <v/>
      </c>
      <c r="U2554" s="9" t="str">
        <f t="shared" ca="1" si="95"/>
        <v/>
      </c>
      <c r="V2554" s="9" t="s">
        <v>4</v>
      </c>
    </row>
    <row r="2555" spans="1:28">
      <c r="A2555" s="3" t="s">
        <v>1331</v>
      </c>
      <c r="D2555" s="3" t="s">
        <v>6657</v>
      </c>
      <c r="E2555" s="3" t="s">
        <v>6658</v>
      </c>
      <c r="F2555" t="s">
        <v>3881</v>
      </c>
      <c r="T2555" s="9" t="str">
        <f t="shared" ca="1" si="94"/>
        <v/>
      </c>
      <c r="U2555" s="9" t="str">
        <f t="shared" ca="1" si="95"/>
        <v/>
      </c>
    </row>
    <row r="2556" spans="1:28">
      <c r="A2556" s="3" t="s">
        <v>1332</v>
      </c>
      <c r="D2556" s="3" t="s">
        <v>3470</v>
      </c>
      <c r="E2556" s="3" t="s">
        <v>3471</v>
      </c>
      <c r="H2556" t="s">
        <v>3892</v>
      </c>
      <c r="I2556" t="s">
        <v>6659</v>
      </c>
      <c r="J2556" s="9" t="s">
        <v>8731</v>
      </c>
      <c r="T2556" s="9" t="str">
        <f t="shared" ca="1" si="94"/>
        <v/>
      </c>
      <c r="U2556" s="9" t="str">
        <f t="shared" ca="1" si="95"/>
        <v/>
      </c>
      <c r="AB2556" s="9" t="s">
        <v>8688</v>
      </c>
    </row>
    <row r="2557" spans="1:28">
      <c r="A2557" s="3" t="s">
        <v>1332</v>
      </c>
      <c r="D2557" s="3" t="s">
        <v>6660</v>
      </c>
      <c r="E2557" s="3" t="s">
        <v>6661</v>
      </c>
      <c r="H2557" t="s">
        <v>3884</v>
      </c>
      <c r="J2557" s="9" t="s">
        <v>3885</v>
      </c>
      <c r="K2557" s="9">
        <v>1</v>
      </c>
      <c r="L2557" s="9">
        <v>3</v>
      </c>
      <c r="M2557" s="9" t="s">
        <v>8734</v>
      </c>
      <c r="N2557" s="9" t="s">
        <v>8684</v>
      </c>
      <c r="O2557" s="9" t="s">
        <v>8771</v>
      </c>
      <c r="P2557" s="10" t="s">
        <v>8778</v>
      </c>
      <c r="R2557" s="9" t="s">
        <v>8730</v>
      </c>
      <c r="T2557" s="9" t="str">
        <f t="shared" ca="1" si="94"/>
        <v/>
      </c>
      <c r="U2557" s="9" t="str">
        <f t="shared" ca="1" si="95"/>
        <v/>
      </c>
      <c r="AB2557" s="9" t="s">
        <v>8688</v>
      </c>
    </row>
    <row r="2558" spans="1:28">
      <c r="A2558" s="3" t="s">
        <v>1332</v>
      </c>
      <c r="D2558" s="3" t="s">
        <v>6662</v>
      </c>
      <c r="E2558" s="3" t="s">
        <v>6663</v>
      </c>
      <c r="J2558" s="9" t="s">
        <v>8731</v>
      </c>
      <c r="T2558" s="9" t="str">
        <f t="shared" ca="1" si="94"/>
        <v/>
      </c>
      <c r="U2558" s="9" t="str">
        <f t="shared" ca="1" si="95"/>
        <v/>
      </c>
      <c r="Z2558" s="9" t="s">
        <v>8742</v>
      </c>
      <c r="AA2558" s="9" t="s">
        <v>3884</v>
      </c>
      <c r="AB2558" s="9" t="s">
        <v>8697</v>
      </c>
    </row>
    <row r="2559" spans="1:28">
      <c r="A2559" s="3" t="s">
        <v>1333</v>
      </c>
      <c r="D2559" s="3" t="s">
        <v>3472</v>
      </c>
      <c r="E2559" s="3" t="s">
        <v>3473</v>
      </c>
      <c r="J2559" s="9" t="s">
        <v>8731</v>
      </c>
      <c r="T2559" s="9" t="str">
        <f t="shared" ca="1" si="94"/>
        <v/>
      </c>
      <c r="U2559" s="9" t="str">
        <f t="shared" ca="1" si="95"/>
        <v/>
      </c>
      <c r="Z2559" s="9" t="s">
        <v>8757</v>
      </c>
      <c r="AA2559" s="9" t="s">
        <v>3884</v>
      </c>
      <c r="AB2559" s="9" t="s">
        <v>8697</v>
      </c>
    </row>
    <row r="2560" spans="1:28" ht="43.5">
      <c r="A2560" s="3" t="s">
        <v>1334</v>
      </c>
      <c r="D2560" s="3" t="s">
        <v>6664</v>
      </c>
      <c r="E2560" s="3" t="s">
        <v>6664</v>
      </c>
      <c r="F2560" t="s">
        <v>3932</v>
      </c>
      <c r="I2560" t="s">
        <v>6665</v>
      </c>
      <c r="T2560" s="9" t="str">
        <f t="shared" ca="1" si="94"/>
        <v/>
      </c>
      <c r="U2560" s="9" t="str">
        <f t="shared" ca="1" si="95"/>
        <v/>
      </c>
    </row>
    <row r="2561" spans="1:28">
      <c r="A2561" s="3" t="s">
        <v>1335</v>
      </c>
      <c r="D2561" s="3" t="s">
        <v>6666</v>
      </c>
      <c r="E2561" s="3" t="s">
        <v>6667</v>
      </c>
      <c r="J2561" s="9" t="s">
        <v>3889</v>
      </c>
      <c r="K2561" s="9">
        <v>1</v>
      </c>
      <c r="L2561" s="9">
        <v>3</v>
      </c>
      <c r="M2561" s="9" t="s">
        <v>8734</v>
      </c>
      <c r="N2561" s="9" t="s">
        <v>8690</v>
      </c>
      <c r="R2561" s="9">
        <v>698</v>
      </c>
      <c r="T2561" s="9" t="str">
        <f t="shared" ca="1" si="94"/>
        <v/>
      </c>
      <c r="U2561" s="9" t="str">
        <f t="shared" ca="1" si="95"/>
        <v/>
      </c>
    </row>
    <row r="2562" spans="1:28">
      <c r="A2562" s="3" t="s">
        <v>1335</v>
      </c>
      <c r="D2562" s="3" t="s">
        <v>6668</v>
      </c>
      <c r="E2562" s="3" t="s">
        <v>6669</v>
      </c>
      <c r="H2562" t="s">
        <v>3884</v>
      </c>
      <c r="J2562" s="9" t="s">
        <v>8731</v>
      </c>
      <c r="T2562" s="9" t="str">
        <f t="shared" ca="1" si="94"/>
        <v/>
      </c>
      <c r="U2562" s="9" t="str">
        <f t="shared" ca="1" si="95"/>
        <v/>
      </c>
      <c r="AB2562" s="9" t="s">
        <v>8688</v>
      </c>
    </row>
    <row r="2563" spans="1:28">
      <c r="A2563" s="3" t="s">
        <v>1336</v>
      </c>
      <c r="D2563" s="3" t="s">
        <v>6670</v>
      </c>
      <c r="E2563" s="3" t="s">
        <v>6671</v>
      </c>
      <c r="H2563" t="s">
        <v>3884</v>
      </c>
      <c r="J2563" s="9" t="s">
        <v>8732</v>
      </c>
      <c r="S2563" s="9">
        <f>121-187</f>
        <v>-66</v>
      </c>
      <c r="T2563" s="9">
        <f t="shared" ca="1" si="94"/>
        <v>187</v>
      </c>
      <c r="U2563" s="9">
        <f t="shared" ca="1" si="95"/>
        <v>121</v>
      </c>
      <c r="AB2563" s="9" t="s">
        <v>8694</v>
      </c>
    </row>
    <row r="2564" spans="1:28">
      <c r="A2564" s="3" t="s">
        <v>1336</v>
      </c>
      <c r="D2564" s="3" t="s">
        <v>6672</v>
      </c>
      <c r="E2564" s="4" t="s">
        <v>6673</v>
      </c>
      <c r="F2564" t="s">
        <v>3897</v>
      </c>
      <c r="T2564" s="9" t="str">
        <f t="shared" ref="T2564:T2627" ca="1" si="96">IF(ISNUMBER(S2564),VALUE(MID(_xlfn.FORMULATEXT(S2564),SEARCH("-",_xlfn.FORMULATEXT(S2564))+1,LEN(_xlfn.FORMULATEXT(S2564))-SEARCH("-",_xlfn.FORMULATEXT(S2564)))), "")</f>
        <v/>
      </c>
      <c r="U2564" s="9" t="str">
        <f t="shared" ref="U2564:U2627" ca="1" si="97">IF(ISNUMBER(S2564), VALUE(MID(_xlfn.FORMULATEXT(S2564), 2, SEARCH("-", _xlfn.FORMULATEXT(S2564)) - 2)), "")</f>
        <v/>
      </c>
    </row>
    <row r="2565" spans="1:28">
      <c r="A2565" s="3" t="s">
        <v>1336</v>
      </c>
      <c r="D2565" s="3" t="s">
        <v>6674</v>
      </c>
      <c r="E2565" s="4" t="s">
        <v>6675</v>
      </c>
      <c r="F2565" t="s">
        <v>3897</v>
      </c>
      <c r="T2565" s="9" t="str">
        <f t="shared" ca="1" si="96"/>
        <v/>
      </c>
      <c r="U2565" s="9" t="str">
        <f t="shared" ca="1" si="97"/>
        <v/>
      </c>
    </row>
    <row r="2566" spans="1:28">
      <c r="A2566" s="3" t="s">
        <v>1337</v>
      </c>
      <c r="D2566" s="3" t="s">
        <v>6676</v>
      </c>
      <c r="E2566" s="3" t="s">
        <v>6677</v>
      </c>
      <c r="F2566" t="s">
        <v>3932</v>
      </c>
      <c r="I2566" t="s">
        <v>6678</v>
      </c>
      <c r="T2566" s="9" t="str">
        <f t="shared" ca="1" si="96"/>
        <v/>
      </c>
      <c r="U2566" s="9" t="str">
        <f t="shared" ca="1" si="97"/>
        <v/>
      </c>
    </row>
    <row r="2567" spans="1:28" ht="29">
      <c r="A2567" s="3" t="s">
        <v>1338</v>
      </c>
      <c r="D2567" s="3" t="s">
        <v>6679</v>
      </c>
      <c r="E2567" s="3" t="s">
        <v>6680</v>
      </c>
      <c r="F2567" t="s">
        <v>4397</v>
      </c>
      <c r="H2567" t="s">
        <v>3884</v>
      </c>
      <c r="J2567" s="9" t="s">
        <v>8731</v>
      </c>
      <c r="T2567" s="9" t="str">
        <f t="shared" ca="1" si="96"/>
        <v/>
      </c>
      <c r="U2567" s="9" t="str">
        <f t="shared" ca="1" si="97"/>
        <v/>
      </c>
    </row>
    <row r="2568" spans="1:28">
      <c r="A2568" s="3" t="s">
        <v>1339</v>
      </c>
      <c r="D2568" s="4" t="s">
        <v>6681</v>
      </c>
      <c r="E2568" s="3" t="s">
        <v>6682</v>
      </c>
      <c r="F2568" t="s">
        <v>3883</v>
      </c>
      <c r="H2568" t="s">
        <v>3884</v>
      </c>
      <c r="T2568" s="9" t="str">
        <f t="shared" ca="1" si="96"/>
        <v/>
      </c>
      <c r="U2568" s="9" t="str">
        <f t="shared" ca="1" si="97"/>
        <v/>
      </c>
    </row>
    <row r="2569" spans="1:28">
      <c r="A2569" s="3" t="s">
        <v>1339</v>
      </c>
      <c r="D2569" s="3" t="s">
        <v>3000</v>
      </c>
      <c r="E2569" s="3" t="s">
        <v>3474</v>
      </c>
      <c r="F2569" t="s">
        <v>3893</v>
      </c>
      <c r="H2569" t="s">
        <v>3884</v>
      </c>
      <c r="T2569" s="9" t="str">
        <f t="shared" ca="1" si="96"/>
        <v/>
      </c>
      <c r="U2569" s="9" t="str">
        <f t="shared" ca="1" si="97"/>
        <v/>
      </c>
    </row>
    <row r="2570" spans="1:28">
      <c r="A2570" s="3" t="s">
        <v>1339</v>
      </c>
      <c r="D2570" s="3" t="s">
        <v>6683</v>
      </c>
      <c r="E2570" s="3" t="s">
        <v>5389</v>
      </c>
      <c r="H2570" t="s">
        <v>3892</v>
      </c>
      <c r="I2570" t="s">
        <v>6684</v>
      </c>
      <c r="J2570" s="9" t="s">
        <v>8729</v>
      </c>
      <c r="S2570" s="9">
        <f>23-19</f>
        <v>4</v>
      </c>
      <c r="T2570" s="9">
        <f t="shared" ca="1" si="96"/>
        <v>19</v>
      </c>
      <c r="U2570" s="9">
        <f t="shared" ca="1" si="97"/>
        <v>23</v>
      </c>
    </row>
    <row r="2571" spans="1:28">
      <c r="A2571" s="3" t="s">
        <v>1339</v>
      </c>
      <c r="D2571" s="3" t="s">
        <v>6685</v>
      </c>
      <c r="E2571" s="3" t="s">
        <v>6686</v>
      </c>
      <c r="J2571" s="9" t="s">
        <v>8731</v>
      </c>
      <c r="T2571" s="9" t="str">
        <f t="shared" ca="1" si="96"/>
        <v/>
      </c>
      <c r="U2571" s="9" t="str">
        <f t="shared" ca="1" si="97"/>
        <v/>
      </c>
    </row>
    <row r="2572" spans="1:28">
      <c r="A2572" s="3" t="s">
        <v>1340</v>
      </c>
      <c r="D2572" s="3" t="s">
        <v>2214</v>
      </c>
      <c r="E2572" s="3" t="s">
        <v>2648</v>
      </c>
      <c r="H2572" t="s">
        <v>3892</v>
      </c>
      <c r="J2572" s="9" t="s">
        <v>8732</v>
      </c>
      <c r="S2572" s="9">
        <f>46-1056</f>
        <v>-1010</v>
      </c>
      <c r="T2572" s="9">
        <f t="shared" ca="1" si="96"/>
        <v>1056</v>
      </c>
      <c r="U2572" s="9">
        <f t="shared" ca="1" si="97"/>
        <v>46</v>
      </c>
      <c r="Z2572" s="9" t="s">
        <v>8885</v>
      </c>
      <c r="AA2572" s="9" t="s">
        <v>3884</v>
      </c>
      <c r="AB2572" s="9" t="s">
        <v>8700</v>
      </c>
    </row>
    <row r="2573" spans="1:28" ht="29">
      <c r="A2573" s="3" t="s">
        <v>1340</v>
      </c>
      <c r="D2573" s="3" t="s">
        <v>6687</v>
      </c>
      <c r="E2573" s="3" t="s">
        <v>6688</v>
      </c>
      <c r="H2573" t="s">
        <v>3884</v>
      </c>
      <c r="J2573" s="9" t="s">
        <v>3889</v>
      </c>
      <c r="K2573" s="9">
        <v>1</v>
      </c>
      <c r="L2573" s="9">
        <v>5</v>
      </c>
      <c r="M2573" s="9" t="s">
        <v>8703</v>
      </c>
      <c r="N2573" s="9" t="s">
        <v>8690</v>
      </c>
      <c r="R2573" s="9">
        <v>494</v>
      </c>
      <c r="T2573" s="9" t="str">
        <f t="shared" ca="1" si="96"/>
        <v/>
      </c>
      <c r="U2573" s="9" t="str">
        <f t="shared" ca="1" si="97"/>
        <v/>
      </c>
    </row>
    <row r="2574" spans="1:28">
      <c r="A2574" s="3" t="s">
        <v>1341</v>
      </c>
      <c r="D2574" s="3" t="s">
        <v>3273</v>
      </c>
      <c r="E2574" s="3" t="s">
        <v>3273</v>
      </c>
      <c r="F2574" t="s">
        <v>3932</v>
      </c>
      <c r="I2574" t="s">
        <v>5955</v>
      </c>
      <c r="T2574" s="9" t="str">
        <f t="shared" ca="1" si="96"/>
        <v/>
      </c>
      <c r="U2574" s="9" t="str">
        <f t="shared" ca="1" si="97"/>
        <v/>
      </c>
    </row>
    <row r="2575" spans="1:28">
      <c r="A2575" s="3" t="s">
        <v>1341</v>
      </c>
      <c r="D2575" s="3" t="s">
        <v>3475</v>
      </c>
      <c r="E2575" s="3" t="s">
        <v>3475</v>
      </c>
      <c r="F2575" t="s">
        <v>3932</v>
      </c>
      <c r="I2575" t="s">
        <v>6689</v>
      </c>
      <c r="T2575" s="9" t="str">
        <f t="shared" ca="1" si="96"/>
        <v/>
      </c>
      <c r="U2575" s="9" t="str">
        <f t="shared" ca="1" si="97"/>
        <v/>
      </c>
    </row>
    <row r="2576" spans="1:28">
      <c r="A2576" s="3" t="s">
        <v>1342</v>
      </c>
      <c r="D2576" s="3" t="s">
        <v>5297</v>
      </c>
      <c r="E2576" s="4" t="s">
        <v>5298</v>
      </c>
      <c r="F2576" t="s">
        <v>3897</v>
      </c>
      <c r="T2576" s="9" t="str">
        <f t="shared" ca="1" si="96"/>
        <v/>
      </c>
      <c r="U2576" s="9" t="str">
        <f t="shared" ca="1" si="97"/>
        <v/>
      </c>
    </row>
    <row r="2577" spans="1:28">
      <c r="A2577" s="3" t="s">
        <v>1343</v>
      </c>
      <c r="D2577" s="3" t="s">
        <v>3476</v>
      </c>
      <c r="E2577" s="3" t="s">
        <v>3477</v>
      </c>
      <c r="J2577" s="9" t="s">
        <v>8731</v>
      </c>
      <c r="T2577" s="9" t="str">
        <f t="shared" ca="1" si="96"/>
        <v/>
      </c>
      <c r="U2577" s="9" t="str">
        <f t="shared" ca="1" si="97"/>
        <v/>
      </c>
      <c r="Z2577" s="9" t="s">
        <v>8741</v>
      </c>
      <c r="AA2577" s="9" t="s">
        <v>3884</v>
      </c>
      <c r="AB2577" s="9" t="s">
        <v>8697</v>
      </c>
    </row>
    <row r="2578" spans="1:28" ht="29">
      <c r="A2578" s="3" t="s">
        <v>1343</v>
      </c>
      <c r="D2578" s="3" t="s">
        <v>6690</v>
      </c>
      <c r="E2578" s="3" t="s">
        <v>6691</v>
      </c>
      <c r="F2578" t="s">
        <v>3893</v>
      </c>
      <c r="H2578" t="s">
        <v>3884</v>
      </c>
      <c r="T2578" s="9" t="str">
        <f t="shared" ca="1" si="96"/>
        <v/>
      </c>
      <c r="U2578" s="9" t="str">
        <f t="shared" ca="1" si="97"/>
        <v/>
      </c>
    </row>
    <row r="2579" spans="1:28" ht="29">
      <c r="A2579" s="3" t="s">
        <v>1343</v>
      </c>
      <c r="D2579" s="3" t="s">
        <v>6692</v>
      </c>
      <c r="E2579" s="3" t="s">
        <v>6694</v>
      </c>
      <c r="F2579" t="s">
        <v>3932</v>
      </c>
      <c r="I2579" t="s">
        <v>6693</v>
      </c>
      <c r="T2579" s="9" t="str">
        <f t="shared" ca="1" si="96"/>
        <v/>
      </c>
      <c r="U2579" s="9" t="str">
        <f t="shared" ca="1" si="97"/>
        <v/>
      </c>
    </row>
    <row r="2580" spans="1:28">
      <c r="A2580" s="3" t="s">
        <v>1344</v>
      </c>
      <c r="D2580" s="3" t="s">
        <v>9111</v>
      </c>
      <c r="E2580" s="3" t="s">
        <v>9112</v>
      </c>
      <c r="J2580" s="9" t="s">
        <v>8731</v>
      </c>
      <c r="T2580" s="9" t="str">
        <f t="shared" ca="1" si="96"/>
        <v/>
      </c>
      <c r="U2580" s="9" t="str">
        <f t="shared" ca="1" si="97"/>
        <v/>
      </c>
      <c r="Z2580" s="9" t="s">
        <v>8741</v>
      </c>
      <c r="AA2580" s="9" t="s">
        <v>3884</v>
      </c>
      <c r="AB2580" s="9" t="s">
        <v>8700</v>
      </c>
    </row>
    <row r="2581" spans="1:28">
      <c r="A2581" s="3" t="s">
        <v>1344</v>
      </c>
      <c r="D2581" s="3" t="s">
        <v>3478</v>
      </c>
      <c r="E2581" s="3" t="s">
        <v>3479</v>
      </c>
      <c r="H2581" t="s">
        <v>3892</v>
      </c>
      <c r="I2581" t="s">
        <v>3613</v>
      </c>
      <c r="J2581" s="9" t="s">
        <v>8731</v>
      </c>
      <c r="T2581" s="9" t="str">
        <f t="shared" ca="1" si="96"/>
        <v/>
      </c>
      <c r="U2581" s="9" t="str">
        <f t="shared" ca="1" si="97"/>
        <v/>
      </c>
      <c r="AB2581" s="9" t="s">
        <v>8688</v>
      </c>
    </row>
    <row r="2582" spans="1:28">
      <c r="A2582" s="3" t="s">
        <v>1344</v>
      </c>
      <c r="D2582" s="3" t="s">
        <v>9113</v>
      </c>
      <c r="E2582" s="3" t="s">
        <v>6695</v>
      </c>
      <c r="J2582" s="9" t="s">
        <v>8729</v>
      </c>
      <c r="S2582" s="9">
        <f>1485-1</f>
        <v>1484</v>
      </c>
      <c r="T2582" s="9">
        <f t="shared" ca="1" si="96"/>
        <v>1</v>
      </c>
      <c r="U2582" s="9">
        <f t="shared" ca="1" si="97"/>
        <v>1485</v>
      </c>
    </row>
    <row r="2583" spans="1:28">
      <c r="A2583" s="3" t="s">
        <v>1345</v>
      </c>
      <c r="D2583" s="3" t="s">
        <v>6696</v>
      </c>
      <c r="E2583" s="3" t="s">
        <v>6697</v>
      </c>
      <c r="J2583" s="9" t="s">
        <v>3889</v>
      </c>
      <c r="K2583" s="9">
        <v>1</v>
      </c>
      <c r="L2583" s="9">
        <v>3</v>
      </c>
      <c r="M2583" s="9" t="s">
        <v>8707</v>
      </c>
      <c r="N2583" s="9" t="s">
        <v>8690</v>
      </c>
      <c r="R2583" s="9">
        <v>872</v>
      </c>
      <c r="T2583" s="9" t="str">
        <f t="shared" ca="1" si="96"/>
        <v/>
      </c>
      <c r="U2583" s="9" t="str">
        <f t="shared" ca="1" si="97"/>
        <v/>
      </c>
    </row>
    <row r="2584" spans="1:28">
      <c r="A2584" s="3" t="s">
        <v>1345</v>
      </c>
      <c r="D2584" s="3" t="s">
        <v>6698</v>
      </c>
      <c r="E2584" s="3" t="s">
        <v>6698</v>
      </c>
      <c r="F2584" t="s">
        <v>3932</v>
      </c>
      <c r="I2584" t="s">
        <v>6699</v>
      </c>
      <c r="T2584" s="9" t="str">
        <f t="shared" ca="1" si="96"/>
        <v/>
      </c>
      <c r="U2584" s="9" t="str">
        <f t="shared" ca="1" si="97"/>
        <v/>
      </c>
    </row>
    <row r="2585" spans="1:28">
      <c r="A2585" s="3" t="s">
        <v>1346</v>
      </c>
      <c r="D2585" s="3" t="s">
        <v>3480</v>
      </c>
      <c r="E2585" s="3" t="s">
        <v>3000</v>
      </c>
      <c r="J2585" s="9" t="s">
        <v>8729</v>
      </c>
      <c r="S2585" s="9" t="s">
        <v>8739</v>
      </c>
      <c r="T2585" s="9" t="str">
        <f t="shared" ca="1" si="96"/>
        <v/>
      </c>
      <c r="U2585" s="9" t="str">
        <f t="shared" ca="1" si="97"/>
        <v/>
      </c>
      <c r="Y2585" s="9" t="s">
        <v>8735</v>
      </c>
      <c r="AA2585" s="9" t="s">
        <v>3884</v>
      </c>
    </row>
    <row r="2586" spans="1:28">
      <c r="A2586" s="3" t="s">
        <v>1346</v>
      </c>
      <c r="D2586" s="3" t="s">
        <v>6700</v>
      </c>
      <c r="E2586" s="3" t="s">
        <v>6701</v>
      </c>
      <c r="H2586" t="s">
        <v>3884</v>
      </c>
      <c r="J2586" s="9" t="s">
        <v>8729</v>
      </c>
      <c r="S2586" s="9" t="s">
        <v>8739</v>
      </c>
      <c r="T2586" s="9" t="str">
        <f t="shared" ca="1" si="96"/>
        <v/>
      </c>
      <c r="U2586" s="9" t="str">
        <f t="shared" ca="1" si="97"/>
        <v/>
      </c>
      <c r="AB2586" s="9" t="s">
        <v>8688</v>
      </c>
    </row>
    <row r="2587" spans="1:28">
      <c r="A2587" s="3" t="s">
        <v>1347</v>
      </c>
      <c r="D2587" s="3" t="s">
        <v>6702</v>
      </c>
      <c r="E2587" s="3" t="s">
        <v>6703</v>
      </c>
      <c r="G2587" t="s">
        <v>3884</v>
      </c>
      <c r="J2587" s="9" t="s">
        <v>8729</v>
      </c>
      <c r="S2587" s="9">
        <f>79-3678</f>
        <v>-3599</v>
      </c>
      <c r="T2587" s="9">
        <f t="shared" ca="1" si="96"/>
        <v>3678</v>
      </c>
      <c r="U2587" s="9">
        <f t="shared" ca="1" si="97"/>
        <v>79</v>
      </c>
    </row>
    <row r="2588" spans="1:28">
      <c r="A2588" s="3" t="s">
        <v>1347</v>
      </c>
      <c r="D2588" s="3" t="s">
        <v>3481</v>
      </c>
      <c r="E2588" s="3" t="s">
        <v>3481</v>
      </c>
      <c r="F2588" t="s">
        <v>3932</v>
      </c>
      <c r="I2588" t="s">
        <v>2335</v>
      </c>
      <c r="T2588" s="9" t="str">
        <f t="shared" ca="1" si="96"/>
        <v/>
      </c>
      <c r="U2588" s="9" t="str">
        <f t="shared" ca="1" si="97"/>
        <v/>
      </c>
    </row>
    <row r="2589" spans="1:28">
      <c r="A2589" s="3" t="s">
        <v>1348</v>
      </c>
      <c r="D2589" s="3" t="s">
        <v>6704</v>
      </c>
      <c r="E2589" s="3" t="s">
        <v>6705</v>
      </c>
      <c r="J2589" s="9" t="s">
        <v>8731</v>
      </c>
      <c r="T2589" s="9" t="str">
        <f t="shared" ca="1" si="96"/>
        <v/>
      </c>
      <c r="U2589" s="9" t="str">
        <f t="shared" ca="1" si="97"/>
        <v/>
      </c>
      <c r="Z2589" s="9" t="s">
        <v>8741</v>
      </c>
      <c r="AA2589" s="9" t="s">
        <v>3884</v>
      </c>
    </row>
    <row r="2590" spans="1:28">
      <c r="A2590" s="3" t="s">
        <v>1349</v>
      </c>
      <c r="D2590" s="3" t="s">
        <v>6706</v>
      </c>
      <c r="E2590" s="3" t="s">
        <v>6707</v>
      </c>
      <c r="H2590" t="s">
        <v>3884</v>
      </c>
      <c r="J2590" s="9" t="s">
        <v>8731</v>
      </c>
      <c r="T2590" s="9" t="str">
        <f t="shared" ca="1" si="96"/>
        <v/>
      </c>
      <c r="U2590" s="9" t="str">
        <f t="shared" ca="1" si="97"/>
        <v/>
      </c>
    </row>
    <row r="2591" spans="1:28">
      <c r="A2591" s="3" t="s">
        <v>1349</v>
      </c>
      <c r="D2591" s="3" t="s">
        <v>6708</v>
      </c>
      <c r="E2591" s="3" t="s">
        <v>6709</v>
      </c>
      <c r="J2591" s="9" t="s">
        <v>3889</v>
      </c>
      <c r="K2591" s="9">
        <v>1</v>
      </c>
      <c r="L2591" s="9">
        <v>1</v>
      </c>
      <c r="M2591" s="9" t="s">
        <v>8683</v>
      </c>
      <c r="N2591" s="9" t="s">
        <v>8730</v>
      </c>
      <c r="R2591" s="9">
        <v>15</v>
      </c>
      <c r="T2591" s="9" t="str">
        <f t="shared" ca="1" si="96"/>
        <v/>
      </c>
      <c r="U2591" s="9" t="str">
        <f t="shared" ca="1" si="97"/>
        <v/>
      </c>
    </row>
    <row r="2592" spans="1:28">
      <c r="A2592" s="3" t="s">
        <v>1350</v>
      </c>
      <c r="D2592" s="3" t="s">
        <v>3482</v>
      </c>
      <c r="E2592" s="3" t="s">
        <v>3483</v>
      </c>
      <c r="F2592" t="s">
        <v>3893</v>
      </c>
      <c r="H2592" t="s">
        <v>3892</v>
      </c>
      <c r="I2592" t="s">
        <v>6710</v>
      </c>
      <c r="T2592" s="9" t="str">
        <f t="shared" ca="1" si="96"/>
        <v/>
      </c>
      <c r="U2592" s="9" t="str">
        <f t="shared" ca="1" si="97"/>
        <v/>
      </c>
    </row>
    <row r="2593" spans="1:28">
      <c r="A2593" s="3" t="s">
        <v>1350</v>
      </c>
      <c r="D2593" s="3" t="s">
        <v>6711</v>
      </c>
      <c r="E2593" s="3" t="s">
        <v>6712</v>
      </c>
      <c r="F2593" t="s">
        <v>3893</v>
      </c>
      <c r="T2593" s="9" t="str">
        <f t="shared" ca="1" si="96"/>
        <v/>
      </c>
      <c r="U2593" s="9" t="str">
        <f t="shared" ca="1" si="97"/>
        <v/>
      </c>
    </row>
    <row r="2594" spans="1:28" ht="29">
      <c r="A2594" s="3" t="s">
        <v>1351</v>
      </c>
      <c r="D2594" s="3" t="s">
        <v>6713</v>
      </c>
      <c r="E2594" s="3" t="s">
        <v>6714</v>
      </c>
      <c r="H2594" t="s">
        <v>3884</v>
      </c>
      <c r="J2594" s="9" t="s">
        <v>8731</v>
      </c>
      <c r="T2594" s="9" t="str">
        <f t="shared" ca="1" si="96"/>
        <v/>
      </c>
      <c r="U2594" s="9" t="str">
        <f t="shared" ca="1" si="97"/>
        <v/>
      </c>
    </row>
    <row r="2595" spans="1:28">
      <c r="A2595" s="3" t="s">
        <v>1351</v>
      </c>
      <c r="D2595" s="3" t="s">
        <v>6715</v>
      </c>
      <c r="E2595" s="3" t="s">
        <v>6716</v>
      </c>
      <c r="J2595" s="9" t="s">
        <v>8731</v>
      </c>
      <c r="T2595" s="9" t="str">
        <f t="shared" ca="1" si="96"/>
        <v/>
      </c>
      <c r="U2595" s="9" t="str">
        <f t="shared" ca="1" si="97"/>
        <v/>
      </c>
      <c r="Z2595" s="9" t="s">
        <v>8757</v>
      </c>
      <c r="AA2595" s="9" t="s">
        <v>3884</v>
      </c>
      <c r="AB2595" s="9" t="s">
        <v>8700</v>
      </c>
    </row>
    <row r="2596" spans="1:28">
      <c r="A2596" s="3" t="s">
        <v>1351</v>
      </c>
      <c r="D2596" s="3" t="s">
        <v>3486</v>
      </c>
      <c r="E2596" s="3" t="s">
        <v>3487</v>
      </c>
      <c r="F2596" t="s">
        <v>3881</v>
      </c>
      <c r="J2596" s="9" t="s">
        <v>8731</v>
      </c>
      <c r="T2596" s="9" t="str">
        <f t="shared" ca="1" si="96"/>
        <v/>
      </c>
      <c r="U2596" s="9" t="str">
        <f t="shared" ca="1" si="97"/>
        <v/>
      </c>
    </row>
    <row r="2597" spans="1:28" ht="29">
      <c r="A2597" s="3" t="s">
        <v>1351</v>
      </c>
      <c r="D2597" s="3" t="s">
        <v>6717</v>
      </c>
      <c r="E2597" s="3" t="s">
        <v>6718</v>
      </c>
      <c r="F2597" t="s">
        <v>3881</v>
      </c>
      <c r="H2597" t="s">
        <v>3884</v>
      </c>
      <c r="T2597" s="9" t="str">
        <f t="shared" ca="1" si="96"/>
        <v/>
      </c>
      <c r="U2597" s="9" t="str">
        <f t="shared" ca="1" si="97"/>
        <v/>
      </c>
    </row>
    <row r="2598" spans="1:28" ht="29">
      <c r="A2598" s="3" t="s">
        <v>1352</v>
      </c>
      <c r="D2598" s="3" t="s">
        <v>6719</v>
      </c>
      <c r="E2598" s="3" t="s">
        <v>6720</v>
      </c>
      <c r="J2598" s="9" t="s">
        <v>3885</v>
      </c>
      <c r="K2598" s="9">
        <v>1</v>
      </c>
      <c r="L2598" s="9">
        <v>1</v>
      </c>
      <c r="M2598" s="9" t="s">
        <v>8705</v>
      </c>
      <c r="N2598" s="9" t="s">
        <v>8730</v>
      </c>
      <c r="R2598" s="9">
        <v>615</v>
      </c>
      <c r="T2598" s="9" t="str">
        <f t="shared" ca="1" si="96"/>
        <v/>
      </c>
      <c r="U2598" s="9" t="str">
        <f t="shared" ca="1" si="97"/>
        <v/>
      </c>
    </row>
    <row r="2599" spans="1:28" ht="29">
      <c r="A2599" s="3" t="s">
        <v>1353</v>
      </c>
      <c r="D2599" s="3" t="s">
        <v>6721</v>
      </c>
      <c r="E2599" s="3" t="s">
        <v>6723</v>
      </c>
      <c r="F2599" t="s">
        <v>3932</v>
      </c>
      <c r="I2599" t="s">
        <v>6722</v>
      </c>
      <c r="T2599" s="9" t="str">
        <f t="shared" ca="1" si="96"/>
        <v/>
      </c>
      <c r="U2599" s="9" t="str">
        <f t="shared" ca="1" si="97"/>
        <v/>
      </c>
    </row>
    <row r="2600" spans="1:28">
      <c r="A2600" s="3" t="s">
        <v>1353</v>
      </c>
      <c r="D2600" s="3" t="s">
        <v>6724</v>
      </c>
      <c r="E2600" s="4" t="s">
        <v>6725</v>
      </c>
      <c r="F2600" t="s">
        <v>3897</v>
      </c>
      <c r="T2600" s="9" t="str">
        <f t="shared" ca="1" si="96"/>
        <v/>
      </c>
      <c r="U2600" s="9" t="str">
        <f t="shared" ca="1" si="97"/>
        <v/>
      </c>
    </row>
    <row r="2601" spans="1:28" ht="29">
      <c r="A2601" s="3" t="s">
        <v>1354</v>
      </c>
      <c r="D2601" s="3" t="s">
        <v>6727</v>
      </c>
      <c r="E2601" s="3" t="s">
        <v>6729</v>
      </c>
      <c r="F2601" t="s">
        <v>3932</v>
      </c>
      <c r="I2601" t="s">
        <v>6728</v>
      </c>
      <c r="T2601" s="9" t="str">
        <f t="shared" ca="1" si="96"/>
        <v/>
      </c>
      <c r="U2601" s="9" t="str">
        <f t="shared" ca="1" si="97"/>
        <v/>
      </c>
    </row>
    <row r="2602" spans="1:28" ht="29">
      <c r="A2602" s="3" t="s">
        <v>1354</v>
      </c>
      <c r="D2602" s="3" t="s">
        <v>6726</v>
      </c>
      <c r="E2602" s="3" t="s">
        <v>6730</v>
      </c>
      <c r="F2602" t="s">
        <v>3893</v>
      </c>
      <c r="H2602" t="s">
        <v>3884</v>
      </c>
      <c r="T2602" s="9" t="str">
        <f t="shared" ca="1" si="96"/>
        <v/>
      </c>
      <c r="U2602" s="9" t="str">
        <f t="shared" ca="1" si="97"/>
        <v/>
      </c>
    </row>
    <row r="2603" spans="1:28">
      <c r="A2603" s="3" t="s">
        <v>1355</v>
      </c>
      <c r="D2603" s="4" t="s">
        <v>6731</v>
      </c>
      <c r="E2603" s="3" t="s">
        <v>6732</v>
      </c>
      <c r="F2603" t="s">
        <v>3883</v>
      </c>
      <c r="T2603" s="9" t="str">
        <f t="shared" ca="1" si="96"/>
        <v/>
      </c>
      <c r="U2603" s="9" t="str">
        <f t="shared" ca="1" si="97"/>
        <v/>
      </c>
    </row>
    <row r="2604" spans="1:28">
      <c r="A2604" s="3" t="s">
        <v>1356</v>
      </c>
      <c r="D2604" s="3" t="s">
        <v>6733</v>
      </c>
      <c r="E2604" s="3" t="s">
        <v>6734</v>
      </c>
      <c r="J2604" s="9" t="s">
        <v>3885</v>
      </c>
      <c r="K2604" s="9">
        <v>1</v>
      </c>
      <c r="L2604" s="9">
        <v>3</v>
      </c>
      <c r="M2604" s="9" t="s">
        <v>8689</v>
      </c>
      <c r="N2604" s="9" t="s">
        <v>8730</v>
      </c>
      <c r="R2604" s="9">
        <v>10929</v>
      </c>
      <c r="T2604" s="9" t="str">
        <f t="shared" ca="1" si="96"/>
        <v/>
      </c>
      <c r="U2604" s="9" t="str">
        <f t="shared" ca="1" si="97"/>
        <v/>
      </c>
    </row>
    <row r="2605" spans="1:28">
      <c r="A2605" s="3" t="s">
        <v>1357</v>
      </c>
      <c r="D2605" s="3" t="s">
        <v>6735</v>
      </c>
      <c r="E2605" s="3" t="s">
        <v>6735</v>
      </c>
      <c r="F2605" t="s">
        <v>3932</v>
      </c>
      <c r="I2605" t="s">
        <v>6736</v>
      </c>
      <c r="T2605" s="9" t="str">
        <f t="shared" ca="1" si="96"/>
        <v/>
      </c>
      <c r="U2605" s="9" t="str">
        <f t="shared" ca="1" si="97"/>
        <v/>
      </c>
    </row>
    <row r="2606" spans="1:28" ht="29">
      <c r="A2606" s="3" t="s">
        <v>1357</v>
      </c>
      <c r="D2606" s="3" t="s">
        <v>6737</v>
      </c>
      <c r="E2606" s="3" t="s">
        <v>6738</v>
      </c>
      <c r="H2606" t="s">
        <v>3892</v>
      </c>
      <c r="I2606" t="s">
        <v>6739</v>
      </c>
      <c r="J2606" s="9" t="s">
        <v>8731</v>
      </c>
      <c r="T2606" s="9" t="str">
        <f t="shared" ca="1" si="96"/>
        <v/>
      </c>
      <c r="U2606" s="9" t="str">
        <f t="shared" ca="1" si="97"/>
        <v/>
      </c>
    </row>
    <row r="2607" spans="1:28">
      <c r="A2607" s="3" t="s">
        <v>1358</v>
      </c>
      <c r="D2607" s="3" t="s">
        <v>6740</v>
      </c>
      <c r="E2607" s="3" t="s">
        <v>6741</v>
      </c>
      <c r="J2607" s="9" t="s">
        <v>8731</v>
      </c>
      <c r="T2607" s="9" t="str">
        <f t="shared" ca="1" si="96"/>
        <v/>
      </c>
      <c r="U2607" s="9" t="str">
        <f t="shared" ca="1" si="97"/>
        <v/>
      </c>
    </row>
    <row r="2608" spans="1:28">
      <c r="A2608" s="3" t="s">
        <v>1358</v>
      </c>
      <c r="D2608" s="3" t="s">
        <v>3488</v>
      </c>
      <c r="E2608" s="3" t="s">
        <v>3489</v>
      </c>
      <c r="J2608" s="9" t="s">
        <v>8729</v>
      </c>
      <c r="S2608" s="9" t="s">
        <v>8739</v>
      </c>
      <c r="T2608" s="9" t="str">
        <f t="shared" ca="1" si="96"/>
        <v/>
      </c>
      <c r="U2608" s="9" t="str">
        <f t="shared" ca="1" si="97"/>
        <v/>
      </c>
      <c r="Z2608" s="9" t="s">
        <v>8741</v>
      </c>
      <c r="AA2608" s="9" t="s">
        <v>3884</v>
      </c>
      <c r="AB2608" s="9" t="s">
        <v>8697</v>
      </c>
    </row>
    <row r="2609" spans="1:28">
      <c r="A2609" s="3" t="s">
        <v>1358</v>
      </c>
      <c r="D2609" s="3" t="s">
        <v>6742</v>
      </c>
      <c r="E2609" s="3" t="s">
        <v>6743</v>
      </c>
      <c r="H2609" t="s">
        <v>3884</v>
      </c>
      <c r="J2609" s="9" t="s">
        <v>8731</v>
      </c>
      <c r="T2609" s="9" t="str">
        <f t="shared" ca="1" si="96"/>
        <v/>
      </c>
      <c r="U2609" s="9" t="str">
        <f t="shared" ca="1" si="97"/>
        <v/>
      </c>
      <c r="Y2609" s="9" t="s">
        <v>9282</v>
      </c>
      <c r="AA2609" s="9" t="s">
        <v>3884</v>
      </c>
    </row>
    <row r="2610" spans="1:28" ht="29">
      <c r="A2610" s="3" t="s">
        <v>1359</v>
      </c>
      <c r="D2610" s="3" t="s">
        <v>6744</v>
      </c>
      <c r="E2610" s="3" t="s">
        <v>6744</v>
      </c>
      <c r="F2610" t="s">
        <v>3932</v>
      </c>
      <c r="I2610" t="s">
        <v>6745</v>
      </c>
      <c r="T2610" s="9" t="str">
        <f t="shared" ca="1" si="96"/>
        <v/>
      </c>
      <c r="U2610" s="9" t="str">
        <f t="shared" ca="1" si="97"/>
        <v/>
      </c>
    </row>
    <row r="2611" spans="1:28">
      <c r="A2611" s="3" t="s">
        <v>1359</v>
      </c>
      <c r="D2611" s="3" t="s">
        <v>6746</v>
      </c>
      <c r="E2611" s="3" t="s">
        <v>6746</v>
      </c>
      <c r="F2611" t="s">
        <v>3932</v>
      </c>
      <c r="I2611" t="s">
        <v>6747</v>
      </c>
      <c r="T2611" s="9" t="str">
        <f t="shared" ca="1" si="96"/>
        <v/>
      </c>
      <c r="U2611" s="9" t="str">
        <f t="shared" ca="1" si="97"/>
        <v/>
      </c>
    </row>
    <row r="2612" spans="1:28" ht="29">
      <c r="A2612" s="3" t="s">
        <v>1359</v>
      </c>
      <c r="D2612" s="3" t="s">
        <v>6748</v>
      </c>
      <c r="E2612" s="3" t="s">
        <v>6749</v>
      </c>
      <c r="F2612" t="s">
        <v>3932</v>
      </c>
      <c r="I2612" t="s">
        <v>6750</v>
      </c>
      <c r="T2612" s="9" t="str">
        <f t="shared" ca="1" si="96"/>
        <v/>
      </c>
      <c r="U2612" s="9" t="str">
        <f t="shared" ca="1" si="97"/>
        <v/>
      </c>
    </row>
    <row r="2613" spans="1:28" ht="29">
      <c r="A2613" s="3" t="s">
        <v>1360</v>
      </c>
      <c r="D2613" s="4" t="s">
        <v>6751</v>
      </c>
      <c r="E2613" s="3" t="s">
        <v>6752</v>
      </c>
      <c r="F2613" t="s">
        <v>3883</v>
      </c>
      <c r="T2613" s="9" t="str">
        <f t="shared" ca="1" si="96"/>
        <v/>
      </c>
      <c r="U2613" s="9" t="str">
        <f t="shared" ca="1" si="97"/>
        <v/>
      </c>
    </row>
    <row r="2614" spans="1:28">
      <c r="A2614" s="3" t="s">
        <v>1361</v>
      </c>
      <c r="D2614" s="3" t="s">
        <v>6753</v>
      </c>
      <c r="E2614" s="3" t="s">
        <v>6754</v>
      </c>
      <c r="J2614" s="9" t="s">
        <v>8729</v>
      </c>
      <c r="S2614" s="9">
        <f>69-3678</f>
        <v>-3609</v>
      </c>
      <c r="T2614" s="9">
        <f t="shared" ca="1" si="96"/>
        <v>3678</v>
      </c>
      <c r="U2614" s="9">
        <f t="shared" ca="1" si="97"/>
        <v>69</v>
      </c>
    </row>
    <row r="2615" spans="1:28">
      <c r="A2615" s="3" t="s">
        <v>1361</v>
      </c>
      <c r="D2615" s="4" t="s">
        <v>6755</v>
      </c>
      <c r="E2615" s="3" t="s">
        <v>6756</v>
      </c>
      <c r="F2615" t="s">
        <v>3883</v>
      </c>
      <c r="T2615" s="9" t="str">
        <f t="shared" ca="1" si="96"/>
        <v/>
      </c>
      <c r="U2615" s="9" t="str">
        <f t="shared" ca="1" si="97"/>
        <v/>
      </c>
    </row>
    <row r="2616" spans="1:28">
      <c r="A2616" s="3" t="s">
        <v>1362</v>
      </c>
      <c r="D2616" s="3" t="s">
        <v>6757</v>
      </c>
      <c r="E2616" s="3" t="s">
        <v>6758</v>
      </c>
      <c r="H2616" t="s">
        <v>3884</v>
      </c>
      <c r="J2616" s="9" t="s">
        <v>8729</v>
      </c>
      <c r="S2616" s="9">
        <f>208-146</f>
        <v>62</v>
      </c>
      <c r="T2616" s="9">
        <f t="shared" ca="1" si="96"/>
        <v>146</v>
      </c>
      <c r="U2616" s="9">
        <f t="shared" ca="1" si="97"/>
        <v>208</v>
      </c>
    </row>
    <row r="2617" spans="1:28">
      <c r="A2617" s="3" t="s">
        <v>1362</v>
      </c>
      <c r="D2617" s="3" t="s">
        <v>5266</v>
      </c>
      <c r="E2617" s="3" t="s">
        <v>5266</v>
      </c>
      <c r="F2617" t="s">
        <v>3932</v>
      </c>
      <c r="I2617" t="s">
        <v>6759</v>
      </c>
      <c r="T2617" s="9" t="str">
        <f t="shared" ca="1" si="96"/>
        <v/>
      </c>
      <c r="U2617" s="9" t="str">
        <f t="shared" ca="1" si="97"/>
        <v/>
      </c>
    </row>
    <row r="2618" spans="1:28">
      <c r="A2618" s="3" t="s">
        <v>1362</v>
      </c>
      <c r="D2618" s="3" t="s">
        <v>6760</v>
      </c>
      <c r="E2618" s="3" t="s">
        <v>6760</v>
      </c>
      <c r="F2618" t="s">
        <v>3932</v>
      </c>
      <c r="I2618" t="s">
        <v>6761</v>
      </c>
      <c r="T2618" s="9" t="str">
        <f t="shared" ca="1" si="96"/>
        <v/>
      </c>
      <c r="U2618" s="9" t="str">
        <f t="shared" ca="1" si="97"/>
        <v/>
      </c>
    </row>
    <row r="2619" spans="1:28">
      <c r="A2619" s="3" t="s">
        <v>1362</v>
      </c>
      <c r="D2619" s="3" t="s">
        <v>6762</v>
      </c>
      <c r="E2619" s="3" t="s">
        <v>6762</v>
      </c>
      <c r="F2619" t="s">
        <v>3932</v>
      </c>
      <c r="I2619" t="s">
        <v>6764</v>
      </c>
      <c r="T2619" s="9" t="str">
        <f t="shared" ca="1" si="96"/>
        <v/>
      </c>
      <c r="U2619" s="9" t="str">
        <f t="shared" ca="1" si="97"/>
        <v/>
      </c>
    </row>
    <row r="2620" spans="1:28">
      <c r="A2620" s="3" t="s">
        <v>1362</v>
      </c>
      <c r="D2620" s="3" t="s">
        <v>6763</v>
      </c>
      <c r="E2620" s="3" t="s">
        <v>3490</v>
      </c>
      <c r="F2620" t="s">
        <v>3932</v>
      </c>
      <c r="I2620" t="s">
        <v>6765</v>
      </c>
      <c r="T2620" s="9" t="str">
        <f t="shared" ca="1" si="96"/>
        <v/>
      </c>
      <c r="U2620" s="9" t="str">
        <f t="shared" ca="1" si="97"/>
        <v/>
      </c>
    </row>
    <row r="2621" spans="1:28">
      <c r="A2621" s="3" t="s">
        <v>1363</v>
      </c>
      <c r="D2621" s="3" t="s">
        <v>2359</v>
      </c>
      <c r="E2621" s="3" t="s">
        <v>3491</v>
      </c>
      <c r="F2621" t="s">
        <v>3893</v>
      </c>
      <c r="H2621" t="s">
        <v>3884</v>
      </c>
      <c r="T2621" s="9" t="str">
        <f t="shared" ca="1" si="96"/>
        <v/>
      </c>
      <c r="U2621" s="9" t="str">
        <f t="shared" ca="1" si="97"/>
        <v/>
      </c>
    </row>
    <row r="2622" spans="1:28">
      <c r="A2622" s="3" t="s">
        <v>1364</v>
      </c>
      <c r="D2622" s="3" t="s">
        <v>6766</v>
      </c>
      <c r="E2622" s="3" t="s">
        <v>6767</v>
      </c>
      <c r="J2622" s="9" t="s">
        <v>8731</v>
      </c>
      <c r="T2622" s="9" t="str">
        <f t="shared" ca="1" si="96"/>
        <v/>
      </c>
      <c r="U2622" s="9" t="str">
        <f t="shared" ca="1" si="97"/>
        <v/>
      </c>
      <c r="Z2622" s="9" t="s">
        <v>8832</v>
      </c>
      <c r="AA2622" s="9" t="s">
        <v>3884</v>
      </c>
      <c r="AB2622" s="9" t="s">
        <v>8700</v>
      </c>
    </row>
    <row r="2623" spans="1:28">
      <c r="A2623" s="3" t="s">
        <v>1364</v>
      </c>
      <c r="D2623" s="3" t="s">
        <v>6768</v>
      </c>
      <c r="E2623" s="3" t="s">
        <v>6769</v>
      </c>
      <c r="J2623" s="9" t="s">
        <v>3885</v>
      </c>
      <c r="K2623" s="9">
        <v>1</v>
      </c>
      <c r="L2623" s="9">
        <v>1</v>
      </c>
      <c r="M2623" s="9" t="s">
        <v>8689</v>
      </c>
      <c r="N2623" s="9" t="s">
        <v>8730</v>
      </c>
      <c r="Q2623" s="9" t="s">
        <v>8685</v>
      </c>
      <c r="R2623" s="9">
        <v>10929</v>
      </c>
      <c r="T2623" s="9" t="str">
        <f t="shared" ca="1" si="96"/>
        <v/>
      </c>
      <c r="U2623" s="9" t="str">
        <f t="shared" ca="1" si="97"/>
        <v/>
      </c>
    </row>
    <row r="2624" spans="1:28">
      <c r="A2624" s="3" t="s">
        <v>1365</v>
      </c>
      <c r="D2624" s="3" t="s">
        <v>6771</v>
      </c>
      <c r="E2624" s="3" t="s">
        <v>6772</v>
      </c>
      <c r="J2624" s="9" t="s">
        <v>8729</v>
      </c>
      <c r="S2624" s="9">
        <f>615-203</f>
        <v>412</v>
      </c>
      <c r="T2624" s="9">
        <f t="shared" ca="1" si="96"/>
        <v>203</v>
      </c>
      <c r="U2624" s="9">
        <f t="shared" ca="1" si="97"/>
        <v>615</v>
      </c>
    </row>
    <row r="2625" spans="1:28">
      <c r="A2625" s="3" t="s">
        <v>1365</v>
      </c>
      <c r="D2625" s="3" t="s">
        <v>6770</v>
      </c>
      <c r="E2625" s="3" t="s">
        <v>6773</v>
      </c>
      <c r="H2625" t="s">
        <v>3884</v>
      </c>
      <c r="J2625" s="9" t="s">
        <v>3885</v>
      </c>
      <c r="K2625" s="9">
        <v>1</v>
      </c>
      <c r="L2625" s="9">
        <v>3</v>
      </c>
      <c r="M2625" s="9" t="s">
        <v>8705</v>
      </c>
      <c r="N2625" s="9" t="s">
        <v>8690</v>
      </c>
      <c r="R2625" s="9">
        <v>1485</v>
      </c>
      <c r="T2625" s="9" t="str">
        <f t="shared" ca="1" si="96"/>
        <v/>
      </c>
      <c r="U2625" s="9" t="str">
        <f t="shared" ca="1" si="97"/>
        <v/>
      </c>
    </row>
    <row r="2626" spans="1:28">
      <c r="A2626" s="3" t="s">
        <v>1365</v>
      </c>
      <c r="D2626" s="3" t="s">
        <v>6775</v>
      </c>
      <c r="E2626" s="3" t="s">
        <v>6776</v>
      </c>
      <c r="F2626" t="s">
        <v>3893</v>
      </c>
      <c r="H2626" t="s">
        <v>3884</v>
      </c>
      <c r="T2626" s="9" t="str">
        <f t="shared" ca="1" si="96"/>
        <v/>
      </c>
      <c r="U2626" s="9" t="str">
        <f t="shared" ca="1" si="97"/>
        <v/>
      </c>
    </row>
    <row r="2627" spans="1:28">
      <c r="A2627" s="3" t="s">
        <v>1365</v>
      </c>
      <c r="D2627" s="3" t="s">
        <v>6774</v>
      </c>
      <c r="E2627" s="3" t="s">
        <v>6777</v>
      </c>
      <c r="H2627" t="s">
        <v>3884</v>
      </c>
      <c r="J2627" s="9" t="s">
        <v>3885</v>
      </c>
      <c r="K2627" s="9">
        <v>1</v>
      </c>
      <c r="L2627" s="9">
        <v>2</v>
      </c>
      <c r="M2627" s="9" t="s">
        <v>8734</v>
      </c>
      <c r="N2627" s="9" t="s">
        <v>8730</v>
      </c>
      <c r="R2627" s="9" t="s">
        <v>8739</v>
      </c>
      <c r="T2627" s="9" t="str">
        <f t="shared" ca="1" si="96"/>
        <v/>
      </c>
      <c r="U2627" s="9" t="str">
        <f t="shared" ca="1" si="97"/>
        <v/>
      </c>
      <c r="AB2627" s="9" t="s">
        <v>8688</v>
      </c>
    </row>
    <row r="2628" spans="1:28" ht="29">
      <c r="A2628" s="3" t="s">
        <v>1366</v>
      </c>
      <c r="D2628" s="3" t="s">
        <v>6778</v>
      </c>
      <c r="E2628" s="3" t="s">
        <v>6779</v>
      </c>
      <c r="J2628" s="9" t="s">
        <v>8731</v>
      </c>
      <c r="T2628" s="9" t="str">
        <f t="shared" ref="T2628:T2689" ca="1" si="98">IF(ISNUMBER(S2628),VALUE(MID(_xlfn.FORMULATEXT(S2628),SEARCH("-",_xlfn.FORMULATEXT(S2628))+1,LEN(_xlfn.FORMULATEXT(S2628))-SEARCH("-",_xlfn.FORMULATEXT(S2628)))), "")</f>
        <v/>
      </c>
      <c r="U2628" s="9" t="str">
        <f t="shared" ref="U2628:U2689" ca="1" si="99">IF(ISNUMBER(S2628), VALUE(MID(_xlfn.FORMULATEXT(S2628), 2, SEARCH("-", _xlfn.FORMULATEXT(S2628)) - 2)), "")</f>
        <v/>
      </c>
      <c r="Z2628" s="9" t="s">
        <v>8741</v>
      </c>
      <c r="AA2628" s="9" t="s">
        <v>3884</v>
      </c>
    </row>
    <row r="2629" spans="1:28" ht="29">
      <c r="A2629" s="3" t="s">
        <v>1366</v>
      </c>
      <c r="D2629" s="3" t="s">
        <v>6780</v>
      </c>
      <c r="E2629" s="3" t="s">
        <v>6781</v>
      </c>
      <c r="H2629" t="s">
        <v>3892</v>
      </c>
      <c r="I2629" t="s">
        <v>6782</v>
      </c>
      <c r="J2629" s="9" t="s">
        <v>3885</v>
      </c>
      <c r="K2629" s="9">
        <v>1</v>
      </c>
      <c r="L2629" s="9">
        <v>4</v>
      </c>
      <c r="M2629" s="9" t="s">
        <v>8705</v>
      </c>
      <c r="N2629" s="9" t="s">
        <v>8690</v>
      </c>
      <c r="R2629" s="9">
        <v>3678</v>
      </c>
      <c r="T2629" s="9" t="str">
        <f t="shared" ca="1" si="98"/>
        <v/>
      </c>
      <c r="U2629" s="9" t="str">
        <f t="shared" ca="1" si="99"/>
        <v/>
      </c>
    </row>
    <row r="2630" spans="1:28">
      <c r="A2630" s="3" t="s">
        <v>1367</v>
      </c>
      <c r="D2630" s="3" t="s">
        <v>6783</v>
      </c>
      <c r="E2630" s="3" t="s">
        <v>6784</v>
      </c>
      <c r="J2630" s="9" t="s">
        <v>8731</v>
      </c>
      <c r="T2630" s="9" t="str">
        <f t="shared" ca="1" si="98"/>
        <v/>
      </c>
      <c r="U2630" s="9" t="str">
        <f t="shared" ca="1" si="99"/>
        <v/>
      </c>
      <c r="Z2630" s="9" t="s">
        <v>8741</v>
      </c>
      <c r="AA2630" s="9" t="s">
        <v>3884</v>
      </c>
    </row>
    <row r="2631" spans="1:28">
      <c r="A2631" s="3" t="s">
        <v>1367</v>
      </c>
      <c r="D2631" s="3" t="s">
        <v>3492</v>
      </c>
      <c r="E2631" s="3" t="s">
        <v>3493</v>
      </c>
      <c r="J2631" s="9" t="s">
        <v>8731</v>
      </c>
      <c r="T2631" s="9" t="str">
        <f t="shared" ca="1" si="98"/>
        <v/>
      </c>
      <c r="U2631" s="9" t="str">
        <f t="shared" ca="1" si="99"/>
        <v/>
      </c>
      <c r="Z2631" s="9" t="s">
        <v>9280</v>
      </c>
      <c r="AA2631" s="9" t="s">
        <v>3884</v>
      </c>
    </row>
    <row r="2632" spans="1:28">
      <c r="A2632" s="3" t="s">
        <v>1367</v>
      </c>
      <c r="D2632" s="3" t="s">
        <v>6786</v>
      </c>
      <c r="E2632" s="3" t="s">
        <v>6787</v>
      </c>
      <c r="J2632" s="9" t="s">
        <v>8731</v>
      </c>
      <c r="T2632" s="9" t="str">
        <f t="shared" ca="1" si="98"/>
        <v/>
      </c>
      <c r="U2632" s="9" t="str">
        <f t="shared" ca="1" si="99"/>
        <v/>
      </c>
      <c r="Z2632" s="9" t="s">
        <v>8741</v>
      </c>
      <c r="AA2632" s="9" t="s">
        <v>3884</v>
      </c>
    </row>
    <row r="2633" spans="1:28">
      <c r="A2633" s="3" t="s">
        <v>1367</v>
      </c>
      <c r="D2633" s="3" t="s">
        <v>6788</v>
      </c>
      <c r="E2633" s="3" t="s">
        <v>6789</v>
      </c>
      <c r="F2633" t="s">
        <v>3932</v>
      </c>
      <c r="I2633" t="s">
        <v>6790</v>
      </c>
      <c r="T2633" s="9" t="str">
        <f t="shared" ca="1" si="98"/>
        <v/>
      </c>
      <c r="U2633" s="9" t="str">
        <f t="shared" ca="1" si="99"/>
        <v/>
      </c>
    </row>
    <row r="2634" spans="1:28">
      <c r="A2634" s="3" t="s">
        <v>1367</v>
      </c>
      <c r="D2634" s="3" t="s">
        <v>2357</v>
      </c>
      <c r="E2634" s="3" t="s">
        <v>2357</v>
      </c>
      <c r="F2634" t="s">
        <v>3932</v>
      </c>
      <c r="I2634" t="s">
        <v>2329</v>
      </c>
      <c r="T2634" s="9" t="str">
        <f t="shared" ca="1" si="98"/>
        <v/>
      </c>
      <c r="U2634" s="9" t="str">
        <f t="shared" ca="1" si="99"/>
        <v/>
      </c>
    </row>
    <row r="2635" spans="1:28">
      <c r="A2635" s="3" t="s">
        <v>1367</v>
      </c>
      <c r="D2635" s="3" t="s">
        <v>2220</v>
      </c>
      <c r="E2635" s="3" t="s">
        <v>2220</v>
      </c>
      <c r="F2635" t="s">
        <v>3932</v>
      </c>
      <c r="I2635" t="s">
        <v>6791</v>
      </c>
      <c r="T2635" s="9" t="str">
        <f t="shared" ca="1" si="98"/>
        <v/>
      </c>
      <c r="U2635" s="9" t="str">
        <f t="shared" ca="1" si="99"/>
        <v/>
      </c>
    </row>
    <row r="2636" spans="1:28">
      <c r="A2636" s="3" t="s">
        <v>1368</v>
      </c>
      <c r="D2636" s="3" t="s">
        <v>6792</v>
      </c>
      <c r="E2636" s="3" t="s">
        <v>6793</v>
      </c>
      <c r="J2636" s="9" t="s">
        <v>8729</v>
      </c>
      <c r="S2636" s="9" t="s">
        <v>8739</v>
      </c>
      <c r="T2636" s="9" t="str">
        <f t="shared" ca="1" si="98"/>
        <v/>
      </c>
      <c r="U2636" s="9" t="str">
        <f t="shared" ca="1" si="99"/>
        <v/>
      </c>
      <c r="AB2636" s="9" t="s">
        <v>8697</v>
      </c>
    </row>
    <row r="2637" spans="1:28">
      <c r="A2637" s="3" t="s">
        <v>1368</v>
      </c>
      <c r="D2637" s="3" t="s">
        <v>6785</v>
      </c>
      <c r="E2637" s="3" t="s">
        <v>6794</v>
      </c>
      <c r="J2637" s="9" t="s">
        <v>8731</v>
      </c>
      <c r="T2637" s="9" t="str">
        <f t="shared" ca="1" si="98"/>
        <v/>
      </c>
      <c r="U2637" s="9" t="str">
        <f t="shared" ca="1" si="99"/>
        <v/>
      </c>
      <c r="Z2637" s="9" t="s">
        <v>8741</v>
      </c>
      <c r="AA2637" s="9" t="s">
        <v>3884</v>
      </c>
    </row>
    <row r="2638" spans="1:28" ht="72.5">
      <c r="A2638" s="3" t="s">
        <v>1369</v>
      </c>
      <c r="D2638" s="3" t="s">
        <v>6795</v>
      </c>
      <c r="E2638" s="4" t="s">
        <v>6796</v>
      </c>
      <c r="F2638" t="s">
        <v>3897</v>
      </c>
      <c r="I2638" s="2"/>
      <c r="T2638" s="9" t="str">
        <f t="shared" ca="1" si="98"/>
        <v/>
      </c>
      <c r="U2638" s="9" t="str">
        <f t="shared" ca="1" si="99"/>
        <v/>
      </c>
    </row>
    <row r="2639" spans="1:28" ht="29">
      <c r="A2639" s="3" t="s">
        <v>1369</v>
      </c>
      <c r="D2639" s="3" t="s">
        <v>6797</v>
      </c>
      <c r="E2639" s="3" t="s">
        <v>6799</v>
      </c>
      <c r="F2639" t="s">
        <v>3893</v>
      </c>
      <c r="H2639" t="s">
        <v>3884</v>
      </c>
      <c r="T2639" s="9" t="str">
        <f t="shared" ca="1" si="98"/>
        <v/>
      </c>
      <c r="U2639" s="9" t="str">
        <f t="shared" ca="1" si="99"/>
        <v/>
      </c>
    </row>
    <row r="2640" spans="1:28" ht="29">
      <c r="A2640" s="3" t="s">
        <v>1369</v>
      </c>
      <c r="D2640" s="3" t="s">
        <v>6798</v>
      </c>
      <c r="E2640" s="3" t="s">
        <v>6800</v>
      </c>
      <c r="H2640" t="s">
        <v>3884</v>
      </c>
      <c r="J2640" s="9" t="s">
        <v>8729</v>
      </c>
      <c r="S2640" s="9">
        <f>9418-5</f>
        <v>9413</v>
      </c>
      <c r="T2640" s="9">
        <f t="shared" ca="1" si="98"/>
        <v>5</v>
      </c>
      <c r="U2640" s="9">
        <f t="shared" ca="1" si="99"/>
        <v>9418</v>
      </c>
      <c r="AB2640" s="9" t="s">
        <v>8694</v>
      </c>
    </row>
    <row r="2641" spans="1:28" ht="29">
      <c r="A2641" s="3" t="s">
        <v>1369</v>
      </c>
      <c r="D2641" s="3" t="s">
        <v>6801</v>
      </c>
      <c r="E2641" s="3" t="s">
        <v>6802</v>
      </c>
      <c r="J2641" s="9" t="s">
        <v>8731</v>
      </c>
      <c r="T2641" s="9" t="str">
        <f t="shared" ca="1" si="98"/>
        <v/>
      </c>
      <c r="U2641" s="9" t="str">
        <f t="shared" ca="1" si="99"/>
        <v/>
      </c>
      <c r="Z2641" s="9" t="s">
        <v>8757</v>
      </c>
      <c r="AA2641" s="9" t="s">
        <v>3884</v>
      </c>
    </row>
    <row r="2642" spans="1:28">
      <c r="A2642" s="3" t="s">
        <v>1370</v>
      </c>
      <c r="D2642" s="3" t="s">
        <v>6803</v>
      </c>
      <c r="E2642" s="3" t="s">
        <v>6803</v>
      </c>
      <c r="F2642" t="s">
        <v>3932</v>
      </c>
      <c r="I2642" t="s">
        <v>6804</v>
      </c>
      <c r="T2642" s="9" t="str">
        <f t="shared" ca="1" si="98"/>
        <v/>
      </c>
      <c r="U2642" s="9" t="str">
        <f t="shared" ca="1" si="99"/>
        <v/>
      </c>
    </row>
    <row r="2643" spans="1:28" ht="29">
      <c r="A2643" s="3" t="s">
        <v>1371</v>
      </c>
      <c r="D2643" s="3" t="s">
        <v>6805</v>
      </c>
      <c r="E2643" s="3" t="s">
        <v>6805</v>
      </c>
      <c r="F2643" t="s">
        <v>3932</v>
      </c>
      <c r="I2643" t="s">
        <v>6713</v>
      </c>
      <c r="T2643" s="9" t="str">
        <f t="shared" ca="1" si="98"/>
        <v/>
      </c>
      <c r="U2643" s="9" t="str">
        <f t="shared" ca="1" si="99"/>
        <v/>
      </c>
    </row>
    <row r="2644" spans="1:28">
      <c r="A2644" s="3" t="s">
        <v>1372</v>
      </c>
      <c r="D2644" s="3" t="s">
        <v>3494</v>
      </c>
      <c r="E2644" s="3" t="s">
        <v>2064</v>
      </c>
      <c r="J2644" s="9" t="s">
        <v>8729</v>
      </c>
      <c r="S2644" s="9" t="s">
        <v>8739</v>
      </c>
      <c r="T2644" s="9" t="str">
        <f t="shared" ca="1" si="98"/>
        <v/>
      </c>
      <c r="U2644" s="9" t="str">
        <f t="shared" ca="1" si="99"/>
        <v/>
      </c>
      <c r="Z2644" s="9" t="s">
        <v>8758</v>
      </c>
      <c r="AA2644" s="9" t="s">
        <v>3884</v>
      </c>
      <c r="AB2644" s="9" t="s">
        <v>8697</v>
      </c>
    </row>
    <row r="2645" spans="1:28">
      <c r="A2645" s="3" t="s">
        <v>1373</v>
      </c>
      <c r="D2645" s="3" t="s">
        <v>3495</v>
      </c>
      <c r="E2645" s="3" t="s">
        <v>3496</v>
      </c>
      <c r="J2645" s="9" t="s">
        <v>8729</v>
      </c>
      <c r="Q2645" s="9" t="s">
        <v>8685</v>
      </c>
      <c r="S2645" s="9" t="s">
        <v>8739</v>
      </c>
      <c r="T2645" s="9" t="str">
        <f t="shared" ca="1" si="98"/>
        <v/>
      </c>
      <c r="U2645" s="9" t="str">
        <f t="shared" ca="1" si="99"/>
        <v/>
      </c>
      <c r="AB2645" s="9" t="s">
        <v>8697</v>
      </c>
    </row>
    <row r="2646" spans="1:28">
      <c r="A2646" s="3" t="s">
        <v>1374</v>
      </c>
      <c r="D2646" s="3" t="s">
        <v>6806</v>
      </c>
      <c r="E2646" s="3" t="s">
        <v>6807</v>
      </c>
      <c r="J2646" s="9" t="s">
        <v>3889</v>
      </c>
      <c r="K2646" s="9">
        <v>1</v>
      </c>
      <c r="L2646" s="9">
        <v>1</v>
      </c>
      <c r="M2646" s="9" t="s">
        <v>8689</v>
      </c>
      <c r="N2646" s="9" t="s">
        <v>8730</v>
      </c>
      <c r="R2646" s="9">
        <v>10929</v>
      </c>
      <c r="T2646" s="9" t="str">
        <f t="shared" ca="1" si="98"/>
        <v/>
      </c>
      <c r="U2646" s="9" t="str">
        <f t="shared" ca="1" si="99"/>
        <v/>
      </c>
    </row>
    <row r="2647" spans="1:28">
      <c r="A2647" s="3" t="s">
        <v>1374</v>
      </c>
      <c r="D2647" s="3" t="s">
        <v>6808</v>
      </c>
      <c r="E2647" s="4" t="s">
        <v>6809</v>
      </c>
      <c r="F2647" t="s">
        <v>3897</v>
      </c>
      <c r="T2647" s="9" t="str">
        <f t="shared" ca="1" si="98"/>
        <v/>
      </c>
      <c r="U2647" s="9" t="str">
        <f t="shared" ca="1" si="99"/>
        <v/>
      </c>
    </row>
    <row r="2648" spans="1:28">
      <c r="A2648" s="3" t="s">
        <v>1374</v>
      </c>
      <c r="D2648" s="3" t="s">
        <v>6810</v>
      </c>
      <c r="E2648" s="3" t="s">
        <v>6811</v>
      </c>
      <c r="J2648" s="9" t="s">
        <v>3889</v>
      </c>
      <c r="K2648" s="9">
        <v>1</v>
      </c>
      <c r="L2648" s="9">
        <v>3</v>
      </c>
      <c r="M2648" s="9" t="s">
        <v>8689</v>
      </c>
      <c r="N2648" s="9" t="s">
        <v>8690</v>
      </c>
      <c r="R2648" s="9">
        <v>10929</v>
      </c>
      <c r="T2648" s="9" t="str">
        <f t="shared" ca="1" si="98"/>
        <v/>
      </c>
      <c r="U2648" s="9" t="str">
        <f t="shared" ca="1" si="99"/>
        <v/>
      </c>
    </row>
    <row r="2649" spans="1:28">
      <c r="A2649" s="3" t="s">
        <v>1375</v>
      </c>
      <c r="D2649" s="3" t="s">
        <v>6812</v>
      </c>
      <c r="E2649" s="3" t="s">
        <v>6814</v>
      </c>
      <c r="F2649" t="s">
        <v>3883</v>
      </c>
      <c r="H2649" t="s">
        <v>3892</v>
      </c>
      <c r="I2649" t="s">
        <v>6813</v>
      </c>
      <c r="T2649" s="9" t="str">
        <f t="shared" ca="1" si="98"/>
        <v/>
      </c>
      <c r="U2649" s="9" t="str">
        <f t="shared" ca="1" si="99"/>
        <v/>
      </c>
    </row>
    <row r="2650" spans="1:28">
      <c r="A2650" s="3" t="s">
        <v>1376</v>
      </c>
      <c r="D2650" s="3" t="s">
        <v>6815</v>
      </c>
      <c r="E2650" s="3" t="s">
        <v>6816</v>
      </c>
      <c r="H2650" t="s">
        <v>3884</v>
      </c>
      <c r="J2650" s="9" t="s">
        <v>8729</v>
      </c>
      <c r="S2650" s="9">
        <f>1-165</f>
        <v>-164</v>
      </c>
      <c r="T2650" s="9">
        <f t="shared" ca="1" si="98"/>
        <v>165</v>
      </c>
      <c r="U2650" s="9">
        <f t="shared" ca="1" si="99"/>
        <v>1</v>
      </c>
    </row>
    <row r="2651" spans="1:28">
      <c r="A2651" s="3" t="s">
        <v>1377</v>
      </c>
      <c r="D2651" s="3" t="s">
        <v>6817</v>
      </c>
      <c r="E2651" s="3" t="s">
        <v>6818</v>
      </c>
      <c r="J2651" s="9" t="s">
        <v>3889</v>
      </c>
      <c r="K2651" s="9">
        <v>1</v>
      </c>
      <c r="L2651" s="9">
        <v>3</v>
      </c>
      <c r="M2651" s="9" t="s">
        <v>8689</v>
      </c>
      <c r="N2651" s="9" t="s">
        <v>8690</v>
      </c>
      <c r="R2651" s="9">
        <v>10929</v>
      </c>
      <c r="T2651" s="9" t="str">
        <f t="shared" ca="1" si="98"/>
        <v/>
      </c>
      <c r="U2651" s="9" t="str">
        <f t="shared" ca="1" si="99"/>
        <v/>
      </c>
    </row>
    <row r="2652" spans="1:28">
      <c r="A2652" s="3" t="s">
        <v>1377</v>
      </c>
      <c r="D2652" s="3" t="s">
        <v>6819</v>
      </c>
      <c r="E2652" s="3" t="s">
        <v>6819</v>
      </c>
      <c r="F2652" t="s">
        <v>3932</v>
      </c>
      <c r="I2652" t="s">
        <v>6820</v>
      </c>
      <c r="T2652" s="9" t="str">
        <f t="shared" ca="1" si="98"/>
        <v/>
      </c>
      <c r="U2652" s="9" t="str">
        <f t="shared" ca="1" si="99"/>
        <v/>
      </c>
    </row>
    <row r="2653" spans="1:28" ht="29">
      <c r="A2653" s="3" t="s">
        <v>1378</v>
      </c>
      <c r="D2653" s="3" t="s">
        <v>6821</v>
      </c>
      <c r="E2653" s="3" t="s">
        <v>6821</v>
      </c>
      <c r="F2653" t="s">
        <v>3932</v>
      </c>
      <c r="I2653" t="s">
        <v>6822</v>
      </c>
      <c r="T2653" s="9" t="str">
        <f t="shared" ca="1" si="98"/>
        <v/>
      </c>
      <c r="U2653" s="9" t="str">
        <f t="shared" ca="1" si="99"/>
        <v/>
      </c>
    </row>
    <row r="2654" spans="1:28">
      <c r="A2654" s="3" t="s">
        <v>1379</v>
      </c>
      <c r="D2654" s="3" t="s">
        <v>6823</v>
      </c>
      <c r="E2654" s="3" t="s">
        <v>6824</v>
      </c>
      <c r="J2654" s="9" t="s">
        <v>8731</v>
      </c>
      <c r="T2654" s="9" t="str">
        <f t="shared" ca="1" si="98"/>
        <v/>
      </c>
      <c r="U2654" s="9" t="str">
        <f t="shared" ca="1" si="99"/>
        <v/>
      </c>
    </row>
    <row r="2655" spans="1:28" ht="29">
      <c r="A2655" s="3" t="s">
        <v>1379</v>
      </c>
      <c r="D2655" s="4" t="s">
        <v>6826</v>
      </c>
      <c r="E2655" s="3" t="s">
        <v>6825</v>
      </c>
      <c r="F2655" t="s">
        <v>3883</v>
      </c>
      <c r="T2655" s="9" t="str">
        <f t="shared" ca="1" si="98"/>
        <v/>
      </c>
      <c r="U2655" s="9" t="str">
        <f t="shared" ca="1" si="99"/>
        <v/>
      </c>
    </row>
    <row r="2656" spans="1:28" ht="29">
      <c r="A2656" s="3" t="s">
        <v>1379</v>
      </c>
      <c r="D2656" s="3" t="s">
        <v>6827</v>
      </c>
      <c r="E2656" s="3" t="s">
        <v>6825</v>
      </c>
      <c r="J2656" s="9" t="s">
        <v>3889</v>
      </c>
      <c r="K2656" s="9">
        <v>1</v>
      </c>
      <c r="L2656" s="9">
        <v>3</v>
      </c>
      <c r="M2656" s="9" t="s">
        <v>8689</v>
      </c>
      <c r="N2656" s="9" t="s">
        <v>8690</v>
      </c>
      <c r="R2656" s="9">
        <v>10929</v>
      </c>
      <c r="T2656" s="9" t="str">
        <f t="shared" ca="1" si="98"/>
        <v/>
      </c>
      <c r="U2656" s="9" t="str">
        <f t="shared" ca="1" si="99"/>
        <v/>
      </c>
    </row>
    <row r="2657" spans="1:28">
      <c r="A2657" s="3" t="s">
        <v>1380</v>
      </c>
      <c r="D2657" s="3" t="s">
        <v>6828</v>
      </c>
      <c r="E2657" s="3" t="s">
        <v>6828</v>
      </c>
      <c r="F2657" t="s">
        <v>3932</v>
      </c>
      <c r="I2657" t="s">
        <v>6829</v>
      </c>
      <c r="T2657" s="9" t="str">
        <f t="shared" ca="1" si="98"/>
        <v/>
      </c>
      <c r="U2657" s="9" t="str">
        <f t="shared" ca="1" si="99"/>
        <v/>
      </c>
    </row>
    <row r="2658" spans="1:28" ht="29">
      <c r="A2658" s="3" t="s">
        <v>1380</v>
      </c>
      <c r="D2658" s="4" t="s">
        <v>6830</v>
      </c>
      <c r="E2658" s="3" t="s">
        <v>6831</v>
      </c>
      <c r="F2658" t="s">
        <v>3883</v>
      </c>
      <c r="I2658" t="s">
        <v>6832</v>
      </c>
      <c r="T2658" s="9" t="str">
        <f t="shared" ca="1" si="98"/>
        <v/>
      </c>
      <c r="U2658" s="9" t="str">
        <f t="shared" ca="1" si="99"/>
        <v/>
      </c>
    </row>
    <row r="2659" spans="1:28">
      <c r="A2659" s="3" t="s">
        <v>1380</v>
      </c>
      <c r="D2659" s="3" t="s">
        <v>6833</v>
      </c>
      <c r="E2659" s="3" t="s">
        <v>6834</v>
      </c>
      <c r="H2659" t="s">
        <v>3884</v>
      </c>
      <c r="J2659" s="9" t="s">
        <v>8731</v>
      </c>
      <c r="T2659" s="9" t="str">
        <f t="shared" ca="1" si="98"/>
        <v/>
      </c>
      <c r="U2659" s="9" t="str">
        <f t="shared" ca="1" si="99"/>
        <v/>
      </c>
      <c r="AB2659" s="9" t="s">
        <v>8694</v>
      </c>
    </row>
    <row r="2660" spans="1:28">
      <c r="A2660" s="3" t="s">
        <v>1380</v>
      </c>
      <c r="D2660" s="3" t="s">
        <v>3497</v>
      </c>
      <c r="E2660" s="3" t="s">
        <v>3498</v>
      </c>
      <c r="J2660" s="9" t="s">
        <v>8731</v>
      </c>
      <c r="T2660" s="9" t="str">
        <f t="shared" ca="1" si="98"/>
        <v/>
      </c>
      <c r="U2660" s="9" t="str">
        <f t="shared" ca="1" si="99"/>
        <v/>
      </c>
      <c r="Z2660" s="9" t="s">
        <v>8741</v>
      </c>
      <c r="AA2660" s="9" t="s">
        <v>3884</v>
      </c>
    </row>
    <row r="2661" spans="1:28">
      <c r="A2661" s="3" t="s">
        <v>1380</v>
      </c>
      <c r="D2661" s="3" t="s">
        <v>6835</v>
      </c>
      <c r="E2661" s="3" t="s">
        <v>6836</v>
      </c>
      <c r="J2661" s="9" t="s">
        <v>8731</v>
      </c>
      <c r="T2661" s="9" t="str">
        <f t="shared" ca="1" si="98"/>
        <v/>
      </c>
      <c r="U2661" s="9" t="str">
        <f t="shared" ca="1" si="99"/>
        <v/>
      </c>
      <c r="AB2661" s="9" t="s">
        <v>8700</v>
      </c>
    </row>
    <row r="2662" spans="1:28">
      <c r="A2662" s="3" t="s">
        <v>1380</v>
      </c>
      <c r="D2662" s="3" t="s">
        <v>6837</v>
      </c>
      <c r="E2662" s="3" t="s">
        <v>6838</v>
      </c>
      <c r="H2662" t="s">
        <v>3892</v>
      </c>
      <c r="I2662" t="s">
        <v>6839</v>
      </c>
      <c r="J2662" s="9" t="s">
        <v>8731</v>
      </c>
      <c r="T2662" s="9" t="str">
        <f t="shared" ca="1" si="98"/>
        <v/>
      </c>
      <c r="U2662" s="9" t="str">
        <f t="shared" ca="1" si="99"/>
        <v/>
      </c>
      <c r="Z2662" s="9" t="s">
        <v>8885</v>
      </c>
      <c r="AA2662" s="9" t="s">
        <v>3884</v>
      </c>
      <c r="AB2662" s="9" t="s">
        <v>8688</v>
      </c>
    </row>
    <row r="2663" spans="1:28">
      <c r="A2663" s="3" t="s">
        <v>1380</v>
      </c>
      <c r="D2663" s="3" t="s">
        <v>3499</v>
      </c>
      <c r="E2663" s="3" t="s">
        <v>3500</v>
      </c>
      <c r="J2663" s="9" t="s">
        <v>8729</v>
      </c>
      <c r="S2663" s="9" t="s">
        <v>8739</v>
      </c>
      <c r="T2663" s="9" t="str">
        <f t="shared" ca="1" si="98"/>
        <v/>
      </c>
      <c r="U2663" s="9" t="str">
        <f t="shared" ca="1" si="99"/>
        <v/>
      </c>
      <c r="Z2663" s="9" t="s">
        <v>8741</v>
      </c>
      <c r="AA2663" s="9" t="s">
        <v>3884</v>
      </c>
      <c r="AB2663" s="9" t="s">
        <v>8697</v>
      </c>
    </row>
    <row r="2664" spans="1:28">
      <c r="A2664" s="3" t="s">
        <v>1381</v>
      </c>
      <c r="D2664" s="3" t="s">
        <v>6840</v>
      </c>
      <c r="E2664" s="3" t="s">
        <v>6840</v>
      </c>
      <c r="F2664" t="s">
        <v>3932</v>
      </c>
      <c r="I2664" t="s">
        <v>6841</v>
      </c>
      <c r="T2664" s="9" t="str">
        <f t="shared" ca="1" si="98"/>
        <v/>
      </c>
      <c r="U2664" s="9" t="str">
        <f t="shared" ca="1" si="99"/>
        <v/>
      </c>
    </row>
    <row r="2665" spans="1:28">
      <c r="A2665" s="3" t="s">
        <v>1382</v>
      </c>
      <c r="D2665" s="3" t="s">
        <v>6842</v>
      </c>
      <c r="E2665" s="3" t="s">
        <v>6843</v>
      </c>
      <c r="J2665" s="9" t="s">
        <v>8731</v>
      </c>
      <c r="T2665" s="9" t="str">
        <f t="shared" ca="1" si="98"/>
        <v/>
      </c>
      <c r="U2665" s="9" t="str">
        <f t="shared" ca="1" si="99"/>
        <v/>
      </c>
    </row>
    <row r="2666" spans="1:28">
      <c r="A2666" s="3" t="s">
        <v>1383</v>
      </c>
      <c r="D2666" s="3" t="s">
        <v>6844</v>
      </c>
      <c r="E2666" s="3" t="s">
        <v>6845</v>
      </c>
      <c r="H2666" t="s">
        <v>3884</v>
      </c>
      <c r="J2666" s="9" t="s">
        <v>3885</v>
      </c>
      <c r="K2666" s="9">
        <v>1</v>
      </c>
      <c r="L2666" s="9">
        <v>3</v>
      </c>
      <c r="M2666" s="9" t="s">
        <v>8698</v>
      </c>
      <c r="N2666" s="9" t="s">
        <v>8684</v>
      </c>
      <c r="O2666" s="9" t="s">
        <v>8777</v>
      </c>
      <c r="P2666" s="10" t="s">
        <v>8778</v>
      </c>
      <c r="Q2666" s="9" t="s">
        <v>8685</v>
      </c>
      <c r="R2666" s="9">
        <v>9418</v>
      </c>
      <c r="T2666" s="9" t="str">
        <f t="shared" ca="1" si="98"/>
        <v/>
      </c>
      <c r="U2666" s="9" t="str">
        <f t="shared" ca="1" si="99"/>
        <v/>
      </c>
      <c r="AB2666" s="9" t="s">
        <v>8694</v>
      </c>
    </row>
    <row r="2667" spans="1:28">
      <c r="A2667" s="3" t="s">
        <v>1384</v>
      </c>
      <c r="D2667" s="3" t="s">
        <v>6846</v>
      </c>
      <c r="E2667" s="3" t="s">
        <v>6847</v>
      </c>
      <c r="H2667" t="s">
        <v>3892</v>
      </c>
      <c r="I2667" t="s">
        <v>6848</v>
      </c>
      <c r="J2667" s="9" t="s">
        <v>3889</v>
      </c>
      <c r="K2667" s="9">
        <v>1</v>
      </c>
      <c r="L2667" s="9">
        <v>2</v>
      </c>
      <c r="M2667" s="9" t="s">
        <v>8703</v>
      </c>
      <c r="N2667" s="9" t="s">
        <v>8730</v>
      </c>
      <c r="R2667" s="9">
        <v>1225</v>
      </c>
      <c r="T2667" s="9" t="str">
        <f t="shared" ca="1" si="98"/>
        <v/>
      </c>
      <c r="U2667" s="9" t="str">
        <f t="shared" ca="1" si="99"/>
        <v/>
      </c>
    </row>
    <row r="2668" spans="1:28">
      <c r="A2668" s="3" t="s">
        <v>1384</v>
      </c>
      <c r="D2668" s="3" t="s">
        <v>3501</v>
      </c>
      <c r="E2668" s="3" t="s">
        <v>3502</v>
      </c>
      <c r="J2668" s="9" t="s">
        <v>8729</v>
      </c>
      <c r="S2668" s="9" t="s">
        <v>8739</v>
      </c>
      <c r="T2668" s="9" t="str">
        <f t="shared" ca="1" si="98"/>
        <v/>
      </c>
      <c r="U2668" s="9" t="str">
        <f t="shared" ca="1" si="99"/>
        <v/>
      </c>
      <c r="Z2668" s="9" t="s">
        <v>8741</v>
      </c>
      <c r="AA2668" s="9" t="s">
        <v>3884</v>
      </c>
      <c r="AB2668" s="9" t="s">
        <v>8697</v>
      </c>
    </row>
    <row r="2669" spans="1:28">
      <c r="A2669" s="3" t="s">
        <v>1384</v>
      </c>
      <c r="D2669" s="3" t="s">
        <v>6849</v>
      </c>
      <c r="E2669" s="3" t="s">
        <v>6849</v>
      </c>
      <c r="F2669" t="s">
        <v>3932</v>
      </c>
      <c r="I2669" t="s">
        <v>6850</v>
      </c>
      <c r="T2669" s="9" t="str">
        <f t="shared" ca="1" si="98"/>
        <v/>
      </c>
      <c r="U2669" s="9" t="str">
        <f t="shared" ca="1" si="99"/>
        <v/>
      </c>
    </row>
    <row r="2670" spans="1:28">
      <c r="A2670" s="3" t="s">
        <v>1384</v>
      </c>
      <c r="D2670" s="3" t="s">
        <v>3503</v>
      </c>
      <c r="E2670" s="3" t="s">
        <v>3503</v>
      </c>
      <c r="F2670" t="s">
        <v>3932</v>
      </c>
      <c r="I2670" t="s">
        <v>6851</v>
      </c>
      <c r="T2670" s="9" t="str">
        <f t="shared" ca="1" si="98"/>
        <v/>
      </c>
      <c r="U2670" s="9" t="str">
        <f t="shared" ca="1" si="99"/>
        <v/>
      </c>
    </row>
    <row r="2671" spans="1:28">
      <c r="A2671" s="3" t="s">
        <v>1385</v>
      </c>
      <c r="D2671" s="3" t="s">
        <v>6852</v>
      </c>
      <c r="E2671" s="3" t="s">
        <v>6818</v>
      </c>
      <c r="J2671" s="9" t="s">
        <v>8729</v>
      </c>
      <c r="S2671" s="9" t="s">
        <v>8739</v>
      </c>
      <c r="T2671" s="9" t="str">
        <f t="shared" ca="1" si="98"/>
        <v/>
      </c>
      <c r="U2671" s="9" t="str">
        <f t="shared" ca="1" si="99"/>
        <v/>
      </c>
      <c r="AB2671" s="9" t="s">
        <v>8697</v>
      </c>
    </row>
    <row r="2672" spans="1:28">
      <c r="A2672" s="3" t="s">
        <v>1385</v>
      </c>
      <c r="D2672" s="3" t="s">
        <v>6853</v>
      </c>
      <c r="E2672" s="3" t="s">
        <v>6854</v>
      </c>
      <c r="H2672" t="s">
        <v>3892</v>
      </c>
      <c r="I2672" t="s">
        <v>6855</v>
      </c>
      <c r="J2672" s="9" t="s">
        <v>8729</v>
      </c>
      <c r="S2672" s="9">
        <f>10929-243</f>
        <v>10686</v>
      </c>
      <c r="T2672" s="9">
        <f t="shared" ca="1" si="98"/>
        <v>243</v>
      </c>
      <c r="U2672" s="9">
        <f t="shared" ca="1" si="99"/>
        <v>10929</v>
      </c>
    </row>
    <row r="2673" spans="1:29" ht="43.5">
      <c r="A2673" s="3" t="s">
        <v>1386</v>
      </c>
      <c r="D2673" s="3" t="s">
        <v>6856</v>
      </c>
      <c r="E2673" s="3" t="s">
        <v>9646</v>
      </c>
      <c r="F2673" t="s">
        <v>3932</v>
      </c>
      <c r="I2673" t="s">
        <v>2125</v>
      </c>
      <c r="T2673" s="9" t="str">
        <f t="shared" ca="1" si="98"/>
        <v/>
      </c>
      <c r="U2673" s="9" t="str">
        <f t="shared" ca="1" si="99"/>
        <v/>
      </c>
    </row>
    <row r="2674" spans="1:29" ht="43.5">
      <c r="A2674" s="3" t="s">
        <v>1386</v>
      </c>
      <c r="D2674" s="3" t="s">
        <v>9114</v>
      </c>
      <c r="E2674" s="3" t="s">
        <v>9115</v>
      </c>
      <c r="H2674" t="s">
        <v>3892</v>
      </c>
      <c r="I2674" t="s">
        <v>6857</v>
      </c>
      <c r="J2674" s="9" t="s">
        <v>3889</v>
      </c>
      <c r="K2674" s="9">
        <v>3</v>
      </c>
      <c r="L2674" s="9">
        <v>15</v>
      </c>
      <c r="N2674" s="9" t="s">
        <v>8684</v>
      </c>
      <c r="O2674" s="9" t="s">
        <v>8777</v>
      </c>
      <c r="P2674" s="10" t="s">
        <v>9116</v>
      </c>
      <c r="R2674" s="9">
        <v>15</v>
      </c>
      <c r="T2674" s="9" t="str">
        <f t="shared" ca="1" si="98"/>
        <v/>
      </c>
      <c r="U2674" s="9" t="str">
        <f t="shared" ca="1" si="99"/>
        <v/>
      </c>
    </row>
    <row r="2675" spans="1:29">
      <c r="A2675" s="3" t="s">
        <v>1387</v>
      </c>
      <c r="D2675" s="3" t="s">
        <v>3463</v>
      </c>
      <c r="E2675" s="3" t="s">
        <v>3463</v>
      </c>
      <c r="F2675" t="s">
        <v>3932</v>
      </c>
      <c r="I2675" t="s">
        <v>3515</v>
      </c>
      <c r="T2675" s="9" t="str">
        <f t="shared" ca="1" si="98"/>
        <v/>
      </c>
      <c r="U2675" s="9" t="str">
        <f t="shared" ca="1" si="99"/>
        <v/>
      </c>
    </row>
    <row r="2676" spans="1:29">
      <c r="A2676" s="3" t="s">
        <v>1388</v>
      </c>
      <c r="D2676" s="3" t="s">
        <v>6858</v>
      </c>
      <c r="E2676" s="3" t="s">
        <v>6859</v>
      </c>
      <c r="H2676" t="s">
        <v>3884</v>
      </c>
      <c r="J2676" s="9" t="s">
        <v>3885</v>
      </c>
      <c r="K2676" s="9">
        <v>1</v>
      </c>
      <c r="L2676" s="9">
        <v>3</v>
      </c>
      <c r="M2676" s="9" t="s">
        <v>8689</v>
      </c>
      <c r="N2676" s="9" t="s">
        <v>8690</v>
      </c>
      <c r="R2676" s="9">
        <v>10929</v>
      </c>
      <c r="T2676" s="9" t="str">
        <f t="shared" ca="1" si="98"/>
        <v/>
      </c>
      <c r="U2676" s="9" t="str">
        <f t="shared" ca="1" si="99"/>
        <v/>
      </c>
    </row>
    <row r="2677" spans="1:29">
      <c r="A2677" s="3" t="s">
        <v>1388</v>
      </c>
      <c r="D2677" s="3" t="s">
        <v>6860</v>
      </c>
      <c r="E2677" s="3" t="s">
        <v>6860</v>
      </c>
      <c r="F2677" t="s">
        <v>3932</v>
      </c>
      <c r="I2677" t="s">
        <v>6861</v>
      </c>
      <c r="T2677" s="9" t="str">
        <f t="shared" ca="1" si="98"/>
        <v/>
      </c>
      <c r="U2677" s="9" t="str">
        <f t="shared" ca="1" si="99"/>
        <v/>
      </c>
    </row>
    <row r="2678" spans="1:29">
      <c r="A2678" s="3" t="s">
        <v>1388</v>
      </c>
      <c r="D2678" s="3" t="s">
        <v>6862</v>
      </c>
      <c r="E2678" s="3" t="s">
        <v>6863</v>
      </c>
      <c r="I2678" t="s">
        <v>9250</v>
      </c>
      <c r="J2678" s="9" t="s">
        <v>8731</v>
      </c>
      <c r="T2678" s="9" t="str">
        <f t="shared" ca="1" si="98"/>
        <v/>
      </c>
      <c r="U2678" s="9" t="str">
        <f t="shared" ca="1" si="99"/>
        <v/>
      </c>
      <c r="V2678" s="9" t="s">
        <v>8728</v>
      </c>
    </row>
    <row r="2679" spans="1:29">
      <c r="A2679" s="3" t="s">
        <v>1388</v>
      </c>
      <c r="D2679" s="3" t="s">
        <v>3504</v>
      </c>
      <c r="E2679" s="3" t="s">
        <v>3505</v>
      </c>
      <c r="J2679" s="9" t="s">
        <v>8729</v>
      </c>
      <c r="S2679" s="9" t="s">
        <v>8739</v>
      </c>
      <c r="T2679" s="9" t="str">
        <f t="shared" ca="1" si="98"/>
        <v/>
      </c>
      <c r="U2679" s="9" t="str">
        <f t="shared" ca="1" si="99"/>
        <v/>
      </c>
      <c r="Y2679" s="9" t="s">
        <v>8735</v>
      </c>
      <c r="Z2679" s="9" t="s">
        <v>9280</v>
      </c>
      <c r="AA2679" s="9" t="s">
        <v>3884</v>
      </c>
    </row>
    <row r="2680" spans="1:29">
      <c r="A2680" s="3" t="s">
        <v>1389</v>
      </c>
      <c r="D2680" s="3" t="s">
        <v>6864</v>
      </c>
      <c r="E2680" s="3" t="s">
        <v>6865</v>
      </c>
      <c r="F2680" t="s">
        <v>3932</v>
      </c>
      <c r="I2680" t="s">
        <v>6866</v>
      </c>
      <c r="T2680" s="9" t="str">
        <f t="shared" ca="1" si="98"/>
        <v/>
      </c>
      <c r="U2680" s="9" t="str">
        <f t="shared" ca="1" si="99"/>
        <v/>
      </c>
    </row>
    <row r="2681" spans="1:29">
      <c r="A2681" s="3" t="s">
        <v>1390</v>
      </c>
      <c r="D2681" s="3" t="s">
        <v>6867</v>
      </c>
      <c r="E2681" s="3" t="s">
        <v>6868</v>
      </c>
      <c r="J2681" s="9" t="s">
        <v>8731</v>
      </c>
      <c r="T2681" s="9" t="str">
        <f t="shared" ca="1" si="98"/>
        <v/>
      </c>
      <c r="U2681" s="9" t="str">
        <f t="shared" ca="1" si="99"/>
        <v/>
      </c>
    </row>
    <row r="2682" spans="1:29">
      <c r="A2682" s="3" t="s">
        <v>1391</v>
      </c>
      <c r="D2682" s="3" t="s">
        <v>6869</v>
      </c>
      <c r="E2682" s="3" t="s">
        <v>6870</v>
      </c>
      <c r="H2682" t="s">
        <v>3884</v>
      </c>
      <c r="J2682" s="9" t="s">
        <v>3885</v>
      </c>
      <c r="K2682" s="9">
        <v>1</v>
      </c>
      <c r="L2682" s="9">
        <v>5</v>
      </c>
      <c r="M2682" s="9" t="s">
        <v>8683</v>
      </c>
      <c r="N2682" s="9" t="s">
        <v>8690</v>
      </c>
      <c r="R2682" s="9">
        <v>0</v>
      </c>
      <c r="T2682" s="9" t="str">
        <f t="shared" ca="1" si="98"/>
        <v/>
      </c>
      <c r="U2682" s="9" t="str">
        <f t="shared" ca="1" si="99"/>
        <v/>
      </c>
    </row>
    <row r="2683" spans="1:29">
      <c r="A2683" s="3" t="s">
        <v>1391</v>
      </c>
      <c r="D2683" s="3" t="s">
        <v>6871</v>
      </c>
      <c r="E2683" s="3" t="s">
        <v>6872</v>
      </c>
      <c r="J2683" s="9" t="s">
        <v>8731</v>
      </c>
      <c r="T2683" s="9" t="str">
        <f t="shared" ca="1" si="98"/>
        <v/>
      </c>
      <c r="U2683" s="9" t="str">
        <f t="shared" ca="1" si="99"/>
        <v/>
      </c>
      <c r="Z2683" s="9" t="s">
        <v>8832</v>
      </c>
      <c r="AA2683" s="9" t="s">
        <v>3884</v>
      </c>
    </row>
    <row r="2684" spans="1:29">
      <c r="A2684" s="3" t="s">
        <v>1392</v>
      </c>
      <c r="D2684" s="3" t="s">
        <v>3506</v>
      </c>
      <c r="E2684" s="3" t="s">
        <v>3507</v>
      </c>
      <c r="H2684" t="s">
        <v>3892</v>
      </c>
      <c r="I2684" t="s">
        <v>6873</v>
      </c>
      <c r="J2684" s="9" t="s">
        <v>8729</v>
      </c>
      <c r="S2684" s="9" t="s">
        <v>8739</v>
      </c>
      <c r="T2684" s="9" t="str">
        <f t="shared" ca="1" si="98"/>
        <v/>
      </c>
      <c r="U2684" s="9" t="str">
        <f t="shared" ca="1" si="99"/>
        <v/>
      </c>
      <c r="AB2684" s="9" t="s">
        <v>8688</v>
      </c>
    </row>
    <row r="2685" spans="1:29">
      <c r="A2685" s="3" t="s">
        <v>1393</v>
      </c>
      <c r="D2685" s="3" t="s">
        <v>6638</v>
      </c>
      <c r="E2685" s="3" t="s">
        <v>6874</v>
      </c>
      <c r="H2685" t="s">
        <v>3892</v>
      </c>
      <c r="I2685" t="s">
        <v>6639</v>
      </c>
      <c r="J2685" s="9" t="s">
        <v>8731</v>
      </c>
      <c r="T2685" s="9" t="str">
        <f t="shared" ca="1" si="98"/>
        <v/>
      </c>
      <c r="U2685" s="9" t="str">
        <f t="shared" ca="1" si="99"/>
        <v/>
      </c>
      <c r="Y2685" s="9" t="s">
        <v>9282</v>
      </c>
      <c r="AA2685" s="9" t="s">
        <v>3884</v>
      </c>
    </row>
    <row r="2686" spans="1:29">
      <c r="A2686" s="3" t="s">
        <v>1393</v>
      </c>
      <c r="D2686" s="3" t="s">
        <v>6875</v>
      </c>
      <c r="E2686" s="3" t="s">
        <v>6875</v>
      </c>
      <c r="F2686" t="s">
        <v>3932</v>
      </c>
      <c r="I2686" t="s">
        <v>6876</v>
      </c>
      <c r="T2686" s="9" t="str">
        <f t="shared" ca="1" si="98"/>
        <v/>
      </c>
      <c r="U2686" s="9" t="str">
        <f t="shared" ca="1" si="99"/>
        <v/>
      </c>
    </row>
    <row r="2687" spans="1:29">
      <c r="A2687" s="3" t="s">
        <v>1393</v>
      </c>
      <c r="D2687" s="3" t="s">
        <v>6877</v>
      </c>
      <c r="E2687" s="3" t="s">
        <v>6878</v>
      </c>
      <c r="F2687" t="s">
        <v>3932</v>
      </c>
      <c r="I2687" t="s">
        <v>6881</v>
      </c>
      <c r="T2687" s="9" t="str">
        <f t="shared" ca="1" si="98"/>
        <v/>
      </c>
      <c r="U2687" s="9" t="str">
        <f t="shared" ca="1" si="99"/>
        <v/>
      </c>
    </row>
    <row r="2688" spans="1:29">
      <c r="A2688" s="3" t="s">
        <v>1393</v>
      </c>
      <c r="D2688" s="3" t="s">
        <v>6879</v>
      </c>
      <c r="E2688" s="3" t="s">
        <v>6880</v>
      </c>
      <c r="H2688" t="s">
        <v>3884</v>
      </c>
      <c r="I2688" t="s">
        <v>9699</v>
      </c>
      <c r="J2688" s="9" t="s">
        <v>8729</v>
      </c>
      <c r="S2688" s="9">
        <f>627-2</f>
        <v>625</v>
      </c>
      <c r="T2688" s="9">
        <f t="shared" ca="1" si="98"/>
        <v>2</v>
      </c>
      <c r="U2688" s="9">
        <f t="shared" ca="1" si="99"/>
        <v>627</v>
      </c>
      <c r="V2688" s="9" t="s">
        <v>8728</v>
      </c>
      <c r="AC2688" s="9" t="s">
        <v>3884</v>
      </c>
    </row>
    <row r="2689" spans="1:28">
      <c r="A2689" s="3" t="s">
        <v>1394</v>
      </c>
      <c r="D2689" s="3" t="s">
        <v>3508</v>
      </c>
      <c r="E2689" s="3" t="s">
        <v>3509</v>
      </c>
      <c r="J2689" s="9" t="s">
        <v>8731</v>
      </c>
      <c r="T2689" s="9" t="str">
        <f t="shared" ca="1" si="98"/>
        <v/>
      </c>
      <c r="U2689" s="9" t="str">
        <f t="shared" ca="1" si="99"/>
        <v/>
      </c>
      <c r="Z2689" s="9" t="s">
        <v>8757</v>
      </c>
      <c r="AA2689" s="9" t="s">
        <v>3884</v>
      </c>
      <c r="AB2689" s="9" t="s">
        <v>8697</v>
      </c>
    </row>
    <row r="2690" spans="1:28">
      <c r="A2690" s="3" t="s">
        <v>1394</v>
      </c>
      <c r="D2690" s="3" t="s">
        <v>3504</v>
      </c>
      <c r="E2690" s="3" t="s">
        <v>3505</v>
      </c>
      <c r="J2690" s="9" t="s">
        <v>8729</v>
      </c>
      <c r="S2690" s="9" t="s">
        <v>8739</v>
      </c>
      <c r="T2690" s="9" t="str">
        <f t="shared" ref="T2690:T2753" ca="1" si="100">IF(ISNUMBER(S2690),VALUE(MID(_xlfn.FORMULATEXT(S2690),SEARCH("-",_xlfn.FORMULATEXT(S2690))+1,LEN(_xlfn.FORMULATEXT(S2690))-SEARCH("-",_xlfn.FORMULATEXT(S2690)))), "")</f>
        <v/>
      </c>
      <c r="U2690" s="9" t="str">
        <f t="shared" ref="U2690:U2753" ca="1" si="101">IF(ISNUMBER(S2690), VALUE(MID(_xlfn.FORMULATEXT(S2690), 2, SEARCH("-", _xlfn.FORMULATEXT(S2690)) - 2)), "")</f>
        <v/>
      </c>
      <c r="Y2690" s="9" t="s">
        <v>8735</v>
      </c>
      <c r="Z2690" s="9" t="s">
        <v>9280</v>
      </c>
      <c r="AA2690" s="9" t="s">
        <v>3884</v>
      </c>
    </row>
    <row r="2691" spans="1:28">
      <c r="A2691" s="3" t="s">
        <v>1395</v>
      </c>
      <c r="D2691" s="3" t="s">
        <v>6882</v>
      </c>
      <c r="E2691" s="3" t="s">
        <v>6883</v>
      </c>
      <c r="H2691" t="s">
        <v>3884</v>
      </c>
      <c r="J2691" s="9" t="s">
        <v>8729</v>
      </c>
      <c r="S2691" s="9" t="s">
        <v>8739</v>
      </c>
      <c r="T2691" s="9" t="str">
        <f t="shared" ca="1" si="100"/>
        <v/>
      </c>
      <c r="U2691" s="9" t="str">
        <f t="shared" ca="1" si="101"/>
        <v/>
      </c>
      <c r="Y2691" s="9" t="s">
        <v>8735</v>
      </c>
      <c r="AA2691" s="9" t="s">
        <v>3884</v>
      </c>
    </row>
    <row r="2692" spans="1:28" ht="29">
      <c r="A2692" s="3" t="s">
        <v>1396</v>
      </c>
      <c r="D2692" s="4" t="s">
        <v>6884</v>
      </c>
      <c r="E2692" s="3" t="s">
        <v>6885</v>
      </c>
      <c r="F2692" t="s">
        <v>3883</v>
      </c>
      <c r="T2692" s="9" t="str">
        <f t="shared" ca="1" si="100"/>
        <v/>
      </c>
      <c r="U2692" s="9" t="str">
        <f t="shared" ca="1" si="101"/>
        <v/>
      </c>
    </row>
    <row r="2693" spans="1:28">
      <c r="A2693" s="3" t="s">
        <v>1397</v>
      </c>
      <c r="D2693" s="3" t="s">
        <v>6886</v>
      </c>
      <c r="E2693" s="3" t="s">
        <v>6887</v>
      </c>
      <c r="J2693" s="9" t="s">
        <v>8729</v>
      </c>
      <c r="S2693" s="9" t="s">
        <v>8739</v>
      </c>
      <c r="T2693" s="9" t="str">
        <f t="shared" ca="1" si="100"/>
        <v/>
      </c>
      <c r="U2693" s="9" t="str">
        <f t="shared" ca="1" si="101"/>
        <v/>
      </c>
      <c r="AB2693" s="9" t="s">
        <v>8697</v>
      </c>
    </row>
    <row r="2694" spans="1:28">
      <c r="A2694" s="3" t="s">
        <v>1397</v>
      </c>
      <c r="D2694" s="3" t="s">
        <v>6888</v>
      </c>
      <c r="E2694" s="3" t="s">
        <v>6889</v>
      </c>
      <c r="J2694" s="9" t="s">
        <v>8729</v>
      </c>
      <c r="S2694" s="9" t="s">
        <v>8739</v>
      </c>
      <c r="T2694" s="9" t="str">
        <f t="shared" ca="1" si="100"/>
        <v/>
      </c>
      <c r="U2694" s="9" t="str">
        <f t="shared" ca="1" si="101"/>
        <v/>
      </c>
      <c r="AB2694" s="9" t="s">
        <v>8697</v>
      </c>
    </row>
    <row r="2695" spans="1:28">
      <c r="A2695" s="3" t="s">
        <v>1398</v>
      </c>
      <c r="D2695" s="3" t="s">
        <v>6890</v>
      </c>
      <c r="E2695" s="3" t="s">
        <v>6891</v>
      </c>
      <c r="H2695" t="s">
        <v>3884</v>
      </c>
      <c r="I2695" t="s">
        <v>9251</v>
      </c>
      <c r="J2695" s="9" t="s">
        <v>3889</v>
      </c>
      <c r="K2695" s="9">
        <v>1</v>
      </c>
      <c r="L2695" s="9">
        <v>2</v>
      </c>
      <c r="M2695" s="9" t="s">
        <v>8689</v>
      </c>
      <c r="N2695" s="9" t="s">
        <v>8730</v>
      </c>
      <c r="R2695" s="9">
        <v>10929</v>
      </c>
      <c r="T2695" s="9" t="str">
        <f t="shared" ca="1" si="100"/>
        <v/>
      </c>
      <c r="U2695" s="9" t="str">
        <f t="shared" ca="1" si="101"/>
        <v/>
      </c>
      <c r="V2695" s="9" t="s">
        <v>8728</v>
      </c>
    </row>
    <row r="2696" spans="1:28">
      <c r="A2696" s="3" t="s">
        <v>1398</v>
      </c>
      <c r="D2696" s="3" t="s">
        <v>6638</v>
      </c>
      <c r="E2696" s="3" t="s">
        <v>6638</v>
      </c>
      <c r="F2696" t="s">
        <v>3932</v>
      </c>
      <c r="I2696" t="s">
        <v>6639</v>
      </c>
      <c r="T2696" s="9" t="str">
        <f t="shared" ca="1" si="100"/>
        <v/>
      </c>
      <c r="U2696" s="9" t="str">
        <f t="shared" ca="1" si="101"/>
        <v/>
      </c>
    </row>
    <row r="2697" spans="1:28" ht="29">
      <c r="A2697" s="3" t="s">
        <v>1398</v>
      </c>
      <c r="D2697" s="3" t="s">
        <v>6892</v>
      </c>
      <c r="E2697" s="3" t="s">
        <v>6892</v>
      </c>
      <c r="F2697" t="s">
        <v>3932</v>
      </c>
      <c r="I2697" t="s">
        <v>6893</v>
      </c>
      <c r="T2697" s="9" t="str">
        <f t="shared" ca="1" si="100"/>
        <v/>
      </c>
      <c r="U2697" s="9" t="str">
        <f t="shared" ca="1" si="101"/>
        <v/>
      </c>
    </row>
    <row r="2698" spans="1:28">
      <c r="A2698" s="3" t="s">
        <v>1399</v>
      </c>
      <c r="D2698" s="3" t="s">
        <v>6894</v>
      </c>
      <c r="E2698" s="3" t="s">
        <v>6895</v>
      </c>
      <c r="H2698" t="s">
        <v>3884</v>
      </c>
      <c r="J2698" s="9" t="s">
        <v>8731</v>
      </c>
      <c r="T2698" s="9" t="str">
        <f t="shared" ca="1" si="100"/>
        <v/>
      </c>
      <c r="U2698" s="9" t="str">
        <f t="shared" ca="1" si="101"/>
        <v/>
      </c>
      <c r="AB2698" s="9" t="s">
        <v>8700</v>
      </c>
    </row>
    <row r="2699" spans="1:28">
      <c r="A2699" s="3" t="s">
        <v>1400</v>
      </c>
      <c r="D2699" s="3" t="s">
        <v>6896</v>
      </c>
      <c r="E2699" s="3" t="s">
        <v>6897</v>
      </c>
      <c r="J2699" s="9" t="s">
        <v>3889</v>
      </c>
      <c r="K2699" s="9">
        <v>1</v>
      </c>
      <c r="L2699" s="9">
        <v>3</v>
      </c>
      <c r="M2699" s="9" t="s">
        <v>8689</v>
      </c>
      <c r="N2699" s="9" t="s">
        <v>8690</v>
      </c>
      <c r="R2699" s="9">
        <v>10929</v>
      </c>
      <c r="T2699" s="9" t="str">
        <f t="shared" ca="1" si="100"/>
        <v/>
      </c>
      <c r="U2699" s="9" t="str">
        <f t="shared" ca="1" si="101"/>
        <v/>
      </c>
    </row>
    <row r="2700" spans="1:28">
      <c r="A2700" s="3" t="s">
        <v>1401</v>
      </c>
      <c r="D2700" s="3" t="s">
        <v>6898</v>
      </c>
      <c r="E2700" s="3" t="s">
        <v>6898</v>
      </c>
      <c r="F2700" t="s">
        <v>3932</v>
      </c>
      <c r="I2700" t="s">
        <v>6899</v>
      </c>
      <c r="T2700" s="9" t="str">
        <f t="shared" ca="1" si="100"/>
        <v/>
      </c>
      <c r="U2700" s="9" t="str">
        <f t="shared" ca="1" si="101"/>
        <v/>
      </c>
    </row>
    <row r="2701" spans="1:28">
      <c r="A2701" s="3" t="s">
        <v>1402</v>
      </c>
      <c r="D2701" s="3" t="s">
        <v>3510</v>
      </c>
      <c r="E2701" s="3" t="s">
        <v>3510</v>
      </c>
      <c r="F2701" t="s">
        <v>3932</v>
      </c>
      <c r="I2701" t="s">
        <v>4485</v>
      </c>
      <c r="T2701" s="9" t="str">
        <f t="shared" ca="1" si="100"/>
        <v/>
      </c>
      <c r="U2701" s="9" t="str">
        <f t="shared" ca="1" si="101"/>
        <v/>
      </c>
    </row>
    <row r="2702" spans="1:28">
      <c r="A2702" s="3" t="s">
        <v>1403</v>
      </c>
      <c r="D2702" s="3" t="s">
        <v>6900</v>
      </c>
      <c r="E2702" s="3" t="s">
        <v>6900</v>
      </c>
      <c r="F2702" t="s">
        <v>3932</v>
      </c>
      <c r="I2702" t="s">
        <v>6901</v>
      </c>
      <c r="T2702" s="9" t="str">
        <f t="shared" ca="1" si="100"/>
        <v/>
      </c>
      <c r="U2702" s="9" t="str">
        <f t="shared" ca="1" si="101"/>
        <v/>
      </c>
    </row>
    <row r="2703" spans="1:28">
      <c r="A2703" s="3" t="s">
        <v>1404</v>
      </c>
      <c r="D2703" s="3" t="s">
        <v>6902</v>
      </c>
      <c r="E2703" s="3" t="s">
        <v>6903</v>
      </c>
      <c r="J2703" s="9" t="s">
        <v>8731</v>
      </c>
      <c r="T2703" s="9" t="str">
        <f t="shared" ca="1" si="100"/>
        <v/>
      </c>
      <c r="U2703" s="9" t="str">
        <f t="shared" ca="1" si="101"/>
        <v/>
      </c>
    </row>
    <row r="2704" spans="1:28">
      <c r="A2704" s="3" t="s">
        <v>1404</v>
      </c>
      <c r="D2704" s="3" t="s">
        <v>6904</v>
      </c>
      <c r="E2704" s="3" t="s">
        <v>6905</v>
      </c>
      <c r="F2704" t="s">
        <v>3932</v>
      </c>
      <c r="I2704" t="s">
        <v>6906</v>
      </c>
      <c r="T2704" s="9" t="str">
        <f t="shared" ca="1" si="100"/>
        <v/>
      </c>
      <c r="U2704" s="9" t="str">
        <f t="shared" ca="1" si="101"/>
        <v/>
      </c>
    </row>
    <row r="2705" spans="1:28">
      <c r="A2705" s="3" t="s">
        <v>1405</v>
      </c>
      <c r="D2705" s="3" t="s">
        <v>6908</v>
      </c>
      <c r="E2705" s="3" t="s">
        <v>6909</v>
      </c>
      <c r="J2705" s="9" t="s">
        <v>8729</v>
      </c>
      <c r="S2705" s="9" t="s">
        <v>8739</v>
      </c>
      <c r="T2705" s="9" t="str">
        <f t="shared" ca="1" si="100"/>
        <v/>
      </c>
      <c r="U2705" s="9" t="str">
        <f t="shared" ca="1" si="101"/>
        <v/>
      </c>
      <c r="Z2705" s="9" t="s">
        <v>8757</v>
      </c>
      <c r="AA2705" s="9" t="s">
        <v>3884</v>
      </c>
      <c r="AB2705" s="9" t="s">
        <v>8697</v>
      </c>
    </row>
    <row r="2706" spans="1:28">
      <c r="A2706" s="3" t="s">
        <v>1405</v>
      </c>
      <c r="D2706" s="3" t="s">
        <v>6910</v>
      </c>
      <c r="E2706" s="3" t="s">
        <v>6907</v>
      </c>
      <c r="H2706" t="s">
        <v>3884</v>
      </c>
      <c r="J2706" s="9" t="s">
        <v>3889</v>
      </c>
      <c r="K2706" s="9">
        <v>1</v>
      </c>
      <c r="L2706" s="9">
        <v>3</v>
      </c>
      <c r="M2706" s="9" t="s">
        <v>8689</v>
      </c>
      <c r="N2706" s="9" t="s">
        <v>8690</v>
      </c>
      <c r="R2706" s="9">
        <v>10929</v>
      </c>
      <c r="T2706" s="9" t="str">
        <f t="shared" ca="1" si="100"/>
        <v/>
      </c>
      <c r="U2706" s="9" t="str">
        <f t="shared" ca="1" si="101"/>
        <v/>
      </c>
    </row>
    <row r="2707" spans="1:28">
      <c r="A2707" s="3" t="s">
        <v>1405</v>
      </c>
      <c r="D2707" s="3" t="s">
        <v>3512</v>
      </c>
      <c r="E2707" s="3" t="s">
        <v>3512</v>
      </c>
      <c r="F2707" t="s">
        <v>3932</v>
      </c>
      <c r="I2707" t="s">
        <v>3352</v>
      </c>
      <c r="T2707" s="9" t="str">
        <f t="shared" ca="1" si="100"/>
        <v/>
      </c>
      <c r="U2707" s="9" t="str">
        <f t="shared" ca="1" si="101"/>
        <v/>
      </c>
    </row>
    <row r="2708" spans="1:28">
      <c r="A2708" s="3" t="s">
        <v>1405</v>
      </c>
      <c r="D2708" s="3" t="s">
        <v>6911</v>
      </c>
      <c r="E2708" s="3" t="s">
        <v>6912</v>
      </c>
      <c r="H2708" t="s">
        <v>3884</v>
      </c>
      <c r="J2708" s="9" t="s">
        <v>8729</v>
      </c>
      <c r="Q2708" s="9" t="s">
        <v>8685</v>
      </c>
      <c r="S2708" s="9" t="s">
        <v>8739</v>
      </c>
      <c r="T2708" s="9" t="str">
        <f t="shared" ca="1" si="100"/>
        <v/>
      </c>
      <c r="U2708" s="9" t="str">
        <f t="shared" ca="1" si="101"/>
        <v/>
      </c>
      <c r="Y2708" s="9" t="s">
        <v>8735</v>
      </c>
      <c r="AA2708" s="9" t="s">
        <v>3884</v>
      </c>
    </row>
    <row r="2709" spans="1:28">
      <c r="A2709" s="3" t="s">
        <v>1405</v>
      </c>
      <c r="D2709" s="3" t="s">
        <v>6913</v>
      </c>
      <c r="E2709" s="3" t="s">
        <v>6914</v>
      </c>
      <c r="H2709" t="s">
        <v>3892</v>
      </c>
      <c r="I2709" t="s">
        <v>9117</v>
      </c>
      <c r="J2709" s="9" t="s">
        <v>8729</v>
      </c>
      <c r="S2709" s="9">
        <f>494-615</f>
        <v>-121</v>
      </c>
      <c r="T2709" s="9">
        <f t="shared" ca="1" si="100"/>
        <v>615</v>
      </c>
      <c r="U2709" s="9">
        <f t="shared" ca="1" si="101"/>
        <v>494</v>
      </c>
      <c r="AB2709" s="9" t="s">
        <v>8700</v>
      </c>
    </row>
    <row r="2710" spans="1:28">
      <c r="A2710" s="3" t="s">
        <v>1406</v>
      </c>
      <c r="D2710" s="3" t="s">
        <v>6915</v>
      </c>
      <c r="E2710" s="3" t="s">
        <v>6915</v>
      </c>
      <c r="F2710" t="s">
        <v>3932</v>
      </c>
      <c r="I2710" t="s">
        <v>6916</v>
      </c>
      <c r="T2710" s="9" t="str">
        <f t="shared" ca="1" si="100"/>
        <v/>
      </c>
      <c r="U2710" s="9" t="str">
        <f t="shared" ca="1" si="101"/>
        <v/>
      </c>
    </row>
    <row r="2711" spans="1:28">
      <c r="A2711" s="3" t="s">
        <v>1406</v>
      </c>
      <c r="D2711" s="3" t="s">
        <v>2568</v>
      </c>
      <c r="E2711" s="3" t="s">
        <v>2568</v>
      </c>
      <c r="F2711" t="s">
        <v>3932</v>
      </c>
      <c r="I2711" t="s">
        <v>4485</v>
      </c>
      <c r="T2711" s="9" t="str">
        <f t="shared" ca="1" si="100"/>
        <v/>
      </c>
      <c r="U2711" s="9" t="str">
        <f t="shared" ca="1" si="101"/>
        <v/>
      </c>
    </row>
    <row r="2712" spans="1:28">
      <c r="A2712" s="3" t="s">
        <v>1407</v>
      </c>
      <c r="D2712" s="3" t="s">
        <v>2568</v>
      </c>
      <c r="E2712" s="3" t="s">
        <v>2568</v>
      </c>
      <c r="F2712" t="s">
        <v>3932</v>
      </c>
      <c r="I2712" t="s">
        <v>4485</v>
      </c>
      <c r="T2712" s="9" t="str">
        <f t="shared" ca="1" si="100"/>
        <v/>
      </c>
      <c r="U2712" s="9" t="str">
        <f t="shared" ca="1" si="101"/>
        <v/>
      </c>
    </row>
    <row r="2713" spans="1:28" ht="29">
      <c r="A2713" s="3" t="s">
        <v>1407</v>
      </c>
      <c r="D2713" s="3" t="s">
        <v>6918</v>
      </c>
      <c r="E2713" s="3" t="s">
        <v>6918</v>
      </c>
      <c r="F2713" t="s">
        <v>3932</v>
      </c>
      <c r="I2713" t="s">
        <v>6919</v>
      </c>
      <c r="T2713" s="9" t="str">
        <f t="shared" ca="1" si="100"/>
        <v/>
      </c>
      <c r="U2713" s="9" t="str">
        <f t="shared" ca="1" si="101"/>
        <v/>
      </c>
    </row>
    <row r="2714" spans="1:28" ht="29">
      <c r="A2714" s="3" t="s">
        <v>1407</v>
      </c>
      <c r="D2714" s="3" t="s">
        <v>6917</v>
      </c>
      <c r="E2714" s="3" t="s">
        <v>6917</v>
      </c>
      <c r="F2714" t="s">
        <v>3932</v>
      </c>
      <c r="I2714" t="s">
        <v>6920</v>
      </c>
      <c r="T2714" s="9" t="str">
        <f t="shared" ca="1" si="100"/>
        <v/>
      </c>
      <c r="U2714" s="9" t="str">
        <f t="shared" ca="1" si="101"/>
        <v/>
      </c>
    </row>
    <row r="2715" spans="1:28">
      <c r="A2715" s="3" t="s">
        <v>1408</v>
      </c>
      <c r="D2715" s="3" t="s">
        <v>6921</v>
      </c>
      <c r="E2715" s="3" t="s">
        <v>6922</v>
      </c>
      <c r="H2715" t="s">
        <v>3884</v>
      </c>
      <c r="J2715" s="9" t="s">
        <v>3885</v>
      </c>
      <c r="K2715" s="9">
        <v>1</v>
      </c>
      <c r="L2715" s="9">
        <v>5</v>
      </c>
      <c r="M2715" s="9" t="s">
        <v>8705</v>
      </c>
      <c r="N2715" s="9" t="s">
        <v>8690</v>
      </c>
      <c r="R2715" s="9">
        <v>3678</v>
      </c>
      <c r="T2715" s="9" t="str">
        <f t="shared" ca="1" si="100"/>
        <v/>
      </c>
      <c r="U2715" s="9" t="str">
        <f t="shared" ca="1" si="101"/>
        <v/>
      </c>
    </row>
    <row r="2716" spans="1:28">
      <c r="A2716" s="3" t="s">
        <v>1408</v>
      </c>
      <c r="D2716" s="3" t="s">
        <v>6923</v>
      </c>
      <c r="E2716" s="3" t="s">
        <v>6924</v>
      </c>
      <c r="J2716" s="9" t="s">
        <v>8729</v>
      </c>
      <c r="S2716" s="9">
        <f>67-11</f>
        <v>56</v>
      </c>
      <c r="T2716" s="9">
        <f t="shared" ca="1" si="100"/>
        <v>11</v>
      </c>
      <c r="U2716" s="9">
        <f t="shared" ca="1" si="101"/>
        <v>67</v>
      </c>
    </row>
    <row r="2717" spans="1:28">
      <c r="A2717" s="3" t="s">
        <v>1408</v>
      </c>
      <c r="D2717" s="3" t="s">
        <v>2971</v>
      </c>
      <c r="E2717" s="3" t="s">
        <v>2971</v>
      </c>
      <c r="F2717" t="s">
        <v>3932</v>
      </c>
      <c r="I2717" t="s">
        <v>2368</v>
      </c>
      <c r="T2717" s="9" t="str">
        <f t="shared" ca="1" si="100"/>
        <v/>
      </c>
      <c r="U2717" s="9" t="str">
        <f t="shared" ca="1" si="101"/>
        <v/>
      </c>
    </row>
    <row r="2718" spans="1:28">
      <c r="A2718" s="3" t="s">
        <v>1408</v>
      </c>
      <c r="D2718" s="3" t="s">
        <v>4779</v>
      </c>
      <c r="E2718" s="3" t="s">
        <v>4780</v>
      </c>
      <c r="J2718" s="9" t="s">
        <v>8731</v>
      </c>
      <c r="T2718" s="9" t="str">
        <f t="shared" ca="1" si="100"/>
        <v/>
      </c>
      <c r="U2718" s="9" t="str">
        <f t="shared" ca="1" si="101"/>
        <v/>
      </c>
      <c r="Z2718" s="9" t="s">
        <v>8741</v>
      </c>
      <c r="AA2718" s="9" t="s">
        <v>3884</v>
      </c>
      <c r="AB2718" s="9" t="s">
        <v>8700</v>
      </c>
    </row>
    <row r="2719" spans="1:28">
      <c r="A2719" s="3" t="s">
        <v>1408</v>
      </c>
      <c r="D2719" s="3" t="s">
        <v>6638</v>
      </c>
      <c r="E2719" s="3" t="s">
        <v>6638</v>
      </c>
      <c r="F2719" t="s">
        <v>3932</v>
      </c>
      <c r="I2719" t="s">
        <v>6639</v>
      </c>
      <c r="T2719" s="9" t="str">
        <f t="shared" ca="1" si="100"/>
        <v/>
      </c>
      <c r="U2719" s="9" t="str">
        <f t="shared" ca="1" si="101"/>
        <v/>
      </c>
    </row>
    <row r="2720" spans="1:28" ht="29">
      <c r="A2720" s="3" t="s">
        <v>1408</v>
      </c>
      <c r="D2720" s="3" t="s">
        <v>6892</v>
      </c>
      <c r="E2720" s="3" t="s">
        <v>6892</v>
      </c>
      <c r="F2720" t="s">
        <v>3932</v>
      </c>
      <c r="I2720" t="s">
        <v>6925</v>
      </c>
      <c r="T2720" s="9" t="str">
        <f t="shared" ca="1" si="100"/>
        <v/>
      </c>
      <c r="U2720" s="9" t="str">
        <f t="shared" ca="1" si="101"/>
        <v/>
      </c>
    </row>
    <row r="2721" spans="1:28">
      <c r="A2721" s="3" t="s">
        <v>1409</v>
      </c>
      <c r="D2721" s="3" t="s">
        <v>6926</v>
      </c>
      <c r="E2721" s="3" t="s">
        <v>6927</v>
      </c>
      <c r="J2721" s="9" t="s">
        <v>8729</v>
      </c>
      <c r="S2721" s="9">
        <f>1-0</f>
        <v>1</v>
      </c>
      <c r="T2721" s="9">
        <f t="shared" ca="1" si="100"/>
        <v>0</v>
      </c>
      <c r="U2721" s="9">
        <f t="shared" ca="1" si="101"/>
        <v>1</v>
      </c>
      <c r="Y2721" s="9" t="s">
        <v>8735</v>
      </c>
      <c r="Z2721" s="9" t="s">
        <v>9280</v>
      </c>
      <c r="AA2721" s="9" t="s">
        <v>3884</v>
      </c>
    </row>
    <row r="2722" spans="1:28" ht="29">
      <c r="A2722" s="3" t="s">
        <v>1409</v>
      </c>
      <c r="D2722" s="3" t="s">
        <v>6928</v>
      </c>
      <c r="E2722" s="3" t="s">
        <v>6929</v>
      </c>
      <c r="H2722" t="s">
        <v>3884</v>
      </c>
      <c r="I2722" t="s">
        <v>9118</v>
      </c>
      <c r="J2722" s="9" t="s">
        <v>3885</v>
      </c>
      <c r="K2722" s="9">
        <v>1</v>
      </c>
      <c r="L2722" s="9">
        <v>2</v>
      </c>
      <c r="M2722" s="9" t="s">
        <v>8734</v>
      </c>
      <c r="N2722" s="9" t="s">
        <v>8730</v>
      </c>
      <c r="Q2722" s="9" t="s">
        <v>8685</v>
      </c>
      <c r="R2722" s="9">
        <v>49</v>
      </c>
      <c r="T2722" s="9" t="str">
        <f t="shared" ca="1" si="100"/>
        <v/>
      </c>
      <c r="U2722" s="9" t="str">
        <f t="shared" ca="1" si="101"/>
        <v/>
      </c>
    </row>
    <row r="2723" spans="1:28" ht="29">
      <c r="A2723" s="3" t="s">
        <v>1409</v>
      </c>
      <c r="D2723" s="3" t="s">
        <v>6928</v>
      </c>
      <c r="E2723" s="3" t="s">
        <v>6930</v>
      </c>
      <c r="F2723" t="s">
        <v>3893</v>
      </c>
      <c r="H2723" t="s">
        <v>3884</v>
      </c>
      <c r="T2723" s="9" t="str">
        <f t="shared" ca="1" si="100"/>
        <v/>
      </c>
      <c r="U2723" s="9" t="str">
        <f t="shared" ca="1" si="101"/>
        <v/>
      </c>
    </row>
    <row r="2724" spans="1:28">
      <c r="A2724" s="3" t="s">
        <v>1409</v>
      </c>
      <c r="D2724" s="3" t="s">
        <v>3514</v>
      </c>
      <c r="E2724" s="3" t="s">
        <v>3515</v>
      </c>
      <c r="J2724" s="9" t="s">
        <v>8729</v>
      </c>
      <c r="S2724" s="9" t="s">
        <v>8739</v>
      </c>
      <c r="T2724" s="9" t="str">
        <f t="shared" ca="1" si="100"/>
        <v/>
      </c>
      <c r="U2724" s="9" t="str">
        <f t="shared" ca="1" si="101"/>
        <v/>
      </c>
      <c r="Y2724" s="9" t="s">
        <v>8735</v>
      </c>
      <c r="AA2724" s="9" t="s">
        <v>3884</v>
      </c>
    </row>
    <row r="2725" spans="1:28">
      <c r="A2725" s="3" t="s">
        <v>1409</v>
      </c>
      <c r="D2725" s="3" t="s">
        <v>6931</v>
      </c>
      <c r="E2725" s="3" t="s">
        <v>6932</v>
      </c>
      <c r="H2725" t="s">
        <v>3884</v>
      </c>
      <c r="J2725" s="9" t="s">
        <v>8729</v>
      </c>
      <c r="S2725" s="9">
        <f>70-872</f>
        <v>-802</v>
      </c>
      <c r="T2725" s="9">
        <f t="shared" ca="1" si="100"/>
        <v>872</v>
      </c>
      <c r="U2725" s="9">
        <f t="shared" ca="1" si="101"/>
        <v>70</v>
      </c>
    </row>
    <row r="2726" spans="1:28" ht="58">
      <c r="A2726" s="3" t="s">
        <v>1410</v>
      </c>
      <c r="D2726" s="3" t="s">
        <v>6933</v>
      </c>
      <c r="E2726" s="3" t="s">
        <v>6933</v>
      </c>
      <c r="F2726" t="s">
        <v>3932</v>
      </c>
      <c r="I2726" t="s">
        <v>2095</v>
      </c>
      <c r="T2726" s="9" t="str">
        <f t="shared" ca="1" si="100"/>
        <v/>
      </c>
      <c r="U2726" s="9" t="str">
        <f t="shared" ca="1" si="101"/>
        <v/>
      </c>
    </row>
    <row r="2727" spans="1:28" ht="58">
      <c r="A2727" s="3" t="s">
        <v>1410</v>
      </c>
      <c r="D2727" s="3" t="s">
        <v>6934</v>
      </c>
      <c r="E2727" s="3" t="s">
        <v>6934</v>
      </c>
      <c r="F2727" t="s">
        <v>3932</v>
      </c>
      <c r="I2727" t="s">
        <v>6935</v>
      </c>
      <c r="T2727" s="9" t="str">
        <f t="shared" ca="1" si="100"/>
        <v/>
      </c>
      <c r="U2727" s="9" t="str">
        <f t="shared" ca="1" si="101"/>
        <v/>
      </c>
    </row>
    <row r="2728" spans="1:28">
      <c r="A2728" s="3" t="s">
        <v>1410</v>
      </c>
      <c r="D2728" s="3" t="s">
        <v>6936</v>
      </c>
      <c r="E2728" s="3" t="s">
        <v>6936</v>
      </c>
      <c r="F2728" t="s">
        <v>3932</v>
      </c>
      <c r="I2728" t="s">
        <v>6937</v>
      </c>
      <c r="T2728" s="9" t="str">
        <f t="shared" ca="1" si="100"/>
        <v/>
      </c>
      <c r="U2728" s="9" t="str">
        <f t="shared" ca="1" si="101"/>
        <v/>
      </c>
    </row>
    <row r="2729" spans="1:28">
      <c r="A2729" s="3" t="s">
        <v>1411</v>
      </c>
      <c r="D2729" s="3" t="s">
        <v>6938</v>
      </c>
      <c r="E2729" s="3" t="s">
        <v>6939</v>
      </c>
      <c r="F2729" t="s">
        <v>3932</v>
      </c>
      <c r="I2729" t="s">
        <v>5560</v>
      </c>
      <c r="T2729" s="9" t="str">
        <f t="shared" ca="1" si="100"/>
        <v/>
      </c>
      <c r="U2729" s="9" t="str">
        <f t="shared" ca="1" si="101"/>
        <v/>
      </c>
    </row>
    <row r="2730" spans="1:28" ht="29">
      <c r="A2730" s="3" t="s">
        <v>1411</v>
      </c>
      <c r="D2730" s="3" t="s">
        <v>6942</v>
      </c>
      <c r="E2730" s="3" t="s">
        <v>6943</v>
      </c>
      <c r="H2730" t="s">
        <v>3892</v>
      </c>
      <c r="I2730" t="s">
        <v>6940</v>
      </c>
      <c r="J2730" s="9" t="s">
        <v>8729</v>
      </c>
      <c r="S2730" s="9">
        <f>10-203</f>
        <v>-193</v>
      </c>
      <c r="T2730" s="9">
        <f t="shared" ca="1" si="100"/>
        <v>203</v>
      </c>
      <c r="U2730" s="9">
        <f t="shared" ca="1" si="101"/>
        <v>10</v>
      </c>
    </row>
    <row r="2731" spans="1:28" ht="29">
      <c r="A2731" s="3" t="s">
        <v>1411</v>
      </c>
      <c r="D2731" s="3" t="s">
        <v>6944</v>
      </c>
      <c r="E2731" s="3" t="s">
        <v>6941</v>
      </c>
      <c r="J2731" s="9" t="s">
        <v>3889</v>
      </c>
      <c r="K2731" s="9">
        <v>1</v>
      </c>
      <c r="L2731" s="9">
        <v>3</v>
      </c>
      <c r="M2731" s="9" t="s">
        <v>8689</v>
      </c>
      <c r="N2731" s="9" t="s">
        <v>8690</v>
      </c>
      <c r="R2731" s="9">
        <v>10929</v>
      </c>
      <c r="T2731" s="9" t="str">
        <f t="shared" ca="1" si="100"/>
        <v/>
      </c>
      <c r="U2731" s="9" t="str">
        <f t="shared" ca="1" si="101"/>
        <v/>
      </c>
    </row>
    <row r="2732" spans="1:28" ht="29">
      <c r="A2732" s="3" t="s">
        <v>1412</v>
      </c>
      <c r="D2732" s="3" t="s">
        <v>6945</v>
      </c>
      <c r="E2732" s="3" t="s">
        <v>6946</v>
      </c>
      <c r="H2732" t="s">
        <v>3884</v>
      </c>
      <c r="J2732" s="9" t="s">
        <v>3885</v>
      </c>
      <c r="K2732" s="9">
        <v>1</v>
      </c>
      <c r="L2732" s="9">
        <v>4</v>
      </c>
      <c r="M2732" s="9" t="s">
        <v>8710</v>
      </c>
      <c r="N2732" s="9" t="s">
        <v>8690</v>
      </c>
      <c r="R2732" s="9">
        <v>266</v>
      </c>
      <c r="T2732" s="9" t="str">
        <f t="shared" ca="1" si="100"/>
        <v/>
      </c>
      <c r="U2732" s="9" t="str">
        <f t="shared" ca="1" si="101"/>
        <v/>
      </c>
    </row>
    <row r="2733" spans="1:28" ht="29">
      <c r="A2733" s="3" t="s">
        <v>1412</v>
      </c>
      <c r="D2733" s="3" t="s">
        <v>6947</v>
      </c>
      <c r="E2733" s="3" t="s">
        <v>6948</v>
      </c>
      <c r="H2733" t="s">
        <v>3892</v>
      </c>
      <c r="I2733" t="s">
        <v>6949</v>
      </c>
      <c r="J2733" s="9" t="s">
        <v>8731</v>
      </c>
      <c r="T2733" s="9" t="str">
        <f t="shared" ca="1" si="100"/>
        <v/>
      </c>
      <c r="U2733" s="9" t="str">
        <f t="shared" ca="1" si="101"/>
        <v/>
      </c>
      <c r="Z2733" s="9" t="s">
        <v>8742</v>
      </c>
      <c r="AA2733" s="9" t="s">
        <v>3884</v>
      </c>
      <c r="AB2733" s="9" t="s">
        <v>8697</v>
      </c>
    </row>
    <row r="2734" spans="1:28">
      <c r="A2734" s="3" t="s">
        <v>1413</v>
      </c>
      <c r="D2734" s="3" t="s">
        <v>6950</v>
      </c>
      <c r="E2734" s="3" t="s">
        <v>6951</v>
      </c>
      <c r="J2734" s="9" t="s">
        <v>8732</v>
      </c>
      <c r="S2734" s="9">
        <f>148-28</f>
        <v>120</v>
      </c>
      <c r="T2734" s="9">
        <f t="shared" ca="1" si="100"/>
        <v>28</v>
      </c>
      <c r="U2734" s="9">
        <f t="shared" ca="1" si="101"/>
        <v>148</v>
      </c>
      <c r="Z2734" s="9" t="s">
        <v>8757</v>
      </c>
      <c r="AA2734" s="9" t="s">
        <v>3884</v>
      </c>
      <c r="AB2734" s="9" t="s">
        <v>8700</v>
      </c>
    </row>
    <row r="2735" spans="1:28" ht="29">
      <c r="A2735" s="3" t="s">
        <v>1414</v>
      </c>
      <c r="D2735" s="3" t="s">
        <v>6952</v>
      </c>
      <c r="E2735" s="3" t="s">
        <v>6952</v>
      </c>
      <c r="F2735" t="s">
        <v>3932</v>
      </c>
      <c r="I2735" t="s">
        <v>6953</v>
      </c>
      <c r="T2735" s="9" t="str">
        <f t="shared" ca="1" si="100"/>
        <v/>
      </c>
      <c r="U2735" s="9" t="str">
        <f t="shared" ca="1" si="101"/>
        <v/>
      </c>
    </row>
    <row r="2736" spans="1:28">
      <c r="A2736" s="3" t="s">
        <v>1415</v>
      </c>
      <c r="D2736" s="3" t="s">
        <v>6954</v>
      </c>
      <c r="E2736" s="3" t="s">
        <v>6955</v>
      </c>
      <c r="J2736" s="9" t="s">
        <v>8729</v>
      </c>
      <c r="S2736" s="9" t="s">
        <v>8739</v>
      </c>
      <c r="T2736" s="9" t="str">
        <f t="shared" ca="1" si="100"/>
        <v/>
      </c>
      <c r="U2736" s="9" t="str">
        <f t="shared" ca="1" si="101"/>
        <v/>
      </c>
      <c r="Y2736" s="9" t="s">
        <v>8735</v>
      </c>
      <c r="Z2736" s="9" t="s">
        <v>8742</v>
      </c>
      <c r="AA2736" s="9" t="s">
        <v>3884</v>
      </c>
    </row>
    <row r="2737" spans="1:28" ht="29">
      <c r="A2737" s="3" t="s">
        <v>1416</v>
      </c>
      <c r="D2737" s="3" t="s">
        <v>6956</v>
      </c>
      <c r="E2737" s="3" t="s">
        <v>6957</v>
      </c>
      <c r="J2737" s="9" t="s">
        <v>3885</v>
      </c>
      <c r="K2737" s="9">
        <v>1</v>
      </c>
      <c r="L2737" s="9">
        <v>6</v>
      </c>
      <c r="M2737" s="9" t="s">
        <v>8703</v>
      </c>
      <c r="N2737" s="9" t="s">
        <v>8690</v>
      </c>
      <c r="R2737" s="9">
        <v>627</v>
      </c>
      <c r="T2737" s="9" t="str">
        <f t="shared" ca="1" si="100"/>
        <v/>
      </c>
      <c r="U2737" s="9" t="str">
        <f t="shared" ca="1" si="101"/>
        <v/>
      </c>
    </row>
    <row r="2738" spans="1:28">
      <c r="A2738" s="3" t="s">
        <v>1417</v>
      </c>
      <c r="D2738" s="3" t="s">
        <v>2536</v>
      </c>
      <c r="E2738" s="3" t="s">
        <v>2537</v>
      </c>
      <c r="J2738" s="9" t="s">
        <v>8729</v>
      </c>
      <c r="S2738" s="9">
        <f>6-10</f>
        <v>-4</v>
      </c>
      <c r="T2738" s="9">
        <f t="shared" ca="1" si="100"/>
        <v>10</v>
      </c>
      <c r="U2738" s="9">
        <f t="shared" ca="1" si="101"/>
        <v>6</v>
      </c>
      <c r="Z2738" s="9" t="s">
        <v>8757</v>
      </c>
      <c r="AA2738" s="9" t="s">
        <v>3884</v>
      </c>
      <c r="AB2738" s="9" t="s">
        <v>8700</v>
      </c>
    </row>
    <row r="2739" spans="1:28">
      <c r="A2739" s="3" t="s">
        <v>1418</v>
      </c>
      <c r="D2739" s="3" t="s">
        <v>6959</v>
      </c>
      <c r="E2739" s="3" t="s">
        <v>6960</v>
      </c>
      <c r="F2739" t="s">
        <v>3932</v>
      </c>
      <c r="I2739" t="s">
        <v>3663</v>
      </c>
      <c r="T2739" s="9" t="str">
        <f t="shared" ca="1" si="100"/>
        <v/>
      </c>
      <c r="U2739" s="9" t="str">
        <f t="shared" ca="1" si="101"/>
        <v/>
      </c>
    </row>
    <row r="2740" spans="1:28">
      <c r="A2740" s="3" t="s">
        <v>1418</v>
      </c>
      <c r="D2740" s="3" t="s">
        <v>6958</v>
      </c>
      <c r="E2740" s="3" t="s">
        <v>6961</v>
      </c>
      <c r="H2740" t="s">
        <v>3884</v>
      </c>
      <c r="I2740" t="s">
        <v>9252</v>
      </c>
      <c r="J2740" s="9" t="s">
        <v>3885</v>
      </c>
      <c r="K2740" s="9">
        <v>1</v>
      </c>
      <c r="L2740" s="9">
        <v>4</v>
      </c>
      <c r="M2740" s="9" t="s">
        <v>8703</v>
      </c>
      <c r="N2740" s="9" t="s">
        <v>8690</v>
      </c>
      <c r="R2740" s="9">
        <v>797</v>
      </c>
      <c r="T2740" s="9" t="str">
        <f t="shared" ca="1" si="100"/>
        <v/>
      </c>
      <c r="U2740" s="9" t="str">
        <f t="shared" ca="1" si="101"/>
        <v/>
      </c>
      <c r="V2740" s="9" t="s">
        <v>8728</v>
      </c>
    </row>
    <row r="2741" spans="1:28">
      <c r="A2741" s="3" t="s">
        <v>1419</v>
      </c>
      <c r="D2741" s="3" t="s">
        <v>6954</v>
      </c>
      <c r="E2741" s="3" t="s">
        <v>6954</v>
      </c>
      <c r="F2741" t="s">
        <v>3932</v>
      </c>
      <c r="I2741" t="s">
        <v>9700</v>
      </c>
      <c r="T2741" s="9" t="str">
        <f t="shared" ca="1" si="100"/>
        <v/>
      </c>
      <c r="U2741" s="9" t="str">
        <f t="shared" ca="1" si="101"/>
        <v/>
      </c>
    </row>
    <row r="2742" spans="1:28">
      <c r="A2742" s="3" t="s">
        <v>1419</v>
      </c>
      <c r="D2742" s="3" t="s">
        <v>6962</v>
      </c>
      <c r="E2742" s="3" t="s">
        <v>6962</v>
      </c>
      <c r="F2742" t="s">
        <v>3932</v>
      </c>
      <c r="I2742" t="s">
        <v>6963</v>
      </c>
      <c r="T2742" s="9" t="str">
        <f t="shared" ca="1" si="100"/>
        <v/>
      </c>
      <c r="U2742" s="9" t="str">
        <f t="shared" ca="1" si="101"/>
        <v/>
      </c>
    </row>
    <row r="2743" spans="1:28" ht="29">
      <c r="A2743" s="3" t="s">
        <v>1419</v>
      </c>
      <c r="D2743" s="3" t="s">
        <v>6965</v>
      </c>
      <c r="E2743" s="3" t="s">
        <v>6966</v>
      </c>
      <c r="F2743" t="s">
        <v>3932</v>
      </c>
      <c r="I2743" t="s">
        <v>6964</v>
      </c>
      <c r="T2743" s="9" t="str">
        <f t="shared" ca="1" si="100"/>
        <v/>
      </c>
      <c r="U2743" s="9" t="str">
        <f t="shared" ca="1" si="101"/>
        <v/>
      </c>
    </row>
    <row r="2744" spans="1:28" ht="29">
      <c r="A2744" s="3" t="s">
        <v>1419</v>
      </c>
      <c r="D2744" s="3" t="s">
        <v>6967</v>
      </c>
      <c r="E2744" s="3" t="s">
        <v>6968</v>
      </c>
      <c r="F2744" t="s">
        <v>3932</v>
      </c>
      <c r="I2744" t="s">
        <v>6969</v>
      </c>
      <c r="T2744" s="9" t="str">
        <f t="shared" ca="1" si="100"/>
        <v/>
      </c>
      <c r="U2744" s="9" t="str">
        <f t="shared" ca="1" si="101"/>
        <v/>
      </c>
    </row>
    <row r="2745" spans="1:28" ht="29">
      <c r="A2745" s="3" t="s">
        <v>1420</v>
      </c>
      <c r="D2745" s="3" t="s">
        <v>9648</v>
      </c>
      <c r="E2745" s="3" t="s">
        <v>9647</v>
      </c>
      <c r="H2745" t="s">
        <v>3884</v>
      </c>
      <c r="J2745" s="9" t="s">
        <v>3885</v>
      </c>
      <c r="K2745" s="9">
        <v>1</v>
      </c>
      <c r="L2745" s="9">
        <v>1</v>
      </c>
      <c r="M2745" s="9" t="s">
        <v>8683</v>
      </c>
      <c r="N2745" s="9" t="s">
        <v>8730</v>
      </c>
      <c r="Q2745" s="9" t="s">
        <v>8685</v>
      </c>
      <c r="R2745" s="9">
        <v>42</v>
      </c>
      <c r="T2745" s="9" t="str">
        <f t="shared" ca="1" si="100"/>
        <v/>
      </c>
      <c r="U2745" s="9" t="str">
        <f t="shared" ca="1" si="101"/>
        <v/>
      </c>
      <c r="AB2745" s="9" t="s">
        <v>8694</v>
      </c>
    </row>
    <row r="2746" spans="1:28" ht="29">
      <c r="A2746" s="3" t="s">
        <v>1420</v>
      </c>
      <c r="D2746" s="3" t="s">
        <v>9648</v>
      </c>
      <c r="E2746" s="3" t="s">
        <v>9649</v>
      </c>
      <c r="H2746" t="s">
        <v>3884</v>
      </c>
      <c r="J2746" s="9" t="s">
        <v>3885</v>
      </c>
      <c r="K2746" s="9">
        <v>1</v>
      </c>
      <c r="L2746" s="9">
        <v>1</v>
      </c>
      <c r="M2746" s="9" t="s">
        <v>8683</v>
      </c>
      <c r="N2746" s="9" t="s">
        <v>8730</v>
      </c>
      <c r="R2746" s="9">
        <v>162</v>
      </c>
      <c r="T2746" s="9" t="str">
        <f t="shared" ca="1" si="100"/>
        <v/>
      </c>
      <c r="U2746" s="9" t="str">
        <f t="shared" ca="1" si="101"/>
        <v/>
      </c>
      <c r="AB2746" s="9" t="s">
        <v>8694</v>
      </c>
    </row>
    <row r="2747" spans="1:28" ht="29">
      <c r="A2747" s="3" t="s">
        <v>1420</v>
      </c>
      <c r="D2747" s="4" t="s">
        <v>6970</v>
      </c>
      <c r="E2747" s="3" t="s">
        <v>6971</v>
      </c>
      <c r="F2747" t="s">
        <v>3883</v>
      </c>
      <c r="T2747" s="9" t="str">
        <f t="shared" ca="1" si="100"/>
        <v/>
      </c>
      <c r="U2747" s="9" t="str">
        <f t="shared" ca="1" si="101"/>
        <v/>
      </c>
    </row>
    <row r="2748" spans="1:28">
      <c r="A2748" s="3" t="s">
        <v>1421</v>
      </c>
      <c r="D2748" s="3" t="s">
        <v>6972</v>
      </c>
      <c r="E2748" s="3" t="s">
        <v>3517</v>
      </c>
      <c r="H2748" t="s">
        <v>3884</v>
      </c>
      <c r="J2748" s="9" t="s">
        <v>8729</v>
      </c>
      <c r="S2748" s="9" t="s">
        <v>8739</v>
      </c>
      <c r="T2748" s="9" t="str">
        <f t="shared" ca="1" si="100"/>
        <v/>
      </c>
      <c r="U2748" s="9" t="str">
        <f t="shared" ca="1" si="101"/>
        <v/>
      </c>
      <c r="AB2748" s="9" t="s">
        <v>8688</v>
      </c>
    </row>
    <row r="2749" spans="1:28">
      <c r="A2749" s="3" t="s">
        <v>1421</v>
      </c>
      <c r="D2749" s="3" t="s">
        <v>6973</v>
      </c>
      <c r="E2749" s="3" t="s">
        <v>6973</v>
      </c>
      <c r="F2749" t="s">
        <v>3932</v>
      </c>
      <c r="I2749" t="s">
        <v>6974</v>
      </c>
      <c r="T2749" s="9" t="str">
        <f t="shared" ca="1" si="100"/>
        <v/>
      </c>
      <c r="U2749" s="9" t="str">
        <f t="shared" ca="1" si="101"/>
        <v/>
      </c>
    </row>
    <row r="2750" spans="1:28" ht="29">
      <c r="A2750" s="3" t="s">
        <v>1422</v>
      </c>
      <c r="D2750" s="3" t="s">
        <v>6975</v>
      </c>
      <c r="E2750" s="3" t="s">
        <v>6975</v>
      </c>
      <c r="F2750" t="s">
        <v>3932</v>
      </c>
      <c r="I2750" t="s">
        <v>6976</v>
      </c>
      <c r="T2750" s="9" t="str">
        <f t="shared" ca="1" si="100"/>
        <v/>
      </c>
      <c r="U2750" s="9" t="str">
        <f t="shared" ca="1" si="101"/>
        <v/>
      </c>
    </row>
    <row r="2751" spans="1:28">
      <c r="A2751" s="3" t="s">
        <v>1422</v>
      </c>
      <c r="D2751" s="3" t="s">
        <v>3518</v>
      </c>
      <c r="E2751" s="3" t="s">
        <v>3519</v>
      </c>
      <c r="J2751" s="9" t="s">
        <v>8729</v>
      </c>
      <c r="S2751" s="9" t="s">
        <v>8739</v>
      </c>
      <c r="T2751" s="9" t="str">
        <f t="shared" ca="1" si="100"/>
        <v/>
      </c>
      <c r="U2751" s="9" t="str">
        <f t="shared" ca="1" si="101"/>
        <v/>
      </c>
      <c r="Z2751" s="9" t="s">
        <v>8742</v>
      </c>
      <c r="AA2751" s="9" t="s">
        <v>3884</v>
      </c>
      <c r="AB2751" s="9" t="s">
        <v>8697</v>
      </c>
    </row>
    <row r="2752" spans="1:28" ht="29">
      <c r="A2752" s="3" t="s">
        <v>1423</v>
      </c>
      <c r="D2752" s="3" t="s">
        <v>6977</v>
      </c>
      <c r="E2752" s="3" t="s">
        <v>6979</v>
      </c>
      <c r="H2752" t="s">
        <v>3884</v>
      </c>
      <c r="J2752" s="9" t="s">
        <v>3885</v>
      </c>
      <c r="K2752" s="9">
        <v>1</v>
      </c>
      <c r="L2752" s="9">
        <v>1</v>
      </c>
      <c r="M2752" s="9" t="s">
        <v>8683</v>
      </c>
      <c r="N2752" s="9" t="s">
        <v>8730</v>
      </c>
      <c r="R2752" s="9">
        <v>99</v>
      </c>
      <c r="T2752" s="9" t="str">
        <f t="shared" ca="1" si="100"/>
        <v/>
      </c>
      <c r="U2752" s="9" t="str">
        <f t="shared" ca="1" si="101"/>
        <v/>
      </c>
      <c r="AB2752" s="9" t="s">
        <v>8694</v>
      </c>
    </row>
    <row r="2753" spans="1:28" ht="29">
      <c r="A2753" s="3" t="s">
        <v>1423</v>
      </c>
      <c r="D2753" s="3" t="s">
        <v>6980</v>
      </c>
      <c r="E2753" s="4" t="s">
        <v>6978</v>
      </c>
      <c r="F2753" t="s">
        <v>3897</v>
      </c>
      <c r="T2753" s="9" t="str">
        <f t="shared" ca="1" si="100"/>
        <v/>
      </c>
      <c r="U2753" s="9" t="str">
        <f t="shared" ca="1" si="101"/>
        <v/>
      </c>
    </row>
    <row r="2754" spans="1:28" ht="29">
      <c r="A2754" s="3" t="s">
        <v>1423</v>
      </c>
      <c r="D2754" s="3" t="s">
        <v>6981</v>
      </c>
      <c r="E2754" s="3" t="s">
        <v>6982</v>
      </c>
      <c r="F2754" t="s">
        <v>3932</v>
      </c>
      <c r="I2754" t="s">
        <v>3516</v>
      </c>
      <c r="T2754" s="9" t="str">
        <f t="shared" ref="T2754:T2817" ca="1" si="102">IF(ISNUMBER(S2754),VALUE(MID(_xlfn.FORMULATEXT(S2754),SEARCH("-",_xlfn.FORMULATEXT(S2754))+1,LEN(_xlfn.FORMULATEXT(S2754))-SEARCH("-",_xlfn.FORMULATEXT(S2754)))), "")</f>
        <v/>
      </c>
      <c r="U2754" s="9" t="str">
        <f t="shared" ref="U2754:U2817" ca="1" si="103">IF(ISNUMBER(S2754), VALUE(MID(_xlfn.FORMULATEXT(S2754), 2, SEARCH("-", _xlfn.FORMULATEXT(S2754)) - 2)), "")</f>
        <v/>
      </c>
    </row>
    <row r="2755" spans="1:28">
      <c r="A2755" s="3" t="s">
        <v>1424</v>
      </c>
      <c r="D2755" s="3" t="s">
        <v>6983</v>
      </c>
      <c r="E2755" s="3" t="s">
        <v>6983</v>
      </c>
      <c r="F2755" t="s">
        <v>3932</v>
      </c>
      <c r="I2755" t="s">
        <v>6984</v>
      </c>
      <c r="T2755" s="9" t="str">
        <f t="shared" ca="1" si="102"/>
        <v/>
      </c>
      <c r="U2755" s="9" t="str">
        <f t="shared" ca="1" si="103"/>
        <v/>
      </c>
    </row>
    <row r="2756" spans="1:28" ht="29">
      <c r="A2756" s="3" t="s">
        <v>1424</v>
      </c>
      <c r="D2756" s="3" t="s">
        <v>6985</v>
      </c>
      <c r="E2756" s="3" t="s">
        <v>6986</v>
      </c>
      <c r="F2756" t="s">
        <v>3932</v>
      </c>
      <c r="I2756" t="s">
        <v>6989</v>
      </c>
      <c r="T2756" s="9" t="str">
        <f t="shared" ca="1" si="102"/>
        <v/>
      </c>
      <c r="U2756" s="9" t="str">
        <f t="shared" ca="1" si="103"/>
        <v/>
      </c>
    </row>
    <row r="2757" spans="1:28" ht="29">
      <c r="A2757" s="3" t="s">
        <v>1424</v>
      </c>
      <c r="D2757" s="3" t="s">
        <v>6987</v>
      </c>
      <c r="E2757" s="3" t="s">
        <v>6988</v>
      </c>
      <c r="F2757" t="s">
        <v>3932</v>
      </c>
      <c r="I2757" t="s">
        <v>6990</v>
      </c>
      <c r="T2757" s="9" t="str">
        <f t="shared" ca="1" si="102"/>
        <v/>
      </c>
      <c r="U2757" s="9" t="str">
        <f t="shared" ca="1" si="103"/>
        <v/>
      </c>
    </row>
    <row r="2758" spans="1:28" ht="29">
      <c r="A2758" s="3" t="s">
        <v>1424</v>
      </c>
      <c r="D2758" s="3" t="s">
        <v>6992</v>
      </c>
      <c r="E2758" s="4" t="s">
        <v>6991</v>
      </c>
      <c r="F2758" t="s">
        <v>3897</v>
      </c>
      <c r="T2758" s="9" t="str">
        <f t="shared" ca="1" si="102"/>
        <v/>
      </c>
      <c r="U2758" s="9" t="str">
        <f t="shared" ca="1" si="103"/>
        <v/>
      </c>
    </row>
    <row r="2759" spans="1:28" ht="29">
      <c r="A2759" s="3" t="s">
        <v>1424</v>
      </c>
      <c r="D2759" s="3" t="s">
        <v>6993</v>
      </c>
      <c r="E2759" s="3" t="s">
        <v>6994</v>
      </c>
      <c r="F2759" t="s">
        <v>3932</v>
      </c>
      <c r="I2759" t="s">
        <v>6995</v>
      </c>
      <c r="T2759" s="9" t="str">
        <f t="shared" ca="1" si="102"/>
        <v/>
      </c>
      <c r="U2759" s="9" t="str">
        <f t="shared" ca="1" si="103"/>
        <v/>
      </c>
    </row>
    <row r="2760" spans="1:28">
      <c r="A2760" s="3" t="s">
        <v>1425</v>
      </c>
      <c r="D2760" s="3" t="s">
        <v>6638</v>
      </c>
      <c r="E2760" s="3" t="s">
        <v>6638</v>
      </c>
      <c r="F2760" t="s">
        <v>3932</v>
      </c>
      <c r="I2760" t="s">
        <v>6639</v>
      </c>
      <c r="T2760" s="9" t="str">
        <f t="shared" ca="1" si="102"/>
        <v/>
      </c>
      <c r="U2760" s="9" t="str">
        <f t="shared" ca="1" si="103"/>
        <v/>
      </c>
    </row>
    <row r="2761" spans="1:28">
      <c r="A2761" s="3" t="s">
        <v>1426</v>
      </c>
      <c r="D2761" s="3" t="s">
        <v>9119</v>
      </c>
      <c r="E2761" s="3" t="s">
        <v>6996</v>
      </c>
      <c r="H2761" t="s">
        <v>3884</v>
      </c>
      <c r="J2761" s="9" t="s">
        <v>8731</v>
      </c>
      <c r="T2761" s="9" t="str">
        <f t="shared" ca="1" si="102"/>
        <v/>
      </c>
      <c r="U2761" s="9" t="str">
        <f t="shared" ca="1" si="103"/>
        <v/>
      </c>
      <c r="AB2761" s="9" t="s">
        <v>8694</v>
      </c>
    </row>
    <row r="2762" spans="1:28">
      <c r="A2762" s="3" t="s">
        <v>1426</v>
      </c>
      <c r="D2762" s="3" t="s">
        <v>6997</v>
      </c>
      <c r="E2762" s="3" t="s">
        <v>6997</v>
      </c>
      <c r="F2762" t="s">
        <v>3932</v>
      </c>
      <c r="I2762" t="s">
        <v>5560</v>
      </c>
      <c r="T2762" s="9" t="str">
        <f t="shared" ca="1" si="102"/>
        <v/>
      </c>
      <c r="U2762" s="9" t="str">
        <f t="shared" ca="1" si="103"/>
        <v/>
      </c>
    </row>
    <row r="2763" spans="1:28">
      <c r="A2763" s="3" t="s">
        <v>1427</v>
      </c>
      <c r="D2763" s="3" t="s">
        <v>3143</v>
      </c>
      <c r="E2763" s="3" t="s">
        <v>3520</v>
      </c>
      <c r="J2763" s="9" t="s">
        <v>8729</v>
      </c>
      <c r="S2763" s="9">
        <f>9-58</f>
        <v>-49</v>
      </c>
      <c r="T2763" s="9">
        <f t="shared" ca="1" si="102"/>
        <v>58</v>
      </c>
      <c r="U2763" s="9">
        <f t="shared" ca="1" si="103"/>
        <v>9</v>
      </c>
      <c r="Z2763" s="9" t="s">
        <v>8747</v>
      </c>
      <c r="AA2763" s="9" t="s">
        <v>3884</v>
      </c>
    </row>
    <row r="2764" spans="1:28">
      <c r="A2764" s="3" t="s">
        <v>1427</v>
      </c>
      <c r="D2764" s="3" t="s">
        <v>3876</v>
      </c>
      <c r="E2764" s="3" t="s">
        <v>2918</v>
      </c>
      <c r="H2764" t="s">
        <v>3884</v>
      </c>
      <c r="J2764" s="9" t="s">
        <v>8731</v>
      </c>
      <c r="T2764" s="9" t="str">
        <f t="shared" ca="1" si="102"/>
        <v/>
      </c>
      <c r="U2764" s="9" t="str">
        <f t="shared" ca="1" si="103"/>
        <v/>
      </c>
    </row>
    <row r="2765" spans="1:28">
      <c r="A2765" s="3" t="s">
        <v>1427</v>
      </c>
      <c r="D2765" s="3" t="s">
        <v>6998</v>
      </c>
      <c r="E2765" s="3" t="s">
        <v>6998</v>
      </c>
      <c r="F2765" t="s">
        <v>3932</v>
      </c>
      <c r="I2765" t="s">
        <v>6999</v>
      </c>
      <c r="T2765" s="9" t="str">
        <f t="shared" ca="1" si="102"/>
        <v/>
      </c>
      <c r="U2765" s="9" t="str">
        <f t="shared" ca="1" si="103"/>
        <v/>
      </c>
    </row>
    <row r="2766" spans="1:28" ht="29">
      <c r="A2766" s="3" t="s">
        <v>1427</v>
      </c>
      <c r="D2766" s="3" t="s">
        <v>7000</v>
      </c>
      <c r="E2766" s="3" t="s">
        <v>7000</v>
      </c>
      <c r="F2766" t="s">
        <v>3932</v>
      </c>
      <c r="I2766" t="s">
        <v>7001</v>
      </c>
      <c r="T2766" s="9" t="str">
        <f t="shared" ca="1" si="102"/>
        <v/>
      </c>
      <c r="U2766" s="9" t="str">
        <f t="shared" ca="1" si="103"/>
        <v/>
      </c>
    </row>
    <row r="2767" spans="1:28">
      <c r="A2767" s="3" t="s">
        <v>1428</v>
      </c>
      <c r="D2767" s="3" t="s">
        <v>3521</v>
      </c>
      <c r="E2767" s="3" t="s">
        <v>3521</v>
      </c>
      <c r="F2767" t="s">
        <v>3932</v>
      </c>
      <c r="I2767" t="s">
        <v>7002</v>
      </c>
      <c r="T2767" s="9" t="str">
        <f t="shared" ca="1" si="102"/>
        <v/>
      </c>
      <c r="U2767" s="9" t="str">
        <f t="shared" ca="1" si="103"/>
        <v/>
      </c>
    </row>
    <row r="2768" spans="1:28">
      <c r="A2768" s="3" t="s">
        <v>1428</v>
      </c>
      <c r="D2768" s="3" t="s">
        <v>7003</v>
      </c>
      <c r="E2768" s="3" t="s">
        <v>7004</v>
      </c>
      <c r="G2768" t="s">
        <v>3884</v>
      </c>
      <c r="J2768" s="9" t="s">
        <v>8732</v>
      </c>
      <c r="S2768" s="9">
        <f>872-162</f>
        <v>710</v>
      </c>
      <c r="T2768" s="9">
        <f t="shared" ca="1" si="102"/>
        <v>162</v>
      </c>
      <c r="U2768" s="9">
        <f t="shared" ca="1" si="103"/>
        <v>872</v>
      </c>
      <c r="AB2768" s="9" t="s">
        <v>8700</v>
      </c>
    </row>
    <row r="2769" spans="1:28" ht="29">
      <c r="A2769" s="3" t="s">
        <v>1429</v>
      </c>
      <c r="D2769" s="3" t="s">
        <v>7005</v>
      </c>
      <c r="E2769" s="3" t="s">
        <v>7006</v>
      </c>
      <c r="H2769" t="s">
        <v>3884</v>
      </c>
      <c r="J2769" s="9" t="s">
        <v>8729</v>
      </c>
      <c r="S2769" s="9">
        <f>9418-653</f>
        <v>8765</v>
      </c>
      <c r="T2769" s="9">
        <f t="shared" ca="1" si="102"/>
        <v>653</v>
      </c>
      <c r="U2769" s="9">
        <f t="shared" ca="1" si="103"/>
        <v>9418</v>
      </c>
    </row>
    <row r="2770" spans="1:28" ht="43.5">
      <c r="A2770" s="3" t="s">
        <v>1429</v>
      </c>
      <c r="D2770" s="4" t="s">
        <v>7007</v>
      </c>
      <c r="E2770" s="3" t="s">
        <v>7008</v>
      </c>
      <c r="F2770" t="s">
        <v>4196</v>
      </c>
      <c r="H2770" t="s">
        <v>3892</v>
      </c>
      <c r="I2770" t="s">
        <v>7009</v>
      </c>
      <c r="J2770" s="9" t="s">
        <v>8731</v>
      </c>
      <c r="T2770" s="9" t="str">
        <f t="shared" ca="1" si="102"/>
        <v/>
      </c>
      <c r="U2770" s="9" t="str">
        <f t="shared" ca="1" si="103"/>
        <v/>
      </c>
      <c r="AB2770" s="9" t="s">
        <v>8688</v>
      </c>
    </row>
    <row r="2771" spans="1:28">
      <c r="A2771" s="3" t="s">
        <v>1429</v>
      </c>
      <c r="D2771" s="3" t="s">
        <v>3522</v>
      </c>
      <c r="E2771" s="3" t="s">
        <v>3522</v>
      </c>
      <c r="F2771" t="s">
        <v>3932</v>
      </c>
      <c r="I2771" t="s">
        <v>7010</v>
      </c>
      <c r="T2771" s="9" t="str">
        <f t="shared" ca="1" si="102"/>
        <v/>
      </c>
      <c r="U2771" s="9" t="str">
        <f t="shared" ca="1" si="103"/>
        <v/>
      </c>
    </row>
    <row r="2772" spans="1:28">
      <c r="A2772" s="3" t="s">
        <v>1429</v>
      </c>
      <c r="D2772" s="3" t="s">
        <v>3523</v>
      </c>
      <c r="E2772" s="3" t="s">
        <v>3523</v>
      </c>
      <c r="F2772" t="s">
        <v>3932</v>
      </c>
      <c r="I2772" t="s">
        <v>7011</v>
      </c>
      <c r="T2772" s="9" t="str">
        <f t="shared" ca="1" si="102"/>
        <v/>
      </c>
      <c r="U2772" s="9" t="str">
        <f t="shared" ca="1" si="103"/>
        <v/>
      </c>
    </row>
    <row r="2773" spans="1:28">
      <c r="A2773" s="3" t="s">
        <v>1430</v>
      </c>
      <c r="D2773" s="4" t="s">
        <v>7012</v>
      </c>
      <c r="E2773" s="3" t="s">
        <v>7013</v>
      </c>
      <c r="F2773" t="s">
        <v>3883</v>
      </c>
      <c r="T2773" s="9" t="str">
        <f t="shared" ca="1" si="102"/>
        <v/>
      </c>
      <c r="U2773" s="9" t="str">
        <f t="shared" ca="1" si="103"/>
        <v/>
      </c>
    </row>
    <row r="2774" spans="1:28">
      <c r="A2774" s="3" t="s">
        <v>1430</v>
      </c>
      <c r="D2774" s="3" t="s">
        <v>7014</v>
      </c>
      <c r="E2774" s="3" t="s">
        <v>7014</v>
      </c>
      <c r="F2774" t="s">
        <v>3932</v>
      </c>
      <c r="I2774" t="s">
        <v>7015</v>
      </c>
      <c r="T2774" s="9" t="str">
        <f t="shared" ca="1" si="102"/>
        <v/>
      </c>
      <c r="U2774" s="9" t="str">
        <f t="shared" ca="1" si="103"/>
        <v/>
      </c>
    </row>
    <row r="2775" spans="1:28">
      <c r="A2775" s="3" t="s">
        <v>1431</v>
      </c>
      <c r="D2775" s="3" t="s">
        <v>7016</v>
      </c>
      <c r="E2775" s="3" t="s">
        <v>7016</v>
      </c>
      <c r="F2775" t="s">
        <v>3932</v>
      </c>
      <c r="I2775" t="s">
        <v>7017</v>
      </c>
      <c r="T2775" s="9" t="str">
        <f t="shared" ca="1" si="102"/>
        <v/>
      </c>
      <c r="U2775" s="9" t="str">
        <f t="shared" ca="1" si="103"/>
        <v/>
      </c>
    </row>
    <row r="2776" spans="1:28" ht="29">
      <c r="A2776" s="3" t="s">
        <v>1432</v>
      </c>
      <c r="D2776" s="4" t="s">
        <v>7018</v>
      </c>
      <c r="E2776" s="3" t="s">
        <v>7019</v>
      </c>
      <c r="F2776" t="s">
        <v>3883</v>
      </c>
      <c r="T2776" s="9" t="str">
        <f t="shared" ca="1" si="102"/>
        <v/>
      </c>
      <c r="U2776" s="9" t="str">
        <f t="shared" ca="1" si="103"/>
        <v/>
      </c>
    </row>
    <row r="2777" spans="1:28">
      <c r="A2777" s="3" t="s">
        <v>1432</v>
      </c>
      <c r="D2777" s="3" t="s">
        <v>3521</v>
      </c>
      <c r="E2777" s="3" t="s">
        <v>3521</v>
      </c>
      <c r="F2777" t="s">
        <v>3932</v>
      </c>
      <c r="I2777" t="s">
        <v>7002</v>
      </c>
      <c r="T2777" s="9" t="str">
        <f t="shared" ca="1" si="102"/>
        <v/>
      </c>
      <c r="U2777" s="9" t="str">
        <f t="shared" ca="1" si="103"/>
        <v/>
      </c>
    </row>
    <row r="2778" spans="1:28" ht="29">
      <c r="A2778" s="3" t="s">
        <v>1433</v>
      </c>
      <c r="B2778" s="3" t="s">
        <v>1434</v>
      </c>
      <c r="C2778" s="3" t="s">
        <v>1435</v>
      </c>
      <c r="D2778" s="3" t="s">
        <v>7020</v>
      </c>
      <c r="E2778" s="3" t="s">
        <v>7020</v>
      </c>
      <c r="F2778" t="s">
        <v>3932</v>
      </c>
      <c r="I2778" t="s">
        <v>7022</v>
      </c>
      <c r="T2778" s="9" t="str">
        <f t="shared" ca="1" si="102"/>
        <v/>
      </c>
      <c r="U2778" s="9" t="str">
        <f t="shared" ca="1" si="103"/>
        <v/>
      </c>
    </row>
    <row r="2779" spans="1:28" ht="29">
      <c r="A2779" s="3" t="s">
        <v>1433</v>
      </c>
      <c r="D2779" s="3" t="s">
        <v>7026</v>
      </c>
      <c r="E2779" s="3" t="s">
        <v>7027</v>
      </c>
      <c r="F2779" t="s">
        <v>3932</v>
      </c>
      <c r="I2779" t="s">
        <v>7025</v>
      </c>
      <c r="T2779" s="9" t="str">
        <f t="shared" ca="1" si="102"/>
        <v/>
      </c>
      <c r="U2779" s="9" t="str">
        <f t="shared" ca="1" si="103"/>
        <v/>
      </c>
    </row>
    <row r="2780" spans="1:28" ht="29">
      <c r="A2780" s="3" t="s">
        <v>1433</v>
      </c>
      <c r="D2780" s="3" t="s">
        <v>7023</v>
      </c>
      <c r="E2780" s="3" t="s">
        <v>7024</v>
      </c>
      <c r="J2780" s="9" t="s">
        <v>3885</v>
      </c>
      <c r="K2780" s="9">
        <v>1</v>
      </c>
      <c r="L2780" s="9">
        <v>1</v>
      </c>
      <c r="M2780" s="9" t="s">
        <v>8689</v>
      </c>
      <c r="N2780" s="9" t="s">
        <v>8730</v>
      </c>
      <c r="R2780" s="9">
        <v>10929</v>
      </c>
      <c r="T2780" s="9" t="str">
        <f t="shared" ca="1" si="102"/>
        <v/>
      </c>
      <c r="U2780" s="9" t="str">
        <f t="shared" ca="1" si="103"/>
        <v/>
      </c>
    </row>
    <row r="2781" spans="1:28">
      <c r="A2781" s="3" t="s">
        <v>1433</v>
      </c>
      <c r="D2781" s="3" t="s">
        <v>7021</v>
      </c>
      <c r="E2781" s="3" t="s">
        <v>7021</v>
      </c>
      <c r="F2781" t="s">
        <v>3932</v>
      </c>
      <c r="I2781" t="s">
        <v>7022</v>
      </c>
      <c r="T2781" s="9" t="str">
        <f t="shared" ca="1" si="102"/>
        <v/>
      </c>
      <c r="U2781" s="9" t="str">
        <f t="shared" ca="1" si="103"/>
        <v/>
      </c>
    </row>
    <row r="2782" spans="1:28">
      <c r="A2782" s="3" t="s">
        <v>1434</v>
      </c>
      <c r="D2782" s="3" t="s">
        <v>7029</v>
      </c>
      <c r="E2782" s="3" t="s">
        <v>7030</v>
      </c>
      <c r="F2782" t="s">
        <v>3932</v>
      </c>
      <c r="I2782" t="s">
        <v>2015</v>
      </c>
      <c r="T2782" s="9" t="str">
        <f t="shared" ca="1" si="102"/>
        <v/>
      </c>
      <c r="U2782" s="9" t="str">
        <f t="shared" ca="1" si="103"/>
        <v/>
      </c>
    </row>
    <row r="2783" spans="1:28">
      <c r="A2783" s="3" t="s">
        <v>1434</v>
      </c>
      <c r="D2783" s="3" t="s">
        <v>7031</v>
      </c>
      <c r="E2783" s="4" t="s">
        <v>7028</v>
      </c>
      <c r="F2783" t="s">
        <v>3897</v>
      </c>
      <c r="T2783" s="9" t="str">
        <f t="shared" ca="1" si="102"/>
        <v/>
      </c>
      <c r="U2783" s="9" t="str">
        <f t="shared" ca="1" si="103"/>
        <v/>
      </c>
    </row>
    <row r="2784" spans="1:28">
      <c r="A2784" s="3" t="s">
        <v>1434</v>
      </c>
      <c r="D2784" s="3" t="s">
        <v>3521</v>
      </c>
      <c r="E2784" s="3" t="s">
        <v>3521</v>
      </c>
      <c r="F2784" t="s">
        <v>3932</v>
      </c>
      <c r="I2784" t="s">
        <v>7002</v>
      </c>
      <c r="T2784" s="9" t="str">
        <f t="shared" ca="1" si="102"/>
        <v/>
      </c>
      <c r="U2784" s="9" t="str">
        <f t="shared" ca="1" si="103"/>
        <v/>
      </c>
    </row>
    <row r="2785" spans="1:27">
      <c r="A2785" s="3" t="s">
        <v>1434</v>
      </c>
      <c r="D2785" s="3" t="s">
        <v>7032</v>
      </c>
      <c r="E2785" s="3" t="s">
        <v>7033</v>
      </c>
      <c r="F2785" t="s">
        <v>3893</v>
      </c>
      <c r="T2785" s="9" t="str">
        <f t="shared" ca="1" si="102"/>
        <v/>
      </c>
      <c r="U2785" s="9" t="str">
        <f t="shared" ca="1" si="103"/>
        <v/>
      </c>
    </row>
    <row r="2786" spans="1:27">
      <c r="A2786" s="3" t="s">
        <v>1435</v>
      </c>
      <c r="D2786" s="3" t="s">
        <v>7034</v>
      </c>
      <c r="E2786" s="3" t="s">
        <v>7034</v>
      </c>
      <c r="F2786" t="s">
        <v>3932</v>
      </c>
      <c r="I2786" t="s">
        <v>7035</v>
      </c>
      <c r="T2786" s="9" t="str">
        <f t="shared" ca="1" si="102"/>
        <v/>
      </c>
      <c r="U2786" s="9" t="str">
        <f t="shared" ca="1" si="103"/>
        <v/>
      </c>
    </row>
    <row r="2787" spans="1:27">
      <c r="A2787" s="3" t="s">
        <v>1435</v>
      </c>
      <c r="D2787" s="3" t="s">
        <v>7037</v>
      </c>
      <c r="E2787" s="3" t="s">
        <v>7037</v>
      </c>
      <c r="F2787" t="s">
        <v>3932</v>
      </c>
      <c r="I2787" t="s">
        <v>7036</v>
      </c>
      <c r="T2787" s="9" t="str">
        <f t="shared" ca="1" si="102"/>
        <v/>
      </c>
      <c r="U2787" s="9" t="str">
        <f t="shared" ca="1" si="103"/>
        <v/>
      </c>
    </row>
    <row r="2788" spans="1:27">
      <c r="A2788" s="3" t="s">
        <v>1435</v>
      </c>
      <c r="D2788" s="4" t="s">
        <v>7038</v>
      </c>
      <c r="E2788" s="3" t="s">
        <v>7039</v>
      </c>
      <c r="F2788" t="s">
        <v>3883</v>
      </c>
      <c r="H2788" t="s">
        <v>3884</v>
      </c>
      <c r="I2788" t="s">
        <v>9701</v>
      </c>
      <c r="T2788" s="9" t="str">
        <f t="shared" ca="1" si="102"/>
        <v/>
      </c>
      <c r="U2788" s="9" t="str">
        <f t="shared" ca="1" si="103"/>
        <v/>
      </c>
    </row>
    <row r="2789" spans="1:27" ht="29">
      <c r="A2789" s="3" t="s">
        <v>1435</v>
      </c>
      <c r="D2789" s="3" t="s">
        <v>7040</v>
      </c>
      <c r="E2789" s="3" t="s">
        <v>7041</v>
      </c>
      <c r="J2789" s="9" t="s">
        <v>8729</v>
      </c>
      <c r="S2789" s="9">
        <f>3678-10929</f>
        <v>-7251</v>
      </c>
      <c r="T2789" s="9">
        <f t="shared" ca="1" si="102"/>
        <v>10929</v>
      </c>
      <c r="U2789" s="9">
        <f t="shared" ca="1" si="103"/>
        <v>3678</v>
      </c>
    </row>
    <row r="2790" spans="1:27">
      <c r="A2790" s="3" t="s">
        <v>1435</v>
      </c>
      <c r="D2790" s="3" t="s">
        <v>3389</v>
      </c>
      <c r="E2790" s="4" t="s">
        <v>7042</v>
      </c>
      <c r="F2790" t="s">
        <v>3897</v>
      </c>
      <c r="T2790" s="9" t="str">
        <f t="shared" ca="1" si="102"/>
        <v/>
      </c>
      <c r="U2790" s="9" t="str">
        <f t="shared" ca="1" si="103"/>
        <v/>
      </c>
    </row>
    <row r="2791" spans="1:27">
      <c r="A2791" s="3" t="s">
        <v>1435</v>
      </c>
      <c r="D2791" s="3" t="s">
        <v>3524</v>
      </c>
      <c r="E2791" s="3" t="s">
        <v>3524</v>
      </c>
      <c r="F2791" t="s">
        <v>3932</v>
      </c>
      <c r="I2791" t="s">
        <v>7043</v>
      </c>
      <c r="T2791" s="9" t="str">
        <f t="shared" ca="1" si="102"/>
        <v/>
      </c>
      <c r="U2791" s="9" t="str">
        <f t="shared" ca="1" si="103"/>
        <v/>
      </c>
    </row>
    <row r="2792" spans="1:27" ht="43.5">
      <c r="A2792" s="3" t="s">
        <v>1436</v>
      </c>
      <c r="D2792" s="3" t="s">
        <v>9522</v>
      </c>
      <c r="E2792" s="3" t="s">
        <v>9523</v>
      </c>
      <c r="F2792" t="s">
        <v>3932</v>
      </c>
      <c r="I2792" t="s">
        <v>7002</v>
      </c>
      <c r="T2792" s="9" t="str">
        <f t="shared" ca="1" si="102"/>
        <v/>
      </c>
      <c r="U2792" s="9" t="str">
        <f t="shared" ca="1" si="103"/>
        <v/>
      </c>
    </row>
    <row r="2793" spans="1:27" ht="43.5">
      <c r="A2793" s="3" t="s">
        <v>1436</v>
      </c>
      <c r="D2793" s="3" t="s">
        <v>9363</v>
      </c>
      <c r="E2793" s="3" t="s">
        <v>9364</v>
      </c>
      <c r="H2793" t="s">
        <v>3884</v>
      </c>
      <c r="I2793" t="s">
        <v>9702</v>
      </c>
      <c r="J2793" s="9" t="s">
        <v>3885</v>
      </c>
      <c r="K2793" s="9">
        <v>1</v>
      </c>
      <c r="L2793" s="9">
        <v>8</v>
      </c>
      <c r="M2793" s="9" t="s">
        <v>8683</v>
      </c>
      <c r="N2793" s="9" t="s">
        <v>8684</v>
      </c>
      <c r="O2793" s="9" t="s">
        <v>8771</v>
      </c>
      <c r="P2793" s="10" t="s">
        <v>8983</v>
      </c>
      <c r="Q2793" s="9" t="s">
        <v>8685</v>
      </c>
      <c r="R2793" s="9">
        <v>59</v>
      </c>
      <c r="T2793" s="9" t="str">
        <f t="shared" ca="1" si="102"/>
        <v/>
      </c>
      <c r="U2793" s="9" t="str">
        <f t="shared" ca="1" si="103"/>
        <v/>
      </c>
      <c r="V2793" s="9" t="s">
        <v>8728</v>
      </c>
    </row>
    <row r="2794" spans="1:27">
      <c r="A2794" s="3" t="s">
        <v>1437</v>
      </c>
      <c r="D2794" s="3" t="s">
        <v>7044</v>
      </c>
      <c r="E2794" s="3" t="s">
        <v>7044</v>
      </c>
      <c r="F2794" t="s">
        <v>3932</v>
      </c>
      <c r="I2794" t="s">
        <v>7045</v>
      </c>
      <c r="T2794" s="9" t="str">
        <f t="shared" ca="1" si="102"/>
        <v/>
      </c>
      <c r="U2794" s="9" t="str">
        <f t="shared" ca="1" si="103"/>
        <v/>
      </c>
    </row>
    <row r="2795" spans="1:27">
      <c r="A2795" s="3" t="s">
        <v>1438</v>
      </c>
      <c r="D2795" s="3" t="s">
        <v>3521</v>
      </c>
      <c r="E2795" s="3" t="s">
        <v>3521</v>
      </c>
      <c r="F2795" t="s">
        <v>3932</v>
      </c>
      <c r="I2795" t="s">
        <v>7002</v>
      </c>
      <c r="T2795" s="9" t="str">
        <f t="shared" ca="1" si="102"/>
        <v/>
      </c>
      <c r="U2795" s="9" t="str">
        <f t="shared" ca="1" si="103"/>
        <v/>
      </c>
    </row>
    <row r="2796" spans="1:27">
      <c r="A2796" s="3" t="s">
        <v>1438</v>
      </c>
      <c r="D2796" s="3" t="s">
        <v>3527</v>
      </c>
      <c r="E2796" s="3" t="s">
        <v>3528</v>
      </c>
      <c r="H2796" t="s">
        <v>3888</v>
      </c>
      <c r="I2796" t="s">
        <v>3529</v>
      </c>
      <c r="J2796" s="9" t="s">
        <v>8729</v>
      </c>
      <c r="S2796" s="9" t="s">
        <v>8730</v>
      </c>
      <c r="T2796" s="9" t="str">
        <f t="shared" ca="1" si="102"/>
        <v/>
      </c>
      <c r="U2796" s="9" t="str">
        <f t="shared" ca="1" si="103"/>
        <v/>
      </c>
      <c r="Y2796" s="9" t="s">
        <v>8735</v>
      </c>
      <c r="Z2796" s="9" t="s">
        <v>8741</v>
      </c>
      <c r="AA2796" s="9" t="s">
        <v>3884</v>
      </c>
    </row>
    <row r="2797" spans="1:27" ht="29">
      <c r="A2797" s="3" t="s">
        <v>1439</v>
      </c>
      <c r="D2797" s="3" t="s">
        <v>7046</v>
      </c>
      <c r="E2797" s="3" t="s">
        <v>7046</v>
      </c>
      <c r="F2797" t="s">
        <v>3932</v>
      </c>
      <c r="I2797" t="s">
        <v>7022</v>
      </c>
      <c r="T2797" s="9" t="str">
        <f t="shared" ca="1" si="102"/>
        <v/>
      </c>
      <c r="U2797" s="9" t="str">
        <f t="shared" ca="1" si="103"/>
        <v/>
      </c>
    </row>
    <row r="2798" spans="1:27">
      <c r="A2798" s="3" t="s">
        <v>1439</v>
      </c>
      <c r="D2798" s="3" t="s">
        <v>7047</v>
      </c>
      <c r="E2798" s="3" t="s">
        <v>7048</v>
      </c>
      <c r="F2798" t="s">
        <v>3932</v>
      </c>
      <c r="I2798" t="s">
        <v>7022</v>
      </c>
      <c r="T2798" s="9" t="str">
        <f t="shared" ca="1" si="102"/>
        <v/>
      </c>
      <c r="U2798" s="9" t="str">
        <f t="shared" ca="1" si="103"/>
        <v/>
      </c>
    </row>
    <row r="2799" spans="1:27">
      <c r="A2799" s="3" t="s">
        <v>1439</v>
      </c>
      <c r="D2799" s="3" t="s">
        <v>3527</v>
      </c>
      <c r="E2799" s="3" t="s">
        <v>3529</v>
      </c>
      <c r="J2799" s="9" t="s">
        <v>8729</v>
      </c>
      <c r="S2799" s="9" t="s">
        <v>8730</v>
      </c>
      <c r="T2799" s="9" t="str">
        <f t="shared" ca="1" si="102"/>
        <v/>
      </c>
      <c r="U2799" s="9" t="str">
        <f t="shared" ca="1" si="103"/>
        <v/>
      </c>
      <c r="Y2799" s="9" t="s">
        <v>8735</v>
      </c>
      <c r="Z2799" s="9" t="s">
        <v>8741</v>
      </c>
      <c r="AA2799" s="9" t="s">
        <v>3884</v>
      </c>
    </row>
    <row r="2800" spans="1:27">
      <c r="A2800" s="3" t="s">
        <v>1439</v>
      </c>
      <c r="D2800" s="3" t="s">
        <v>7049</v>
      </c>
      <c r="E2800" s="4" t="s">
        <v>7050</v>
      </c>
      <c r="F2800" t="s">
        <v>3897</v>
      </c>
      <c r="T2800" s="9" t="str">
        <f t="shared" ca="1" si="102"/>
        <v/>
      </c>
      <c r="U2800" s="9" t="str">
        <f t="shared" ca="1" si="103"/>
        <v/>
      </c>
    </row>
    <row r="2801" spans="1:28">
      <c r="A2801" s="3" t="s">
        <v>1440</v>
      </c>
      <c r="D2801" s="3" t="s">
        <v>9524</v>
      </c>
      <c r="E2801" s="3" t="s">
        <v>9650</v>
      </c>
      <c r="J2801" s="9" t="s">
        <v>3885</v>
      </c>
      <c r="K2801" s="9">
        <v>1</v>
      </c>
      <c r="L2801" s="9">
        <v>1</v>
      </c>
      <c r="M2801" s="9" t="s">
        <v>8689</v>
      </c>
      <c r="N2801" s="9" t="s">
        <v>8730</v>
      </c>
      <c r="R2801" s="9">
        <v>10929</v>
      </c>
      <c r="T2801" s="9" t="str">
        <f t="shared" ca="1" si="102"/>
        <v/>
      </c>
      <c r="U2801" s="9" t="str">
        <f t="shared" ca="1" si="103"/>
        <v/>
      </c>
    </row>
    <row r="2802" spans="1:28">
      <c r="A2802" s="3" t="s">
        <v>1440</v>
      </c>
      <c r="D2802" s="3" t="s">
        <v>9525</v>
      </c>
      <c r="E2802" s="3" t="s">
        <v>9651</v>
      </c>
      <c r="F2802" t="s">
        <v>3932</v>
      </c>
      <c r="I2802" t="s">
        <v>7022</v>
      </c>
      <c r="T2802" s="9" t="str">
        <f t="shared" ca="1" si="102"/>
        <v/>
      </c>
      <c r="U2802" s="9" t="str">
        <f t="shared" ca="1" si="103"/>
        <v/>
      </c>
    </row>
    <row r="2803" spans="1:28">
      <c r="A2803" s="3" t="s">
        <v>1441</v>
      </c>
      <c r="D2803" s="4" t="s">
        <v>7051</v>
      </c>
      <c r="E2803" s="3" t="s">
        <v>7052</v>
      </c>
      <c r="F2803" t="s">
        <v>3883</v>
      </c>
      <c r="T2803" s="9" t="str">
        <f t="shared" ca="1" si="102"/>
        <v/>
      </c>
      <c r="U2803" s="9" t="str">
        <f t="shared" ca="1" si="103"/>
        <v/>
      </c>
    </row>
    <row r="2804" spans="1:28" ht="29">
      <c r="A2804" s="3" t="s">
        <v>1441</v>
      </c>
      <c r="D2804" s="3" t="s">
        <v>7053</v>
      </c>
      <c r="E2804" s="3" t="s">
        <v>7053</v>
      </c>
      <c r="F2804" t="s">
        <v>3932</v>
      </c>
      <c r="I2804" t="s">
        <v>7054</v>
      </c>
      <c r="T2804" s="9" t="str">
        <f t="shared" ca="1" si="102"/>
        <v/>
      </c>
      <c r="U2804" s="9" t="str">
        <f t="shared" ca="1" si="103"/>
        <v/>
      </c>
    </row>
    <row r="2805" spans="1:28" ht="87">
      <c r="A2805" s="3" t="s">
        <v>1441</v>
      </c>
      <c r="D2805" s="3" t="s">
        <v>7055</v>
      </c>
      <c r="E2805" s="3" t="s">
        <v>7056</v>
      </c>
      <c r="I2805" t="s">
        <v>9120</v>
      </c>
      <c r="J2805" s="9" t="s">
        <v>3889</v>
      </c>
      <c r="K2805" s="9">
        <v>8</v>
      </c>
      <c r="L2805" s="9">
        <v>47</v>
      </c>
      <c r="N2805" s="9" t="s">
        <v>8684</v>
      </c>
      <c r="O2805" s="9" t="s">
        <v>8740</v>
      </c>
      <c r="P2805" s="10" t="s">
        <v>8838</v>
      </c>
      <c r="R2805" s="9">
        <v>39</v>
      </c>
      <c r="T2805" s="9" t="str">
        <f t="shared" ca="1" si="102"/>
        <v/>
      </c>
      <c r="U2805" s="9" t="str">
        <f t="shared" ca="1" si="103"/>
        <v/>
      </c>
    </row>
    <row r="2806" spans="1:28">
      <c r="A2806" s="3" t="s">
        <v>1442</v>
      </c>
      <c r="D2806" s="4" t="s">
        <v>7057</v>
      </c>
      <c r="E2806" s="3" t="s">
        <v>7058</v>
      </c>
      <c r="F2806" t="s">
        <v>3883</v>
      </c>
      <c r="H2806" t="s">
        <v>3884</v>
      </c>
      <c r="I2806" t="s">
        <v>7059</v>
      </c>
      <c r="T2806" s="9" t="str">
        <f t="shared" ca="1" si="102"/>
        <v/>
      </c>
      <c r="U2806" s="9" t="str">
        <f t="shared" ca="1" si="103"/>
        <v/>
      </c>
    </row>
    <row r="2807" spans="1:28">
      <c r="A2807" s="3" t="s">
        <v>1443</v>
      </c>
      <c r="D2807" s="3" t="s">
        <v>7060</v>
      </c>
      <c r="E2807" s="3" t="s">
        <v>7061</v>
      </c>
      <c r="I2807" t="s">
        <v>9253</v>
      </c>
      <c r="J2807" s="9" t="s">
        <v>3889</v>
      </c>
      <c r="K2807" s="9">
        <v>1</v>
      </c>
      <c r="L2807" s="9">
        <v>3</v>
      </c>
      <c r="M2807" s="9" t="s">
        <v>8689</v>
      </c>
      <c r="N2807" s="9" t="s">
        <v>8690</v>
      </c>
      <c r="R2807" s="9">
        <v>10929</v>
      </c>
      <c r="T2807" s="9" t="str">
        <f t="shared" ca="1" si="102"/>
        <v/>
      </c>
      <c r="U2807" s="9" t="str">
        <f t="shared" ca="1" si="103"/>
        <v/>
      </c>
      <c r="V2807" s="9" t="s">
        <v>8728</v>
      </c>
    </row>
    <row r="2808" spans="1:28">
      <c r="A2808" s="3" t="s">
        <v>1444</v>
      </c>
      <c r="D2808" s="3" t="s">
        <v>3531</v>
      </c>
      <c r="E2808" s="3" t="s">
        <v>3532</v>
      </c>
      <c r="J2808" s="9" t="s">
        <v>8729</v>
      </c>
      <c r="S2808" s="9" t="s">
        <v>8739</v>
      </c>
      <c r="T2808" s="9" t="str">
        <f t="shared" ca="1" si="102"/>
        <v/>
      </c>
      <c r="U2808" s="9" t="str">
        <f t="shared" ca="1" si="103"/>
        <v/>
      </c>
      <c r="Y2808" s="9" t="s">
        <v>8735</v>
      </c>
      <c r="Z2808" s="9" t="s">
        <v>8924</v>
      </c>
      <c r="AA2808" s="9" t="s">
        <v>3884</v>
      </c>
    </row>
    <row r="2809" spans="1:28">
      <c r="A2809" s="3" t="s">
        <v>1444</v>
      </c>
      <c r="D2809" s="3" t="s">
        <v>3533</v>
      </c>
      <c r="E2809" s="3" t="s">
        <v>3534</v>
      </c>
      <c r="J2809" s="9" t="s">
        <v>8729</v>
      </c>
      <c r="S2809" s="9" t="s">
        <v>8739</v>
      </c>
      <c r="T2809" s="9" t="str">
        <f t="shared" ca="1" si="102"/>
        <v/>
      </c>
      <c r="U2809" s="9" t="str">
        <f t="shared" ca="1" si="103"/>
        <v/>
      </c>
      <c r="Y2809" s="9" t="s">
        <v>8735</v>
      </c>
      <c r="Z2809" s="9" t="s">
        <v>8742</v>
      </c>
      <c r="AA2809" s="9" t="s">
        <v>3884</v>
      </c>
    </row>
    <row r="2810" spans="1:28">
      <c r="A2810" s="3" t="s">
        <v>1445</v>
      </c>
      <c r="D2810" s="3" t="s">
        <v>7062</v>
      </c>
      <c r="E2810" s="3" t="s">
        <v>7063</v>
      </c>
      <c r="H2810" t="s">
        <v>3884</v>
      </c>
      <c r="J2810" s="9" t="s">
        <v>3885</v>
      </c>
      <c r="K2810" s="9">
        <v>1</v>
      </c>
      <c r="L2810" s="9">
        <v>3</v>
      </c>
      <c r="M2810" s="9" t="s">
        <v>8695</v>
      </c>
      <c r="N2810" s="9" t="s">
        <v>8690</v>
      </c>
      <c r="R2810" s="9">
        <v>78</v>
      </c>
      <c r="T2810" s="9" t="str">
        <f t="shared" ca="1" si="102"/>
        <v/>
      </c>
      <c r="U2810" s="9" t="str">
        <f t="shared" ca="1" si="103"/>
        <v/>
      </c>
    </row>
    <row r="2811" spans="1:28">
      <c r="A2811" s="3" t="s">
        <v>1446</v>
      </c>
      <c r="D2811" s="4" t="s">
        <v>7064</v>
      </c>
      <c r="E2811" s="3" t="s">
        <v>7065</v>
      </c>
      <c r="F2811" t="s">
        <v>3883</v>
      </c>
      <c r="T2811" s="9" t="str">
        <f t="shared" ca="1" si="102"/>
        <v/>
      </c>
      <c r="U2811" s="9" t="str">
        <f t="shared" ca="1" si="103"/>
        <v/>
      </c>
    </row>
    <row r="2812" spans="1:28">
      <c r="A2812" s="3" t="s">
        <v>1446</v>
      </c>
      <c r="D2812" s="3" t="s">
        <v>3535</v>
      </c>
      <c r="E2812" s="3" t="s">
        <v>3536</v>
      </c>
      <c r="J2812" s="9" t="s">
        <v>8731</v>
      </c>
      <c r="T2812" s="9" t="str">
        <f t="shared" ca="1" si="102"/>
        <v/>
      </c>
      <c r="U2812" s="9" t="str">
        <f t="shared" ca="1" si="103"/>
        <v/>
      </c>
      <c r="Z2812" s="9" t="s">
        <v>8742</v>
      </c>
      <c r="AA2812" s="9" t="s">
        <v>3884</v>
      </c>
      <c r="AB2812" s="9" t="s">
        <v>8697</v>
      </c>
    </row>
    <row r="2813" spans="1:28">
      <c r="A2813" s="3" t="s">
        <v>1446</v>
      </c>
      <c r="D2813" s="3" t="s">
        <v>7067</v>
      </c>
      <c r="E2813" s="3" t="s">
        <v>7067</v>
      </c>
      <c r="F2813" t="s">
        <v>3932</v>
      </c>
      <c r="I2813" t="s">
        <v>7066</v>
      </c>
      <c r="T2813" s="9" t="str">
        <f t="shared" ca="1" si="102"/>
        <v/>
      </c>
      <c r="U2813" s="9" t="str">
        <f t="shared" ca="1" si="103"/>
        <v/>
      </c>
    </row>
    <row r="2814" spans="1:28">
      <c r="A2814" s="3" t="s">
        <v>1446</v>
      </c>
      <c r="D2814" s="3" t="s">
        <v>7068</v>
      </c>
      <c r="E2814" s="3" t="s">
        <v>7068</v>
      </c>
      <c r="F2814" t="s">
        <v>3932</v>
      </c>
      <c r="I2814" t="s">
        <v>2336</v>
      </c>
      <c r="T2814" s="9" t="str">
        <f t="shared" ca="1" si="102"/>
        <v/>
      </c>
      <c r="U2814" s="9" t="str">
        <f t="shared" ca="1" si="103"/>
        <v/>
      </c>
    </row>
    <row r="2815" spans="1:28" ht="29">
      <c r="A2815" s="3" t="s">
        <v>1447</v>
      </c>
      <c r="D2815" s="3" t="s">
        <v>7069</v>
      </c>
      <c r="E2815" s="3" t="s">
        <v>7069</v>
      </c>
      <c r="F2815" t="s">
        <v>3932</v>
      </c>
      <c r="I2815" t="s">
        <v>7070</v>
      </c>
      <c r="T2815" s="9" t="str">
        <f t="shared" ca="1" si="102"/>
        <v/>
      </c>
      <c r="U2815" s="9" t="str">
        <f t="shared" ca="1" si="103"/>
        <v/>
      </c>
    </row>
    <row r="2816" spans="1:28">
      <c r="A2816" s="3" t="s">
        <v>1448</v>
      </c>
      <c r="D2816" s="3" t="s">
        <v>7071</v>
      </c>
      <c r="E2816" s="3" t="s">
        <v>7072</v>
      </c>
      <c r="F2816" t="s">
        <v>3893</v>
      </c>
      <c r="H2816" t="s">
        <v>3892</v>
      </c>
      <c r="I2816" t="s">
        <v>7073</v>
      </c>
      <c r="T2816" s="9" t="str">
        <f t="shared" ca="1" si="102"/>
        <v/>
      </c>
      <c r="U2816" s="9" t="str">
        <f t="shared" ca="1" si="103"/>
        <v/>
      </c>
    </row>
    <row r="2817" spans="1:28">
      <c r="A2817" s="3" t="s">
        <v>1449</v>
      </c>
      <c r="D2817" s="3" t="s">
        <v>3537</v>
      </c>
      <c r="E2817" s="3" t="s">
        <v>3538</v>
      </c>
      <c r="J2817" s="9" t="s">
        <v>8731</v>
      </c>
      <c r="T2817" s="9" t="str">
        <f t="shared" ca="1" si="102"/>
        <v/>
      </c>
      <c r="U2817" s="9" t="str">
        <f t="shared" ca="1" si="103"/>
        <v/>
      </c>
      <c r="Z2817" s="9" t="s">
        <v>8742</v>
      </c>
      <c r="AA2817" s="9" t="s">
        <v>3884</v>
      </c>
      <c r="AB2817" s="9" t="s">
        <v>8697</v>
      </c>
    </row>
    <row r="2818" spans="1:28">
      <c r="A2818" s="3" t="s">
        <v>1449</v>
      </c>
      <c r="D2818" s="3" t="s">
        <v>3539</v>
      </c>
      <c r="E2818" s="3" t="s">
        <v>3539</v>
      </c>
      <c r="F2818" t="s">
        <v>3932</v>
      </c>
      <c r="I2818" t="s">
        <v>7074</v>
      </c>
      <c r="T2818" s="9" t="str">
        <f t="shared" ref="T2818:T2881" ca="1" si="104">IF(ISNUMBER(S2818),VALUE(MID(_xlfn.FORMULATEXT(S2818),SEARCH("-",_xlfn.FORMULATEXT(S2818))+1,LEN(_xlfn.FORMULATEXT(S2818))-SEARCH("-",_xlfn.FORMULATEXT(S2818)))), "")</f>
        <v/>
      </c>
      <c r="U2818" s="9" t="str">
        <f t="shared" ref="U2818:U2881" ca="1" si="105">IF(ISNUMBER(S2818), VALUE(MID(_xlfn.FORMULATEXT(S2818), 2, SEARCH("-", _xlfn.FORMULATEXT(S2818)) - 2)), "")</f>
        <v/>
      </c>
    </row>
    <row r="2819" spans="1:28">
      <c r="A2819" s="3" t="s">
        <v>1450</v>
      </c>
      <c r="D2819" s="3" t="s">
        <v>2265</v>
      </c>
      <c r="E2819" s="3" t="s">
        <v>2266</v>
      </c>
      <c r="J2819" s="9" t="s">
        <v>8731</v>
      </c>
      <c r="T2819" s="9" t="str">
        <f t="shared" ca="1" si="104"/>
        <v/>
      </c>
      <c r="U2819" s="9" t="str">
        <f t="shared" ca="1" si="105"/>
        <v/>
      </c>
      <c r="Z2819" s="9" t="s">
        <v>9279</v>
      </c>
      <c r="AA2819" s="9" t="s">
        <v>3884</v>
      </c>
    </row>
    <row r="2820" spans="1:28">
      <c r="A2820" s="3" t="s">
        <v>1450</v>
      </c>
      <c r="D2820" s="3" t="s">
        <v>7075</v>
      </c>
      <c r="E2820" s="3" t="s">
        <v>7076</v>
      </c>
      <c r="J2820" s="9" t="s">
        <v>8731</v>
      </c>
      <c r="T2820" s="9" t="str">
        <f t="shared" ca="1" si="104"/>
        <v/>
      </c>
      <c r="U2820" s="9" t="str">
        <f t="shared" ca="1" si="105"/>
        <v/>
      </c>
    </row>
    <row r="2821" spans="1:28">
      <c r="A2821" s="3" t="s">
        <v>1451</v>
      </c>
      <c r="D2821" s="3" t="s">
        <v>7077</v>
      </c>
      <c r="E2821" s="3" t="s">
        <v>7078</v>
      </c>
      <c r="F2821" t="s">
        <v>3893</v>
      </c>
      <c r="H2821" t="s">
        <v>3892</v>
      </c>
      <c r="I2821" t="s">
        <v>7079</v>
      </c>
      <c r="T2821" s="9" t="str">
        <f t="shared" ca="1" si="104"/>
        <v/>
      </c>
      <c r="U2821" s="9" t="str">
        <f t="shared" ca="1" si="105"/>
        <v/>
      </c>
    </row>
    <row r="2822" spans="1:28" ht="29">
      <c r="A2822" s="3" t="s">
        <v>1451</v>
      </c>
      <c r="D2822" s="3" t="s">
        <v>7080</v>
      </c>
      <c r="E2822" s="3" t="s">
        <v>7081</v>
      </c>
      <c r="H2822" t="s">
        <v>3892</v>
      </c>
      <c r="I2822" t="s">
        <v>7082</v>
      </c>
      <c r="J2822" s="9" t="s">
        <v>8731</v>
      </c>
      <c r="T2822" s="9" t="str">
        <f t="shared" ca="1" si="104"/>
        <v/>
      </c>
      <c r="U2822" s="9" t="str">
        <f t="shared" ca="1" si="105"/>
        <v/>
      </c>
      <c r="AB2822" s="9" t="s">
        <v>8694</v>
      </c>
    </row>
    <row r="2823" spans="1:28">
      <c r="A2823" s="3" t="s">
        <v>1451</v>
      </c>
      <c r="D2823" s="4" t="s">
        <v>7083</v>
      </c>
      <c r="E2823" s="3" t="s">
        <v>3540</v>
      </c>
      <c r="F2823" t="s">
        <v>3883</v>
      </c>
      <c r="H2823" t="s">
        <v>3884</v>
      </c>
      <c r="J2823" s="9" t="s">
        <v>8729</v>
      </c>
      <c r="S2823" s="9" t="s">
        <v>8739</v>
      </c>
      <c r="T2823" s="9" t="str">
        <f t="shared" ca="1" si="104"/>
        <v/>
      </c>
      <c r="U2823" s="9" t="str">
        <f t="shared" ca="1" si="105"/>
        <v/>
      </c>
      <c r="AB2823" s="9" t="s">
        <v>8688</v>
      </c>
    </row>
    <row r="2824" spans="1:28">
      <c r="A2824" s="3" t="s">
        <v>1452</v>
      </c>
      <c r="D2824" s="3" t="s">
        <v>3541</v>
      </c>
      <c r="E2824" s="3" t="s">
        <v>3542</v>
      </c>
      <c r="J2824" s="9" t="s">
        <v>8732</v>
      </c>
      <c r="S2824" s="9">
        <f>8-0</f>
        <v>8</v>
      </c>
      <c r="T2824" s="9">
        <f t="shared" ca="1" si="104"/>
        <v>0</v>
      </c>
      <c r="U2824" s="9">
        <f t="shared" ca="1" si="105"/>
        <v>8</v>
      </c>
      <c r="Z2824" s="9" t="s">
        <v>8741</v>
      </c>
      <c r="AA2824" s="9" t="s">
        <v>3884</v>
      </c>
      <c r="AB2824" s="9" t="s">
        <v>8700</v>
      </c>
    </row>
    <row r="2825" spans="1:28">
      <c r="A2825" s="3" t="s">
        <v>1453</v>
      </c>
      <c r="D2825" s="3" t="s">
        <v>7084</v>
      </c>
      <c r="E2825" s="3" t="s">
        <v>7084</v>
      </c>
      <c r="F2825" t="s">
        <v>3932</v>
      </c>
      <c r="I2825" t="s">
        <v>7085</v>
      </c>
      <c r="T2825" s="9" t="str">
        <f t="shared" ca="1" si="104"/>
        <v/>
      </c>
      <c r="U2825" s="9" t="str">
        <f t="shared" ca="1" si="105"/>
        <v/>
      </c>
    </row>
    <row r="2826" spans="1:28" ht="29">
      <c r="A2826" s="3" t="s">
        <v>1454</v>
      </c>
      <c r="D2826" s="4" t="s">
        <v>7086</v>
      </c>
      <c r="E2826" s="3" t="s">
        <v>7087</v>
      </c>
      <c r="F2826" t="s">
        <v>3883</v>
      </c>
      <c r="T2826" s="9" t="str">
        <f t="shared" ca="1" si="104"/>
        <v/>
      </c>
      <c r="U2826" s="9" t="str">
        <f t="shared" ca="1" si="105"/>
        <v/>
      </c>
    </row>
    <row r="2827" spans="1:28" ht="29">
      <c r="A2827" s="3" t="s">
        <v>1454</v>
      </c>
      <c r="D2827" s="3" t="s">
        <v>7088</v>
      </c>
      <c r="E2827" s="3" t="s">
        <v>7089</v>
      </c>
      <c r="H2827" t="s">
        <v>3884</v>
      </c>
      <c r="J2827" s="9" t="s">
        <v>8731</v>
      </c>
      <c r="T2827" s="9" t="str">
        <f t="shared" ca="1" si="104"/>
        <v/>
      </c>
      <c r="U2827" s="9" t="str">
        <f t="shared" ca="1" si="105"/>
        <v/>
      </c>
      <c r="AB2827" s="9" t="s">
        <v>8688</v>
      </c>
    </row>
    <row r="2828" spans="1:28">
      <c r="A2828" s="3" t="s">
        <v>1455</v>
      </c>
      <c r="D2828" s="3" t="s">
        <v>7090</v>
      </c>
      <c r="E2828" s="3" t="s">
        <v>7091</v>
      </c>
      <c r="J2828" s="9" t="s">
        <v>8731</v>
      </c>
      <c r="T2828" s="9" t="str">
        <f t="shared" ca="1" si="104"/>
        <v/>
      </c>
      <c r="U2828" s="9" t="str">
        <f t="shared" ca="1" si="105"/>
        <v/>
      </c>
    </row>
    <row r="2829" spans="1:28">
      <c r="A2829" s="3" t="s">
        <v>1455</v>
      </c>
      <c r="D2829" s="4" t="s">
        <v>3543</v>
      </c>
      <c r="E2829" s="3" t="s">
        <v>3544</v>
      </c>
      <c r="F2829" t="s">
        <v>3883</v>
      </c>
      <c r="T2829" s="9" t="str">
        <f t="shared" ca="1" si="104"/>
        <v/>
      </c>
      <c r="U2829" s="9" t="str">
        <f t="shared" ca="1" si="105"/>
        <v/>
      </c>
    </row>
    <row r="2830" spans="1:28">
      <c r="A2830" s="3" t="s">
        <v>1456</v>
      </c>
      <c r="D2830" s="3" t="s">
        <v>3545</v>
      </c>
      <c r="E2830" s="4" t="s">
        <v>3546</v>
      </c>
      <c r="F2830" t="s">
        <v>3897</v>
      </c>
      <c r="T2830" s="9" t="str">
        <f t="shared" ca="1" si="104"/>
        <v/>
      </c>
      <c r="U2830" s="9" t="str">
        <f t="shared" ca="1" si="105"/>
        <v/>
      </c>
    </row>
    <row r="2831" spans="1:28">
      <c r="A2831" s="3" t="s">
        <v>1457</v>
      </c>
      <c r="D2831" s="3" t="s">
        <v>7092</v>
      </c>
      <c r="E2831" s="3" t="s">
        <v>7092</v>
      </c>
      <c r="F2831" t="s">
        <v>3932</v>
      </c>
      <c r="I2831" t="s">
        <v>7093</v>
      </c>
      <c r="T2831" s="9" t="str">
        <f t="shared" ca="1" si="104"/>
        <v/>
      </c>
      <c r="U2831" s="9" t="str">
        <f t="shared" ca="1" si="105"/>
        <v/>
      </c>
    </row>
    <row r="2832" spans="1:28">
      <c r="A2832" s="3" t="s">
        <v>1457</v>
      </c>
      <c r="D2832" s="3" t="s">
        <v>3547</v>
      </c>
      <c r="E2832" s="3" t="s">
        <v>3547</v>
      </c>
      <c r="F2832" t="s">
        <v>3932</v>
      </c>
      <c r="I2832" t="s">
        <v>7094</v>
      </c>
      <c r="T2832" s="9" t="str">
        <f t="shared" ca="1" si="104"/>
        <v/>
      </c>
      <c r="U2832" s="9" t="str">
        <f t="shared" ca="1" si="105"/>
        <v/>
      </c>
    </row>
    <row r="2833" spans="1:28">
      <c r="A2833" s="3" t="s">
        <v>1457</v>
      </c>
      <c r="D2833" s="3" t="s">
        <v>7095</v>
      </c>
      <c r="E2833" s="3" t="s">
        <v>7095</v>
      </c>
      <c r="F2833" t="s">
        <v>3932</v>
      </c>
      <c r="I2833" t="s">
        <v>7096</v>
      </c>
      <c r="T2833" s="9" t="str">
        <f t="shared" ca="1" si="104"/>
        <v/>
      </c>
      <c r="U2833" s="9" t="str">
        <f t="shared" ca="1" si="105"/>
        <v/>
      </c>
    </row>
    <row r="2834" spans="1:28">
      <c r="A2834" s="3" t="s">
        <v>1458</v>
      </c>
      <c r="D2834" s="3" t="s">
        <v>7097</v>
      </c>
      <c r="E2834" s="3" t="s">
        <v>7097</v>
      </c>
      <c r="F2834" t="s">
        <v>3932</v>
      </c>
      <c r="I2834" t="s">
        <v>5829</v>
      </c>
      <c r="T2834" s="9" t="str">
        <f t="shared" ca="1" si="104"/>
        <v/>
      </c>
      <c r="U2834" s="9" t="str">
        <f t="shared" ca="1" si="105"/>
        <v/>
      </c>
    </row>
    <row r="2835" spans="1:28">
      <c r="A2835" s="3" t="s">
        <v>1458</v>
      </c>
      <c r="D2835" s="3" t="s">
        <v>7098</v>
      </c>
      <c r="E2835" s="3" t="s">
        <v>7099</v>
      </c>
      <c r="H2835" t="s">
        <v>3884</v>
      </c>
      <c r="J2835" s="9" t="s">
        <v>3885</v>
      </c>
      <c r="K2835" s="9">
        <v>1</v>
      </c>
      <c r="L2835" s="9">
        <v>2</v>
      </c>
      <c r="M2835" s="9" t="s">
        <v>8734</v>
      </c>
      <c r="N2835" s="9" t="s">
        <v>8730</v>
      </c>
      <c r="Q2835" s="9" t="s">
        <v>8685</v>
      </c>
      <c r="R2835" s="9" t="s">
        <v>8739</v>
      </c>
      <c r="T2835" s="9" t="str">
        <f t="shared" ca="1" si="104"/>
        <v/>
      </c>
      <c r="U2835" s="9" t="str">
        <f t="shared" ca="1" si="105"/>
        <v/>
      </c>
      <c r="AB2835" s="9" t="s">
        <v>8688</v>
      </c>
    </row>
    <row r="2836" spans="1:28">
      <c r="A2836" s="3" t="s">
        <v>1459</v>
      </c>
      <c r="D2836" s="3" t="s">
        <v>7100</v>
      </c>
      <c r="E2836" s="3" t="s">
        <v>7101</v>
      </c>
      <c r="H2836" t="s">
        <v>3884</v>
      </c>
      <c r="J2836" s="9" t="s">
        <v>8731</v>
      </c>
      <c r="T2836" s="9" t="str">
        <f t="shared" ca="1" si="104"/>
        <v/>
      </c>
      <c r="U2836" s="9" t="str">
        <f t="shared" ca="1" si="105"/>
        <v/>
      </c>
    </row>
    <row r="2837" spans="1:28">
      <c r="A2837" s="3" t="s">
        <v>1459</v>
      </c>
      <c r="D2837" s="3" t="s">
        <v>3548</v>
      </c>
      <c r="E2837" s="3" t="s">
        <v>3549</v>
      </c>
      <c r="J2837" s="9" t="s">
        <v>8729</v>
      </c>
      <c r="S2837" s="9" t="s">
        <v>8739</v>
      </c>
      <c r="T2837" s="9" t="str">
        <f t="shared" ca="1" si="104"/>
        <v/>
      </c>
      <c r="U2837" s="9" t="str">
        <f t="shared" ca="1" si="105"/>
        <v/>
      </c>
      <c r="Z2837" s="9" t="s">
        <v>8742</v>
      </c>
      <c r="AA2837" s="9" t="s">
        <v>3884</v>
      </c>
      <c r="AB2837" s="9" t="s">
        <v>8697</v>
      </c>
    </row>
    <row r="2838" spans="1:28">
      <c r="A2838" s="3" t="s">
        <v>1460</v>
      </c>
      <c r="D2838" s="3" t="s">
        <v>7102</v>
      </c>
      <c r="E2838" s="3" t="s">
        <v>7103</v>
      </c>
      <c r="J2838" s="9" t="s">
        <v>8729</v>
      </c>
      <c r="S2838" s="9" t="s">
        <v>8739</v>
      </c>
      <c r="T2838" s="9" t="str">
        <f t="shared" ca="1" si="104"/>
        <v/>
      </c>
      <c r="U2838" s="9" t="str">
        <f t="shared" ca="1" si="105"/>
        <v/>
      </c>
      <c r="AB2838" s="9" t="s">
        <v>8697</v>
      </c>
    </row>
    <row r="2839" spans="1:28">
      <c r="A2839" s="3" t="s">
        <v>1460</v>
      </c>
      <c r="D2839" s="3" t="s">
        <v>7104</v>
      </c>
      <c r="E2839" s="3" t="s">
        <v>7105</v>
      </c>
      <c r="H2839" t="s">
        <v>3884</v>
      </c>
      <c r="J2839" s="9" t="s">
        <v>8729</v>
      </c>
      <c r="S2839" s="9" t="s">
        <v>8739</v>
      </c>
      <c r="T2839" s="9" t="str">
        <f t="shared" ca="1" si="104"/>
        <v/>
      </c>
      <c r="U2839" s="9" t="str">
        <f t="shared" ca="1" si="105"/>
        <v/>
      </c>
      <c r="AB2839" s="9" t="s">
        <v>8688</v>
      </c>
    </row>
    <row r="2840" spans="1:28">
      <c r="A2840" s="3" t="s">
        <v>1461</v>
      </c>
      <c r="D2840" s="3" t="s">
        <v>7106</v>
      </c>
      <c r="E2840" s="3" t="s">
        <v>7107</v>
      </c>
      <c r="F2840" t="s">
        <v>3893</v>
      </c>
      <c r="T2840" s="9" t="str">
        <f t="shared" ca="1" si="104"/>
        <v/>
      </c>
      <c r="U2840" s="9" t="str">
        <f t="shared" ca="1" si="105"/>
        <v/>
      </c>
    </row>
    <row r="2841" spans="1:28">
      <c r="A2841" s="3" t="s">
        <v>1461</v>
      </c>
      <c r="D2841" s="3" t="s">
        <v>3527</v>
      </c>
      <c r="E2841" s="3" t="s">
        <v>3527</v>
      </c>
      <c r="F2841" t="s">
        <v>3932</v>
      </c>
      <c r="I2841" t="s">
        <v>3529</v>
      </c>
      <c r="T2841" s="9" t="str">
        <f t="shared" ca="1" si="104"/>
        <v/>
      </c>
      <c r="U2841" s="9" t="str">
        <f t="shared" ca="1" si="105"/>
        <v/>
      </c>
    </row>
    <row r="2842" spans="1:28">
      <c r="A2842" s="3" t="s">
        <v>1462</v>
      </c>
      <c r="D2842" s="3" t="s">
        <v>7108</v>
      </c>
      <c r="E2842" s="4" t="s">
        <v>7109</v>
      </c>
      <c r="F2842" t="s">
        <v>3897</v>
      </c>
      <c r="T2842" s="9" t="str">
        <f t="shared" ca="1" si="104"/>
        <v/>
      </c>
      <c r="U2842" s="9" t="str">
        <f t="shared" ca="1" si="105"/>
        <v/>
      </c>
    </row>
    <row r="2843" spans="1:28">
      <c r="A2843" s="3" t="s">
        <v>1462</v>
      </c>
      <c r="D2843" s="3" t="s">
        <v>7110</v>
      </c>
      <c r="E2843" s="3" t="s">
        <v>7111</v>
      </c>
      <c r="H2843" t="s">
        <v>3892</v>
      </c>
      <c r="I2843" t="s">
        <v>7112</v>
      </c>
      <c r="J2843" s="9" t="s">
        <v>8729</v>
      </c>
      <c r="S2843" s="9" t="s">
        <v>8739</v>
      </c>
      <c r="T2843" s="9" t="str">
        <f t="shared" ca="1" si="104"/>
        <v/>
      </c>
      <c r="U2843" s="9" t="str">
        <f t="shared" ca="1" si="105"/>
        <v/>
      </c>
      <c r="Y2843" s="9" t="s">
        <v>8735</v>
      </c>
      <c r="AA2843" s="9" t="s">
        <v>3884</v>
      </c>
    </row>
    <row r="2844" spans="1:28">
      <c r="A2844" s="3" t="s">
        <v>1462</v>
      </c>
      <c r="D2844" s="3" t="s">
        <v>7113</v>
      </c>
      <c r="E2844" s="3" t="s">
        <v>7114</v>
      </c>
      <c r="H2844" t="s">
        <v>3892</v>
      </c>
      <c r="I2844" t="s">
        <v>7117</v>
      </c>
      <c r="J2844" s="9" t="s">
        <v>8729</v>
      </c>
      <c r="S2844" s="9" t="s">
        <v>8739</v>
      </c>
      <c r="T2844" s="9" t="str">
        <f t="shared" ca="1" si="104"/>
        <v/>
      </c>
      <c r="U2844" s="9" t="str">
        <f t="shared" ca="1" si="105"/>
        <v/>
      </c>
      <c r="Y2844" s="9" t="s">
        <v>8735</v>
      </c>
      <c r="AA2844" s="9" t="s">
        <v>3884</v>
      </c>
    </row>
    <row r="2845" spans="1:28">
      <c r="A2845" s="3" t="s">
        <v>1463</v>
      </c>
      <c r="D2845" s="4" t="s">
        <v>7116</v>
      </c>
      <c r="E2845" s="3" t="s">
        <v>7115</v>
      </c>
      <c r="F2845" t="s">
        <v>3883</v>
      </c>
      <c r="J2845" s="9" t="s">
        <v>8729</v>
      </c>
      <c r="S2845" s="9" t="s">
        <v>8739</v>
      </c>
      <c r="T2845" s="9" t="str">
        <f t="shared" ca="1" si="104"/>
        <v/>
      </c>
      <c r="U2845" s="9" t="str">
        <f t="shared" ca="1" si="105"/>
        <v/>
      </c>
      <c r="Y2845" s="9" t="s">
        <v>8735</v>
      </c>
      <c r="AA2845" s="9" t="s">
        <v>3884</v>
      </c>
    </row>
    <row r="2846" spans="1:28">
      <c r="A2846" s="3" t="s">
        <v>1463</v>
      </c>
      <c r="D2846" s="3" t="s">
        <v>3550</v>
      </c>
      <c r="E2846" s="3" t="s">
        <v>3551</v>
      </c>
      <c r="H2846" t="s">
        <v>3892</v>
      </c>
      <c r="I2846" t="s">
        <v>7112</v>
      </c>
      <c r="J2846" s="9" t="s">
        <v>8729</v>
      </c>
      <c r="S2846" s="9" t="s">
        <v>8739</v>
      </c>
      <c r="T2846" s="9" t="str">
        <f t="shared" ca="1" si="104"/>
        <v/>
      </c>
      <c r="U2846" s="9" t="str">
        <f t="shared" ca="1" si="105"/>
        <v/>
      </c>
      <c r="Y2846" s="9" t="s">
        <v>8735</v>
      </c>
      <c r="AA2846" s="9" t="s">
        <v>3884</v>
      </c>
    </row>
    <row r="2847" spans="1:28">
      <c r="A2847" s="3" t="s">
        <v>1463</v>
      </c>
      <c r="D2847" s="3" t="s">
        <v>7118</v>
      </c>
      <c r="E2847" s="3" t="s">
        <v>7119</v>
      </c>
      <c r="H2847" t="s">
        <v>3884</v>
      </c>
      <c r="J2847" s="9" t="s">
        <v>8731</v>
      </c>
      <c r="T2847" s="9" t="str">
        <f t="shared" ca="1" si="104"/>
        <v/>
      </c>
      <c r="U2847" s="9" t="str">
        <f t="shared" ca="1" si="105"/>
        <v/>
      </c>
      <c r="AB2847" s="9" t="s">
        <v>8694</v>
      </c>
    </row>
    <row r="2848" spans="1:28">
      <c r="A2848" s="3" t="s">
        <v>1463</v>
      </c>
      <c r="D2848" s="3" t="s">
        <v>7120</v>
      </c>
      <c r="E2848" s="3" t="s">
        <v>7121</v>
      </c>
      <c r="J2848" s="9" t="s">
        <v>8729</v>
      </c>
      <c r="S2848" s="9">
        <f>1-6</f>
        <v>-5</v>
      </c>
      <c r="T2848" s="9">
        <f t="shared" ca="1" si="104"/>
        <v>6</v>
      </c>
      <c r="U2848" s="9">
        <f t="shared" ca="1" si="105"/>
        <v>1</v>
      </c>
    </row>
    <row r="2849" spans="1:27">
      <c r="A2849" s="3" t="s">
        <v>1464</v>
      </c>
      <c r="D2849" s="3" t="s">
        <v>3550</v>
      </c>
      <c r="E2849" s="3" t="s">
        <v>3550</v>
      </c>
      <c r="F2849" t="s">
        <v>3932</v>
      </c>
      <c r="I2849" t="s">
        <v>7112</v>
      </c>
      <c r="T2849" s="9" t="str">
        <f t="shared" ca="1" si="104"/>
        <v/>
      </c>
      <c r="U2849" s="9" t="str">
        <f t="shared" ca="1" si="105"/>
        <v/>
      </c>
    </row>
    <row r="2850" spans="1:27">
      <c r="A2850" s="3" t="s">
        <v>1464</v>
      </c>
      <c r="D2850" s="3" t="s">
        <v>7122</v>
      </c>
      <c r="E2850" s="3" t="s">
        <v>7123</v>
      </c>
      <c r="J2850" s="9" t="s">
        <v>3889</v>
      </c>
      <c r="K2850" s="9">
        <v>1</v>
      </c>
      <c r="L2850" s="9">
        <v>3</v>
      </c>
      <c r="M2850" s="9" t="s">
        <v>8698</v>
      </c>
      <c r="N2850" s="9" t="s">
        <v>8690</v>
      </c>
      <c r="R2850" s="9">
        <v>9418</v>
      </c>
      <c r="T2850" s="9" t="str">
        <f t="shared" ca="1" si="104"/>
        <v/>
      </c>
      <c r="U2850" s="9" t="str">
        <f t="shared" ca="1" si="105"/>
        <v/>
      </c>
    </row>
    <row r="2851" spans="1:27">
      <c r="A2851" s="3" t="s">
        <v>1464</v>
      </c>
      <c r="D2851" s="3" t="s">
        <v>3552</v>
      </c>
      <c r="E2851" s="3" t="s">
        <v>3553</v>
      </c>
      <c r="J2851" s="9" t="s">
        <v>8729</v>
      </c>
      <c r="S2851" s="9">
        <f>6-10</f>
        <v>-4</v>
      </c>
      <c r="T2851" s="9">
        <f t="shared" ca="1" si="104"/>
        <v>10</v>
      </c>
      <c r="U2851" s="9">
        <f t="shared" ca="1" si="105"/>
        <v>6</v>
      </c>
      <c r="Z2851" s="9" t="s">
        <v>8757</v>
      </c>
      <c r="AA2851" s="9" t="s">
        <v>3884</v>
      </c>
    </row>
    <row r="2852" spans="1:27">
      <c r="A2852" s="3" t="s">
        <v>1464</v>
      </c>
      <c r="D2852" s="3" t="s">
        <v>7124</v>
      </c>
      <c r="E2852" s="3" t="s">
        <v>7125</v>
      </c>
      <c r="J2852" s="9" t="s">
        <v>8731</v>
      </c>
      <c r="T2852" s="9" t="str">
        <f t="shared" ca="1" si="104"/>
        <v/>
      </c>
      <c r="U2852" s="9" t="str">
        <f t="shared" ca="1" si="105"/>
        <v/>
      </c>
      <c r="Z2852" s="9" t="s">
        <v>8832</v>
      </c>
      <c r="AA2852" s="9" t="s">
        <v>3884</v>
      </c>
    </row>
    <row r="2853" spans="1:27">
      <c r="A2853" s="3" t="s">
        <v>1464</v>
      </c>
      <c r="D2853" s="3" t="s">
        <v>3554</v>
      </c>
      <c r="E2853" s="3" t="s">
        <v>7126</v>
      </c>
      <c r="F2853" t="s">
        <v>3893</v>
      </c>
      <c r="H2853" t="s">
        <v>3888</v>
      </c>
      <c r="I2853" t="s">
        <v>3555</v>
      </c>
      <c r="T2853" s="9" t="str">
        <f t="shared" ca="1" si="104"/>
        <v/>
      </c>
      <c r="U2853" s="9" t="str">
        <f t="shared" ca="1" si="105"/>
        <v/>
      </c>
    </row>
    <row r="2854" spans="1:27">
      <c r="A2854" s="3" t="s">
        <v>1464</v>
      </c>
      <c r="D2854" s="3" t="s">
        <v>3556</v>
      </c>
      <c r="E2854" s="3" t="s">
        <v>3557</v>
      </c>
      <c r="J2854" s="9" t="s">
        <v>8729</v>
      </c>
      <c r="T2854" s="9" t="str">
        <f t="shared" ca="1" si="104"/>
        <v/>
      </c>
      <c r="U2854" s="9" t="str">
        <f t="shared" ca="1" si="105"/>
        <v/>
      </c>
      <c r="Z2854" s="9" t="s">
        <v>8804</v>
      </c>
      <c r="AA2854" s="9" t="s">
        <v>3884</v>
      </c>
    </row>
    <row r="2855" spans="1:27">
      <c r="A2855" s="3" t="s">
        <v>1465</v>
      </c>
      <c r="D2855" s="3" t="s">
        <v>7128</v>
      </c>
      <c r="E2855" s="3" t="s">
        <v>7129</v>
      </c>
      <c r="F2855" t="s">
        <v>3932</v>
      </c>
      <c r="I2855" t="s">
        <v>7127</v>
      </c>
      <c r="T2855" s="9" t="str">
        <f t="shared" ca="1" si="104"/>
        <v/>
      </c>
      <c r="U2855" s="9" t="str">
        <f t="shared" ca="1" si="105"/>
        <v/>
      </c>
    </row>
    <row r="2856" spans="1:27">
      <c r="A2856" s="3" t="s">
        <v>1465</v>
      </c>
      <c r="D2856" s="3" t="s">
        <v>7130</v>
      </c>
      <c r="E2856" s="3" t="s">
        <v>7131</v>
      </c>
      <c r="J2856" s="9" t="s">
        <v>8729</v>
      </c>
      <c r="S2856" s="9">
        <f>79-3678</f>
        <v>-3599</v>
      </c>
      <c r="T2856" s="9">
        <f t="shared" ca="1" si="104"/>
        <v>3678</v>
      </c>
      <c r="U2856" s="9">
        <f t="shared" ca="1" si="105"/>
        <v>79</v>
      </c>
    </row>
    <row r="2857" spans="1:27" ht="29">
      <c r="A2857" s="3" t="s">
        <v>1465</v>
      </c>
      <c r="D2857" s="3" t="s">
        <v>7132</v>
      </c>
      <c r="E2857" s="3" t="s">
        <v>7132</v>
      </c>
      <c r="F2857" t="s">
        <v>3932</v>
      </c>
      <c r="I2857" t="s">
        <v>7133</v>
      </c>
      <c r="T2857" s="9" t="str">
        <f t="shared" ca="1" si="104"/>
        <v/>
      </c>
      <c r="U2857" s="9" t="str">
        <f t="shared" ca="1" si="105"/>
        <v/>
      </c>
    </row>
    <row r="2858" spans="1:27">
      <c r="A2858" s="3" t="s">
        <v>1465</v>
      </c>
      <c r="D2858" s="3" t="s">
        <v>3550</v>
      </c>
      <c r="E2858" s="3" t="s">
        <v>3550</v>
      </c>
      <c r="F2858" t="s">
        <v>3932</v>
      </c>
      <c r="I2858" t="s">
        <v>7112</v>
      </c>
      <c r="T2858" s="9" t="str">
        <f t="shared" ca="1" si="104"/>
        <v/>
      </c>
      <c r="U2858" s="9" t="str">
        <f t="shared" ca="1" si="105"/>
        <v/>
      </c>
    </row>
    <row r="2859" spans="1:27" ht="29">
      <c r="A2859" s="3" t="s">
        <v>1466</v>
      </c>
      <c r="D2859" s="3" t="s">
        <v>7134</v>
      </c>
      <c r="E2859" s="3" t="s">
        <v>9121</v>
      </c>
      <c r="H2859" t="s">
        <v>3884</v>
      </c>
      <c r="J2859" s="9" t="s">
        <v>3885</v>
      </c>
      <c r="K2859" s="9">
        <v>1</v>
      </c>
      <c r="L2859" s="9">
        <v>2</v>
      </c>
      <c r="M2859" s="9" t="s">
        <v>8736</v>
      </c>
      <c r="N2859" s="9" t="s">
        <v>8730</v>
      </c>
      <c r="R2859" s="9">
        <v>645</v>
      </c>
      <c r="T2859" s="9" t="str">
        <f t="shared" ca="1" si="104"/>
        <v/>
      </c>
      <c r="U2859" s="9" t="str">
        <f t="shared" ca="1" si="105"/>
        <v/>
      </c>
    </row>
    <row r="2860" spans="1:27" ht="29">
      <c r="A2860" s="3" t="s">
        <v>1466</v>
      </c>
      <c r="D2860" s="3" t="s">
        <v>7135</v>
      </c>
      <c r="E2860" s="3" t="s">
        <v>7136</v>
      </c>
      <c r="H2860" t="s">
        <v>3892</v>
      </c>
      <c r="I2860" t="s">
        <v>7112</v>
      </c>
      <c r="J2860" s="9" t="s">
        <v>8729</v>
      </c>
      <c r="S2860" s="9" t="s">
        <v>8739</v>
      </c>
      <c r="T2860" s="9" t="str">
        <f t="shared" ca="1" si="104"/>
        <v/>
      </c>
      <c r="U2860" s="9" t="str">
        <f t="shared" ca="1" si="105"/>
        <v/>
      </c>
      <c r="Y2860" s="9" t="s">
        <v>8735</v>
      </c>
      <c r="AA2860" s="9" t="s">
        <v>3884</v>
      </c>
    </row>
    <row r="2861" spans="1:27" ht="29">
      <c r="A2861" s="3" t="s">
        <v>1466</v>
      </c>
      <c r="D2861" s="3" t="s">
        <v>7137</v>
      </c>
      <c r="E2861" s="3" t="s">
        <v>7137</v>
      </c>
      <c r="F2861" t="s">
        <v>3932</v>
      </c>
      <c r="I2861" t="s">
        <v>7139</v>
      </c>
      <c r="T2861" s="9" t="str">
        <f t="shared" ca="1" si="104"/>
        <v/>
      </c>
      <c r="U2861" s="9" t="str">
        <f t="shared" ca="1" si="105"/>
        <v/>
      </c>
    </row>
    <row r="2862" spans="1:27" ht="29">
      <c r="A2862" s="3" t="s">
        <v>1466</v>
      </c>
      <c r="D2862" s="3" t="s">
        <v>7138</v>
      </c>
      <c r="E2862" s="3" t="s">
        <v>7138</v>
      </c>
      <c r="F2862" t="s">
        <v>3932</v>
      </c>
      <c r="I2862" t="s">
        <v>7112</v>
      </c>
      <c r="T2862" s="9" t="str">
        <f t="shared" ca="1" si="104"/>
        <v/>
      </c>
      <c r="U2862" s="9" t="str">
        <f t="shared" ca="1" si="105"/>
        <v/>
      </c>
    </row>
    <row r="2863" spans="1:27">
      <c r="A2863" s="3" t="s">
        <v>1467</v>
      </c>
      <c r="D2863" s="3" t="s">
        <v>7140</v>
      </c>
      <c r="E2863" s="3" t="s">
        <v>7140</v>
      </c>
      <c r="F2863" t="s">
        <v>3932</v>
      </c>
      <c r="I2863" t="s">
        <v>7141</v>
      </c>
      <c r="T2863" s="9" t="str">
        <f t="shared" ca="1" si="104"/>
        <v/>
      </c>
      <c r="U2863" s="9" t="str">
        <f t="shared" ca="1" si="105"/>
        <v/>
      </c>
    </row>
    <row r="2864" spans="1:27" ht="29">
      <c r="A2864" s="3" t="s">
        <v>1467</v>
      </c>
      <c r="D2864" s="3" t="s">
        <v>7142</v>
      </c>
      <c r="E2864" s="3" t="s">
        <v>7142</v>
      </c>
      <c r="F2864" t="s">
        <v>3932</v>
      </c>
      <c r="I2864" t="s">
        <v>7143</v>
      </c>
      <c r="T2864" s="9" t="str">
        <f t="shared" ca="1" si="104"/>
        <v/>
      </c>
      <c r="U2864" s="9" t="str">
        <f t="shared" ca="1" si="105"/>
        <v/>
      </c>
    </row>
    <row r="2865" spans="1:28">
      <c r="A2865" s="3" t="s">
        <v>1468</v>
      </c>
      <c r="D2865" s="3" t="s">
        <v>7145</v>
      </c>
      <c r="E2865" s="3" t="s">
        <v>7145</v>
      </c>
      <c r="F2865" t="s">
        <v>3932</v>
      </c>
      <c r="I2865" t="s">
        <v>7144</v>
      </c>
      <c r="T2865" s="9" t="str">
        <f t="shared" ca="1" si="104"/>
        <v/>
      </c>
      <c r="U2865" s="9" t="str">
        <f t="shared" ca="1" si="105"/>
        <v/>
      </c>
    </row>
    <row r="2866" spans="1:28">
      <c r="A2866" s="3" t="s">
        <v>1469</v>
      </c>
      <c r="D2866" s="3" t="s">
        <v>7146</v>
      </c>
      <c r="E2866" s="3" t="s">
        <v>7148</v>
      </c>
      <c r="J2866" s="9" t="s">
        <v>8732</v>
      </c>
      <c r="S2866" s="9">
        <f>1485-7</f>
        <v>1478</v>
      </c>
      <c r="T2866" s="9">
        <f t="shared" ca="1" si="104"/>
        <v>7</v>
      </c>
      <c r="U2866" s="9">
        <f t="shared" ca="1" si="105"/>
        <v>1485</v>
      </c>
      <c r="Z2866" s="9" t="s">
        <v>8757</v>
      </c>
      <c r="AA2866" s="9" t="s">
        <v>3884</v>
      </c>
      <c r="AB2866" s="9" t="s">
        <v>8700</v>
      </c>
    </row>
    <row r="2867" spans="1:28" ht="29">
      <c r="A2867" s="3" t="s">
        <v>1469</v>
      </c>
      <c r="D2867" s="3" t="s">
        <v>7149</v>
      </c>
      <c r="E2867" s="3" t="s">
        <v>7150</v>
      </c>
      <c r="J2867" s="9" t="s">
        <v>8732</v>
      </c>
      <c r="S2867" s="9">
        <f>1485-7</f>
        <v>1478</v>
      </c>
      <c r="T2867" s="9">
        <f t="shared" ca="1" si="104"/>
        <v>7</v>
      </c>
      <c r="U2867" s="9">
        <f t="shared" ca="1" si="105"/>
        <v>1485</v>
      </c>
      <c r="Z2867" s="9" t="s">
        <v>8757</v>
      </c>
      <c r="AA2867" s="9" t="s">
        <v>3884</v>
      </c>
      <c r="AB2867" s="9" t="s">
        <v>8700</v>
      </c>
    </row>
    <row r="2868" spans="1:28" ht="29">
      <c r="A2868" s="3" t="s">
        <v>1469</v>
      </c>
      <c r="D2868" s="3" t="s">
        <v>7151</v>
      </c>
      <c r="E2868" s="4" t="s">
        <v>7147</v>
      </c>
      <c r="F2868" t="s">
        <v>3897</v>
      </c>
      <c r="T2868" s="9" t="str">
        <f t="shared" ca="1" si="104"/>
        <v/>
      </c>
      <c r="U2868" s="9" t="str">
        <f t="shared" ca="1" si="105"/>
        <v/>
      </c>
    </row>
    <row r="2869" spans="1:28">
      <c r="A2869" s="3" t="s">
        <v>1470</v>
      </c>
      <c r="D2869" s="3" t="s">
        <v>7152</v>
      </c>
      <c r="E2869" s="3" t="s">
        <v>7152</v>
      </c>
      <c r="F2869" t="s">
        <v>3932</v>
      </c>
      <c r="I2869" t="s">
        <v>7153</v>
      </c>
      <c r="T2869" s="9" t="str">
        <f t="shared" ca="1" si="104"/>
        <v/>
      </c>
      <c r="U2869" s="9" t="str">
        <f t="shared" ca="1" si="105"/>
        <v/>
      </c>
    </row>
    <row r="2870" spans="1:28">
      <c r="A2870" s="3" t="s">
        <v>1470</v>
      </c>
      <c r="D2870" s="3" t="s">
        <v>3461</v>
      </c>
      <c r="E2870" s="3" t="s">
        <v>3558</v>
      </c>
      <c r="J2870" s="9" t="s">
        <v>8731</v>
      </c>
      <c r="T2870" s="9" t="str">
        <f t="shared" ca="1" si="104"/>
        <v/>
      </c>
      <c r="U2870" s="9" t="str">
        <f t="shared" ca="1" si="105"/>
        <v/>
      </c>
      <c r="Z2870" s="9" t="s">
        <v>9280</v>
      </c>
      <c r="AA2870" s="9" t="s">
        <v>3891</v>
      </c>
    </row>
    <row r="2871" spans="1:28" ht="29">
      <c r="A2871" s="3" t="s">
        <v>1470</v>
      </c>
      <c r="D2871" s="3" t="s">
        <v>7154</v>
      </c>
      <c r="E2871" s="4" t="s">
        <v>7155</v>
      </c>
      <c r="F2871" t="s">
        <v>3897</v>
      </c>
      <c r="T2871" s="9" t="str">
        <f t="shared" ca="1" si="104"/>
        <v/>
      </c>
      <c r="U2871" s="9" t="str">
        <f t="shared" ca="1" si="105"/>
        <v/>
      </c>
    </row>
    <row r="2872" spans="1:28">
      <c r="A2872" s="3" t="s">
        <v>1471</v>
      </c>
      <c r="D2872" s="3" t="s">
        <v>3550</v>
      </c>
      <c r="E2872" s="3" t="s">
        <v>3550</v>
      </c>
      <c r="F2872" t="s">
        <v>3932</v>
      </c>
      <c r="I2872" t="s">
        <v>7112</v>
      </c>
      <c r="T2872" s="9" t="str">
        <f t="shared" ca="1" si="104"/>
        <v/>
      </c>
      <c r="U2872" s="9" t="str">
        <f t="shared" ca="1" si="105"/>
        <v/>
      </c>
    </row>
    <row r="2873" spans="1:28">
      <c r="A2873" s="3" t="s">
        <v>1472</v>
      </c>
      <c r="D2873" s="3" t="s">
        <v>3559</v>
      </c>
      <c r="E2873" s="3" t="s">
        <v>3560</v>
      </c>
      <c r="J2873" s="9" t="s">
        <v>8729</v>
      </c>
      <c r="S2873" s="9" t="s">
        <v>8739</v>
      </c>
      <c r="T2873" s="9" t="str">
        <f t="shared" ca="1" si="104"/>
        <v/>
      </c>
      <c r="U2873" s="9" t="str">
        <f t="shared" ca="1" si="105"/>
        <v/>
      </c>
      <c r="Z2873" s="9" t="s">
        <v>9280</v>
      </c>
      <c r="AA2873" s="9" t="s">
        <v>3891</v>
      </c>
      <c r="AB2873" s="9" t="s">
        <v>8697</v>
      </c>
    </row>
    <row r="2874" spans="1:28" ht="29">
      <c r="A2874" s="3" t="s">
        <v>1472</v>
      </c>
      <c r="D2874" s="3" t="s">
        <v>7157</v>
      </c>
      <c r="E2874" s="3" t="s">
        <v>7156</v>
      </c>
      <c r="F2874" t="s">
        <v>3932</v>
      </c>
      <c r="I2874" t="s">
        <v>7158</v>
      </c>
      <c r="T2874" s="9" t="str">
        <f t="shared" ca="1" si="104"/>
        <v/>
      </c>
      <c r="U2874" s="9" t="str">
        <f t="shared" ca="1" si="105"/>
        <v/>
      </c>
    </row>
    <row r="2875" spans="1:28" ht="29">
      <c r="A2875" s="3" t="s">
        <v>1472</v>
      </c>
      <c r="D2875" s="3" t="s">
        <v>7159</v>
      </c>
      <c r="E2875" s="3" t="s">
        <v>7160</v>
      </c>
      <c r="F2875" t="s">
        <v>3893</v>
      </c>
      <c r="H2875" t="s">
        <v>3892</v>
      </c>
      <c r="I2875" t="s">
        <v>7161</v>
      </c>
      <c r="T2875" s="9" t="str">
        <f t="shared" ca="1" si="104"/>
        <v/>
      </c>
      <c r="U2875" s="9" t="str">
        <f t="shared" ca="1" si="105"/>
        <v/>
      </c>
    </row>
    <row r="2876" spans="1:28" ht="29">
      <c r="A2876" s="3" t="s">
        <v>1473</v>
      </c>
      <c r="D2876" s="3" t="s">
        <v>7162</v>
      </c>
      <c r="E2876" s="3" t="s">
        <v>7163</v>
      </c>
      <c r="F2876" t="s">
        <v>3932</v>
      </c>
      <c r="I2876" t="s">
        <v>7164</v>
      </c>
      <c r="T2876" s="9" t="str">
        <f t="shared" ca="1" si="104"/>
        <v/>
      </c>
      <c r="U2876" s="9" t="str">
        <f t="shared" ca="1" si="105"/>
        <v/>
      </c>
    </row>
    <row r="2877" spans="1:28" ht="43.5">
      <c r="A2877" s="3" t="s">
        <v>1473</v>
      </c>
      <c r="D2877" s="3" t="s">
        <v>7165</v>
      </c>
      <c r="E2877" s="3" t="s">
        <v>7166</v>
      </c>
      <c r="H2877" t="s">
        <v>3884</v>
      </c>
      <c r="J2877" s="9" t="s">
        <v>8729</v>
      </c>
      <c r="S2877" s="9" t="s">
        <v>8739</v>
      </c>
      <c r="T2877" s="9" t="str">
        <f t="shared" ca="1" si="104"/>
        <v/>
      </c>
      <c r="U2877" s="9" t="str">
        <f t="shared" ca="1" si="105"/>
        <v/>
      </c>
      <c r="AB2877" s="9" t="s">
        <v>8688</v>
      </c>
    </row>
    <row r="2878" spans="1:28">
      <c r="A2878" s="3" t="s">
        <v>1474</v>
      </c>
      <c r="D2878" s="3" t="s">
        <v>7167</v>
      </c>
      <c r="E2878" s="3" t="s">
        <v>7168</v>
      </c>
      <c r="H2878" t="s">
        <v>3884</v>
      </c>
      <c r="J2878" s="9" t="s">
        <v>8731</v>
      </c>
      <c r="T2878" s="9" t="str">
        <f t="shared" ca="1" si="104"/>
        <v/>
      </c>
      <c r="U2878" s="9" t="str">
        <f t="shared" ca="1" si="105"/>
        <v/>
      </c>
      <c r="AB2878" s="9" t="s">
        <v>8694</v>
      </c>
    </row>
    <row r="2879" spans="1:28" ht="29">
      <c r="A2879" s="3" t="s">
        <v>1474</v>
      </c>
      <c r="D2879" s="3" t="s">
        <v>7169</v>
      </c>
      <c r="E2879" s="3" t="s">
        <v>7170</v>
      </c>
      <c r="J2879" s="9" t="s">
        <v>8731</v>
      </c>
      <c r="T2879" s="9" t="str">
        <f t="shared" ca="1" si="104"/>
        <v/>
      </c>
      <c r="U2879" s="9" t="str">
        <f t="shared" ca="1" si="105"/>
        <v/>
      </c>
      <c r="Z2879" s="9" t="s">
        <v>8741</v>
      </c>
      <c r="AA2879" s="9" t="s">
        <v>3884</v>
      </c>
      <c r="AB2879" s="9" t="s">
        <v>8697</v>
      </c>
    </row>
    <row r="2880" spans="1:28" ht="29">
      <c r="A2880" s="3" t="s">
        <v>1474</v>
      </c>
      <c r="D2880" s="3" t="s">
        <v>7171</v>
      </c>
      <c r="E2880" s="3" t="s">
        <v>7172</v>
      </c>
      <c r="F2880" t="s">
        <v>3932</v>
      </c>
      <c r="I2880" t="s">
        <v>7173</v>
      </c>
      <c r="T2880" s="9" t="str">
        <f t="shared" ca="1" si="104"/>
        <v/>
      </c>
      <c r="U2880" s="9" t="str">
        <f t="shared" ca="1" si="105"/>
        <v/>
      </c>
    </row>
    <row r="2881" spans="1:28">
      <c r="A2881" s="3" t="s">
        <v>1474</v>
      </c>
      <c r="D2881" s="3" t="s">
        <v>7174</v>
      </c>
      <c r="E2881" s="3" t="s">
        <v>9122</v>
      </c>
      <c r="J2881" s="9" t="s">
        <v>8731</v>
      </c>
      <c r="T2881" s="9" t="str">
        <f t="shared" ca="1" si="104"/>
        <v/>
      </c>
      <c r="U2881" s="9" t="str">
        <f t="shared" ca="1" si="105"/>
        <v/>
      </c>
      <c r="Z2881" s="9" t="s">
        <v>8757</v>
      </c>
      <c r="AA2881" s="9" t="s">
        <v>3884</v>
      </c>
    </row>
    <row r="2882" spans="1:28" ht="29">
      <c r="A2882" s="3" t="s">
        <v>1474</v>
      </c>
      <c r="D2882" s="3" t="s">
        <v>7175</v>
      </c>
      <c r="E2882" s="3" t="s">
        <v>7176</v>
      </c>
      <c r="F2882" t="s">
        <v>3932</v>
      </c>
      <c r="I2882" t="s">
        <v>7179</v>
      </c>
      <c r="T2882" s="9" t="str">
        <f t="shared" ref="T2882:T2945" ca="1" si="106">IF(ISNUMBER(S2882),VALUE(MID(_xlfn.FORMULATEXT(S2882),SEARCH("-",_xlfn.FORMULATEXT(S2882))+1,LEN(_xlfn.FORMULATEXT(S2882))-SEARCH("-",_xlfn.FORMULATEXT(S2882)))), "")</f>
        <v/>
      </c>
      <c r="U2882" s="9" t="str">
        <f t="shared" ref="U2882:U2945" ca="1" si="107">IF(ISNUMBER(S2882), VALUE(MID(_xlfn.FORMULATEXT(S2882), 2, SEARCH("-", _xlfn.FORMULATEXT(S2882)) - 2)), "")</f>
        <v/>
      </c>
    </row>
    <row r="2883" spans="1:28" ht="29">
      <c r="A2883" s="3" t="s">
        <v>1474</v>
      </c>
      <c r="D2883" s="3" t="s">
        <v>7177</v>
      </c>
      <c r="E2883" s="3" t="s">
        <v>7178</v>
      </c>
      <c r="J2883" s="9" t="s">
        <v>8731</v>
      </c>
      <c r="T2883" s="9" t="str">
        <f t="shared" ca="1" si="106"/>
        <v/>
      </c>
      <c r="U2883" s="9" t="str">
        <f t="shared" ca="1" si="107"/>
        <v/>
      </c>
      <c r="Z2883" s="9" t="s">
        <v>8757</v>
      </c>
      <c r="AA2883" s="9" t="s">
        <v>3884</v>
      </c>
    </row>
    <row r="2884" spans="1:28">
      <c r="A2884" s="3" t="s">
        <v>1475</v>
      </c>
      <c r="D2884" s="3" t="s">
        <v>4666</v>
      </c>
      <c r="E2884" s="3" t="s">
        <v>3561</v>
      </c>
      <c r="H2884" t="s">
        <v>3884</v>
      </c>
      <c r="J2884" s="9" t="s">
        <v>8731</v>
      </c>
      <c r="T2884" s="9" t="str">
        <f t="shared" ca="1" si="106"/>
        <v/>
      </c>
      <c r="U2884" s="9" t="str">
        <f t="shared" ca="1" si="107"/>
        <v/>
      </c>
      <c r="Z2884" s="9" t="s">
        <v>8832</v>
      </c>
      <c r="AA2884" s="9" t="s">
        <v>3884</v>
      </c>
      <c r="AB2884" s="9" t="s">
        <v>8688</v>
      </c>
    </row>
    <row r="2885" spans="1:28">
      <c r="A2885" s="3" t="s">
        <v>1475</v>
      </c>
      <c r="D2885" s="3" t="s">
        <v>7180</v>
      </c>
      <c r="E2885" s="3" t="s">
        <v>7180</v>
      </c>
      <c r="F2885" t="s">
        <v>3932</v>
      </c>
      <c r="I2885" t="s">
        <v>7181</v>
      </c>
      <c r="T2885" s="9" t="str">
        <f t="shared" ca="1" si="106"/>
        <v/>
      </c>
      <c r="U2885" s="9" t="str">
        <f t="shared" ca="1" si="107"/>
        <v/>
      </c>
    </row>
    <row r="2886" spans="1:28" ht="29">
      <c r="A2886" s="3" t="s">
        <v>1476</v>
      </c>
      <c r="D2886" s="3" t="s">
        <v>7182</v>
      </c>
      <c r="E2886" s="3" t="s">
        <v>7183</v>
      </c>
      <c r="H2886" t="s">
        <v>3884</v>
      </c>
      <c r="J2886" s="9" t="s">
        <v>8731</v>
      </c>
      <c r="T2886" s="9" t="str">
        <f t="shared" ca="1" si="106"/>
        <v/>
      </c>
      <c r="U2886" s="9" t="str">
        <f t="shared" ca="1" si="107"/>
        <v/>
      </c>
      <c r="AB2886" s="9" t="s">
        <v>8688</v>
      </c>
    </row>
    <row r="2887" spans="1:28" ht="29">
      <c r="A2887" s="3" t="s">
        <v>1476</v>
      </c>
      <c r="D2887" s="3" t="s">
        <v>7184</v>
      </c>
      <c r="E2887" s="3" t="s">
        <v>7185</v>
      </c>
      <c r="F2887" t="s">
        <v>3932</v>
      </c>
      <c r="I2887" t="s">
        <v>7186</v>
      </c>
      <c r="T2887" s="9" t="str">
        <f t="shared" ca="1" si="106"/>
        <v/>
      </c>
      <c r="U2887" s="9" t="str">
        <f t="shared" ca="1" si="107"/>
        <v/>
      </c>
    </row>
    <row r="2888" spans="1:28">
      <c r="A2888" s="3" t="s">
        <v>1476</v>
      </c>
      <c r="D2888" s="3" t="s">
        <v>7187</v>
      </c>
      <c r="E2888" s="3" t="s">
        <v>7188</v>
      </c>
      <c r="H2888" t="s">
        <v>3884</v>
      </c>
      <c r="J2888" s="9" t="s">
        <v>8731</v>
      </c>
      <c r="T2888" s="9" t="str">
        <f t="shared" ca="1" si="106"/>
        <v/>
      </c>
      <c r="U2888" s="9" t="str">
        <f t="shared" ca="1" si="107"/>
        <v/>
      </c>
      <c r="AB2888" s="9" t="s">
        <v>8688</v>
      </c>
    </row>
    <row r="2889" spans="1:28">
      <c r="A2889" s="3" t="s">
        <v>1476</v>
      </c>
      <c r="D2889" s="3" t="s">
        <v>7189</v>
      </c>
      <c r="E2889" s="3" t="s">
        <v>7190</v>
      </c>
      <c r="J2889" s="9" t="s">
        <v>8731</v>
      </c>
      <c r="T2889" s="9" t="str">
        <f t="shared" ca="1" si="106"/>
        <v/>
      </c>
      <c r="U2889" s="9" t="str">
        <f t="shared" ca="1" si="107"/>
        <v/>
      </c>
    </row>
    <row r="2890" spans="1:28">
      <c r="A2890" s="3" t="s">
        <v>1477</v>
      </c>
      <c r="D2890" s="3" t="s">
        <v>2434</v>
      </c>
      <c r="E2890" s="3" t="s">
        <v>2435</v>
      </c>
      <c r="J2890" s="9" t="s">
        <v>8731</v>
      </c>
      <c r="T2890" s="9" t="str">
        <f t="shared" ca="1" si="106"/>
        <v/>
      </c>
      <c r="U2890" s="9" t="str">
        <f t="shared" ca="1" si="107"/>
        <v/>
      </c>
      <c r="Z2890" s="9" t="s">
        <v>8757</v>
      </c>
      <c r="AA2890" s="9" t="s">
        <v>3884</v>
      </c>
      <c r="AB2890" s="9" t="s">
        <v>8694</v>
      </c>
    </row>
    <row r="2891" spans="1:28">
      <c r="A2891" s="3" t="s">
        <v>1477</v>
      </c>
      <c r="D2891" s="3" t="s">
        <v>3562</v>
      </c>
      <c r="E2891" s="3" t="s">
        <v>3563</v>
      </c>
      <c r="H2891" t="s">
        <v>3892</v>
      </c>
      <c r="I2891" t="s">
        <v>7191</v>
      </c>
      <c r="J2891" s="9" t="s">
        <v>8731</v>
      </c>
      <c r="T2891" s="9" t="str">
        <f t="shared" ca="1" si="106"/>
        <v/>
      </c>
      <c r="U2891" s="9" t="str">
        <f t="shared" ca="1" si="107"/>
        <v/>
      </c>
      <c r="Z2891" s="9" t="s">
        <v>8757</v>
      </c>
      <c r="AA2891" s="9" t="s">
        <v>3884</v>
      </c>
      <c r="AB2891" s="9" t="s">
        <v>8694</v>
      </c>
    </row>
    <row r="2892" spans="1:28">
      <c r="A2892" s="3" t="s">
        <v>1477</v>
      </c>
      <c r="D2892" s="3" t="s">
        <v>7192</v>
      </c>
      <c r="E2892" s="3" t="s">
        <v>7193</v>
      </c>
      <c r="F2892" t="s">
        <v>3932</v>
      </c>
      <c r="I2892" t="s">
        <v>7194</v>
      </c>
      <c r="T2892" s="9" t="str">
        <f t="shared" ca="1" si="106"/>
        <v/>
      </c>
      <c r="U2892" s="9" t="str">
        <f t="shared" ca="1" si="107"/>
        <v/>
      </c>
    </row>
    <row r="2893" spans="1:28">
      <c r="A2893" s="3" t="s">
        <v>1477</v>
      </c>
      <c r="D2893" s="3" t="s">
        <v>3564</v>
      </c>
      <c r="E2893" s="3" t="s">
        <v>3565</v>
      </c>
      <c r="J2893" s="9" t="s">
        <v>8731</v>
      </c>
      <c r="T2893" s="9" t="str">
        <f t="shared" ca="1" si="106"/>
        <v/>
      </c>
      <c r="U2893" s="9" t="str">
        <f t="shared" ca="1" si="107"/>
        <v/>
      </c>
      <c r="Z2893" s="9" t="s">
        <v>8757</v>
      </c>
      <c r="AA2893" s="9" t="s">
        <v>3884</v>
      </c>
      <c r="AB2893" s="9" t="s">
        <v>8697</v>
      </c>
    </row>
    <row r="2894" spans="1:28">
      <c r="A2894" s="3" t="s">
        <v>1478</v>
      </c>
      <c r="D2894" s="3" t="s">
        <v>7195</v>
      </c>
      <c r="E2894" s="3" t="s">
        <v>7195</v>
      </c>
      <c r="F2894" t="s">
        <v>3932</v>
      </c>
      <c r="I2894" t="s">
        <v>7196</v>
      </c>
      <c r="T2894" s="9" t="str">
        <f t="shared" ca="1" si="106"/>
        <v/>
      </c>
      <c r="U2894" s="9" t="str">
        <f t="shared" ca="1" si="107"/>
        <v/>
      </c>
    </row>
    <row r="2895" spans="1:28">
      <c r="A2895" s="3" t="s">
        <v>1478</v>
      </c>
      <c r="D2895" s="3" t="s">
        <v>7197</v>
      </c>
      <c r="E2895" s="3" t="s">
        <v>7198</v>
      </c>
      <c r="H2895" t="s">
        <v>3892</v>
      </c>
      <c r="I2895" t="s">
        <v>7199</v>
      </c>
      <c r="J2895" s="9" t="s">
        <v>8729</v>
      </c>
      <c r="S2895" s="9" t="s">
        <v>8739</v>
      </c>
      <c r="T2895" s="9" t="str">
        <f t="shared" ca="1" si="106"/>
        <v/>
      </c>
      <c r="U2895" s="9" t="str">
        <f t="shared" ca="1" si="107"/>
        <v/>
      </c>
      <c r="AB2895" s="9" t="s">
        <v>8697</v>
      </c>
    </row>
    <row r="2896" spans="1:28">
      <c r="A2896" s="3" t="s">
        <v>1479</v>
      </c>
      <c r="D2896" s="3" t="s">
        <v>7200</v>
      </c>
      <c r="E2896" s="3" t="s">
        <v>7201</v>
      </c>
      <c r="H2896" t="s">
        <v>3884</v>
      </c>
      <c r="J2896" s="9" t="s">
        <v>3885</v>
      </c>
      <c r="K2896" s="9">
        <v>1</v>
      </c>
      <c r="L2896" s="9">
        <v>1</v>
      </c>
      <c r="M2896" s="9" t="s">
        <v>8683</v>
      </c>
      <c r="N2896" s="9" t="s">
        <v>8730</v>
      </c>
      <c r="Q2896" s="9" t="s">
        <v>8685</v>
      </c>
      <c r="R2896" s="9">
        <v>21</v>
      </c>
      <c r="T2896" s="9" t="str">
        <f t="shared" ca="1" si="106"/>
        <v/>
      </c>
      <c r="U2896" s="9" t="str">
        <f t="shared" ca="1" si="107"/>
        <v/>
      </c>
      <c r="AB2896" s="9" t="s">
        <v>8694</v>
      </c>
    </row>
    <row r="2897" spans="1:28">
      <c r="A2897" s="3" t="s">
        <v>1479</v>
      </c>
      <c r="D2897" s="3" t="s">
        <v>3562</v>
      </c>
      <c r="E2897" s="3" t="s">
        <v>3566</v>
      </c>
      <c r="J2897" s="9" t="s">
        <v>8731</v>
      </c>
      <c r="T2897" s="9" t="str">
        <f t="shared" ca="1" si="106"/>
        <v/>
      </c>
      <c r="U2897" s="9" t="str">
        <f t="shared" ca="1" si="107"/>
        <v/>
      </c>
      <c r="Z2897" s="9" t="s">
        <v>8757</v>
      </c>
      <c r="AA2897" s="9" t="s">
        <v>3884</v>
      </c>
    </row>
    <row r="2898" spans="1:28">
      <c r="A2898" s="3" t="s">
        <v>1480</v>
      </c>
      <c r="D2898" s="3" t="s">
        <v>7202</v>
      </c>
      <c r="E2898" s="3" t="s">
        <v>7202</v>
      </c>
      <c r="F2898" t="s">
        <v>3932</v>
      </c>
      <c r="I2898" t="s">
        <v>3567</v>
      </c>
      <c r="T2898" s="9" t="str">
        <f t="shared" ca="1" si="106"/>
        <v/>
      </c>
      <c r="U2898" s="9" t="str">
        <f t="shared" ca="1" si="107"/>
        <v/>
      </c>
    </row>
    <row r="2899" spans="1:28">
      <c r="A2899" s="3" t="s">
        <v>1480</v>
      </c>
      <c r="D2899" s="3" t="s">
        <v>3568</v>
      </c>
      <c r="E2899" s="3" t="s">
        <v>3569</v>
      </c>
      <c r="J2899" s="9" t="s">
        <v>8731</v>
      </c>
      <c r="T2899" s="9" t="str">
        <f t="shared" ca="1" si="106"/>
        <v/>
      </c>
      <c r="U2899" s="9" t="str">
        <f t="shared" ca="1" si="107"/>
        <v/>
      </c>
      <c r="Z2899" s="9" t="s">
        <v>8741</v>
      </c>
      <c r="AA2899" s="9" t="s">
        <v>3884</v>
      </c>
    </row>
    <row r="2900" spans="1:28">
      <c r="A2900" s="3" t="s">
        <v>1481</v>
      </c>
      <c r="D2900" s="3" t="s">
        <v>3570</v>
      </c>
      <c r="E2900" s="3" t="s">
        <v>3570</v>
      </c>
      <c r="F2900" t="s">
        <v>3932</v>
      </c>
      <c r="I2900" t="s">
        <v>7203</v>
      </c>
      <c r="T2900" s="9" t="str">
        <f t="shared" ca="1" si="106"/>
        <v/>
      </c>
      <c r="U2900" s="9" t="str">
        <f t="shared" ca="1" si="107"/>
        <v/>
      </c>
    </row>
    <row r="2901" spans="1:28">
      <c r="A2901" s="3" t="s">
        <v>1481</v>
      </c>
      <c r="D2901" s="3" t="s">
        <v>3571</v>
      </c>
      <c r="E2901" s="3" t="s">
        <v>3572</v>
      </c>
      <c r="J2901" s="9" t="s">
        <v>8729</v>
      </c>
      <c r="S2901" s="9" t="s">
        <v>8739</v>
      </c>
      <c r="T2901" s="9" t="str">
        <f t="shared" ca="1" si="106"/>
        <v/>
      </c>
      <c r="U2901" s="9" t="str">
        <f t="shared" ca="1" si="107"/>
        <v/>
      </c>
      <c r="Z2901" s="9" t="s">
        <v>8741</v>
      </c>
      <c r="AA2901" s="9" t="s">
        <v>3884</v>
      </c>
      <c r="AB2901" s="9" t="s">
        <v>8697</v>
      </c>
    </row>
    <row r="2902" spans="1:28">
      <c r="A2902" s="3" t="s">
        <v>1481</v>
      </c>
      <c r="D2902" s="3" t="s">
        <v>3573</v>
      </c>
      <c r="E2902" s="3" t="s">
        <v>3574</v>
      </c>
      <c r="J2902" s="9" t="s">
        <v>8731</v>
      </c>
      <c r="T2902" s="9" t="str">
        <f t="shared" ca="1" si="106"/>
        <v/>
      </c>
      <c r="U2902" s="9" t="str">
        <f t="shared" ca="1" si="107"/>
        <v/>
      </c>
      <c r="Z2902" s="9" t="s">
        <v>8757</v>
      </c>
      <c r="AA2902" s="9" t="s">
        <v>3884</v>
      </c>
    </row>
    <row r="2903" spans="1:28">
      <c r="A2903" s="3" t="s">
        <v>1482</v>
      </c>
      <c r="D2903" s="3" t="s">
        <v>2408</v>
      </c>
      <c r="E2903" s="3" t="s">
        <v>2409</v>
      </c>
      <c r="J2903" s="9" t="s">
        <v>8731</v>
      </c>
      <c r="T2903" s="9" t="str">
        <f t="shared" ca="1" si="106"/>
        <v/>
      </c>
      <c r="U2903" s="9" t="str">
        <f t="shared" ca="1" si="107"/>
        <v/>
      </c>
      <c r="Z2903" s="9" t="s">
        <v>8757</v>
      </c>
      <c r="AA2903" s="9" t="s">
        <v>3884</v>
      </c>
      <c r="AB2903" s="9" t="s">
        <v>8697</v>
      </c>
    </row>
    <row r="2904" spans="1:28" ht="29">
      <c r="A2904" s="3" t="s">
        <v>1483</v>
      </c>
      <c r="D2904" s="3" t="s">
        <v>7204</v>
      </c>
      <c r="E2904" s="3" t="s">
        <v>7205</v>
      </c>
      <c r="H2904" t="s">
        <v>3884</v>
      </c>
      <c r="J2904" s="9" t="s">
        <v>8729</v>
      </c>
      <c r="S2904" s="9" t="s">
        <v>8739</v>
      </c>
      <c r="T2904" s="9" t="str">
        <f t="shared" ca="1" si="106"/>
        <v/>
      </c>
      <c r="U2904" s="9" t="str">
        <f t="shared" ca="1" si="107"/>
        <v/>
      </c>
      <c r="AB2904" s="9" t="s">
        <v>8688</v>
      </c>
    </row>
    <row r="2905" spans="1:28">
      <c r="A2905" s="3" t="s">
        <v>1484</v>
      </c>
      <c r="D2905" s="3" t="s">
        <v>3575</v>
      </c>
      <c r="E2905" s="3" t="s">
        <v>3576</v>
      </c>
      <c r="J2905" s="9" t="s">
        <v>8731</v>
      </c>
      <c r="T2905" s="9" t="str">
        <f t="shared" ca="1" si="106"/>
        <v/>
      </c>
      <c r="U2905" s="9" t="str">
        <f t="shared" ca="1" si="107"/>
        <v/>
      </c>
      <c r="Z2905" s="9" t="s">
        <v>8757</v>
      </c>
      <c r="AA2905" s="9" t="s">
        <v>3884</v>
      </c>
    </row>
    <row r="2906" spans="1:28">
      <c r="A2906" s="3" t="s">
        <v>1485</v>
      </c>
      <c r="D2906" s="3" t="s">
        <v>7206</v>
      </c>
      <c r="E2906" s="3" t="s">
        <v>7207</v>
      </c>
      <c r="J2906" s="9" t="s">
        <v>8729</v>
      </c>
      <c r="S2906" s="9" t="s">
        <v>8739</v>
      </c>
      <c r="T2906" s="9" t="str">
        <f t="shared" ca="1" si="106"/>
        <v/>
      </c>
      <c r="U2906" s="9" t="str">
        <f t="shared" ca="1" si="107"/>
        <v/>
      </c>
      <c r="AB2906" s="9" t="s">
        <v>8697</v>
      </c>
    </row>
    <row r="2907" spans="1:28" ht="43.5">
      <c r="A2907" s="3" t="s">
        <v>1486</v>
      </c>
      <c r="D2907" s="3" t="s">
        <v>7208</v>
      </c>
      <c r="E2907" s="3" t="s">
        <v>7209</v>
      </c>
      <c r="H2907" t="s">
        <v>3884</v>
      </c>
      <c r="J2907" s="9" t="s">
        <v>8731</v>
      </c>
      <c r="T2907" s="9" t="str">
        <f t="shared" ca="1" si="106"/>
        <v/>
      </c>
      <c r="U2907" s="9" t="str">
        <f t="shared" ca="1" si="107"/>
        <v/>
      </c>
    </row>
    <row r="2908" spans="1:28" ht="43.5">
      <c r="A2908" s="3" t="s">
        <v>1486</v>
      </c>
      <c r="D2908" s="3" t="s">
        <v>7210</v>
      </c>
      <c r="E2908" s="3" t="s">
        <v>7211</v>
      </c>
      <c r="F2908" t="s">
        <v>3932</v>
      </c>
      <c r="I2908" t="s">
        <v>2004</v>
      </c>
      <c r="T2908" s="9" t="str">
        <f t="shared" ca="1" si="106"/>
        <v/>
      </c>
      <c r="U2908" s="9" t="str">
        <f t="shared" ca="1" si="107"/>
        <v/>
      </c>
    </row>
    <row r="2909" spans="1:28">
      <c r="A2909" s="3" t="s">
        <v>1487</v>
      </c>
      <c r="D2909" s="4" t="s">
        <v>7212</v>
      </c>
      <c r="E2909" s="3" t="s">
        <v>7213</v>
      </c>
      <c r="F2909" t="s">
        <v>3883</v>
      </c>
      <c r="T2909" s="9" t="str">
        <f t="shared" ca="1" si="106"/>
        <v/>
      </c>
      <c r="U2909" s="9" t="str">
        <f t="shared" ca="1" si="107"/>
        <v/>
      </c>
    </row>
    <row r="2910" spans="1:28">
      <c r="A2910" s="3" t="s">
        <v>1488</v>
      </c>
      <c r="D2910" s="3" t="s">
        <v>3484</v>
      </c>
      <c r="E2910" s="3" t="s">
        <v>3485</v>
      </c>
      <c r="J2910" s="9" t="s">
        <v>8731</v>
      </c>
      <c r="T2910" s="9" t="str">
        <f t="shared" ca="1" si="106"/>
        <v/>
      </c>
      <c r="U2910" s="9" t="str">
        <f t="shared" ca="1" si="107"/>
        <v/>
      </c>
      <c r="Z2910" s="9" t="s">
        <v>8757</v>
      </c>
      <c r="AA2910" s="9" t="s">
        <v>3884</v>
      </c>
      <c r="AB2910" s="9" t="s">
        <v>8697</v>
      </c>
    </row>
    <row r="2911" spans="1:28" ht="29">
      <c r="A2911" s="3" t="s">
        <v>1489</v>
      </c>
      <c r="D2911" s="3" t="s">
        <v>9123</v>
      </c>
      <c r="E2911" s="3" t="s">
        <v>7214</v>
      </c>
      <c r="J2911" s="9" t="s">
        <v>3889</v>
      </c>
      <c r="K2911" s="9">
        <v>1</v>
      </c>
      <c r="L2911" s="9">
        <v>3</v>
      </c>
      <c r="M2911" s="9" t="s">
        <v>8689</v>
      </c>
      <c r="N2911" s="9" t="s">
        <v>8690</v>
      </c>
      <c r="R2911" s="9">
        <v>10929</v>
      </c>
      <c r="T2911" s="9" t="str">
        <f t="shared" ca="1" si="106"/>
        <v/>
      </c>
      <c r="U2911" s="9" t="str">
        <f t="shared" ca="1" si="107"/>
        <v/>
      </c>
    </row>
    <row r="2912" spans="1:28" ht="29">
      <c r="A2912" s="3" t="s">
        <v>1489</v>
      </c>
      <c r="D2912" s="3" t="s">
        <v>9124</v>
      </c>
      <c r="E2912" s="3" t="s">
        <v>9125</v>
      </c>
      <c r="J2912" s="9" t="s">
        <v>8729</v>
      </c>
      <c r="S2912" s="9">
        <f>34-31</f>
        <v>3</v>
      </c>
      <c r="T2912" s="9">
        <f t="shared" ca="1" si="106"/>
        <v>31</v>
      </c>
      <c r="U2912" s="9">
        <f t="shared" ca="1" si="107"/>
        <v>34</v>
      </c>
    </row>
    <row r="2913" spans="1:28" ht="29">
      <c r="A2913" s="3" t="s">
        <v>1490</v>
      </c>
      <c r="D2913" s="4" t="s">
        <v>7215</v>
      </c>
      <c r="E2913" s="3" t="s">
        <v>7216</v>
      </c>
      <c r="F2913" t="s">
        <v>3883</v>
      </c>
      <c r="H2913" t="s">
        <v>3884</v>
      </c>
      <c r="T2913" s="9" t="str">
        <f t="shared" ca="1" si="106"/>
        <v/>
      </c>
      <c r="U2913" s="9" t="str">
        <f t="shared" ca="1" si="107"/>
        <v/>
      </c>
    </row>
    <row r="2914" spans="1:28">
      <c r="A2914" s="3" t="s">
        <v>1490</v>
      </c>
      <c r="D2914" s="3" t="s">
        <v>7217</v>
      </c>
      <c r="E2914" s="3" t="s">
        <v>7217</v>
      </c>
      <c r="F2914" t="s">
        <v>3932</v>
      </c>
      <c r="T2914" s="9" t="str">
        <f t="shared" ca="1" si="106"/>
        <v/>
      </c>
      <c r="U2914" s="9" t="str">
        <f t="shared" ca="1" si="107"/>
        <v/>
      </c>
    </row>
    <row r="2915" spans="1:28">
      <c r="A2915" s="3" t="s">
        <v>1491</v>
      </c>
      <c r="D2915" s="3" t="s">
        <v>7219</v>
      </c>
      <c r="E2915" s="3" t="s">
        <v>7219</v>
      </c>
      <c r="F2915" t="s">
        <v>3932</v>
      </c>
      <c r="T2915" s="9" t="str">
        <f t="shared" ca="1" si="106"/>
        <v/>
      </c>
      <c r="U2915" s="9" t="str">
        <f t="shared" ca="1" si="107"/>
        <v/>
      </c>
    </row>
    <row r="2916" spans="1:28" ht="29">
      <c r="A2916" s="3" t="s">
        <v>1491</v>
      </c>
      <c r="D2916" s="3" t="s">
        <v>7220</v>
      </c>
      <c r="E2916" s="3" t="s">
        <v>7221</v>
      </c>
      <c r="I2916" t="s">
        <v>9254</v>
      </c>
      <c r="J2916" s="9" t="s">
        <v>3889</v>
      </c>
      <c r="K2916" s="9">
        <v>2</v>
      </c>
      <c r="L2916" s="9">
        <v>11</v>
      </c>
      <c r="N2916" s="9" t="s">
        <v>8684</v>
      </c>
      <c r="O2916" s="9" t="s">
        <v>9082</v>
      </c>
      <c r="P2916" s="10" t="s">
        <v>8778</v>
      </c>
      <c r="R2916" s="9">
        <v>152</v>
      </c>
      <c r="T2916" s="9" t="str">
        <f t="shared" ca="1" si="106"/>
        <v/>
      </c>
      <c r="U2916" s="9" t="str">
        <f t="shared" ca="1" si="107"/>
        <v/>
      </c>
      <c r="V2916" s="9" t="s">
        <v>8728</v>
      </c>
    </row>
    <row r="2917" spans="1:28">
      <c r="A2917" s="3" t="s">
        <v>1492</v>
      </c>
      <c r="D2917" s="3" t="s">
        <v>7222</v>
      </c>
      <c r="E2917" s="3" t="s">
        <v>7223</v>
      </c>
      <c r="H2917" t="s">
        <v>3884</v>
      </c>
      <c r="J2917" s="9" t="s">
        <v>8729</v>
      </c>
      <c r="S2917" s="9" t="s">
        <v>8730</v>
      </c>
      <c r="T2917" s="9" t="str">
        <f t="shared" ca="1" si="106"/>
        <v/>
      </c>
      <c r="U2917" s="9" t="str">
        <f t="shared" ca="1" si="107"/>
        <v/>
      </c>
      <c r="AB2917" s="9" t="s">
        <v>8688</v>
      </c>
    </row>
    <row r="2918" spans="1:28">
      <c r="A2918" s="3" t="s">
        <v>1492</v>
      </c>
      <c r="D2918" s="3" t="s">
        <v>7224</v>
      </c>
      <c r="E2918" s="3" t="s">
        <v>7224</v>
      </c>
      <c r="F2918" t="s">
        <v>3932</v>
      </c>
      <c r="T2918" s="9" t="str">
        <f t="shared" ca="1" si="106"/>
        <v/>
      </c>
      <c r="U2918" s="9" t="str">
        <f t="shared" ca="1" si="107"/>
        <v/>
      </c>
    </row>
    <row r="2919" spans="1:28">
      <c r="A2919" s="3" t="s">
        <v>1493</v>
      </c>
      <c r="D2919" s="4" t="s">
        <v>7226</v>
      </c>
      <c r="E2919" s="3" t="s">
        <v>7227</v>
      </c>
      <c r="F2919" t="s">
        <v>3883</v>
      </c>
      <c r="J2919" s="9" t="s">
        <v>8729</v>
      </c>
      <c r="S2919" s="9">
        <f>162-234</f>
        <v>-72</v>
      </c>
      <c r="T2919" s="9">
        <f t="shared" ca="1" si="106"/>
        <v>234</v>
      </c>
      <c r="U2919" s="9">
        <f t="shared" ca="1" si="107"/>
        <v>162</v>
      </c>
      <c r="AB2919" s="9" t="s">
        <v>8694</v>
      </c>
    </row>
    <row r="2920" spans="1:28">
      <c r="A2920" s="3" t="s">
        <v>1493</v>
      </c>
      <c r="D2920" s="3" t="s">
        <v>7225</v>
      </c>
      <c r="E2920" s="4" t="s">
        <v>7228</v>
      </c>
      <c r="F2920" t="s">
        <v>3897</v>
      </c>
      <c r="T2920" s="9" t="str">
        <f t="shared" ca="1" si="106"/>
        <v/>
      </c>
      <c r="U2920" s="9" t="str">
        <f t="shared" ca="1" si="107"/>
        <v/>
      </c>
    </row>
    <row r="2921" spans="1:28">
      <c r="A2921" s="3" t="s">
        <v>1493</v>
      </c>
      <c r="D2921" s="3" t="s">
        <v>7229</v>
      </c>
      <c r="E2921" s="3" t="s">
        <v>7230</v>
      </c>
      <c r="F2921" t="s">
        <v>3932</v>
      </c>
      <c r="T2921" s="9" t="str">
        <f t="shared" ca="1" si="106"/>
        <v/>
      </c>
      <c r="U2921" s="9" t="str">
        <f t="shared" ca="1" si="107"/>
        <v/>
      </c>
    </row>
    <row r="2922" spans="1:28">
      <c r="A2922" s="3" t="s">
        <v>1494</v>
      </c>
      <c r="D2922" s="3" t="s">
        <v>7231</v>
      </c>
      <c r="E2922" s="3" t="s">
        <v>7232</v>
      </c>
      <c r="J2922" s="9" t="s">
        <v>8731</v>
      </c>
      <c r="T2922" s="9" t="str">
        <f t="shared" ca="1" si="106"/>
        <v/>
      </c>
      <c r="U2922" s="9" t="str">
        <f t="shared" ca="1" si="107"/>
        <v/>
      </c>
      <c r="Y2922" s="9" t="s">
        <v>9281</v>
      </c>
      <c r="AA2922" s="9" t="s">
        <v>3884</v>
      </c>
    </row>
    <row r="2923" spans="1:28" ht="29">
      <c r="A2923" s="3" t="s">
        <v>1494</v>
      </c>
      <c r="D2923" s="3" t="s">
        <v>7233</v>
      </c>
      <c r="E2923" s="4" t="s">
        <v>7234</v>
      </c>
      <c r="F2923" t="s">
        <v>3897</v>
      </c>
      <c r="T2923" s="9" t="str">
        <f t="shared" ca="1" si="106"/>
        <v/>
      </c>
      <c r="U2923" s="9" t="str">
        <f t="shared" ca="1" si="107"/>
        <v/>
      </c>
    </row>
    <row r="2924" spans="1:28">
      <c r="A2924" s="3" t="s">
        <v>1495</v>
      </c>
      <c r="D2924" s="3" t="s">
        <v>3577</v>
      </c>
      <c r="E2924" s="3" t="s">
        <v>2039</v>
      </c>
      <c r="J2924" s="9" t="s">
        <v>8729</v>
      </c>
      <c r="S2924" s="9" t="s">
        <v>8739</v>
      </c>
      <c r="T2924" s="9" t="str">
        <f t="shared" ca="1" si="106"/>
        <v/>
      </c>
      <c r="U2924" s="9" t="str">
        <f t="shared" ca="1" si="107"/>
        <v/>
      </c>
      <c r="Y2924" s="9" t="s">
        <v>8735</v>
      </c>
      <c r="Z2924" s="9" t="s">
        <v>8804</v>
      </c>
      <c r="AA2924" s="9" t="s">
        <v>3884</v>
      </c>
    </row>
    <row r="2925" spans="1:28">
      <c r="A2925" s="3" t="s">
        <v>1496</v>
      </c>
      <c r="D2925" s="3" t="s">
        <v>7235</v>
      </c>
      <c r="E2925" s="3" t="s">
        <v>7235</v>
      </c>
      <c r="F2925" t="s">
        <v>3932</v>
      </c>
      <c r="I2925" t="s">
        <v>7236</v>
      </c>
      <c r="T2925" s="9" t="str">
        <f t="shared" ca="1" si="106"/>
        <v/>
      </c>
      <c r="U2925" s="9" t="str">
        <f t="shared" ca="1" si="107"/>
        <v/>
      </c>
    </row>
    <row r="2926" spans="1:28">
      <c r="A2926" s="3" t="s">
        <v>1497</v>
      </c>
      <c r="D2926" s="3" t="s">
        <v>7237</v>
      </c>
      <c r="E2926" s="3" t="s">
        <v>7238</v>
      </c>
      <c r="H2926" t="s">
        <v>3884</v>
      </c>
      <c r="J2926" s="9" t="s">
        <v>8729</v>
      </c>
      <c r="Q2926" s="9" t="s">
        <v>8685</v>
      </c>
      <c r="S2926" s="9" t="s">
        <v>8739</v>
      </c>
      <c r="T2926" s="9" t="str">
        <f t="shared" ca="1" si="106"/>
        <v/>
      </c>
      <c r="U2926" s="9" t="str">
        <f t="shared" ca="1" si="107"/>
        <v/>
      </c>
      <c r="AB2926" s="9" t="s">
        <v>8688</v>
      </c>
    </row>
    <row r="2927" spans="1:28">
      <c r="A2927" s="3" t="s">
        <v>1497</v>
      </c>
      <c r="D2927" s="3" t="s">
        <v>3579</v>
      </c>
      <c r="E2927" s="3" t="s">
        <v>3579</v>
      </c>
      <c r="F2927" t="s">
        <v>3932</v>
      </c>
      <c r="I2927" t="s">
        <v>7239</v>
      </c>
      <c r="T2927" s="9" t="str">
        <f t="shared" ca="1" si="106"/>
        <v/>
      </c>
      <c r="U2927" s="9" t="str">
        <f t="shared" ca="1" si="107"/>
        <v/>
      </c>
    </row>
    <row r="2928" spans="1:28">
      <c r="A2928" s="3" t="s">
        <v>1497</v>
      </c>
      <c r="D2928" s="3" t="s">
        <v>7240</v>
      </c>
      <c r="E2928" s="3" t="s">
        <v>7241</v>
      </c>
      <c r="H2928" t="s">
        <v>3884</v>
      </c>
      <c r="J2928" s="9" t="s">
        <v>8729</v>
      </c>
      <c r="S2928" s="9">
        <f>340-46</f>
        <v>294</v>
      </c>
      <c r="T2928" s="9">
        <f t="shared" ca="1" si="106"/>
        <v>46</v>
      </c>
      <c r="U2928" s="9">
        <f t="shared" ca="1" si="107"/>
        <v>340</v>
      </c>
      <c r="AB2928" s="9" t="s">
        <v>8694</v>
      </c>
    </row>
    <row r="2929" spans="1:28">
      <c r="A2929" s="3" t="s">
        <v>1498</v>
      </c>
      <c r="D2929" s="3" t="s">
        <v>3580</v>
      </c>
      <c r="E2929" s="3" t="s">
        <v>2589</v>
      </c>
      <c r="J2929" s="9" t="s">
        <v>8731</v>
      </c>
      <c r="T2929" s="9" t="str">
        <f t="shared" ca="1" si="106"/>
        <v/>
      </c>
      <c r="U2929" s="9" t="str">
        <f t="shared" ca="1" si="107"/>
        <v/>
      </c>
      <c r="Z2929" s="9" t="s">
        <v>8742</v>
      </c>
      <c r="AA2929" s="9" t="s">
        <v>3884</v>
      </c>
      <c r="AB2929" s="9" t="s">
        <v>8697</v>
      </c>
    </row>
    <row r="2930" spans="1:28">
      <c r="A2930" s="3" t="s">
        <v>1498</v>
      </c>
      <c r="D2930" s="4" t="s">
        <v>7242</v>
      </c>
      <c r="E2930" s="3" t="s">
        <v>7243</v>
      </c>
      <c r="F2930" t="s">
        <v>3883</v>
      </c>
      <c r="T2930" s="9" t="str">
        <f t="shared" ca="1" si="106"/>
        <v/>
      </c>
      <c r="U2930" s="9" t="str">
        <f t="shared" ca="1" si="107"/>
        <v/>
      </c>
    </row>
    <row r="2931" spans="1:28">
      <c r="A2931" s="3" t="s">
        <v>1499</v>
      </c>
      <c r="D2931" s="3" t="s">
        <v>7244</v>
      </c>
      <c r="E2931" s="4" t="s">
        <v>7245</v>
      </c>
      <c r="F2931" t="s">
        <v>3897</v>
      </c>
      <c r="T2931" s="9" t="str">
        <f t="shared" ca="1" si="106"/>
        <v/>
      </c>
      <c r="U2931" s="9" t="str">
        <f t="shared" ca="1" si="107"/>
        <v/>
      </c>
    </row>
    <row r="2932" spans="1:28">
      <c r="A2932" s="3" t="s">
        <v>1499</v>
      </c>
      <c r="D2932" s="3" t="s">
        <v>7246</v>
      </c>
      <c r="E2932" s="3" t="s">
        <v>7246</v>
      </c>
      <c r="F2932" t="s">
        <v>3932</v>
      </c>
      <c r="I2932" t="s">
        <v>7248</v>
      </c>
      <c r="T2932" s="9" t="str">
        <f t="shared" ca="1" si="106"/>
        <v/>
      </c>
      <c r="U2932" s="9" t="str">
        <f t="shared" ca="1" si="107"/>
        <v/>
      </c>
    </row>
    <row r="2933" spans="1:28">
      <c r="A2933" s="3" t="s">
        <v>1499</v>
      </c>
      <c r="D2933" s="3" t="s">
        <v>7247</v>
      </c>
      <c r="E2933" s="3" t="s">
        <v>7247</v>
      </c>
      <c r="F2933" t="s">
        <v>3932</v>
      </c>
      <c r="I2933" t="s">
        <v>7248</v>
      </c>
      <c r="T2933" s="9" t="str">
        <f t="shared" ca="1" si="106"/>
        <v/>
      </c>
      <c r="U2933" s="9" t="str">
        <f t="shared" ca="1" si="107"/>
        <v/>
      </c>
    </row>
    <row r="2934" spans="1:28">
      <c r="A2934" s="3" t="s">
        <v>1500</v>
      </c>
      <c r="D2934" s="3" t="s">
        <v>3581</v>
      </c>
      <c r="E2934" s="3" t="s">
        <v>3582</v>
      </c>
      <c r="J2934" s="9" t="s">
        <v>8731</v>
      </c>
      <c r="T2934" s="9" t="str">
        <f t="shared" ca="1" si="106"/>
        <v/>
      </c>
      <c r="U2934" s="9" t="str">
        <f t="shared" ca="1" si="107"/>
        <v/>
      </c>
      <c r="Z2934" s="9" t="s">
        <v>8742</v>
      </c>
      <c r="AA2934" s="9" t="s">
        <v>3884</v>
      </c>
      <c r="AB2934" s="9" t="s">
        <v>8697</v>
      </c>
    </row>
    <row r="2935" spans="1:28">
      <c r="A2935" s="3" t="s">
        <v>1500</v>
      </c>
      <c r="D2935" s="3" t="s">
        <v>7249</v>
      </c>
      <c r="E2935" s="3" t="s">
        <v>7250</v>
      </c>
      <c r="J2935" s="9" t="s">
        <v>8731</v>
      </c>
      <c r="T2935" s="9" t="str">
        <f t="shared" ca="1" si="106"/>
        <v/>
      </c>
      <c r="U2935" s="9" t="str">
        <f t="shared" ca="1" si="107"/>
        <v/>
      </c>
      <c r="Z2935" s="9" t="s">
        <v>9126</v>
      </c>
      <c r="AA2935" s="9" t="s">
        <v>3884</v>
      </c>
      <c r="AB2935" s="9" t="s">
        <v>8697</v>
      </c>
    </row>
    <row r="2936" spans="1:28">
      <c r="A2936" s="3" t="s">
        <v>1500</v>
      </c>
      <c r="D2936" s="3" t="s">
        <v>5336</v>
      </c>
      <c r="E2936" s="3" t="s">
        <v>3583</v>
      </c>
      <c r="F2936" t="s">
        <v>3893</v>
      </c>
      <c r="H2936" t="s">
        <v>3884</v>
      </c>
      <c r="T2936" s="9" t="str">
        <f t="shared" ca="1" si="106"/>
        <v/>
      </c>
      <c r="U2936" s="9" t="str">
        <f t="shared" ca="1" si="107"/>
        <v/>
      </c>
    </row>
    <row r="2937" spans="1:28">
      <c r="A2937" s="3" t="s">
        <v>1500</v>
      </c>
      <c r="D2937" s="3" t="s">
        <v>7251</v>
      </c>
      <c r="E2937" s="3" t="s">
        <v>7252</v>
      </c>
      <c r="H2937" t="s">
        <v>3884</v>
      </c>
      <c r="J2937" s="9" t="s">
        <v>3885</v>
      </c>
      <c r="K2937" s="9">
        <v>1</v>
      </c>
      <c r="L2937" s="9">
        <v>4</v>
      </c>
      <c r="M2937" s="9" t="s">
        <v>8705</v>
      </c>
      <c r="N2937" s="9" t="s">
        <v>8690</v>
      </c>
      <c r="R2937" s="9">
        <v>6</v>
      </c>
      <c r="T2937" s="9" t="str">
        <f t="shared" ca="1" si="106"/>
        <v/>
      </c>
      <c r="U2937" s="9" t="str">
        <f t="shared" ca="1" si="107"/>
        <v/>
      </c>
      <c r="AB2937" s="9" t="s">
        <v>8694</v>
      </c>
    </row>
    <row r="2938" spans="1:28">
      <c r="A2938" s="3" t="s">
        <v>1501</v>
      </c>
      <c r="D2938" s="3" t="s">
        <v>7253</v>
      </c>
      <c r="E2938" s="3" t="s">
        <v>7254</v>
      </c>
      <c r="H2938" t="s">
        <v>3884</v>
      </c>
      <c r="J2938" s="9" t="s">
        <v>8732</v>
      </c>
      <c r="S2938" s="9">
        <f>0-1</f>
        <v>-1</v>
      </c>
      <c r="T2938" s="9">
        <f t="shared" ca="1" si="106"/>
        <v>1</v>
      </c>
      <c r="U2938" s="9">
        <f t="shared" ca="1" si="107"/>
        <v>0</v>
      </c>
      <c r="AB2938" s="9" t="s">
        <v>8694</v>
      </c>
    </row>
    <row r="2939" spans="1:28">
      <c r="A2939" s="3" t="s">
        <v>1501</v>
      </c>
      <c r="D2939" s="3" t="s">
        <v>3584</v>
      </c>
      <c r="E2939" s="3" t="s">
        <v>3585</v>
      </c>
      <c r="J2939" s="9" t="s">
        <v>8731</v>
      </c>
      <c r="T2939" s="9" t="str">
        <f t="shared" ca="1" si="106"/>
        <v/>
      </c>
      <c r="U2939" s="9" t="str">
        <f t="shared" ca="1" si="107"/>
        <v/>
      </c>
      <c r="Z2939" s="9" t="s">
        <v>9280</v>
      </c>
      <c r="AA2939" s="9" t="s">
        <v>3884</v>
      </c>
    </row>
    <row r="2940" spans="1:28">
      <c r="A2940" s="3" t="s">
        <v>1502</v>
      </c>
      <c r="D2940" s="3" t="s">
        <v>3586</v>
      </c>
      <c r="E2940" s="3" t="s">
        <v>3587</v>
      </c>
      <c r="J2940" s="9" t="s">
        <v>8731</v>
      </c>
      <c r="T2940" s="9" t="str">
        <f t="shared" ca="1" si="106"/>
        <v/>
      </c>
      <c r="U2940" s="9" t="str">
        <f t="shared" ca="1" si="107"/>
        <v/>
      </c>
      <c r="Z2940" s="9" t="s">
        <v>9280</v>
      </c>
      <c r="AA2940" s="9" t="s">
        <v>3884</v>
      </c>
    </row>
    <row r="2941" spans="1:28">
      <c r="A2941" s="3" t="s">
        <v>1503</v>
      </c>
      <c r="D2941" s="3" t="s">
        <v>7255</v>
      </c>
      <c r="E2941" s="3" t="s">
        <v>7256</v>
      </c>
      <c r="J2941" s="9" t="s">
        <v>8729</v>
      </c>
      <c r="S2941" s="9" t="s">
        <v>8739</v>
      </c>
      <c r="T2941" s="9" t="str">
        <f t="shared" ca="1" si="106"/>
        <v/>
      </c>
      <c r="U2941" s="9" t="str">
        <f t="shared" ca="1" si="107"/>
        <v/>
      </c>
      <c r="Z2941" s="9" t="s">
        <v>8833</v>
      </c>
      <c r="AA2941" s="9" t="s">
        <v>3884</v>
      </c>
      <c r="AB2941" s="9" t="s">
        <v>8688</v>
      </c>
    </row>
    <row r="2942" spans="1:28">
      <c r="A2942" s="3" t="s">
        <v>1504</v>
      </c>
      <c r="D2942" s="3" t="s">
        <v>3581</v>
      </c>
      <c r="E2942" s="3" t="s">
        <v>3582</v>
      </c>
      <c r="J2942" s="9" t="s">
        <v>8731</v>
      </c>
      <c r="T2942" s="9" t="str">
        <f t="shared" ca="1" si="106"/>
        <v/>
      </c>
      <c r="U2942" s="9" t="str">
        <f t="shared" ca="1" si="107"/>
        <v/>
      </c>
      <c r="Z2942" s="9" t="s">
        <v>8742</v>
      </c>
      <c r="AA2942" s="9" t="s">
        <v>3884</v>
      </c>
      <c r="AB2942" s="9" t="s">
        <v>8697</v>
      </c>
    </row>
    <row r="2943" spans="1:28">
      <c r="A2943" s="3" t="s">
        <v>1504</v>
      </c>
      <c r="D2943" s="3" t="s">
        <v>7257</v>
      </c>
      <c r="E2943" s="3" t="s">
        <v>7257</v>
      </c>
      <c r="F2943" t="s">
        <v>3932</v>
      </c>
      <c r="I2943" t="s">
        <v>7258</v>
      </c>
      <c r="T2943" s="9" t="str">
        <f t="shared" ca="1" si="106"/>
        <v/>
      </c>
      <c r="U2943" s="9" t="str">
        <f t="shared" ca="1" si="107"/>
        <v/>
      </c>
    </row>
    <row r="2944" spans="1:28">
      <c r="A2944" s="3" t="s">
        <v>1505</v>
      </c>
      <c r="D2944" s="3" t="s">
        <v>3588</v>
      </c>
      <c r="E2944" s="3" t="s">
        <v>3589</v>
      </c>
      <c r="J2944" s="9" t="s">
        <v>8729</v>
      </c>
      <c r="S2944" s="9">
        <f>28-2</f>
        <v>26</v>
      </c>
      <c r="T2944" s="9">
        <f t="shared" ca="1" si="106"/>
        <v>2</v>
      </c>
      <c r="U2944" s="9">
        <f t="shared" ca="1" si="107"/>
        <v>28</v>
      </c>
      <c r="Z2944" s="9" t="s">
        <v>9038</v>
      </c>
      <c r="AA2944" s="9" t="s">
        <v>3884</v>
      </c>
    </row>
    <row r="2945" spans="1:28">
      <c r="A2945" s="3" t="s">
        <v>1506</v>
      </c>
      <c r="D2945" s="3" t="s">
        <v>7259</v>
      </c>
      <c r="E2945" s="3" t="s">
        <v>7259</v>
      </c>
      <c r="F2945" t="s">
        <v>3932</v>
      </c>
      <c r="I2945" t="s">
        <v>7260</v>
      </c>
      <c r="T2945" s="9" t="str">
        <f t="shared" ca="1" si="106"/>
        <v/>
      </c>
      <c r="U2945" s="9" t="str">
        <f t="shared" ca="1" si="107"/>
        <v/>
      </c>
    </row>
    <row r="2946" spans="1:28">
      <c r="A2946" s="3" t="s">
        <v>1506</v>
      </c>
      <c r="D2946" s="4" t="s">
        <v>3590</v>
      </c>
      <c r="E2946" s="3" t="s">
        <v>3591</v>
      </c>
      <c r="F2946" t="s">
        <v>3883</v>
      </c>
      <c r="T2946" s="9" t="str">
        <f t="shared" ref="T2946:T3009" ca="1" si="108">IF(ISNUMBER(S2946),VALUE(MID(_xlfn.FORMULATEXT(S2946),SEARCH("-",_xlfn.FORMULATEXT(S2946))+1,LEN(_xlfn.FORMULATEXT(S2946))-SEARCH("-",_xlfn.FORMULATEXT(S2946)))), "")</f>
        <v/>
      </c>
      <c r="U2946" s="9" t="str">
        <f t="shared" ref="U2946:U3009" ca="1" si="109">IF(ISNUMBER(S2946), VALUE(MID(_xlfn.FORMULATEXT(S2946), 2, SEARCH("-", _xlfn.FORMULATEXT(S2946)) - 2)), "")</f>
        <v/>
      </c>
    </row>
    <row r="2947" spans="1:28">
      <c r="A2947" s="3" t="s">
        <v>1506</v>
      </c>
      <c r="D2947" s="3" t="s">
        <v>7262</v>
      </c>
      <c r="E2947" s="3" t="s">
        <v>9127</v>
      </c>
      <c r="J2947" s="9" t="s">
        <v>8729</v>
      </c>
      <c r="S2947" s="9">
        <f>28-2</f>
        <v>26</v>
      </c>
      <c r="T2947" s="9">
        <f t="shared" ca="1" si="108"/>
        <v>2</v>
      </c>
      <c r="U2947" s="9">
        <f t="shared" ca="1" si="109"/>
        <v>28</v>
      </c>
      <c r="Z2947" s="9" t="s">
        <v>9038</v>
      </c>
      <c r="AA2947" s="9" t="s">
        <v>3884</v>
      </c>
    </row>
    <row r="2948" spans="1:28">
      <c r="A2948" s="3" t="s">
        <v>1506</v>
      </c>
      <c r="D2948" s="3" t="s">
        <v>7261</v>
      </c>
      <c r="E2948" s="3" t="s">
        <v>9128</v>
      </c>
      <c r="J2948" s="9" t="s">
        <v>3885</v>
      </c>
      <c r="K2948" s="9">
        <v>1</v>
      </c>
      <c r="L2948" s="9">
        <v>3</v>
      </c>
      <c r="M2948" s="9" t="s">
        <v>8707</v>
      </c>
      <c r="N2948" s="9" t="s">
        <v>8684</v>
      </c>
      <c r="O2948" s="9" t="s">
        <v>8777</v>
      </c>
      <c r="P2948" s="10" t="s">
        <v>8778</v>
      </c>
      <c r="Q2948" s="9" t="s">
        <v>8685</v>
      </c>
      <c r="R2948" s="9">
        <v>991</v>
      </c>
      <c r="T2948" s="9" t="str">
        <f t="shared" ca="1" si="108"/>
        <v/>
      </c>
      <c r="U2948" s="9" t="str">
        <f t="shared" ca="1" si="109"/>
        <v/>
      </c>
    </row>
    <row r="2949" spans="1:28" ht="29">
      <c r="A2949" s="3" t="s">
        <v>1507</v>
      </c>
      <c r="D2949" s="3" t="s">
        <v>7263</v>
      </c>
      <c r="E2949" s="3" t="s">
        <v>7264</v>
      </c>
      <c r="F2949" t="s">
        <v>3893</v>
      </c>
      <c r="H2949" t="s">
        <v>3884</v>
      </c>
      <c r="T2949" s="9" t="str">
        <f t="shared" ca="1" si="108"/>
        <v/>
      </c>
      <c r="U2949" s="9" t="str">
        <f t="shared" ca="1" si="109"/>
        <v/>
      </c>
    </row>
    <row r="2950" spans="1:28" ht="29">
      <c r="A2950" s="3" t="s">
        <v>1507</v>
      </c>
      <c r="D2950" s="3" t="s">
        <v>7265</v>
      </c>
      <c r="E2950" s="3" t="s">
        <v>7266</v>
      </c>
      <c r="I2950" t="s">
        <v>7267</v>
      </c>
      <c r="J2950" s="9" t="s">
        <v>8729</v>
      </c>
      <c r="S2950" s="9" t="s">
        <v>8730</v>
      </c>
      <c r="T2950" s="9" t="str">
        <f t="shared" ca="1" si="108"/>
        <v/>
      </c>
      <c r="U2950" s="9" t="str">
        <f t="shared" ca="1" si="109"/>
        <v/>
      </c>
      <c r="Y2950" s="9" t="s">
        <v>8735</v>
      </c>
      <c r="AA2950" s="9" t="s">
        <v>3884</v>
      </c>
    </row>
    <row r="2951" spans="1:28">
      <c r="A2951" s="3" t="s">
        <v>1508</v>
      </c>
      <c r="D2951" s="3" t="s">
        <v>3592</v>
      </c>
      <c r="E2951" s="3" t="s">
        <v>3592</v>
      </c>
      <c r="F2951" t="s">
        <v>3932</v>
      </c>
      <c r="I2951" t="s">
        <v>3675</v>
      </c>
      <c r="T2951" s="9" t="str">
        <f t="shared" ca="1" si="108"/>
        <v/>
      </c>
      <c r="U2951" s="9" t="str">
        <f t="shared" ca="1" si="109"/>
        <v/>
      </c>
    </row>
    <row r="2952" spans="1:28">
      <c r="A2952" s="3" t="s">
        <v>1508</v>
      </c>
      <c r="D2952" s="3" t="s">
        <v>3593</v>
      </c>
      <c r="E2952" s="3" t="s">
        <v>2631</v>
      </c>
      <c r="J2952" s="9" t="s">
        <v>8731</v>
      </c>
      <c r="T2952" s="9" t="str">
        <f t="shared" ca="1" si="108"/>
        <v/>
      </c>
      <c r="U2952" s="9" t="str">
        <f t="shared" ca="1" si="109"/>
        <v/>
      </c>
      <c r="AB2952" s="9" t="s">
        <v>8697</v>
      </c>
    </row>
    <row r="2953" spans="1:28">
      <c r="A2953" s="3" t="s">
        <v>1509</v>
      </c>
      <c r="D2953" s="4" t="s">
        <v>3590</v>
      </c>
      <c r="E2953" s="3" t="s">
        <v>3591</v>
      </c>
      <c r="F2953" t="s">
        <v>3883</v>
      </c>
      <c r="T2953" s="9" t="str">
        <f t="shared" ca="1" si="108"/>
        <v/>
      </c>
      <c r="U2953" s="9" t="str">
        <f t="shared" ca="1" si="109"/>
        <v/>
      </c>
    </row>
    <row r="2954" spans="1:28" ht="29">
      <c r="A2954" s="3" t="s">
        <v>1509</v>
      </c>
      <c r="D2954" s="3" t="s">
        <v>7268</v>
      </c>
      <c r="E2954" s="3" t="s">
        <v>7268</v>
      </c>
      <c r="F2954" t="s">
        <v>3932</v>
      </c>
      <c r="I2954" t="s">
        <v>7269</v>
      </c>
      <c r="T2954" s="9" t="str">
        <f t="shared" ca="1" si="108"/>
        <v/>
      </c>
      <c r="U2954" s="9" t="str">
        <f t="shared" ca="1" si="109"/>
        <v/>
      </c>
    </row>
    <row r="2955" spans="1:28" ht="29">
      <c r="A2955" s="3" t="s">
        <v>1509</v>
      </c>
      <c r="D2955" s="3" t="s">
        <v>7270</v>
      </c>
      <c r="E2955" s="3" t="s">
        <v>7270</v>
      </c>
      <c r="F2955" t="s">
        <v>3932</v>
      </c>
      <c r="I2955" t="s">
        <v>9703</v>
      </c>
      <c r="T2955" s="9" t="str">
        <f t="shared" ca="1" si="108"/>
        <v/>
      </c>
      <c r="U2955" s="9" t="str">
        <f t="shared" ca="1" si="109"/>
        <v/>
      </c>
    </row>
    <row r="2956" spans="1:28">
      <c r="A2956" s="3" t="s">
        <v>1509</v>
      </c>
      <c r="D2956" s="3" t="s">
        <v>7271</v>
      </c>
      <c r="E2956" s="3" t="s">
        <v>7272</v>
      </c>
      <c r="H2956" t="s">
        <v>3884</v>
      </c>
      <c r="J2956" s="9" t="s">
        <v>8731</v>
      </c>
      <c r="T2956" s="9" t="str">
        <f t="shared" ca="1" si="108"/>
        <v/>
      </c>
      <c r="U2956" s="9" t="str">
        <f t="shared" ca="1" si="109"/>
        <v/>
      </c>
    </row>
    <row r="2957" spans="1:28">
      <c r="A2957" s="3" t="s">
        <v>1510</v>
      </c>
      <c r="D2957" s="3" t="s">
        <v>3591</v>
      </c>
      <c r="E2957" s="3" t="s">
        <v>3590</v>
      </c>
      <c r="J2957" s="9" t="s">
        <v>8729</v>
      </c>
      <c r="S2957" s="9" t="s">
        <v>8739</v>
      </c>
      <c r="T2957" s="9" t="str">
        <f t="shared" ca="1" si="108"/>
        <v/>
      </c>
      <c r="U2957" s="9" t="str">
        <f t="shared" ca="1" si="109"/>
        <v/>
      </c>
      <c r="Y2957" s="9" t="s">
        <v>8735</v>
      </c>
      <c r="Z2957" s="9" t="s">
        <v>9280</v>
      </c>
      <c r="AA2957" s="9" t="s">
        <v>3884</v>
      </c>
    </row>
    <row r="2958" spans="1:28">
      <c r="A2958" s="3" t="s">
        <v>1510</v>
      </c>
      <c r="D2958" s="3" t="s">
        <v>7273</v>
      </c>
      <c r="E2958" s="3" t="s">
        <v>7274</v>
      </c>
      <c r="H2958" t="s">
        <v>3884</v>
      </c>
      <c r="J2958" s="9" t="s">
        <v>8729</v>
      </c>
      <c r="S2958" s="9">
        <f>1-0</f>
        <v>1</v>
      </c>
      <c r="T2958" s="9">
        <f t="shared" ca="1" si="108"/>
        <v>0</v>
      </c>
      <c r="U2958" s="9">
        <f t="shared" ca="1" si="109"/>
        <v>1</v>
      </c>
    </row>
    <row r="2959" spans="1:28" ht="29">
      <c r="A2959" s="3" t="s">
        <v>1510</v>
      </c>
      <c r="D2959" s="3" t="s">
        <v>9526</v>
      </c>
      <c r="E2959" s="3" t="s">
        <v>9669</v>
      </c>
      <c r="J2959" s="9" t="s">
        <v>8729</v>
      </c>
      <c r="S2959" s="9" t="s">
        <v>8739</v>
      </c>
      <c r="T2959" s="9" t="str">
        <f t="shared" ca="1" si="108"/>
        <v/>
      </c>
      <c r="U2959" s="9" t="str">
        <f t="shared" ca="1" si="109"/>
        <v/>
      </c>
      <c r="AB2959" s="9" t="s">
        <v>8688</v>
      </c>
    </row>
    <row r="2960" spans="1:28" ht="29">
      <c r="A2960" s="3" t="s">
        <v>1510</v>
      </c>
      <c r="D2960" s="3" t="s">
        <v>9527</v>
      </c>
      <c r="E2960" s="3" t="s">
        <v>9527</v>
      </c>
      <c r="F2960" t="s">
        <v>3932</v>
      </c>
      <c r="I2960" t="s">
        <v>7275</v>
      </c>
      <c r="T2960" s="9" t="str">
        <f t="shared" ca="1" si="108"/>
        <v/>
      </c>
      <c r="U2960" s="9" t="str">
        <f t="shared" ca="1" si="109"/>
        <v/>
      </c>
    </row>
    <row r="2961" spans="1:28">
      <c r="A2961" s="3" t="s">
        <v>1511</v>
      </c>
      <c r="D2961" s="3" t="s">
        <v>7276</v>
      </c>
      <c r="E2961" s="3" t="s">
        <v>7276</v>
      </c>
      <c r="F2961" t="s">
        <v>3932</v>
      </c>
      <c r="I2961" t="s">
        <v>7277</v>
      </c>
      <c r="T2961" s="9" t="str">
        <f t="shared" ca="1" si="108"/>
        <v/>
      </c>
      <c r="U2961" s="9" t="str">
        <f t="shared" ca="1" si="109"/>
        <v/>
      </c>
    </row>
    <row r="2962" spans="1:28" ht="29">
      <c r="A2962" s="3" t="s">
        <v>1512</v>
      </c>
      <c r="D2962" s="3" t="s">
        <v>7279</v>
      </c>
      <c r="E2962" s="3" t="s">
        <v>7280</v>
      </c>
      <c r="H2962" t="s">
        <v>3884</v>
      </c>
      <c r="J2962" s="9" t="s">
        <v>8729</v>
      </c>
      <c r="S2962" s="9" t="s">
        <v>8739</v>
      </c>
      <c r="T2962" s="9" t="str">
        <f t="shared" ca="1" si="108"/>
        <v/>
      </c>
      <c r="U2962" s="9" t="str">
        <f t="shared" ca="1" si="109"/>
        <v/>
      </c>
      <c r="Y2962" s="9" t="s">
        <v>8735</v>
      </c>
      <c r="AA2962" s="9" t="s">
        <v>3884</v>
      </c>
    </row>
    <row r="2963" spans="1:28" ht="29">
      <c r="A2963" s="3" t="s">
        <v>1512</v>
      </c>
      <c r="D2963" s="3" t="s">
        <v>7281</v>
      </c>
      <c r="E2963" s="4" t="s">
        <v>7278</v>
      </c>
      <c r="F2963" t="s">
        <v>3897</v>
      </c>
      <c r="T2963" s="9" t="str">
        <f t="shared" ca="1" si="108"/>
        <v/>
      </c>
      <c r="U2963" s="9" t="str">
        <f t="shared" ca="1" si="109"/>
        <v/>
      </c>
    </row>
    <row r="2964" spans="1:28">
      <c r="A2964" s="3" t="s">
        <v>1512</v>
      </c>
      <c r="D2964" s="3" t="s">
        <v>3596</v>
      </c>
      <c r="E2964" s="3" t="s">
        <v>3596</v>
      </c>
      <c r="F2964" t="s">
        <v>3932</v>
      </c>
      <c r="I2964" t="s">
        <v>3600</v>
      </c>
      <c r="T2964" s="9" t="str">
        <f t="shared" ca="1" si="108"/>
        <v/>
      </c>
      <c r="U2964" s="9" t="str">
        <f t="shared" ca="1" si="109"/>
        <v/>
      </c>
    </row>
    <row r="2965" spans="1:28">
      <c r="A2965" s="3" t="s">
        <v>1512</v>
      </c>
      <c r="D2965" s="3" t="s">
        <v>7282</v>
      </c>
      <c r="E2965" s="3" t="s">
        <v>7283</v>
      </c>
      <c r="H2965" t="s">
        <v>3892</v>
      </c>
      <c r="I2965" t="s">
        <v>7284</v>
      </c>
      <c r="J2965" s="9" t="s">
        <v>8729</v>
      </c>
      <c r="T2965" s="9" t="str">
        <f t="shared" ca="1" si="108"/>
        <v/>
      </c>
      <c r="U2965" s="9" t="str">
        <f t="shared" ca="1" si="109"/>
        <v/>
      </c>
      <c r="AB2965" s="9" t="s">
        <v>8694</v>
      </c>
    </row>
    <row r="2966" spans="1:28">
      <c r="A2966" s="3" t="s">
        <v>1512</v>
      </c>
      <c r="D2966" s="3" t="s">
        <v>3595</v>
      </c>
      <c r="E2966" s="3" t="s">
        <v>3599</v>
      </c>
      <c r="J2966" s="9" t="s">
        <v>8731</v>
      </c>
      <c r="T2966" s="9" t="str">
        <f t="shared" ca="1" si="108"/>
        <v/>
      </c>
      <c r="U2966" s="9" t="str">
        <f t="shared" ca="1" si="109"/>
        <v/>
      </c>
    </row>
    <row r="2967" spans="1:28">
      <c r="A2967" s="3" t="s">
        <v>1512</v>
      </c>
      <c r="D2967" s="3" t="s">
        <v>3602</v>
      </c>
      <c r="E2967" s="3" t="s">
        <v>3602</v>
      </c>
      <c r="F2967" t="s">
        <v>3932</v>
      </c>
      <c r="I2967" t="s">
        <v>2319</v>
      </c>
      <c r="T2967" s="9" t="str">
        <f t="shared" ca="1" si="108"/>
        <v/>
      </c>
      <c r="U2967" s="9" t="str">
        <f t="shared" ca="1" si="109"/>
        <v/>
      </c>
    </row>
    <row r="2968" spans="1:28" ht="29">
      <c r="A2968" s="3" t="s">
        <v>1513</v>
      </c>
      <c r="D2968" s="3" t="s">
        <v>7285</v>
      </c>
      <c r="E2968" s="3" t="s">
        <v>7286</v>
      </c>
      <c r="H2968" t="s">
        <v>3884</v>
      </c>
      <c r="I2968" t="s">
        <v>9129</v>
      </c>
      <c r="J2968" s="9" t="s">
        <v>3885</v>
      </c>
      <c r="K2968" s="9">
        <v>1</v>
      </c>
      <c r="L2968" s="9">
        <v>1</v>
      </c>
      <c r="M2968" s="9" t="s">
        <v>8683</v>
      </c>
      <c r="N2968" s="9" t="s">
        <v>8730</v>
      </c>
      <c r="R2968" s="9">
        <v>4</v>
      </c>
      <c r="T2968" s="9" t="str">
        <f t="shared" ca="1" si="108"/>
        <v/>
      </c>
      <c r="U2968" s="9" t="str">
        <f t="shared" ca="1" si="109"/>
        <v/>
      </c>
    </row>
    <row r="2969" spans="1:28" ht="29">
      <c r="A2969" s="3" t="s">
        <v>1513</v>
      </c>
      <c r="D2969" s="3" t="s">
        <v>7288</v>
      </c>
      <c r="E2969" s="3" t="s">
        <v>7287</v>
      </c>
      <c r="J2969" s="9" t="s">
        <v>8731</v>
      </c>
      <c r="T2969" s="9" t="str">
        <f t="shared" ca="1" si="108"/>
        <v/>
      </c>
      <c r="U2969" s="9" t="str">
        <f t="shared" ca="1" si="109"/>
        <v/>
      </c>
      <c r="Y2969" s="9" t="s">
        <v>8693</v>
      </c>
      <c r="AA2969" s="9" t="s">
        <v>3884</v>
      </c>
    </row>
    <row r="2970" spans="1:28" ht="29">
      <c r="A2970" s="3" t="s">
        <v>1514</v>
      </c>
      <c r="D2970" s="3" t="s">
        <v>7289</v>
      </c>
      <c r="E2970" s="3" t="s">
        <v>7290</v>
      </c>
      <c r="F2970" t="s">
        <v>3932</v>
      </c>
      <c r="I2970" t="s">
        <v>7291</v>
      </c>
      <c r="T2970" s="9" t="str">
        <f t="shared" ca="1" si="108"/>
        <v/>
      </c>
      <c r="U2970" s="9" t="str">
        <f t="shared" ca="1" si="109"/>
        <v/>
      </c>
    </row>
    <row r="2971" spans="1:28">
      <c r="A2971" s="3" t="s">
        <v>1515</v>
      </c>
      <c r="D2971" s="3" t="s">
        <v>2242</v>
      </c>
      <c r="E2971" s="3" t="s">
        <v>2242</v>
      </c>
      <c r="F2971" t="s">
        <v>3932</v>
      </c>
      <c r="I2971" t="s">
        <v>4404</v>
      </c>
      <c r="T2971" s="9" t="str">
        <f t="shared" ca="1" si="108"/>
        <v/>
      </c>
      <c r="U2971" s="9" t="str">
        <f t="shared" ca="1" si="109"/>
        <v/>
      </c>
    </row>
    <row r="2972" spans="1:28" ht="29">
      <c r="A2972" s="3" t="s">
        <v>1515</v>
      </c>
      <c r="D2972" s="3" t="s">
        <v>7292</v>
      </c>
      <c r="E2972" s="3" t="s">
        <v>7293</v>
      </c>
      <c r="J2972" s="9" t="s">
        <v>3885</v>
      </c>
      <c r="K2972" s="9">
        <v>1</v>
      </c>
      <c r="L2972" s="9">
        <v>3</v>
      </c>
      <c r="M2972" s="9" t="s">
        <v>8705</v>
      </c>
      <c r="N2972" s="9" t="s">
        <v>8690</v>
      </c>
      <c r="R2972" s="9">
        <v>1485</v>
      </c>
      <c r="T2972" s="9" t="str">
        <f t="shared" ca="1" si="108"/>
        <v/>
      </c>
      <c r="U2972" s="9" t="str">
        <f t="shared" ca="1" si="109"/>
        <v/>
      </c>
      <c r="AB2972" s="9" t="s">
        <v>8694</v>
      </c>
    </row>
    <row r="2973" spans="1:28" ht="43.5">
      <c r="A2973" s="3" t="s">
        <v>1515</v>
      </c>
      <c r="D2973" s="3" t="s">
        <v>7295</v>
      </c>
      <c r="E2973" s="3" t="s">
        <v>7296</v>
      </c>
      <c r="F2973" t="s">
        <v>3932</v>
      </c>
      <c r="I2973" t="s">
        <v>7299</v>
      </c>
      <c r="T2973" s="9" t="str">
        <f t="shared" ca="1" si="108"/>
        <v/>
      </c>
      <c r="U2973" s="9" t="str">
        <f t="shared" ca="1" si="109"/>
        <v/>
      </c>
    </row>
    <row r="2974" spans="1:28" ht="43.5">
      <c r="A2974" s="3" t="s">
        <v>1515</v>
      </c>
      <c r="D2974" s="3" t="s">
        <v>7294</v>
      </c>
      <c r="E2974" s="3" t="s">
        <v>7297</v>
      </c>
      <c r="H2974" t="s">
        <v>3884</v>
      </c>
      <c r="J2974" s="9" t="s">
        <v>3885</v>
      </c>
      <c r="K2974" s="9">
        <v>1</v>
      </c>
      <c r="L2974" s="9">
        <v>3</v>
      </c>
      <c r="M2974" s="9" t="s">
        <v>8689</v>
      </c>
      <c r="N2974" s="9" t="s">
        <v>8690</v>
      </c>
      <c r="R2974" s="9">
        <v>10929</v>
      </c>
      <c r="T2974" s="9" t="str">
        <f t="shared" ca="1" si="108"/>
        <v/>
      </c>
      <c r="U2974" s="9" t="str">
        <f t="shared" ca="1" si="109"/>
        <v/>
      </c>
    </row>
    <row r="2975" spans="1:28" ht="43.5">
      <c r="A2975" s="3" t="s">
        <v>1515</v>
      </c>
      <c r="D2975" s="3" t="s">
        <v>7294</v>
      </c>
      <c r="E2975" s="3" t="s">
        <v>7298</v>
      </c>
      <c r="H2975" t="s">
        <v>3884</v>
      </c>
      <c r="J2975" s="9" t="s">
        <v>3885</v>
      </c>
      <c r="K2975" s="9">
        <v>1</v>
      </c>
      <c r="L2975" s="9">
        <v>3</v>
      </c>
      <c r="M2975" s="9" t="s">
        <v>8705</v>
      </c>
      <c r="N2975" s="9" t="s">
        <v>8690</v>
      </c>
      <c r="R2975" s="9">
        <v>1485</v>
      </c>
      <c r="T2975" s="9" t="str">
        <f t="shared" ca="1" si="108"/>
        <v/>
      </c>
      <c r="U2975" s="9" t="str">
        <f t="shared" ca="1" si="109"/>
        <v/>
      </c>
      <c r="AB2975" s="9" t="s">
        <v>8694</v>
      </c>
    </row>
    <row r="2976" spans="1:28" ht="29">
      <c r="A2976" s="3" t="s">
        <v>1515</v>
      </c>
      <c r="D2976" s="3" t="s">
        <v>7301</v>
      </c>
      <c r="E2976" s="3" t="s">
        <v>7300</v>
      </c>
      <c r="H2976" t="s">
        <v>3884</v>
      </c>
      <c r="J2976" s="9" t="s">
        <v>3889</v>
      </c>
      <c r="K2976" s="9">
        <v>1</v>
      </c>
      <c r="L2976" s="9">
        <v>3</v>
      </c>
      <c r="M2976" s="9" t="s">
        <v>8698</v>
      </c>
      <c r="N2976" s="9" t="s">
        <v>8690</v>
      </c>
      <c r="R2976" s="9">
        <v>9418</v>
      </c>
      <c r="T2976" s="9" t="str">
        <f t="shared" ca="1" si="108"/>
        <v/>
      </c>
      <c r="U2976" s="9" t="str">
        <f t="shared" ca="1" si="109"/>
        <v/>
      </c>
    </row>
    <row r="2977" spans="1:28" ht="29">
      <c r="A2977" s="3" t="s">
        <v>1515</v>
      </c>
      <c r="D2977" s="3" t="s">
        <v>7302</v>
      </c>
      <c r="E2977" s="3" t="s">
        <v>7303</v>
      </c>
      <c r="J2977" s="9" t="s">
        <v>8731</v>
      </c>
      <c r="T2977" s="9" t="str">
        <f t="shared" ca="1" si="108"/>
        <v/>
      </c>
      <c r="U2977" s="9" t="str">
        <f t="shared" ca="1" si="109"/>
        <v/>
      </c>
      <c r="Z2977" s="9" t="s">
        <v>9279</v>
      </c>
      <c r="AA2977" s="9" t="s">
        <v>3884</v>
      </c>
    </row>
    <row r="2978" spans="1:28">
      <c r="A2978" s="3" t="s">
        <v>1516</v>
      </c>
      <c r="D2978" s="3" t="s">
        <v>7304</v>
      </c>
      <c r="E2978" s="3" t="s">
        <v>7305</v>
      </c>
      <c r="J2978" s="9" t="s">
        <v>8731</v>
      </c>
      <c r="T2978" s="9" t="str">
        <f t="shared" ca="1" si="108"/>
        <v/>
      </c>
      <c r="U2978" s="9" t="str">
        <f t="shared" ca="1" si="109"/>
        <v/>
      </c>
      <c r="Z2978" s="9" t="s">
        <v>8757</v>
      </c>
      <c r="AA2978" s="9" t="s">
        <v>3884</v>
      </c>
      <c r="AB2978" s="9" t="s">
        <v>8697</v>
      </c>
    </row>
    <row r="2979" spans="1:28">
      <c r="A2979" s="3" t="s">
        <v>1516</v>
      </c>
      <c r="D2979" s="3" t="s">
        <v>7306</v>
      </c>
      <c r="E2979" s="3" t="s">
        <v>7307</v>
      </c>
      <c r="J2979" s="9" t="s">
        <v>8731</v>
      </c>
      <c r="T2979" s="9" t="str">
        <f t="shared" ca="1" si="108"/>
        <v/>
      </c>
      <c r="U2979" s="9" t="str">
        <f t="shared" ca="1" si="109"/>
        <v/>
      </c>
      <c r="Z2979" s="9" t="s">
        <v>8757</v>
      </c>
      <c r="AA2979" s="9" t="s">
        <v>3884</v>
      </c>
      <c r="AB2979" s="9" t="s">
        <v>8697</v>
      </c>
    </row>
    <row r="2980" spans="1:28">
      <c r="A2980" s="3" t="s">
        <v>1516</v>
      </c>
      <c r="D2980" s="3" t="s">
        <v>7308</v>
      </c>
      <c r="E2980" s="3" t="s">
        <v>7309</v>
      </c>
      <c r="J2980" s="9" t="s">
        <v>8729</v>
      </c>
      <c r="S2980" s="9">
        <f>106-797</f>
        <v>-691</v>
      </c>
      <c r="T2980" s="9">
        <f t="shared" ca="1" si="108"/>
        <v>797</v>
      </c>
      <c r="U2980" s="9">
        <f t="shared" ca="1" si="109"/>
        <v>106</v>
      </c>
    </row>
    <row r="2981" spans="1:28">
      <c r="A2981" s="3" t="s">
        <v>1517</v>
      </c>
      <c r="D2981" s="3" t="s">
        <v>7310</v>
      </c>
      <c r="E2981" s="3" t="s">
        <v>7311</v>
      </c>
      <c r="J2981" s="9" t="s">
        <v>8731</v>
      </c>
      <c r="T2981" s="9" t="str">
        <f t="shared" ca="1" si="108"/>
        <v/>
      </c>
      <c r="U2981" s="9" t="str">
        <f t="shared" ca="1" si="109"/>
        <v/>
      </c>
    </row>
    <row r="2982" spans="1:28">
      <c r="A2982" s="3" t="s">
        <v>1518</v>
      </c>
      <c r="D2982" s="3" t="s">
        <v>3617</v>
      </c>
      <c r="E2982" s="3" t="s">
        <v>3601</v>
      </c>
      <c r="J2982" s="9" t="s">
        <v>8729</v>
      </c>
      <c r="S2982" s="9" t="s">
        <v>8739</v>
      </c>
      <c r="T2982" s="9" t="str">
        <f t="shared" ca="1" si="108"/>
        <v/>
      </c>
      <c r="U2982" s="9" t="str">
        <f t="shared" ca="1" si="109"/>
        <v/>
      </c>
      <c r="Y2982" s="9" t="s">
        <v>8735</v>
      </c>
      <c r="Z2982" s="9" t="s">
        <v>8742</v>
      </c>
      <c r="AA2982" s="9" t="s">
        <v>3884</v>
      </c>
    </row>
    <row r="2983" spans="1:28">
      <c r="A2983" s="3" t="s">
        <v>1518</v>
      </c>
      <c r="D2983" s="3" t="s">
        <v>7312</v>
      </c>
      <c r="E2983" s="3" t="s">
        <v>7313</v>
      </c>
      <c r="H2983" t="s">
        <v>3884</v>
      </c>
      <c r="J2983" s="9" t="s">
        <v>3885</v>
      </c>
      <c r="K2983" s="9">
        <v>1</v>
      </c>
      <c r="L2983" s="9">
        <v>2</v>
      </c>
      <c r="M2983" s="9" t="s">
        <v>8734</v>
      </c>
      <c r="N2983" s="9" t="s">
        <v>8730</v>
      </c>
      <c r="Q2983" s="9" t="s">
        <v>8685</v>
      </c>
      <c r="R2983" s="9" t="s">
        <v>8739</v>
      </c>
      <c r="T2983" s="9" t="str">
        <f t="shared" ca="1" si="108"/>
        <v/>
      </c>
      <c r="U2983" s="9" t="str">
        <f t="shared" ca="1" si="109"/>
        <v/>
      </c>
      <c r="AB2983" s="9" t="s">
        <v>8688</v>
      </c>
    </row>
    <row r="2984" spans="1:28">
      <c r="A2984" s="3" t="s">
        <v>1518</v>
      </c>
      <c r="D2984" s="3" t="s">
        <v>7314</v>
      </c>
      <c r="E2984" s="3" t="s">
        <v>7315</v>
      </c>
      <c r="J2984" s="9" t="s">
        <v>8729</v>
      </c>
      <c r="S2984" s="9" t="s">
        <v>8739</v>
      </c>
      <c r="T2984" s="9" t="str">
        <f t="shared" ca="1" si="108"/>
        <v/>
      </c>
      <c r="U2984" s="9" t="str">
        <f t="shared" ca="1" si="109"/>
        <v/>
      </c>
      <c r="Z2984" s="9" t="s">
        <v>8757</v>
      </c>
      <c r="AA2984" s="9" t="s">
        <v>3884</v>
      </c>
      <c r="AB2984" s="9" t="s">
        <v>8697</v>
      </c>
    </row>
    <row r="2985" spans="1:28">
      <c r="A2985" s="3" t="s">
        <v>1519</v>
      </c>
      <c r="D2985" s="3" t="s">
        <v>7316</v>
      </c>
      <c r="E2985" s="3" t="s">
        <v>7317</v>
      </c>
      <c r="I2985" t="s">
        <v>9255</v>
      </c>
      <c r="J2985" s="9" t="s">
        <v>3885</v>
      </c>
      <c r="K2985" s="9">
        <v>1</v>
      </c>
      <c r="L2985" s="9">
        <v>1</v>
      </c>
      <c r="M2985" s="9" t="s">
        <v>8689</v>
      </c>
      <c r="N2985" s="9" t="s">
        <v>8730</v>
      </c>
      <c r="R2985" s="9">
        <v>10929</v>
      </c>
      <c r="T2985" s="9" t="str">
        <f t="shared" ca="1" si="108"/>
        <v/>
      </c>
      <c r="U2985" s="9" t="str">
        <f t="shared" ca="1" si="109"/>
        <v/>
      </c>
      <c r="V2985" s="9" t="s">
        <v>4</v>
      </c>
    </row>
    <row r="2986" spans="1:28">
      <c r="A2986" s="3" t="s">
        <v>1520</v>
      </c>
      <c r="D2986" s="3" t="s">
        <v>7318</v>
      </c>
      <c r="E2986" s="3" t="s">
        <v>7319</v>
      </c>
      <c r="J2986" s="9" t="s">
        <v>3889</v>
      </c>
      <c r="K2986" s="9">
        <v>1</v>
      </c>
      <c r="L2986" s="9">
        <v>3</v>
      </c>
      <c r="M2986" s="9" t="s">
        <v>8698</v>
      </c>
      <c r="N2986" s="9" t="s">
        <v>8690</v>
      </c>
      <c r="R2986" s="9">
        <v>9418</v>
      </c>
      <c r="T2986" s="9" t="str">
        <f t="shared" ca="1" si="108"/>
        <v/>
      </c>
      <c r="U2986" s="9" t="str">
        <f t="shared" ca="1" si="109"/>
        <v/>
      </c>
    </row>
    <row r="2987" spans="1:28">
      <c r="A2987" s="3" t="s">
        <v>1520</v>
      </c>
      <c r="D2987" s="3" t="s">
        <v>3614</v>
      </c>
      <c r="E2987" s="3" t="s">
        <v>3614</v>
      </c>
      <c r="F2987" t="s">
        <v>3932</v>
      </c>
      <c r="I2987" t="s">
        <v>3646</v>
      </c>
      <c r="T2987" s="9" t="str">
        <f t="shared" ca="1" si="108"/>
        <v/>
      </c>
      <c r="U2987" s="9" t="str">
        <f t="shared" ca="1" si="109"/>
        <v/>
      </c>
    </row>
    <row r="2988" spans="1:28">
      <c r="A2988" s="3" t="s">
        <v>1521</v>
      </c>
      <c r="D2988" s="3" t="s">
        <v>7320</v>
      </c>
      <c r="E2988" s="3" t="s">
        <v>7320</v>
      </c>
      <c r="F2988" t="s">
        <v>3932</v>
      </c>
      <c r="I2988" t="s">
        <v>7321</v>
      </c>
      <c r="T2988" s="9" t="str">
        <f t="shared" ca="1" si="108"/>
        <v/>
      </c>
      <c r="U2988" s="9" t="str">
        <f t="shared" ca="1" si="109"/>
        <v/>
      </c>
    </row>
    <row r="2989" spans="1:28" ht="29">
      <c r="A2989" s="3" t="s">
        <v>1522</v>
      </c>
      <c r="D2989" s="3" t="s">
        <v>9130</v>
      </c>
      <c r="E2989" s="3" t="s">
        <v>9131</v>
      </c>
      <c r="H2989" t="s">
        <v>3884</v>
      </c>
      <c r="J2989" s="9" t="s">
        <v>3885</v>
      </c>
      <c r="K2989" s="9">
        <v>1</v>
      </c>
      <c r="L2989" s="9">
        <v>4</v>
      </c>
      <c r="M2989" s="9" t="s">
        <v>8703</v>
      </c>
      <c r="N2989" s="9" t="s">
        <v>8684</v>
      </c>
      <c r="O2989" s="9" t="s">
        <v>8777</v>
      </c>
      <c r="P2989" s="10" t="s">
        <v>8772</v>
      </c>
      <c r="Q2989" s="9" t="s">
        <v>8685</v>
      </c>
      <c r="R2989" s="9">
        <v>357</v>
      </c>
      <c r="T2989" s="9" t="str">
        <f t="shared" ca="1" si="108"/>
        <v/>
      </c>
      <c r="U2989" s="9" t="str">
        <f t="shared" ca="1" si="109"/>
        <v/>
      </c>
      <c r="AB2989" s="9" t="s">
        <v>8694</v>
      </c>
    </row>
    <row r="2990" spans="1:28">
      <c r="A2990" s="3" t="s">
        <v>1523</v>
      </c>
      <c r="D2990" s="3" t="s">
        <v>2629</v>
      </c>
      <c r="E2990" s="3" t="s">
        <v>2629</v>
      </c>
      <c r="F2990" t="s">
        <v>3932</v>
      </c>
      <c r="I2990" t="s">
        <v>2502</v>
      </c>
      <c r="T2990" s="9" t="str">
        <f t="shared" ca="1" si="108"/>
        <v/>
      </c>
      <c r="U2990" s="9" t="str">
        <f t="shared" ca="1" si="109"/>
        <v/>
      </c>
    </row>
    <row r="2991" spans="1:28">
      <c r="A2991" s="3" t="s">
        <v>1523</v>
      </c>
      <c r="D2991" s="3" t="s">
        <v>7322</v>
      </c>
      <c r="E2991" s="3" t="s">
        <v>7323</v>
      </c>
      <c r="J2991" s="9" t="s">
        <v>8729</v>
      </c>
      <c r="S2991" s="9" t="s">
        <v>8730</v>
      </c>
      <c r="T2991" s="9" t="str">
        <f t="shared" ca="1" si="108"/>
        <v/>
      </c>
      <c r="U2991" s="9" t="str">
        <f t="shared" ca="1" si="109"/>
        <v/>
      </c>
      <c r="Y2991" s="9" t="s">
        <v>8735</v>
      </c>
      <c r="AA2991" s="9" t="s">
        <v>3884</v>
      </c>
    </row>
    <row r="2992" spans="1:28" ht="29">
      <c r="A2992" s="3" t="s">
        <v>1523</v>
      </c>
      <c r="D2992" s="3" t="s">
        <v>7284</v>
      </c>
      <c r="E2992" s="3" t="s">
        <v>7282</v>
      </c>
      <c r="J2992" s="9" t="s">
        <v>3889</v>
      </c>
      <c r="K2992" s="9">
        <v>1</v>
      </c>
      <c r="L2992" s="9">
        <v>3</v>
      </c>
      <c r="M2992" s="9" t="s">
        <v>8698</v>
      </c>
      <c r="N2992" s="9" t="s">
        <v>8690</v>
      </c>
      <c r="R2992" s="9">
        <v>9418</v>
      </c>
      <c r="T2992" s="9" t="str">
        <f t="shared" ca="1" si="108"/>
        <v/>
      </c>
      <c r="U2992" s="9" t="str">
        <f t="shared" ca="1" si="109"/>
        <v/>
      </c>
    </row>
    <row r="2993" spans="1:28">
      <c r="A2993" s="3" t="s">
        <v>1523</v>
      </c>
      <c r="D2993" s="3" t="s">
        <v>7324</v>
      </c>
      <c r="E2993" s="3" t="s">
        <v>7325</v>
      </c>
      <c r="F2993" t="s">
        <v>3881</v>
      </c>
      <c r="T2993" s="9" t="str">
        <f t="shared" ca="1" si="108"/>
        <v/>
      </c>
      <c r="U2993" s="9" t="str">
        <f t="shared" ca="1" si="109"/>
        <v/>
      </c>
    </row>
    <row r="2994" spans="1:28">
      <c r="A2994" s="3" t="s">
        <v>1524</v>
      </c>
      <c r="D2994" s="3" t="s">
        <v>7326</v>
      </c>
      <c r="E2994" s="3" t="s">
        <v>7327</v>
      </c>
      <c r="H2994" t="s">
        <v>3884</v>
      </c>
      <c r="J2994" s="9" t="s">
        <v>3885</v>
      </c>
      <c r="K2994" s="9">
        <v>1</v>
      </c>
      <c r="L2994" s="9">
        <v>3</v>
      </c>
      <c r="M2994" s="9" t="s">
        <v>8689</v>
      </c>
      <c r="N2994" s="9" t="s">
        <v>8684</v>
      </c>
      <c r="O2994" s="9" t="s">
        <v>8771</v>
      </c>
      <c r="P2994" s="10" t="s">
        <v>8778</v>
      </c>
      <c r="R2994" s="9">
        <v>10929</v>
      </c>
      <c r="T2994" s="9" t="str">
        <f t="shared" ca="1" si="108"/>
        <v/>
      </c>
      <c r="U2994" s="9" t="str">
        <f t="shared" ca="1" si="109"/>
        <v/>
      </c>
    </row>
    <row r="2995" spans="1:28">
      <c r="A2995" s="3" t="s">
        <v>1524</v>
      </c>
      <c r="D2995" s="3" t="s">
        <v>3641</v>
      </c>
      <c r="E2995" s="3" t="s">
        <v>3616</v>
      </c>
      <c r="H2995" t="s">
        <v>3884</v>
      </c>
      <c r="J2995" s="9" t="s">
        <v>8729</v>
      </c>
      <c r="S2995" s="9" t="s">
        <v>8730</v>
      </c>
      <c r="T2995" s="9" t="str">
        <f t="shared" ca="1" si="108"/>
        <v/>
      </c>
      <c r="U2995" s="9" t="str">
        <f t="shared" ca="1" si="109"/>
        <v/>
      </c>
      <c r="AB2995" s="9" t="s">
        <v>8688</v>
      </c>
    </row>
    <row r="2996" spans="1:28">
      <c r="A2996" s="3" t="s">
        <v>1524</v>
      </c>
      <c r="D2996" s="3" t="s">
        <v>3617</v>
      </c>
      <c r="E2996" s="3" t="s">
        <v>3617</v>
      </c>
      <c r="F2996" t="s">
        <v>3932</v>
      </c>
      <c r="I2996" t="s">
        <v>3601</v>
      </c>
      <c r="T2996" s="9" t="str">
        <f t="shared" ca="1" si="108"/>
        <v/>
      </c>
      <c r="U2996" s="9" t="str">
        <f t="shared" ca="1" si="109"/>
        <v/>
      </c>
    </row>
    <row r="2997" spans="1:28">
      <c r="A2997" s="3" t="s">
        <v>1525</v>
      </c>
      <c r="D2997" s="3" t="s">
        <v>7328</v>
      </c>
      <c r="E2997" s="3" t="s">
        <v>7329</v>
      </c>
      <c r="H2997" t="s">
        <v>3892</v>
      </c>
      <c r="I2997" t="s">
        <v>9704</v>
      </c>
      <c r="J2997" s="9" t="s">
        <v>8729</v>
      </c>
      <c r="Q2997" s="9" t="s">
        <v>8685</v>
      </c>
      <c r="S2997" s="9">
        <f>9418-73</f>
        <v>9345</v>
      </c>
      <c r="T2997" s="9">
        <f t="shared" ca="1" si="108"/>
        <v>73</v>
      </c>
      <c r="U2997" s="9">
        <f t="shared" ca="1" si="109"/>
        <v>9418</v>
      </c>
      <c r="AB2997" s="9" t="s">
        <v>8694</v>
      </c>
    </row>
    <row r="2998" spans="1:28" ht="29">
      <c r="A2998" s="3" t="s">
        <v>1525</v>
      </c>
      <c r="D2998" s="3" t="s">
        <v>9132</v>
      </c>
      <c r="E2998" s="3" t="s">
        <v>9133</v>
      </c>
      <c r="H2998" t="s">
        <v>3884</v>
      </c>
      <c r="I2998" t="s">
        <v>8865</v>
      </c>
      <c r="J2998" s="9" t="s">
        <v>3894</v>
      </c>
      <c r="T2998" s="9" t="str">
        <f t="shared" ca="1" si="108"/>
        <v/>
      </c>
      <c r="U2998" s="9" t="str">
        <f t="shared" ca="1" si="109"/>
        <v/>
      </c>
    </row>
    <row r="2999" spans="1:28" ht="29">
      <c r="A2999" s="3" t="s">
        <v>1525</v>
      </c>
      <c r="D2999" s="3" t="s">
        <v>9134</v>
      </c>
      <c r="E2999" s="3" t="s">
        <v>9135</v>
      </c>
      <c r="J2999" s="9" t="s">
        <v>8731</v>
      </c>
      <c r="T2999" s="9" t="str">
        <f t="shared" ca="1" si="108"/>
        <v/>
      </c>
      <c r="U2999" s="9" t="str">
        <f t="shared" ca="1" si="109"/>
        <v/>
      </c>
      <c r="Z2999" s="9" t="s">
        <v>8757</v>
      </c>
      <c r="AA2999" s="9" t="s">
        <v>3884</v>
      </c>
      <c r="AB2999" s="9" t="s">
        <v>8697</v>
      </c>
    </row>
    <row r="3000" spans="1:28">
      <c r="A3000" s="3" t="s">
        <v>1526</v>
      </c>
      <c r="D3000" s="3" t="s">
        <v>7330</v>
      </c>
      <c r="E3000" s="3" t="s">
        <v>7331</v>
      </c>
      <c r="J3000" s="9" t="s">
        <v>3889</v>
      </c>
      <c r="K3000" s="9">
        <v>1</v>
      </c>
      <c r="L3000" s="9">
        <v>3</v>
      </c>
      <c r="M3000" s="9" t="s">
        <v>8698</v>
      </c>
      <c r="N3000" s="9" t="s">
        <v>8684</v>
      </c>
      <c r="O3000" s="9" t="s">
        <v>8771</v>
      </c>
      <c r="P3000" s="10" t="s">
        <v>8778</v>
      </c>
      <c r="Q3000" s="9" t="s">
        <v>8685</v>
      </c>
      <c r="R3000" s="9">
        <v>9418</v>
      </c>
      <c r="T3000" s="9" t="str">
        <f t="shared" ca="1" si="108"/>
        <v/>
      </c>
      <c r="U3000" s="9" t="str">
        <f t="shared" ca="1" si="109"/>
        <v/>
      </c>
      <c r="AB3000" s="9" t="s">
        <v>8700</v>
      </c>
    </row>
    <row r="3001" spans="1:28" ht="29">
      <c r="A3001" s="3" t="s">
        <v>1527</v>
      </c>
      <c r="D3001" s="3" t="s">
        <v>7332</v>
      </c>
      <c r="E3001" s="3" t="s">
        <v>7332</v>
      </c>
      <c r="F3001" t="s">
        <v>3932</v>
      </c>
      <c r="I3001" t="s">
        <v>7333</v>
      </c>
      <c r="T3001" s="9" t="str">
        <f t="shared" ca="1" si="108"/>
        <v/>
      </c>
      <c r="U3001" s="9" t="str">
        <f t="shared" ca="1" si="109"/>
        <v/>
      </c>
    </row>
    <row r="3002" spans="1:28">
      <c r="A3002" s="3" t="s">
        <v>1527</v>
      </c>
      <c r="D3002" s="3" t="s">
        <v>7334</v>
      </c>
      <c r="E3002" s="3" t="s">
        <v>7335</v>
      </c>
      <c r="J3002" s="9" t="s">
        <v>8732</v>
      </c>
      <c r="S3002" s="9">
        <f>422-91</f>
        <v>331</v>
      </c>
      <c r="T3002" s="9">
        <f t="shared" ca="1" si="108"/>
        <v>91</v>
      </c>
      <c r="U3002" s="9">
        <f t="shared" ca="1" si="109"/>
        <v>422</v>
      </c>
    </row>
    <row r="3003" spans="1:28" ht="29">
      <c r="A3003" s="3" t="s">
        <v>1527</v>
      </c>
      <c r="D3003" s="3" t="s">
        <v>7336</v>
      </c>
      <c r="E3003" s="3" t="s">
        <v>7337</v>
      </c>
      <c r="I3003" t="s">
        <v>9136</v>
      </c>
      <c r="J3003" s="9" t="s">
        <v>3894</v>
      </c>
      <c r="T3003" s="9" t="str">
        <f t="shared" ca="1" si="108"/>
        <v/>
      </c>
      <c r="U3003" s="9" t="str">
        <f t="shared" ca="1" si="109"/>
        <v/>
      </c>
    </row>
    <row r="3004" spans="1:28" ht="29">
      <c r="A3004" s="3" t="s">
        <v>1527</v>
      </c>
      <c r="D3004" s="3" t="s">
        <v>7338</v>
      </c>
      <c r="E3004" s="3" t="s">
        <v>7339</v>
      </c>
      <c r="H3004" t="s">
        <v>3892</v>
      </c>
      <c r="I3004" t="s">
        <v>7340</v>
      </c>
      <c r="J3004" s="9" t="s">
        <v>8731</v>
      </c>
      <c r="T3004" s="9" t="str">
        <f t="shared" ca="1" si="108"/>
        <v/>
      </c>
      <c r="U3004" s="9" t="str">
        <f t="shared" ca="1" si="109"/>
        <v/>
      </c>
    </row>
    <row r="3005" spans="1:28" ht="29">
      <c r="A3005" s="3" t="s">
        <v>1527</v>
      </c>
      <c r="D3005" s="3" t="s">
        <v>7341</v>
      </c>
      <c r="E3005" s="3" t="s">
        <v>7342</v>
      </c>
      <c r="H3005" t="s">
        <v>3884</v>
      </c>
      <c r="J3005" s="9" t="s">
        <v>8729</v>
      </c>
      <c r="Q3005" s="9" t="s">
        <v>8685</v>
      </c>
      <c r="S3005" s="9" t="s">
        <v>8730</v>
      </c>
      <c r="T3005" s="9" t="str">
        <f t="shared" ca="1" si="108"/>
        <v/>
      </c>
      <c r="U3005" s="9" t="str">
        <f t="shared" ca="1" si="109"/>
        <v/>
      </c>
      <c r="AB3005" s="9" t="s">
        <v>8688</v>
      </c>
    </row>
    <row r="3006" spans="1:28" ht="29">
      <c r="A3006" s="3" t="s">
        <v>1528</v>
      </c>
      <c r="D3006" s="3" t="s">
        <v>7343</v>
      </c>
      <c r="E3006" s="3" t="s">
        <v>7343</v>
      </c>
      <c r="F3006" t="s">
        <v>3932</v>
      </c>
      <c r="I3006" t="s">
        <v>7344</v>
      </c>
      <c r="T3006" s="9" t="str">
        <f t="shared" ca="1" si="108"/>
        <v/>
      </c>
      <c r="U3006" s="9" t="str">
        <f t="shared" ca="1" si="109"/>
        <v/>
      </c>
    </row>
    <row r="3007" spans="1:28">
      <c r="A3007" s="3" t="s">
        <v>1529</v>
      </c>
      <c r="D3007" s="3" t="s">
        <v>3623</v>
      </c>
      <c r="E3007" s="3" t="s">
        <v>3623</v>
      </c>
      <c r="F3007" t="s">
        <v>3932</v>
      </c>
      <c r="I3007" t="s">
        <v>7345</v>
      </c>
      <c r="T3007" s="9" t="str">
        <f t="shared" ca="1" si="108"/>
        <v/>
      </c>
      <c r="U3007" s="9" t="str">
        <f t="shared" ca="1" si="109"/>
        <v/>
      </c>
    </row>
    <row r="3008" spans="1:28">
      <c r="A3008" s="3" t="s">
        <v>1529</v>
      </c>
      <c r="D3008" s="3" t="s">
        <v>3625</v>
      </c>
      <c r="E3008" s="3" t="s">
        <v>3624</v>
      </c>
      <c r="J3008" s="9" t="s">
        <v>8731</v>
      </c>
      <c r="T3008" s="9" t="str">
        <f t="shared" ca="1" si="108"/>
        <v/>
      </c>
      <c r="U3008" s="9" t="str">
        <f t="shared" ca="1" si="109"/>
        <v/>
      </c>
      <c r="Z3008" s="9" t="s">
        <v>8832</v>
      </c>
      <c r="AA3008" s="9" t="s">
        <v>3884</v>
      </c>
    </row>
    <row r="3009" spans="1:28">
      <c r="A3009" s="3" t="s">
        <v>1529</v>
      </c>
      <c r="D3009" s="3" t="s">
        <v>7346</v>
      </c>
      <c r="E3009" s="3" t="s">
        <v>7347</v>
      </c>
      <c r="J3009" s="9" t="s">
        <v>8729</v>
      </c>
      <c r="S3009" s="9">
        <f>35-245</f>
        <v>-210</v>
      </c>
      <c r="T3009" s="9">
        <f t="shared" ca="1" si="108"/>
        <v>245</v>
      </c>
      <c r="U3009" s="9">
        <f t="shared" ca="1" si="109"/>
        <v>35</v>
      </c>
    </row>
    <row r="3010" spans="1:28" ht="29">
      <c r="A3010" s="3" t="s">
        <v>1530</v>
      </c>
      <c r="D3010" s="3" t="s">
        <v>7348</v>
      </c>
      <c r="E3010" s="3" t="s">
        <v>7349</v>
      </c>
      <c r="J3010" s="9" t="s">
        <v>8731</v>
      </c>
      <c r="T3010" s="9" t="str">
        <f t="shared" ref="T3010:T3073" ca="1" si="110">IF(ISNUMBER(S3010),VALUE(MID(_xlfn.FORMULATEXT(S3010),SEARCH("-",_xlfn.FORMULATEXT(S3010))+1,LEN(_xlfn.FORMULATEXT(S3010))-SEARCH("-",_xlfn.FORMULATEXT(S3010)))), "")</f>
        <v/>
      </c>
      <c r="U3010" s="9" t="str">
        <f t="shared" ref="U3010:U3073" ca="1" si="111">IF(ISNUMBER(S3010), VALUE(MID(_xlfn.FORMULATEXT(S3010), 2, SEARCH("-", _xlfn.FORMULATEXT(S3010)) - 2)), "")</f>
        <v/>
      </c>
      <c r="Z3010" s="9" t="s">
        <v>8742</v>
      </c>
      <c r="AA3010" s="9" t="s">
        <v>3884</v>
      </c>
      <c r="AB3010" s="9" t="s">
        <v>8697</v>
      </c>
    </row>
    <row r="3011" spans="1:28">
      <c r="A3011" s="3" t="s">
        <v>1530</v>
      </c>
      <c r="D3011" s="3" t="s">
        <v>7350</v>
      </c>
      <c r="E3011" s="3" t="s">
        <v>6667</v>
      </c>
      <c r="J3011" s="9" t="s">
        <v>8731</v>
      </c>
      <c r="T3011" s="9" t="str">
        <f t="shared" ca="1" si="110"/>
        <v/>
      </c>
      <c r="U3011" s="9" t="str">
        <f t="shared" ca="1" si="111"/>
        <v/>
      </c>
    </row>
    <row r="3012" spans="1:28">
      <c r="A3012" s="3" t="s">
        <v>1531</v>
      </c>
      <c r="D3012" s="3" t="s">
        <v>3644</v>
      </c>
      <c r="E3012" s="3" t="s">
        <v>3626</v>
      </c>
      <c r="H3012" t="s">
        <v>3884</v>
      </c>
      <c r="J3012" s="9" t="s">
        <v>8729</v>
      </c>
      <c r="S3012" s="9" t="s">
        <v>8739</v>
      </c>
      <c r="T3012" s="9" t="str">
        <f t="shared" ca="1" si="110"/>
        <v/>
      </c>
      <c r="U3012" s="9" t="str">
        <f t="shared" ca="1" si="111"/>
        <v/>
      </c>
      <c r="Y3012" s="9" t="s">
        <v>8735</v>
      </c>
      <c r="AA3012" s="9" t="s">
        <v>3884</v>
      </c>
    </row>
    <row r="3013" spans="1:28">
      <c r="A3013" s="3" t="s">
        <v>1532</v>
      </c>
      <c r="D3013" s="3" t="s">
        <v>3645</v>
      </c>
      <c r="E3013" s="3" t="s">
        <v>3627</v>
      </c>
      <c r="J3013" s="9" t="s">
        <v>8729</v>
      </c>
      <c r="S3013" s="9" t="s">
        <v>8739</v>
      </c>
      <c r="T3013" s="9" t="str">
        <f t="shared" ca="1" si="110"/>
        <v/>
      </c>
      <c r="U3013" s="9" t="str">
        <f t="shared" ca="1" si="111"/>
        <v/>
      </c>
      <c r="AB3013" s="9" t="s">
        <v>8697</v>
      </c>
    </row>
    <row r="3014" spans="1:28">
      <c r="A3014" s="3" t="s">
        <v>1533</v>
      </c>
      <c r="D3014" s="3" t="s">
        <v>7351</v>
      </c>
      <c r="E3014" s="3" t="s">
        <v>7352</v>
      </c>
      <c r="F3014" t="s">
        <v>3932</v>
      </c>
      <c r="I3014" t="s">
        <v>7353</v>
      </c>
      <c r="T3014" s="9" t="str">
        <f t="shared" ca="1" si="110"/>
        <v/>
      </c>
      <c r="U3014" s="9" t="str">
        <f t="shared" ca="1" si="111"/>
        <v/>
      </c>
    </row>
    <row r="3015" spans="1:28">
      <c r="A3015" s="3" t="s">
        <v>1533</v>
      </c>
      <c r="D3015" s="3" t="s">
        <v>7356</v>
      </c>
      <c r="E3015" s="3" t="s">
        <v>7357</v>
      </c>
      <c r="F3015" t="s">
        <v>3932</v>
      </c>
      <c r="I3015" t="s">
        <v>7358</v>
      </c>
      <c r="T3015" s="9" t="str">
        <f t="shared" ca="1" si="110"/>
        <v/>
      </c>
      <c r="U3015" s="9" t="str">
        <f t="shared" ca="1" si="111"/>
        <v/>
      </c>
    </row>
    <row r="3016" spans="1:28">
      <c r="A3016" s="3" t="s">
        <v>1533</v>
      </c>
      <c r="D3016" s="3" t="s">
        <v>7355</v>
      </c>
      <c r="E3016" s="4" t="s">
        <v>7354</v>
      </c>
      <c r="F3016" t="s">
        <v>3897</v>
      </c>
      <c r="J3016" s="9" t="s">
        <v>3889</v>
      </c>
      <c r="K3016" s="9">
        <v>1</v>
      </c>
      <c r="L3016" s="9">
        <v>1</v>
      </c>
      <c r="M3016" s="9" t="s">
        <v>8689</v>
      </c>
      <c r="N3016" s="9" t="s">
        <v>8730</v>
      </c>
      <c r="R3016" s="9">
        <v>10929</v>
      </c>
      <c r="T3016" s="9" t="str">
        <f t="shared" ca="1" si="110"/>
        <v/>
      </c>
      <c r="U3016" s="9" t="str">
        <f t="shared" ca="1" si="111"/>
        <v/>
      </c>
    </row>
    <row r="3017" spans="1:28" ht="29">
      <c r="A3017" s="3" t="s">
        <v>1533</v>
      </c>
      <c r="D3017" s="3" t="s">
        <v>7359</v>
      </c>
      <c r="E3017" s="3" t="s">
        <v>7359</v>
      </c>
      <c r="F3017" t="s">
        <v>3932</v>
      </c>
      <c r="I3017" t="s">
        <v>7360</v>
      </c>
      <c r="T3017" s="9" t="str">
        <f t="shared" ca="1" si="110"/>
        <v/>
      </c>
      <c r="U3017" s="9" t="str">
        <f t="shared" ca="1" si="111"/>
        <v/>
      </c>
    </row>
    <row r="3018" spans="1:28" ht="29">
      <c r="A3018" s="3" t="s">
        <v>1533</v>
      </c>
      <c r="D3018" s="3" t="s">
        <v>7361</v>
      </c>
      <c r="E3018" s="3" t="s">
        <v>7361</v>
      </c>
      <c r="F3018" t="s">
        <v>3932</v>
      </c>
      <c r="I3018" t="s">
        <v>7362</v>
      </c>
      <c r="T3018" s="9" t="str">
        <f t="shared" ca="1" si="110"/>
        <v/>
      </c>
      <c r="U3018" s="9" t="str">
        <f t="shared" ca="1" si="111"/>
        <v/>
      </c>
    </row>
    <row r="3019" spans="1:28">
      <c r="A3019" s="3" t="s">
        <v>1534</v>
      </c>
      <c r="D3019" s="3" t="s">
        <v>2236</v>
      </c>
      <c r="E3019" s="3" t="s">
        <v>2236</v>
      </c>
      <c r="F3019" t="s">
        <v>3932</v>
      </c>
      <c r="I3019" t="s">
        <v>2769</v>
      </c>
      <c r="T3019" s="9" t="str">
        <f t="shared" ca="1" si="110"/>
        <v/>
      </c>
      <c r="U3019" s="9" t="str">
        <f t="shared" ca="1" si="111"/>
        <v/>
      </c>
    </row>
    <row r="3020" spans="1:28">
      <c r="A3020" s="3" t="s">
        <v>1535</v>
      </c>
      <c r="D3020" s="3" t="s">
        <v>7363</v>
      </c>
      <c r="E3020" s="3" t="s">
        <v>7364</v>
      </c>
      <c r="H3020" t="s">
        <v>3884</v>
      </c>
      <c r="J3020" s="9" t="s">
        <v>8729</v>
      </c>
      <c r="S3020" s="9" t="s">
        <v>8739</v>
      </c>
      <c r="T3020" s="9" t="str">
        <f t="shared" ca="1" si="110"/>
        <v/>
      </c>
      <c r="U3020" s="9" t="str">
        <f t="shared" ca="1" si="111"/>
        <v/>
      </c>
      <c r="AB3020" s="9" t="s">
        <v>8688</v>
      </c>
    </row>
    <row r="3021" spans="1:28" ht="29">
      <c r="A3021" s="3" t="s">
        <v>1535</v>
      </c>
      <c r="D3021" s="3" t="s">
        <v>7365</v>
      </c>
      <c r="E3021" s="3" t="s">
        <v>7366</v>
      </c>
      <c r="H3021" t="s">
        <v>3884</v>
      </c>
      <c r="J3021" s="9" t="s">
        <v>3885</v>
      </c>
      <c r="K3021" s="9">
        <v>1</v>
      </c>
      <c r="L3021" s="9">
        <v>3</v>
      </c>
      <c r="M3021" s="9" t="s">
        <v>8698</v>
      </c>
      <c r="N3021" s="9" t="s">
        <v>8690</v>
      </c>
      <c r="R3021" s="9">
        <v>9418</v>
      </c>
      <c r="T3021" s="9" t="str">
        <f t="shared" ca="1" si="110"/>
        <v/>
      </c>
      <c r="U3021" s="9" t="str">
        <f t="shared" ca="1" si="111"/>
        <v/>
      </c>
    </row>
    <row r="3022" spans="1:28">
      <c r="A3022" s="3" t="s">
        <v>1535</v>
      </c>
      <c r="D3022" s="3" t="s">
        <v>7367</v>
      </c>
      <c r="E3022" s="3" t="s">
        <v>7368</v>
      </c>
      <c r="H3022" t="s">
        <v>3884</v>
      </c>
      <c r="J3022" s="9" t="s">
        <v>3885</v>
      </c>
      <c r="K3022" s="9">
        <v>1</v>
      </c>
      <c r="L3022" s="9">
        <v>3</v>
      </c>
      <c r="M3022" s="9" t="s">
        <v>8698</v>
      </c>
      <c r="N3022" s="9" t="s">
        <v>8690</v>
      </c>
      <c r="R3022" s="9">
        <v>9418</v>
      </c>
      <c r="T3022" s="9" t="str">
        <f t="shared" ca="1" si="110"/>
        <v/>
      </c>
      <c r="U3022" s="9" t="str">
        <f t="shared" ca="1" si="111"/>
        <v/>
      </c>
    </row>
    <row r="3023" spans="1:28">
      <c r="A3023" s="3" t="s">
        <v>1536</v>
      </c>
      <c r="D3023" s="3" t="s">
        <v>7369</v>
      </c>
      <c r="E3023" s="3" t="s">
        <v>7370</v>
      </c>
      <c r="F3023" t="s">
        <v>3893</v>
      </c>
      <c r="H3023" t="s">
        <v>3884</v>
      </c>
      <c r="T3023" s="9" t="str">
        <f t="shared" ca="1" si="110"/>
        <v/>
      </c>
      <c r="U3023" s="9" t="str">
        <f t="shared" ca="1" si="111"/>
        <v/>
      </c>
    </row>
    <row r="3024" spans="1:28">
      <c r="A3024" s="3" t="s">
        <v>1536</v>
      </c>
      <c r="D3024" s="3" t="s">
        <v>7371</v>
      </c>
      <c r="E3024" s="3" t="s">
        <v>7372</v>
      </c>
      <c r="H3024" t="s">
        <v>3884</v>
      </c>
      <c r="J3024" s="9" t="s">
        <v>3889</v>
      </c>
      <c r="K3024" s="9">
        <v>1</v>
      </c>
      <c r="L3024" s="9">
        <v>5</v>
      </c>
      <c r="M3024" s="9" t="s">
        <v>8703</v>
      </c>
      <c r="N3024" s="9" t="s">
        <v>8690</v>
      </c>
      <c r="R3024" s="9">
        <v>494</v>
      </c>
      <c r="T3024" s="9" t="str">
        <f t="shared" ca="1" si="110"/>
        <v/>
      </c>
      <c r="U3024" s="9" t="str">
        <f t="shared" ca="1" si="111"/>
        <v/>
      </c>
    </row>
    <row r="3025" spans="1:28">
      <c r="A3025" s="3" t="s">
        <v>1536</v>
      </c>
      <c r="D3025" s="3" t="s">
        <v>3632</v>
      </c>
      <c r="E3025" s="3" t="s">
        <v>3630</v>
      </c>
      <c r="J3025" s="9" t="s">
        <v>8729</v>
      </c>
      <c r="S3025" s="9" t="s">
        <v>8739</v>
      </c>
      <c r="T3025" s="9" t="str">
        <f t="shared" ca="1" si="110"/>
        <v/>
      </c>
      <c r="U3025" s="9" t="str">
        <f t="shared" ca="1" si="111"/>
        <v/>
      </c>
      <c r="AB3025" s="9" t="s">
        <v>8688</v>
      </c>
    </row>
    <row r="3026" spans="1:28">
      <c r="A3026" s="3" t="s">
        <v>1536</v>
      </c>
      <c r="D3026" s="3" t="s">
        <v>7373</v>
      </c>
      <c r="E3026" s="3" t="s">
        <v>3631</v>
      </c>
      <c r="F3026" t="s">
        <v>3881</v>
      </c>
      <c r="T3026" s="9" t="str">
        <f t="shared" ca="1" si="110"/>
        <v/>
      </c>
      <c r="U3026" s="9" t="str">
        <f t="shared" ca="1" si="111"/>
        <v/>
      </c>
    </row>
    <row r="3027" spans="1:28">
      <c r="A3027" s="3" t="s">
        <v>1537</v>
      </c>
      <c r="D3027" s="4" t="s">
        <v>7374</v>
      </c>
      <c r="E3027" s="3" t="s">
        <v>7375</v>
      </c>
      <c r="F3027" t="s">
        <v>3883</v>
      </c>
      <c r="T3027" s="9" t="str">
        <f t="shared" ca="1" si="110"/>
        <v/>
      </c>
      <c r="U3027" s="9" t="str">
        <f t="shared" ca="1" si="111"/>
        <v/>
      </c>
    </row>
    <row r="3028" spans="1:28">
      <c r="A3028" s="3" t="s">
        <v>1537</v>
      </c>
      <c r="D3028" s="3" t="s">
        <v>7376</v>
      </c>
      <c r="E3028" s="3" t="s">
        <v>7377</v>
      </c>
      <c r="J3028" s="9" t="s">
        <v>3889</v>
      </c>
      <c r="K3028" s="9">
        <v>1</v>
      </c>
      <c r="L3028" s="9">
        <v>2</v>
      </c>
      <c r="M3028" s="9" t="s">
        <v>8698</v>
      </c>
      <c r="N3028" s="9" t="s">
        <v>8730</v>
      </c>
      <c r="R3028" s="9">
        <v>159</v>
      </c>
      <c r="T3028" s="9" t="str">
        <f t="shared" ca="1" si="110"/>
        <v/>
      </c>
      <c r="U3028" s="9" t="str">
        <f t="shared" ca="1" si="111"/>
        <v/>
      </c>
    </row>
    <row r="3029" spans="1:28">
      <c r="A3029" s="3" t="s">
        <v>1538</v>
      </c>
      <c r="D3029" s="3" t="s">
        <v>3633</v>
      </c>
      <c r="E3029" s="3" t="s">
        <v>3633</v>
      </c>
      <c r="F3029" t="s">
        <v>3932</v>
      </c>
      <c r="T3029" s="9" t="str">
        <f t="shared" ca="1" si="110"/>
        <v/>
      </c>
      <c r="U3029" s="9" t="str">
        <f t="shared" ca="1" si="111"/>
        <v/>
      </c>
    </row>
    <row r="3030" spans="1:28">
      <c r="A3030" s="3" t="s">
        <v>1538</v>
      </c>
      <c r="D3030" s="3" t="s">
        <v>3647</v>
      </c>
      <c r="E3030" s="3" t="s">
        <v>3634</v>
      </c>
      <c r="J3030" s="9" t="s">
        <v>8729</v>
      </c>
      <c r="S3030" s="9" t="s">
        <v>8739</v>
      </c>
      <c r="T3030" s="9" t="str">
        <f t="shared" ca="1" si="110"/>
        <v/>
      </c>
      <c r="U3030" s="9" t="str">
        <f t="shared" ca="1" si="111"/>
        <v/>
      </c>
      <c r="Z3030" s="9" t="s">
        <v>8741</v>
      </c>
      <c r="AA3030" s="9" t="s">
        <v>3884</v>
      </c>
      <c r="AB3030" s="9" t="s">
        <v>8697</v>
      </c>
    </row>
    <row r="3031" spans="1:28">
      <c r="A3031" s="3" t="s">
        <v>1538</v>
      </c>
      <c r="D3031" s="3" t="s">
        <v>7378</v>
      </c>
      <c r="E3031" s="3" t="s">
        <v>7378</v>
      </c>
      <c r="F3031" t="s">
        <v>3932</v>
      </c>
      <c r="I3031" t="s">
        <v>7379</v>
      </c>
      <c r="T3031" s="9" t="str">
        <f t="shared" ca="1" si="110"/>
        <v/>
      </c>
      <c r="U3031" s="9" t="str">
        <f t="shared" ca="1" si="111"/>
        <v/>
      </c>
    </row>
    <row r="3032" spans="1:28" ht="29">
      <c r="A3032" s="3" t="s">
        <v>1538</v>
      </c>
      <c r="D3032" s="3" t="s">
        <v>7380</v>
      </c>
      <c r="E3032" s="3" t="s">
        <v>7381</v>
      </c>
      <c r="F3032" t="s">
        <v>3886</v>
      </c>
      <c r="G3032" t="s">
        <v>3884</v>
      </c>
      <c r="H3032" t="s">
        <v>3892</v>
      </c>
      <c r="J3032" s="9" t="s">
        <v>3889</v>
      </c>
      <c r="K3032" s="9">
        <v>1</v>
      </c>
      <c r="L3032" s="9">
        <v>5</v>
      </c>
      <c r="M3032" s="9" t="s">
        <v>8736</v>
      </c>
      <c r="N3032" s="9" t="s">
        <v>8684</v>
      </c>
      <c r="O3032" s="9" t="s">
        <v>8777</v>
      </c>
      <c r="P3032" s="10" t="s">
        <v>8941</v>
      </c>
      <c r="Q3032" s="9" t="s">
        <v>8685</v>
      </c>
      <c r="R3032" s="9">
        <v>340</v>
      </c>
      <c r="T3032" s="9" t="str">
        <f t="shared" ca="1" si="110"/>
        <v/>
      </c>
      <c r="U3032" s="9" t="str">
        <f t="shared" ca="1" si="111"/>
        <v/>
      </c>
    </row>
    <row r="3033" spans="1:28" ht="29">
      <c r="A3033" s="3" t="s">
        <v>1538</v>
      </c>
      <c r="D3033" s="3" t="s">
        <v>7382</v>
      </c>
      <c r="E3033" s="3" t="s">
        <v>7382</v>
      </c>
      <c r="F3033" t="s">
        <v>3932</v>
      </c>
      <c r="I3033" t="s">
        <v>7383</v>
      </c>
      <c r="T3033" s="9" t="str">
        <f t="shared" ca="1" si="110"/>
        <v/>
      </c>
      <c r="U3033" s="9" t="str">
        <f t="shared" ca="1" si="111"/>
        <v/>
      </c>
    </row>
    <row r="3034" spans="1:28">
      <c r="A3034" s="3" t="s">
        <v>1539</v>
      </c>
      <c r="D3034" s="3" t="s">
        <v>3635</v>
      </c>
      <c r="E3034" s="3" t="s">
        <v>3635</v>
      </c>
      <c r="F3034" t="s">
        <v>3932</v>
      </c>
      <c r="I3034" t="s">
        <v>1993</v>
      </c>
      <c r="T3034" s="9" t="str">
        <f t="shared" ca="1" si="110"/>
        <v/>
      </c>
      <c r="U3034" s="9" t="str">
        <f t="shared" ca="1" si="111"/>
        <v/>
      </c>
    </row>
    <row r="3035" spans="1:28" ht="29">
      <c r="A3035" s="3" t="s">
        <v>1539</v>
      </c>
      <c r="D3035" s="3" t="s">
        <v>7384</v>
      </c>
      <c r="E3035" s="3" t="s">
        <v>7384</v>
      </c>
      <c r="F3035" t="s">
        <v>3932</v>
      </c>
      <c r="I3035" t="s">
        <v>7385</v>
      </c>
      <c r="T3035" s="9" t="str">
        <f t="shared" ca="1" si="110"/>
        <v/>
      </c>
      <c r="U3035" s="9" t="str">
        <f t="shared" ca="1" si="111"/>
        <v/>
      </c>
    </row>
    <row r="3036" spans="1:28" ht="29">
      <c r="A3036" s="3" t="s">
        <v>1540</v>
      </c>
      <c r="D3036" s="3" t="s">
        <v>7386</v>
      </c>
      <c r="E3036" s="3" t="s">
        <v>7386</v>
      </c>
      <c r="F3036" t="s">
        <v>3932</v>
      </c>
      <c r="I3036" t="s">
        <v>7387</v>
      </c>
      <c r="T3036" s="9" t="str">
        <f t="shared" ca="1" si="110"/>
        <v/>
      </c>
      <c r="U3036" s="9" t="str">
        <f t="shared" ca="1" si="111"/>
        <v/>
      </c>
    </row>
    <row r="3037" spans="1:28">
      <c r="A3037" s="3" t="s">
        <v>1541</v>
      </c>
      <c r="D3037" s="3" t="s">
        <v>7388</v>
      </c>
      <c r="E3037" s="3" t="s">
        <v>7389</v>
      </c>
      <c r="H3037" t="s">
        <v>3884</v>
      </c>
      <c r="J3037" s="9" t="s">
        <v>8731</v>
      </c>
      <c r="T3037" s="9" t="str">
        <f t="shared" ca="1" si="110"/>
        <v/>
      </c>
      <c r="U3037" s="9" t="str">
        <f t="shared" ca="1" si="111"/>
        <v/>
      </c>
      <c r="AB3037" s="9" t="s">
        <v>8694</v>
      </c>
    </row>
    <row r="3038" spans="1:28" ht="29">
      <c r="A3038" s="3" t="s">
        <v>1542</v>
      </c>
      <c r="D3038" s="3" t="s">
        <v>7390</v>
      </c>
      <c r="E3038" s="3" t="s">
        <v>7391</v>
      </c>
      <c r="F3038" t="s">
        <v>4397</v>
      </c>
      <c r="H3038" t="s">
        <v>3884</v>
      </c>
      <c r="J3038" s="9" t="s">
        <v>3885</v>
      </c>
      <c r="K3038" s="9">
        <v>1</v>
      </c>
      <c r="L3038" s="9">
        <v>4</v>
      </c>
      <c r="M3038" s="9" t="s">
        <v>8736</v>
      </c>
      <c r="N3038" s="9" t="s">
        <v>8684</v>
      </c>
      <c r="O3038" s="9" t="s">
        <v>8771</v>
      </c>
      <c r="P3038" s="10" t="s">
        <v>8778</v>
      </c>
      <c r="R3038" s="9">
        <v>100</v>
      </c>
      <c r="T3038" s="9" t="str">
        <f t="shared" ca="1" si="110"/>
        <v/>
      </c>
      <c r="U3038" s="9" t="str">
        <f t="shared" ca="1" si="111"/>
        <v/>
      </c>
      <c r="AB3038" s="9" t="s">
        <v>8694</v>
      </c>
    </row>
    <row r="3039" spans="1:28">
      <c r="A3039" s="3" t="s">
        <v>1542</v>
      </c>
      <c r="D3039" s="3" t="s">
        <v>3648</v>
      </c>
      <c r="E3039" s="3" t="s">
        <v>3648</v>
      </c>
      <c r="F3039" t="s">
        <v>3932</v>
      </c>
      <c r="I3039" t="s">
        <v>7392</v>
      </c>
      <c r="T3039" s="9" t="str">
        <f t="shared" ca="1" si="110"/>
        <v/>
      </c>
      <c r="U3039" s="9" t="str">
        <f t="shared" ca="1" si="111"/>
        <v/>
      </c>
    </row>
    <row r="3040" spans="1:28">
      <c r="A3040" s="3" t="s">
        <v>1543</v>
      </c>
      <c r="D3040" s="3" t="s">
        <v>2290</v>
      </c>
      <c r="E3040" s="3" t="s">
        <v>3636</v>
      </c>
      <c r="H3040" t="s">
        <v>3884</v>
      </c>
      <c r="J3040" s="9" t="s">
        <v>8731</v>
      </c>
      <c r="T3040" s="9" t="str">
        <f t="shared" ca="1" si="110"/>
        <v/>
      </c>
      <c r="U3040" s="9" t="str">
        <f t="shared" ca="1" si="111"/>
        <v/>
      </c>
      <c r="Z3040" s="9" t="s">
        <v>8833</v>
      </c>
      <c r="AA3040" s="9" t="s">
        <v>3884</v>
      </c>
      <c r="AB3040" s="9" t="s">
        <v>8688</v>
      </c>
    </row>
    <row r="3041" spans="1:28">
      <c r="A3041" s="3" t="s">
        <v>1543</v>
      </c>
      <c r="D3041" s="3" t="s">
        <v>7393</v>
      </c>
      <c r="E3041" s="3" t="s">
        <v>7394</v>
      </c>
      <c r="H3041" t="s">
        <v>3884</v>
      </c>
      <c r="J3041" s="9" t="s">
        <v>8729</v>
      </c>
      <c r="S3041" s="9">
        <f>242-266</f>
        <v>-24</v>
      </c>
      <c r="T3041" s="9">
        <f t="shared" ca="1" si="110"/>
        <v>266</v>
      </c>
      <c r="U3041" s="9">
        <f t="shared" ca="1" si="111"/>
        <v>242</v>
      </c>
      <c r="AB3041" s="9" t="s">
        <v>8694</v>
      </c>
    </row>
    <row r="3042" spans="1:28">
      <c r="A3042" s="3" t="s">
        <v>1544</v>
      </c>
      <c r="D3042" s="3" t="s">
        <v>7395</v>
      </c>
      <c r="E3042" s="3" t="s">
        <v>7396</v>
      </c>
      <c r="H3042" t="s">
        <v>3884</v>
      </c>
      <c r="J3042" s="9" t="s">
        <v>3885</v>
      </c>
      <c r="K3042" s="9">
        <v>1</v>
      </c>
      <c r="L3042" s="9">
        <v>2</v>
      </c>
      <c r="M3042" s="9" t="s">
        <v>8707</v>
      </c>
      <c r="N3042" s="9" t="s">
        <v>8730</v>
      </c>
      <c r="Q3042" s="9" t="s">
        <v>8685</v>
      </c>
      <c r="R3042" s="9">
        <v>329</v>
      </c>
      <c r="T3042" s="9" t="str">
        <f t="shared" ca="1" si="110"/>
        <v/>
      </c>
      <c r="U3042" s="9" t="str">
        <f t="shared" ca="1" si="111"/>
        <v/>
      </c>
    </row>
    <row r="3043" spans="1:28">
      <c r="A3043" s="3" t="s">
        <v>1544</v>
      </c>
      <c r="D3043" s="3" t="s">
        <v>3637</v>
      </c>
      <c r="E3043" s="3" t="s">
        <v>3637</v>
      </c>
      <c r="F3043" t="s">
        <v>3932</v>
      </c>
      <c r="I3043" t="s">
        <v>7397</v>
      </c>
      <c r="T3043" s="9" t="str">
        <f t="shared" ca="1" si="110"/>
        <v/>
      </c>
      <c r="U3043" s="9" t="str">
        <f t="shared" ca="1" si="111"/>
        <v/>
      </c>
    </row>
    <row r="3044" spans="1:28" ht="29">
      <c r="A3044" s="3" t="s">
        <v>1544</v>
      </c>
      <c r="D3044" s="3" t="s">
        <v>7398</v>
      </c>
      <c r="E3044" s="3" t="s">
        <v>7399</v>
      </c>
      <c r="H3044" t="s">
        <v>3884</v>
      </c>
      <c r="J3044" s="9" t="s">
        <v>3885</v>
      </c>
      <c r="K3044" s="9">
        <v>1</v>
      </c>
      <c r="L3044" s="9">
        <v>1</v>
      </c>
      <c r="M3044" s="9" t="s">
        <v>8689</v>
      </c>
      <c r="N3044" s="9" t="s">
        <v>8730</v>
      </c>
      <c r="R3044" s="9">
        <v>10929</v>
      </c>
      <c r="T3044" s="9" t="str">
        <f t="shared" ca="1" si="110"/>
        <v/>
      </c>
      <c r="U3044" s="9" t="str">
        <f t="shared" ca="1" si="111"/>
        <v/>
      </c>
      <c r="AB3044" s="9" t="s">
        <v>8694</v>
      </c>
    </row>
    <row r="3045" spans="1:28" ht="29">
      <c r="A3045" s="3" t="s">
        <v>1544</v>
      </c>
      <c r="D3045" s="3" t="s">
        <v>7400</v>
      </c>
      <c r="E3045" s="3" t="s">
        <v>7401</v>
      </c>
      <c r="F3045" t="s">
        <v>3886</v>
      </c>
      <c r="J3045" s="9" t="s">
        <v>8729</v>
      </c>
      <c r="S3045" s="9">
        <f>797-520</f>
        <v>277</v>
      </c>
      <c r="T3045" s="9">
        <f t="shared" ca="1" si="110"/>
        <v>520</v>
      </c>
      <c r="U3045" s="9">
        <f t="shared" ca="1" si="111"/>
        <v>797</v>
      </c>
    </row>
    <row r="3046" spans="1:28">
      <c r="A3046" s="3" t="s">
        <v>1545</v>
      </c>
      <c r="D3046" s="3" t="s">
        <v>7402</v>
      </c>
      <c r="E3046" s="3" t="s">
        <v>7402</v>
      </c>
      <c r="F3046" t="s">
        <v>3932</v>
      </c>
      <c r="I3046" t="s">
        <v>7403</v>
      </c>
      <c r="T3046" s="9" t="str">
        <f t="shared" ca="1" si="110"/>
        <v/>
      </c>
      <c r="U3046" s="9" t="str">
        <f t="shared" ca="1" si="111"/>
        <v/>
      </c>
    </row>
    <row r="3047" spans="1:28" ht="29">
      <c r="A3047" s="3" t="s">
        <v>1546</v>
      </c>
      <c r="D3047" s="3" t="s">
        <v>7404</v>
      </c>
      <c r="E3047" s="3" t="s">
        <v>7404</v>
      </c>
      <c r="F3047" t="s">
        <v>3932</v>
      </c>
      <c r="I3047" t="s">
        <v>7405</v>
      </c>
      <c r="T3047" s="9" t="str">
        <f t="shared" ca="1" si="110"/>
        <v/>
      </c>
      <c r="U3047" s="9" t="str">
        <f t="shared" ca="1" si="111"/>
        <v/>
      </c>
    </row>
    <row r="3048" spans="1:28">
      <c r="A3048" s="3" t="s">
        <v>1546</v>
      </c>
      <c r="D3048" s="3" t="s">
        <v>7406</v>
      </c>
      <c r="E3048" s="3" t="s">
        <v>7406</v>
      </c>
      <c r="F3048" t="s">
        <v>3932</v>
      </c>
      <c r="I3048" t="s">
        <v>7407</v>
      </c>
      <c r="T3048" s="9" t="str">
        <f t="shared" ca="1" si="110"/>
        <v/>
      </c>
      <c r="U3048" s="9" t="str">
        <f t="shared" ca="1" si="111"/>
        <v/>
      </c>
    </row>
    <row r="3049" spans="1:28">
      <c r="A3049" s="3" t="s">
        <v>1546</v>
      </c>
      <c r="D3049" s="3" t="s">
        <v>7408</v>
      </c>
      <c r="E3049" s="3" t="s">
        <v>7408</v>
      </c>
      <c r="F3049" t="s">
        <v>3932</v>
      </c>
      <c r="I3049" t="s">
        <v>7409</v>
      </c>
      <c r="T3049" s="9" t="str">
        <f t="shared" ca="1" si="110"/>
        <v/>
      </c>
      <c r="U3049" s="9" t="str">
        <f t="shared" ca="1" si="111"/>
        <v/>
      </c>
    </row>
    <row r="3050" spans="1:28" ht="29">
      <c r="A3050" s="3" t="s">
        <v>1546</v>
      </c>
      <c r="D3050" s="3" t="s">
        <v>7410</v>
      </c>
      <c r="E3050" s="3" t="s">
        <v>7411</v>
      </c>
      <c r="H3050" t="s">
        <v>3884</v>
      </c>
      <c r="J3050" s="9" t="s">
        <v>3885</v>
      </c>
      <c r="K3050" s="9">
        <v>1</v>
      </c>
      <c r="L3050" s="9">
        <v>6</v>
      </c>
      <c r="M3050" s="9" t="s">
        <v>8703</v>
      </c>
      <c r="N3050" s="9" t="s">
        <v>8684</v>
      </c>
      <c r="O3050" s="9" t="s">
        <v>8771</v>
      </c>
      <c r="P3050" s="10" t="s">
        <v>8982</v>
      </c>
      <c r="R3050" s="9">
        <v>0</v>
      </c>
      <c r="T3050" s="9" t="str">
        <f t="shared" ca="1" si="110"/>
        <v/>
      </c>
      <c r="U3050" s="9" t="str">
        <f t="shared" ca="1" si="111"/>
        <v/>
      </c>
    </row>
    <row r="3051" spans="1:28">
      <c r="A3051" s="3" t="s">
        <v>1547</v>
      </c>
      <c r="D3051" s="3" t="s">
        <v>7412</v>
      </c>
      <c r="E3051" s="3" t="s">
        <v>7412</v>
      </c>
      <c r="F3051" t="s">
        <v>3932</v>
      </c>
      <c r="I3051" t="s">
        <v>7413</v>
      </c>
      <c r="T3051" s="9" t="str">
        <f t="shared" ca="1" si="110"/>
        <v/>
      </c>
      <c r="U3051" s="9" t="str">
        <f t="shared" ca="1" si="111"/>
        <v/>
      </c>
    </row>
    <row r="3052" spans="1:28">
      <c r="A3052" s="3" t="s">
        <v>1548</v>
      </c>
      <c r="D3052" s="3" t="s">
        <v>7414</v>
      </c>
      <c r="E3052" s="3" t="s">
        <v>7415</v>
      </c>
      <c r="G3052" t="s">
        <v>3884</v>
      </c>
      <c r="J3052" s="9" t="s">
        <v>8729</v>
      </c>
      <c r="S3052" s="9" t="s">
        <v>8730</v>
      </c>
      <c r="T3052" s="9" t="str">
        <f t="shared" ca="1" si="110"/>
        <v/>
      </c>
      <c r="U3052" s="9" t="str">
        <f t="shared" ca="1" si="111"/>
        <v/>
      </c>
      <c r="Y3052" s="9" t="s">
        <v>8735</v>
      </c>
      <c r="AA3052" s="9" t="s">
        <v>3884</v>
      </c>
    </row>
    <row r="3053" spans="1:28" ht="29">
      <c r="A3053" s="3" t="s">
        <v>1548</v>
      </c>
      <c r="D3053" s="3" t="s">
        <v>7416</v>
      </c>
      <c r="E3053" s="3" t="s">
        <v>7417</v>
      </c>
      <c r="I3053" t="s">
        <v>9256</v>
      </c>
      <c r="J3053" s="9" t="s">
        <v>8729</v>
      </c>
      <c r="S3053" s="9">
        <f>11-2</f>
        <v>9</v>
      </c>
      <c r="T3053" s="9">
        <f t="shared" ca="1" si="110"/>
        <v>2</v>
      </c>
      <c r="U3053" s="9">
        <f t="shared" ca="1" si="111"/>
        <v>11</v>
      </c>
      <c r="V3053" s="9" t="s">
        <v>8728</v>
      </c>
    </row>
    <row r="3054" spans="1:28">
      <c r="A3054" s="3" t="s">
        <v>1548</v>
      </c>
      <c r="D3054" s="3" t="s">
        <v>7418</v>
      </c>
      <c r="E3054" s="3" t="s">
        <v>7418</v>
      </c>
      <c r="F3054" t="s">
        <v>3932</v>
      </c>
      <c r="I3054" t="s">
        <v>7419</v>
      </c>
      <c r="T3054" s="9" t="str">
        <f t="shared" ca="1" si="110"/>
        <v/>
      </c>
      <c r="U3054" s="9" t="str">
        <f t="shared" ca="1" si="111"/>
        <v/>
      </c>
    </row>
    <row r="3055" spans="1:28" ht="58">
      <c r="A3055" s="3" t="s">
        <v>1549</v>
      </c>
      <c r="D3055" s="3" t="s">
        <v>7420</v>
      </c>
      <c r="E3055" s="3" t="s">
        <v>7420</v>
      </c>
      <c r="F3055" t="s">
        <v>3932</v>
      </c>
      <c r="I3055" t="s">
        <v>7421</v>
      </c>
      <c r="T3055" s="9" t="str">
        <f t="shared" ca="1" si="110"/>
        <v/>
      </c>
      <c r="U3055" s="9" t="str">
        <f t="shared" ca="1" si="111"/>
        <v/>
      </c>
    </row>
    <row r="3056" spans="1:28">
      <c r="A3056" s="3" t="s">
        <v>1550</v>
      </c>
      <c r="D3056" s="3" t="s">
        <v>3606</v>
      </c>
      <c r="E3056" s="3" t="s">
        <v>3606</v>
      </c>
      <c r="F3056" t="s">
        <v>3932</v>
      </c>
      <c r="I3056" t="s">
        <v>7422</v>
      </c>
      <c r="T3056" s="9" t="str">
        <f t="shared" ca="1" si="110"/>
        <v/>
      </c>
      <c r="U3056" s="9" t="str">
        <f t="shared" ca="1" si="111"/>
        <v/>
      </c>
    </row>
    <row r="3057" spans="1:28" ht="29">
      <c r="A3057" s="3" t="s">
        <v>1550</v>
      </c>
      <c r="D3057" s="3" t="s">
        <v>7423</v>
      </c>
      <c r="E3057" s="3" t="s">
        <v>7423</v>
      </c>
      <c r="F3057" t="s">
        <v>3932</v>
      </c>
      <c r="I3057" t="s">
        <v>7424</v>
      </c>
      <c r="T3057" s="9" t="str">
        <f t="shared" ca="1" si="110"/>
        <v/>
      </c>
      <c r="U3057" s="9" t="str">
        <f t="shared" ca="1" si="111"/>
        <v/>
      </c>
    </row>
    <row r="3058" spans="1:28">
      <c r="A3058" s="3" t="s">
        <v>1550</v>
      </c>
      <c r="D3058" s="3" t="s">
        <v>9528</v>
      </c>
      <c r="E3058" s="3" t="s">
        <v>7425</v>
      </c>
      <c r="F3058" t="s">
        <v>3932</v>
      </c>
      <c r="I3058" t="s">
        <v>7426</v>
      </c>
      <c r="T3058" s="9" t="str">
        <f t="shared" ca="1" si="110"/>
        <v/>
      </c>
      <c r="U3058" s="9" t="str">
        <f t="shared" ca="1" si="111"/>
        <v/>
      </c>
    </row>
    <row r="3059" spans="1:28" ht="29">
      <c r="A3059" s="3" t="s">
        <v>1551</v>
      </c>
      <c r="D3059" s="3" t="s">
        <v>7427</v>
      </c>
      <c r="E3059" s="3" t="s">
        <v>7427</v>
      </c>
      <c r="F3059" t="s">
        <v>3932</v>
      </c>
      <c r="I3059" t="s">
        <v>7428</v>
      </c>
      <c r="T3059" s="9" t="str">
        <f t="shared" ca="1" si="110"/>
        <v/>
      </c>
      <c r="U3059" s="9" t="str">
        <f t="shared" ca="1" si="111"/>
        <v/>
      </c>
    </row>
    <row r="3060" spans="1:28">
      <c r="A3060" s="3" t="s">
        <v>1551</v>
      </c>
      <c r="D3060" s="3" t="s">
        <v>3609</v>
      </c>
      <c r="E3060" s="3" t="s">
        <v>3609</v>
      </c>
      <c r="F3060" t="s">
        <v>3932</v>
      </c>
      <c r="I3060" t="s">
        <v>3797</v>
      </c>
      <c r="T3060" s="9" t="str">
        <f t="shared" ca="1" si="110"/>
        <v/>
      </c>
      <c r="U3060" s="9" t="str">
        <f t="shared" ca="1" si="111"/>
        <v/>
      </c>
    </row>
    <row r="3061" spans="1:28">
      <c r="A3061" s="3" t="s">
        <v>1552</v>
      </c>
      <c r="D3061" s="3" t="s">
        <v>3639</v>
      </c>
      <c r="E3061" s="3" t="s">
        <v>3639</v>
      </c>
      <c r="F3061" t="s">
        <v>3932</v>
      </c>
      <c r="I3061" t="s">
        <v>3611</v>
      </c>
      <c r="T3061" s="9" t="str">
        <f t="shared" ca="1" si="110"/>
        <v/>
      </c>
      <c r="U3061" s="9" t="str">
        <f t="shared" ca="1" si="111"/>
        <v/>
      </c>
    </row>
    <row r="3062" spans="1:28" ht="43.5">
      <c r="A3062" s="3" t="s">
        <v>1552</v>
      </c>
      <c r="D3062" s="3" t="s">
        <v>7430</v>
      </c>
      <c r="E3062" s="4" t="s">
        <v>7429</v>
      </c>
      <c r="F3062" t="s">
        <v>3897</v>
      </c>
      <c r="T3062" s="9" t="str">
        <f t="shared" ca="1" si="110"/>
        <v/>
      </c>
      <c r="U3062" s="9" t="str">
        <f t="shared" ca="1" si="111"/>
        <v/>
      </c>
    </row>
    <row r="3063" spans="1:28">
      <c r="A3063" s="3" t="s">
        <v>1553</v>
      </c>
      <c r="D3063" s="3" t="s">
        <v>3011</v>
      </c>
      <c r="E3063" s="3" t="s">
        <v>3012</v>
      </c>
      <c r="J3063" s="9" t="s">
        <v>8731</v>
      </c>
      <c r="T3063" s="9" t="str">
        <f t="shared" ca="1" si="110"/>
        <v/>
      </c>
      <c r="U3063" s="9" t="str">
        <f t="shared" ca="1" si="111"/>
        <v/>
      </c>
      <c r="Z3063" s="9" t="s">
        <v>8741</v>
      </c>
      <c r="AA3063" s="9" t="s">
        <v>3884</v>
      </c>
    </row>
    <row r="3064" spans="1:28">
      <c r="A3064" s="3" t="s">
        <v>1554</v>
      </c>
      <c r="D3064" s="3" t="s">
        <v>3612</v>
      </c>
      <c r="E3064" s="3" t="s">
        <v>3640</v>
      </c>
      <c r="J3064" s="9" t="s">
        <v>8731</v>
      </c>
      <c r="T3064" s="9" t="str">
        <f t="shared" ca="1" si="110"/>
        <v/>
      </c>
      <c r="U3064" s="9" t="str">
        <f t="shared" ca="1" si="111"/>
        <v/>
      </c>
      <c r="AB3064" s="9" t="s">
        <v>8694</v>
      </c>
    </row>
    <row r="3065" spans="1:28">
      <c r="A3065" s="3" t="s">
        <v>1555</v>
      </c>
      <c r="D3065" s="3" t="s">
        <v>7431</v>
      </c>
      <c r="E3065" s="3" t="s">
        <v>7431</v>
      </c>
      <c r="F3065" t="s">
        <v>3932</v>
      </c>
      <c r="I3065" t="s">
        <v>7432</v>
      </c>
      <c r="T3065" s="9" t="str">
        <f t="shared" ca="1" si="110"/>
        <v/>
      </c>
      <c r="U3065" s="9" t="str">
        <f t="shared" ca="1" si="111"/>
        <v/>
      </c>
    </row>
    <row r="3066" spans="1:28" ht="29">
      <c r="A3066" s="3" t="s">
        <v>1555</v>
      </c>
      <c r="D3066" s="3" t="s">
        <v>7433</v>
      </c>
      <c r="E3066" s="3" t="s">
        <v>7434</v>
      </c>
      <c r="J3066" s="9" t="s">
        <v>3889</v>
      </c>
      <c r="K3066" s="9">
        <v>1</v>
      </c>
      <c r="L3066" s="9">
        <v>2</v>
      </c>
      <c r="M3066" s="9" t="s">
        <v>8689</v>
      </c>
      <c r="N3066" s="9" t="s">
        <v>8730</v>
      </c>
      <c r="Q3066" s="9" t="s">
        <v>8685</v>
      </c>
      <c r="R3066" s="9">
        <v>10929</v>
      </c>
      <c r="T3066" s="9" t="str">
        <f t="shared" ca="1" si="110"/>
        <v/>
      </c>
      <c r="U3066" s="9" t="str">
        <f t="shared" ca="1" si="111"/>
        <v/>
      </c>
    </row>
    <row r="3067" spans="1:28" ht="29">
      <c r="A3067" s="3" t="s">
        <v>1556</v>
      </c>
      <c r="D3067" s="3" t="s">
        <v>7436</v>
      </c>
      <c r="E3067" s="3" t="s">
        <v>7437</v>
      </c>
      <c r="F3067" t="s">
        <v>3932</v>
      </c>
      <c r="I3067" t="s">
        <v>7441</v>
      </c>
      <c r="T3067" s="9" t="str">
        <f t="shared" ca="1" si="110"/>
        <v/>
      </c>
      <c r="U3067" s="9" t="str">
        <f t="shared" ca="1" si="111"/>
        <v/>
      </c>
    </row>
    <row r="3068" spans="1:28" ht="29">
      <c r="A3068" s="3" t="s">
        <v>1556</v>
      </c>
      <c r="D3068" s="3" t="s">
        <v>7438</v>
      </c>
      <c r="E3068" s="3" t="s">
        <v>7439</v>
      </c>
      <c r="F3068" t="s">
        <v>3932</v>
      </c>
      <c r="I3068" t="s">
        <v>3012</v>
      </c>
      <c r="T3068" s="9" t="str">
        <f t="shared" ca="1" si="110"/>
        <v/>
      </c>
      <c r="U3068" s="9" t="str">
        <f t="shared" ca="1" si="111"/>
        <v/>
      </c>
    </row>
    <row r="3069" spans="1:28" ht="29">
      <c r="A3069" s="3" t="s">
        <v>1556</v>
      </c>
      <c r="D3069" s="3" t="s">
        <v>7440</v>
      </c>
      <c r="E3069" s="3" t="s">
        <v>7435</v>
      </c>
      <c r="H3069" t="s">
        <v>3884</v>
      </c>
      <c r="J3069" s="9" t="s">
        <v>3889</v>
      </c>
      <c r="K3069" s="9">
        <v>1</v>
      </c>
      <c r="L3069" s="9">
        <v>3</v>
      </c>
      <c r="M3069" s="9" t="s">
        <v>8689</v>
      </c>
      <c r="N3069" s="9" t="s">
        <v>8690</v>
      </c>
      <c r="R3069" s="9">
        <v>10929</v>
      </c>
      <c r="T3069" s="9" t="str">
        <f t="shared" ca="1" si="110"/>
        <v/>
      </c>
      <c r="U3069" s="9" t="str">
        <f t="shared" ca="1" si="111"/>
        <v/>
      </c>
    </row>
    <row r="3070" spans="1:28">
      <c r="A3070" s="3" t="s">
        <v>1557</v>
      </c>
      <c r="D3070" s="3" t="s">
        <v>7442</v>
      </c>
      <c r="E3070" s="3" t="s">
        <v>7443</v>
      </c>
      <c r="J3070" s="9" t="s">
        <v>3889</v>
      </c>
      <c r="K3070" s="9">
        <v>1</v>
      </c>
      <c r="L3070" s="9">
        <v>2</v>
      </c>
      <c r="M3070" s="9" t="s">
        <v>8689</v>
      </c>
      <c r="N3070" s="9" t="s">
        <v>8730</v>
      </c>
      <c r="R3070" s="9">
        <v>10929</v>
      </c>
      <c r="T3070" s="9" t="str">
        <f t="shared" ca="1" si="110"/>
        <v/>
      </c>
      <c r="U3070" s="9" t="str">
        <f t="shared" ca="1" si="111"/>
        <v/>
      </c>
    </row>
    <row r="3071" spans="1:28" ht="29">
      <c r="A3071" s="3" t="s">
        <v>1557</v>
      </c>
      <c r="D3071" s="3" t="s">
        <v>7444</v>
      </c>
      <c r="E3071" s="3" t="s">
        <v>7445</v>
      </c>
      <c r="G3071" t="s">
        <v>3884</v>
      </c>
      <c r="J3071" s="9" t="s">
        <v>8731</v>
      </c>
      <c r="T3071" s="9" t="str">
        <f t="shared" ca="1" si="110"/>
        <v/>
      </c>
      <c r="U3071" s="9" t="str">
        <f t="shared" ca="1" si="111"/>
        <v/>
      </c>
      <c r="AB3071" s="9" t="s">
        <v>8700</v>
      </c>
    </row>
    <row r="3072" spans="1:28">
      <c r="A3072" s="3" t="s">
        <v>1557</v>
      </c>
      <c r="D3072" s="3" t="s">
        <v>7446</v>
      </c>
      <c r="E3072" s="3" t="s">
        <v>7447</v>
      </c>
      <c r="H3072" t="s">
        <v>3884</v>
      </c>
      <c r="J3072" s="9" t="s">
        <v>8731</v>
      </c>
      <c r="T3072" s="9" t="str">
        <f t="shared" ca="1" si="110"/>
        <v/>
      </c>
      <c r="U3072" s="9" t="str">
        <f t="shared" ca="1" si="111"/>
        <v/>
      </c>
      <c r="AB3072" s="9" t="s">
        <v>8694</v>
      </c>
    </row>
    <row r="3073" spans="1:28">
      <c r="A3073" s="3" t="s">
        <v>1558</v>
      </c>
      <c r="D3073" s="3" t="s">
        <v>3139</v>
      </c>
      <c r="E3073" s="3" t="s">
        <v>2517</v>
      </c>
      <c r="J3073" s="9" t="s">
        <v>8731</v>
      </c>
      <c r="T3073" s="9" t="str">
        <f t="shared" ca="1" si="110"/>
        <v/>
      </c>
      <c r="U3073" s="9" t="str">
        <f t="shared" ca="1" si="111"/>
        <v/>
      </c>
      <c r="AB3073" s="9" t="s">
        <v>8694</v>
      </c>
    </row>
    <row r="3074" spans="1:28">
      <c r="A3074" s="3" t="s">
        <v>1559</v>
      </c>
      <c r="D3074" s="3" t="s">
        <v>2370</v>
      </c>
      <c r="E3074" s="3" t="s">
        <v>3615</v>
      </c>
      <c r="J3074" s="9" t="s">
        <v>8729</v>
      </c>
      <c r="S3074" s="9">
        <f>41-114</f>
        <v>-73</v>
      </c>
      <c r="T3074" s="9">
        <f t="shared" ref="T3074:T3137" ca="1" si="112">IF(ISNUMBER(S3074),VALUE(MID(_xlfn.FORMULATEXT(S3074),SEARCH("-",_xlfn.FORMULATEXT(S3074))+1,LEN(_xlfn.FORMULATEXT(S3074))-SEARCH("-",_xlfn.FORMULATEXT(S3074)))), "")</f>
        <v>114</v>
      </c>
      <c r="U3074" s="9">
        <f t="shared" ref="U3074:U3137" ca="1" si="113">IF(ISNUMBER(S3074), VALUE(MID(_xlfn.FORMULATEXT(S3074), 2, SEARCH("-", _xlfn.FORMULATEXT(S3074)) - 2)), "")</f>
        <v>41</v>
      </c>
    </row>
    <row r="3075" spans="1:28">
      <c r="A3075" s="3" t="s">
        <v>1559</v>
      </c>
      <c r="D3075" s="3" t="s">
        <v>3609</v>
      </c>
      <c r="E3075" s="3" t="s">
        <v>3609</v>
      </c>
      <c r="F3075" t="s">
        <v>3932</v>
      </c>
      <c r="I3075" t="s">
        <v>3797</v>
      </c>
      <c r="T3075" s="9" t="str">
        <f t="shared" ca="1" si="112"/>
        <v/>
      </c>
      <c r="U3075" s="9" t="str">
        <f t="shared" ca="1" si="113"/>
        <v/>
      </c>
    </row>
    <row r="3076" spans="1:28">
      <c r="A3076" s="3" t="s">
        <v>1559</v>
      </c>
      <c r="D3076" s="3" t="s">
        <v>7448</v>
      </c>
      <c r="E3076" s="3" t="s">
        <v>7449</v>
      </c>
      <c r="H3076" t="s">
        <v>3884</v>
      </c>
      <c r="J3076" s="9" t="s">
        <v>8731</v>
      </c>
      <c r="T3076" s="9" t="str">
        <f t="shared" ca="1" si="112"/>
        <v/>
      </c>
      <c r="U3076" s="9" t="str">
        <f t="shared" ca="1" si="113"/>
        <v/>
      </c>
      <c r="AB3076" s="9" t="s">
        <v>8694</v>
      </c>
    </row>
    <row r="3077" spans="1:28">
      <c r="A3077" s="3" t="s">
        <v>1560</v>
      </c>
      <c r="D3077" s="3" t="s">
        <v>3115</v>
      </c>
      <c r="E3077" s="3" t="s">
        <v>3115</v>
      </c>
      <c r="F3077" t="s">
        <v>3932</v>
      </c>
      <c r="I3077" t="s">
        <v>7450</v>
      </c>
      <c r="T3077" s="9" t="str">
        <f t="shared" ca="1" si="112"/>
        <v/>
      </c>
      <c r="U3077" s="9" t="str">
        <f t="shared" ca="1" si="113"/>
        <v/>
      </c>
    </row>
    <row r="3078" spans="1:28">
      <c r="A3078" s="3" t="s">
        <v>1560</v>
      </c>
      <c r="D3078" s="3" t="s">
        <v>7451</v>
      </c>
      <c r="E3078" s="3" t="s">
        <v>7452</v>
      </c>
      <c r="F3078" t="s">
        <v>3893</v>
      </c>
      <c r="H3078" t="s">
        <v>3884</v>
      </c>
      <c r="T3078" s="9" t="str">
        <f t="shared" ca="1" si="112"/>
        <v/>
      </c>
      <c r="U3078" s="9" t="str">
        <f t="shared" ca="1" si="113"/>
        <v/>
      </c>
    </row>
    <row r="3079" spans="1:28" ht="43.5">
      <c r="A3079" s="3" t="s">
        <v>1560</v>
      </c>
      <c r="D3079" s="4" t="s">
        <v>7454</v>
      </c>
      <c r="E3079" s="3" t="s">
        <v>7453</v>
      </c>
      <c r="F3079" t="s">
        <v>3883</v>
      </c>
      <c r="T3079" s="9" t="str">
        <f t="shared" ca="1" si="112"/>
        <v/>
      </c>
      <c r="U3079" s="9" t="str">
        <f t="shared" ca="1" si="113"/>
        <v/>
      </c>
    </row>
    <row r="3080" spans="1:28">
      <c r="A3080" s="3" t="s">
        <v>1560</v>
      </c>
      <c r="D3080" s="3" t="s">
        <v>3609</v>
      </c>
      <c r="E3080" s="3" t="s">
        <v>3609</v>
      </c>
      <c r="F3080" t="s">
        <v>3932</v>
      </c>
      <c r="I3080" t="s">
        <v>3797</v>
      </c>
      <c r="T3080" s="9" t="str">
        <f t="shared" ca="1" si="112"/>
        <v/>
      </c>
      <c r="U3080" s="9" t="str">
        <f t="shared" ca="1" si="113"/>
        <v/>
      </c>
    </row>
    <row r="3081" spans="1:28">
      <c r="A3081" s="3" t="s">
        <v>1561</v>
      </c>
      <c r="D3081" s="3" t="s">
        <v>3618</v>
      </c>
      <c r="E3081" s="3" t="s">
        <v>3618</v>
      </c>
      <c r="F3081" t="s">
        <v>3932</v>
      </c>
      <c r="I3081" t="s">
        <v>7455</v>
      </c>
      <c r="T3081" s="9" t="str">
        <f t="shared" ca="1" si="112"/>
        <v/>
      </c>
      <c r="U3081" s="9" t="str">
        <f t="shared" ca="1" si="113"/>
        <v/>
      </c>
    </row>
    <row r="3082" spans="1:28">
      <c r="A3082" s="3" t="s">
        <v>1562</v>
      </c>
      <c r="D3082" s="3" t="s">
        <v>7456</v>
      </c>
      <c r="E3082" s="3" t="s">
        <v>7457</v>
      </c>
      <c r="H3082" t="s">
        <v>3884</v>
      </c>
      <c r="J3082" s="9" t="s">
        <v>3889</v>
      </c>
      <c r="K3082" s="9">
        <v>1</v>
      </c>
      <c r="L3082" s="9">
        <v>2</v>
      </c>
      <c r="M3082" s="9" t="s">
        <v>8698</v>
      </c>
      <c r="N3082" s="9" t="s">
        <v>8730</v>
      </c>
      <c r="R3082" s="9">
        <v>203</v>
      </c>
      <c r="T3082" s="9" t="str">
        <f t="shared" ca="1" si="112"/>
        <v/>
      </c>
      <c r="U3082" s="9" t="str">
        <f t="shared" ca="1" si="113"/>
        <v/>
      </c>
    </row>
    <row r="3083" spans="1:28" ht="29">
      <c r="A3083" s="3" t="s">
        <v>1562</v>
      </c>
      <c r="D3083" s="3" t="s">
        <v>7458</v>
      </c>
      <c r="E3083" s="3" t="s">
        <v>7459</v>
      </c>
      <c r="J3083" s="9" t="s">
        <v>8731</v>
      </c>
      <c r="T3083" s="9" t="str">
        <f t="shared" ca="1" si="112"/>
        <v/>
      </c>
      <c r="U3083" s="9" t="str">
        <f t="shared" ca="1" si="113"/>
        <v/>
      </c>
      <c r="AB3083" s="9" t="s">
        <v>8700</v>
      </c>
    </row>
    <row r="3084" spans="1:28">
      <c r="A3084" s="3" t="s">
        <v>1562</v>
      </c>
      <c r="D3084" s="3" t="s">
        <v>3619</v>
      </c>
      <c r="E3084" s="3" t="s">
        <v>3642</v>
      </c>
      <c r="H3084" t="s">
        <v>3892</v>
      </c>
      <c r="I3084" t="s">
        <v>7460</v>
      </c>
      <c r="J3084" s="9" t="s">
        <v>8729</v>
      </c>
      <c r="S3084" s="9" t="s">
        <v>8739</v>
      </c>
      <c r="T3084" s="9" t="str">
        <f t="shared" ca="1" si="112"/>
        <v/>
      </c>
      <c r="U3084" s="9" t="str">
        <f t="shared" ca="1" si="113"/>
        <v/>
      </c>
      <c r="Z3084" s="9" t="s">
        <v>8741</v>
      </c>
      <c r="AA3084" s="9" t="s">
        <v>3884</v>
      </c>
      <c r="AB3084" s="9" t="s">
        <v>8688</v>
      </c>
    </row>
    <row r="3085" spans="1:28">
      <c r="A3085" s="3" t="s">
        <v>1562</v>
      </c>
      <c r="D3085" s="3" t="s">
        <v>3620</v>
      </c>
      <c r="E3085" s="3" t="s">
        <v>3643</v>
      </c>
      <c r="J3085" s="9" t="s">
        <v>8729</v>
      </c>
      <c r="S3085" s="9" t="s">
        <v>8739</v>
      </c>
      <c r="T3085" s="9" t="str">
        <f t="shared" ca="1" si="112"/>
        <v/>
      </c>
      <c r="U3085" s="9" t="str">
        <f t="shared" ca="1" si="113"/>
        <v/>
      </c>
      <c r="Z3085" s="9" t="s">
        <v>8741</v>
      </c>
      <c r="AA3085" s="9" t="s">
        <v>3884</v>
      </c>
      <c r="AB3085" s="9" t="s">
        <v>8688</v>
      </c>
    </row>
    <row r="3086" spans="1:28">
      <c r="A3086" s="3" t="s">
        <v>1563</v>
      </c>
      <c r="D3086" s="3" t="s">
        <v>7461</v>
      </c>
      <c r="E3086" s="3" t="s">
        <v>7462</v>
      </c>
      <c r="H3086" t="s">
        <v>3884</v>
      </c>
      <c r="J3086" s="9" t="s">
        <v>8729</v>
      </c>
      <c r="S3086" s="9" t="s">
        <v>8739</v>
      </c>
      <c r="T3086" s="9" t="str">
        <f t="shared" ca="1" si="112"/>
        <v/>
      </c>
      <c r="U3086" s="9" t="str">
        <f t="shared" ca="1" si="113"/>
        <v/>
      </c>
      <c r="AB3086" s="9" t="s">
        <v>8688</v>
      </c>
    </row>
    <row r="3087" spans="1:28">
      <c r="A3087" s="3" t="s">
        <v>1563</v>
      </c>
      <c r="D3087" s="3" t="s">
        <v>7463</v>
      </c>
      <c r="E3087" s="4" t="s">
        <v>2013</v>
      </c>
      <c r="F3087" t="s">
        <v>3897</v>
      </c>
      <c r="T3087" s="9" t="str">
        <f t="shared" ca="1" si="112"/>
        <v/>
      </c>
      <c r="U3087" s="9" t="str">
        <f t="shared" ca="1" si="113"/>
        <v/>
      </c>
    </row>
    <row r="3088" spans="1:28">
      <c r="A3088" s="3" t="s">
        <v>1564</v>
      </c>
      <c r="D3088" s="3" t="s">
        <v>7464</v>
      </c>
      <c r="E3088" s="3" t="s">
        <v>7465</v>
      </c>
      <c r="J3088" s="9" t="s">
        <v>8729</v>
      </c>
      <c r="S3088" s="9">
        <f>6-10</f>
        <v>-4</v>
      </c>
      <c r="T3088" s="9">
        <f t="shared" ca="1" si="112"/>
        <v>10</v>
      </c>
      <c r="U3088" s="9">
        <f t="shared" ca="1" si="113"/>
        <v>6</v>
      </c>
      <c r="Z3088" s="9" t="s">
        <v>8757</v>
      </c>
      <c r="AA3088" s="9" t="s">
        <v>3884</v>
      </c>
    </row>
    <row r="3089" spans="1:28">
      <c r="A3089" s="3" t="s">
        <v>1565</v>
      </c>
      <c r="D3089" s="3" t="s">
        <v>7466</v>
      </c>
      <c r="E3089" s="3" t="s">
        <v>7466</v>
      </c>
      <c r="F3089" t="s">
        <v>3932</v>
      </c>
      <c r="I3089" t="s">
        <v>7015</v>
      </c>
      <c r="T3089" s="9" t="str">
        <f t="shared" ca="1" si="112"/>
        <v/>
      </c>
      <c r="U3089" s="9" t="str">
        <f t="shared" ca="1" si="113"/>
        <v/>
      </c>
    </row>
    <row r="3090" spans="1:28" ht="29">
      <c r="A3090" s="3" t="s">
        <v>1566</v>
      </c>
      <c r="D3090" s="3" t="s">
        <v>7467</v>
      </c>
      <c r="E3090" s="3" t="s">
        <v>7467</v>
      </c>
      <c r="F3090" t="s">
        <v>3932</v>
      </c>
      <c r="I3090" t="s">
        <v>7468</v>
      </c>
      <c r="T3090" s="9" t="str">
        <f t="shared" ca="1" si="112"/>
        <v/>
      </c>
      <c r="U3090" s="9" t="str">
        <f t="shared" ca="1" si="113"/>
        <v/>
      </c>
    </row>
    <row r="3091" spans="1:28" ht="29">
      <c r="A3091" s="3" t="s">
        <v>1567</v>
      </c>
      <c r="D3091" s="3" t="s">
        <v>7469</v>
      </c>
      <c r="E3091" s="3" t="s">
        <v>7470</v>
      </c>
      <c r="H3091" t="s">
        <v>3884</v>
      </c>
      <c r="J3091" s="9" t="s">
        <v>3885</v>
      </c>
      <c r="K3091" s="9">
        <v>1</v>
      </c>
      <c r="L3091" s="9">
        <v>1</v>
      </c>
      <c r="M3091" s="9" t="s">
        <v>8705</v>
      </c>
      <c r="N3091" s="9" t="s">
        <v>8730</v>
      </c>
      <c r="R3091" s="9">
        <v>615</v>
      </c>
      <c r="T3091" s="9" t="str">
        <f t="shared" ca="1" si="112"/>
        <v/>
      </c>
      <c r="U3091" s="9" t="str">
        <f t="shared" ca="1" si="113"/>
        <v/>
      </c>
      <c r="AB3091" s="9" t="s">
        <v>8694</v>
      </c>
    </row>
    <row r="3092" spans="1:28">
      <c r="A3092" s="3" t="s">
        <v>1567</v>
      </c>
      <c r="D3092" s="3" t="s">
        <v>3606</v>
      </c>
      <c r="E3092" s="3" t="s">
        <v>3606</v>
      </c>
      <c r="F3092" t="s">
        <v>3932</v>
      </c>
      <c r="I3092" t="s">
        <v>7422</v>
      </c>
      <c r="T3092" s="9" t="str">
        <f t="shared" ca="1" si="112"/>
        <v/>
      </c>
      <c r="U3092" s="9" t="str">
        <f t="shared" ca="1" si="113"/>
        <v/>
      </c>
    </row>
    <row r="3093" spans="1:28">
      <c r="A3093" s="3" t="s">
        <v>1568</v>
      </c>
      <c r="D3093" s="3" t="s">
        <v>7471</v>
      </c>
      <c r="E3093" s="3" t="s">
        <v>9652</v>
      </c>
      <c r="J3093" s="9" t="s">
        <v>8731</v>
      </c>
      <c r="T3093" s="9" t="str">
        <f t="shared" ca="1" si="112"/>
        <v/>
      </c>
      <c r="U3093" s="9" t="str">
        <f t="shared" ca="1" si="113"/>
        <v/>
      </c>
      <c r="Z3093" s="9" t="s">
        <v>8832</v>
      </c>
      <c r="AA3093" s="9" t="s">
        <v>3884</v>
      </c>
    </row>
    <row r="3094" spans="1:28">
      <c r="A3094" s="3" t="s">
        <v>1568</v>
      </c>
      <c r="D3094" s="3" t="s">
        <v>7472</v>
      </c>
      <c r="E3094" s="3" t="s">
        <v>9653</v>
      </c>
      <c r="H3094" t="s">
        <v>3884</v>
      </c>
      <c r="J3094" s="9" t="s">
        <v>8729</v>
      </c>
      <c r="S3094" s="9">
        <f>234-203</f>
        <v>31</v>
      </c>
      <c r="T3094" s="9">
        <f t="shared" ca="1" si="112"/>
        <v>203</v>
      </c>
      <c r="U3094" s="9">
        <f t="shared" ca="1" si="113"/>
        <v>234</v>
      </c>
      <c r="AB3094" s="9" t="s">
        <v>8694</v>
      </c>
    </row>
    <row r="3095" spans="1:28">
      <c r="A3095" s="3" t="s">
        <v>1568</v>
      </c>
      <c r="D3095" s="3" t="s">
        <v>7473</v>
      </c>
      <c r="E3095" s="3" t="s">
        <v>7474</v>
      </c>
      <c r="J3095" s="9" t="s">
        <v>3889</v>
      </c>
      <c r="K3095" s="9">
        <v>1</v>
      </c>
      <c r="L3095" s="9">
        <v>3</v>
      </c>
      <c r="M3095" s="9" t="s">
        <v>8689</v>
      </c>
      <c r="N3095" s="9" t="s">
        <v>8690</v>
      </c>
      <c r="R3095" s="9">
        <v>10929</v>
      </c>
      <c r="T3095" s="9" t="str">
        <f t="shared" ca="1" si="112"/>
        <v/>
      </c>
      <c r="U3095" s="9" t="str">
        <f t="shared" ca="1" si="113"/>
        <v/>
      </c>
    </row>
    <row r="3096" spans="1:28" ht="29">
      <c r="A3096" s="3" t="s">
        <v>1569</v>
      </c>
      <c r="D3096" s="3" t="s">
        <v>7475</v>
      </c>
      <c r="E3096" s="3" t="s">
        <v>7475</v>
      </c>
      <c r="F3096" t="s">
        <v>3932</v>
      </c>
      <c r="I3096" t="s">
        <v>7476</v>
      </c>
      <c r="T3096" s="9" t="str">
        <f t="shared" ca="1" si="112"/>
        <v/>
      </c>
      <c r="U3096" s="9" t="str">
        <f t="shared" ca="1" si="113"/>
        <v/>
      </c>
    </row>
    <row r="3097" spans="1:28">
      <c r="A3097" s="3" t="s">
        <v>1569</v>
      </c>
      <c r="D3097" s="3" t="s">
        <v>7477</v>
      </c>
      <c r="E3097" s="3" t="s">
        <v>7478</v>
      </c>
      <c r="J3097" s="9" t="s">
        <v>8731</v>
      </c>
      <c r="T3097" s="9" t="str">
        <f t="shared" ca="1" si="112"/>
        <v/>
      </c>
      <c r="U3097" s="9" t="str">
        <f t="shared" ca="1" si="113"/>
        <v/>
      </c>
      <c r="Z3097" s="9" t="s">
        <v>8741</v>
      </c>
      <c r="AA3097" s="9" t="s">
        <v>3884</v>
      </c>
      <c r="AB3097" s="9" t="s">
        <v>8697</v>
      </c>
    </row>
    <row r="3098" spans="1:28">
      <c r="A3098" s="3" t="s">
        <v>1570</v>
      </c>
      <c r="D3098" s="3" t="s">
        <v>3649</v>
      </c>
      <c r="E3098" s="3" t="s">
        <v>3649</v>
      </c>
      <c r="F3098" t="s">
        <v>3932</v>
      </c>
      <c r="I3098" t="s">
        <v>7476</v>
      </c>
      <c r="T3098" s="9" t="str">
        <f t="shared" ca="1" si="112"/>
        <v/>
      </c>
      <c r="U3098" s="9" t="str">
        <f t="shared" ca="1" si="113"/>
        <v/>
      </c>
    </row>
    <row r="3099" spans="1:28" ht="29">
      <c r="A3099" s="3" t="s">
        <v>1571</v>
      </c>
      <c r="D3099" s="3" t="s">
        <v>7479</v>
      </c>
      <c r="E3099" s="3" t="s">
        <v>7480</v>
      </c>
      <c r="F3099" t="s">
        <v>3886</v>
      </c>
      <c r="H3099" t="s">
        <v>3892</v>
      </c>
      <c r="I3099" t="s">
        <v>7481</v>
      </c>
      <c r="J3099" s="9" t="s">
        <v>3889</v>
      </c>
      <c r="K3099" s="9">
        <v>1</v>
      </c>
      <c r="L3099" s="9">
        <v>4</v>
      </c>
      <c r="M3099" s="9" t="s">
        <v>8695</v>
      </c>
      <c r="N3099" s="9" t="s">
        <v>8690</v>
      </c>
      <c r="R3099" s="9">
        <v>9</v>
      </c>
      <c r="T3099" s="9" t="str">
        <f t="shared" ca="1" si="112"/>
        <v/>
      </c>
      <c r="U3099" s="9" t="str">
        <f t="shared" ca="1" si="113"/>
        <v/>
      </c>
    </row>
    <row r="3100" spans="1:28">
      <c r="A3100" s="3" t="s">
        <v>1571</v>
      </c>
      <c r="D3100" s="3" t="s">
        <v>3649</v>
      </c>
      <c r="E3100" s="3" t="s">
        <v>3649</v>
      </c>
      <c r="F3100" t="s">
        <v>3932</v>
      </c>
      <c r="I3100" t="s">
        <v>7476</v>
      </c>
      <c r="T3100" s="9" t="str">
        <f t="shared" ca="1" si="112"/>
        <v/>
      </c>
      <c r="U3100" s="9" t="str">
        <f t="shared" ca="1" si="113"/>
        <v/>
      </c>
    </row>
    <row r="3101" spans="1:28">
      <c r="A3101" s="3" t="s">
        <v>1571</v>
      </c>
      <c r="D3101" s="3" t="s">
        <v>3650</v>
      </c>
      <c r="E3101" s="3" t="s">
        <v>3651</v>
      </c>
      <c r="J3101" s="9" t="s">
        <v>8729</v>
      </c>
      <c r="S3101" s="9" t="s">
        <v>8739</v>
      </c>
      <c r="T3101" s="9" t="str">
        <f t="shared" ca="1" si="112"/>
        <v/>
      </c>
      <c r="U3101" s="9" t="str">
        <f t="shared" ca="1" si="113"/>
        <v/>
      </c>
      <c r="Z3101" s="9" t="s">
        <v>9283</v>
      </c>
      <c r="AA3101" s="9" t="s">
        <v>3884</v>
      </c>
      <c r="AB3101" s="9" t="s">
        <v>8697</v>
      </c>
    </row>
    <row r="3102" spans="1:28">
      <c r="A3102" s="3" t="s">
        <v>1571</v>
      </c>
      <c r="D3102" s="3" t="s">
        <v>7482</v>
      </c>
      <c r="E3102" s="3" t="s">
        <v>7482</v>
      </c>
      <c r="F3102" t="s">
        <v>3932</v>
      </c>
      <c r="I3102" t="s">
        <v>7483</v>
      </c>
      <c r="T3102" s="9" t="str">
        <f t="shared" ca="1" si="112"/>
        <v/>
      </c>
      <c r="U3102" s="9" t="str">
        <f t="shared" ca="1" si="113"/>
        <v/>
      </c>
    </row>
    <row r="3103" spans="1:28">
      <c r="A3103" s="3" t="s">
        <v>1572</v>
      </c>
      <c r="D3103" s="3" t="s">
        <v>7484</v>
      </c>
      <c r="E3103" s="3" t="s">
        <v>7485</v>
      </c>
      <c r="F3103" t="s">
        <v>3893</v>
      </c>
      <c r="H3103" t="s">
        <v>3884</v>
      </c>
      <c r="T3103" s="9" t="str">
        <f t="shared" ca="1" si="112"/>
        <v/>
      </c>
      <c r="U3103" s="9" t="str">
        <f t="shared" ca="1" si="113"/>
        <v/>
      </c>
    </row>
    <row r="3104" spans="1:28" ht="29">
      <c r="A3104" s="3" t="s">
        <v>1572</v>
      </c>
      <c r="D3104" s="3" t="s">
        <v>7486</v>
      </c>
      <c r="E3104" s="3" t="s">
        <v>7487</v>
      </c>
      <c r="I3104" t="s">
        <v>9137</v>
      </c>
      <c r="J3104" s="9" t="s">
        <v>8729</v>
      </c>
      <c r="S3104" s="9">
        <f>645-1</f>
        <v>644</v>
      </c>
      <c r="T3104" s="9">
        <f t="shared" ca="1" si="112"/>
        <v>1</v>
      </c>
      <c r="U3104" s="9">
        <f t="shared" ca="1" si="113"/>
        <v>645</v>
      </c>
    </row>
    <row r="3105" spans="1:28">
      <c r="A3105" s="3" t="s">
        <v>1573</v>
      </c>
      <c r="D3105" s="3" t="s">
        <v>7488</v>
      </c>
      <c r="E3105" s="3" t="s">
        <v>7489</v>
      </c>
      <c r="J3105" s="9" t="s">
        <v>8731</v>
      </c>
      <c r="T3105" s="9" t="str">
        <f t="shared" ca="1" si="112"/>
        <v/>
      </c>
      <c r="U3105" s="9" t="str">
        <f t="shared" ca="1" si="113"/>
        <v/>
      </c>
      <c r="AB3105" s="9" t="s">
        <v>8694</v>
      </c>
    </row>
    <row r="3106" spans="1:28">
      <c r="A3106" s="3" t="s">
        <v>1573</v>
      </c>
      <c r="D3106" s="3" t="s">
        <v>3652</v>
      </c>
      <c r="E3106" s="3" t="s">
        <v>3653</v>
      </c>
      <c r="J3106" s="9" t="s">
        <v>8729</v>
      </c>
      <c r="S3106" s="9" t="s">
        <v>8730</v>
      </c>
      <c r="T3106" s="9" t="str">
        <f t="shared" ca="1" si="112"/>
        <v/>
      </c>
      <c r="U3106" s="9" t="str">
        <f t="shared" ca="1" si="113"/>
        <v/>
      </c>
      <c r="Y3106" s="9" t="s">
        <v>8735</v>
      </c>
      <c r="AA3106" s="9" t="s">
        <v>3884</v>
      </c>
    </row>
    <row r="3107" spans="1:28">
      <c r="A3107" s="3" t="s">
        <v>1574</v>
      </c>
      <c r="D3107" s="3" t="s">
        <v>3652</v>
      </c>
      <c r="E3107" s="3" t="s">
        <v>3652</v>
      </c>
      <c r="F3107" t="s">
        <v>3932</v>
      </c>
      <c r="I3107" t="s">
        <v>3653</v>
      </c>
      <c r="T3107" s="9" t="str">
        <f t="shared" ca="1" si="112"/>
        <v/>
      </c>
      <c r="U3107" s="9" t="str">
        <f t="shared" ca="1" si="113"/>
        <v/>
      </c>
    </row>
    <row r="3108" spans="1:28" ht="29">
      <c r="A3108" s="3" t="s">
        <v>1575</v>
      </c>
      <c r="D3108" s="3" t="s">
        <v>7491</v>
      </c>
      <c r="E3108" s="3" t="s">
        <v>7490</v>
      </c>
      <c r="H3108" t="s">
        <v>3884</v>
      </c>
      <c r="J3108" s="9" t="s">
        <v>8729</v>
      </c>
      <c r="S3108" s="9" t="s">
        <v>8730</v>
      </c>
      <c r="T3108" s="9" t="str">
        <f t="shared" ca="1" si="112"/>
        <v/>
      </c>
      <c r="U3108" s="9" t="str">
        <f t="shared" ca="1" si="113"/>
        <v/>
      </c>
      <c r="Y3108" s="9" t="s">
        <v>8735</v>
      </c>
      <c r="AA3108" s="9" t="s">
        <v>3884</v>
      </c>
    </row>
    <row r="3109" spans="1:28" ht="29">
      <c r="A3109" s="3" t="s">
        <v>1575</v>
      </c>
      <c r="D3109" s="3" t="s">
        <v>7492</v>
      </c>
      <c r="E3109" s="3" t="s">
        <v>7493</v>
      </c>
      <c r="F3109" t="s">
        <v>3932</v>
      </c>
      <c r="I3109" t="s">
        <v>2625</v>
      </c>
      <c r="T3109" s="9" t="str">
        <f t="shared" ca="1" si="112"/>
        <v/>
      </c>
      <c r="U3109" s="9" t="str">
        <f t="shared" ca="1" si="113"/>
        <v/>
      </c>
    </row>
    <row r="3110" spans="1:28" ht="29">
      <c r="A3110" s="3" t="s">
        <v>1575</v>
      </c>
      <c r="D3110" s="3" t="s">
        <v>7494</v>
      </c>
      <c r="E3110" s="3" t="s">
        <v>7495</v>
      </c>
      <c r="J3110" s="9" t="s">
        <v>8731</v>
      </c>
      <c r="T3110" s="9" t="str">
        <f t="shared" ca="1" si="112"/>
        <v/>
      </c>
      <c r="U3110" s="9" t="str">
        <f t="shared" ca="1" si="113"/>
        <v/>
      </c>
      <c r="AB3110" s="9" t="s">
        <v>8697</v>
      </c>
    </row>
    <row r="3111" spans="1:28" ht="29">
      <c r="A3111" s="3" t="s">
        <v>1575</v>
      </c>
      <c r="D3111" s="3" t="s">
        <v>7496</v>
      </c>
      <c r="E3111" s="3" t="s">
        <v>7497</v>
      </c>
      <c r="H3111" t="s">
        <v>3884</v>
      </c>
      <c r="J3111" s="9" t="s">
        <v>8731</v>
      </c>
      <c r="T3111" s="9" t="str">
        <f t="shared" ca="1" si="112"/>
        <v/>
      </c>
      <c r="U3111" s="9" t="str">
        <f t="shared" ca="1" si="113"/>
        <v/>
      </c>
      <c r="Y3111" s="9" t="s">
        <v>8735</v>
      </c>
      <c r="Z3111" s="9" t="s">
        <v>8742</v>
      </c>
      <c r="AA3111" s="9" t="s">
        <v>3884</v>
      </c>
    </row>
    <row r="3112" spans="1:28">
      <c r="A3112" s="3" t="s">
        <v>1576</v>
      </c>
      <c r="D3112" s="3" t="s">
        <v>7498</v>
      </c>
      <c r="E3112" s="3" t="s">
        <v>7499</v>
      </c>
      <c r="J3112" s="9" t="s">
        <v>8729</v>
      </c>
      <c r="S3112" s="9">
        <f>79-3678</f>
        <v>-3599</v>
      </c>
      <c r="T3112" s="9">
        <f t="shared" ca="1" si="112"/>
        <v>3678</v>
      </c>
      <c r="U3112" s="9">
        <f t="shared" ca="1" si="113"/>
        <v>79</v>
      </c>
    </row>
    <row r="3113" spans="1:28">
      <c r="A3113" s="3" t="s">
        <v>1577</v>
      </c>
      <c r="D3113" s="3" t="s">
        <v>7500</v>
      </c>
      <c r="E3113" s="3" t="s">
        <v>7501</v>
      </c>
      <c r="I3113" t="s">
        <v>9257</v>
      </c>
      <c r="J3113" s="9" t="s">
        <v>8731</v>
      </c>
      <c r="T3113" s="9" t="str">
        <f t="shared" ca="1" si="112"/>
        <v/>
      </c>
      <c r="U3113" s="9" t="str">
        <f t="shared" ca="1" si="113"/>
        <v/>
      </c>
      <c r="V3113" s="9" t="s">
        <v>4</v>
      </c>
    </row>
    <row r="3114" spans="1:28">
      <c r="A3114" s="3" t="s">
        <v>1577</v>
      </c>
      <c r="D3114" s="3" t="s">
        <v>3649</v>
      </c>
      <c r="E3114" s="3" t="s">
        <v>3649</v>
      </c>
      <c r="F3114" t="s">
        <v>3932</v>
      </c>
      <c r="I3114" t="s">
        <v>3578</v>
      </c>
      <c r="T3114" s="9" t="str">
        <f t="shared" ca="1" si="112"/>
        <v/>
      </c>
      <c r="U3114" s="9" t="str">
        <f t="shared" ca="1" si="113"/>
        <v/>
      </c>
    </row>
    <row r="3115" spans="1:28">
      <c r="A3115" s="3" t="s">
        <v>1578</v>
      </c>
      <c r="D3115" s="3" t="s">
        <v>7502</v>
      </c>
      <c r="E3115" s="3" t="s">
        <v>7502</v>
      </c>
      <c r="F3115" t="s">
        <v>3932</v>
      </c>
      <c r="I3115" t="s">
        <v>7503</v>
      </c>
      <c r="T3115" s="9" t="str">
        <f t="shared" ca="1" si="112"/>
        <v/>
      </c>
      <c r="U3115" s="9" t="str">
        <f t="shared" ca="1" si="113"/>
        <v/>
      </c>
    </row>
    <row r="3116" spans="1:28">
      <c r="A3116" s="3" t="s">
        <v>1578</v>
      </c>
      <c r="D3116" s="3" t="s">
        <v>7504</v>
      </c>
      <c r="E3116" s="3" t="s">
        <v>7505</v>
      </c>
      <c r="H3116" t="s">
        <v>3892</v>
      </c>
      <c r="I3116" t="s">
        <v>7506</v>
      </c>
      <c r="J3116" s="9" t="s">
        <v>8729</v>
      </c>
      <c r="S3116" s="9">
        <f>10929-991</f>
        <v>9938</v>
      </c>
      <c r="T3116" s="9">
        <f t="shared" ca="1" si="112"/>
        <v>991</v>
      </c>
      <c r="U3116" s="9">
        <f t="shared" ca="1" si="113"/>
        <v>10929</v>
      </c>
    </row>
    <row r="3117" spans="1:28">
      <c r="A3117" s="3" t="s">
        <v>1579</v>
      </c>
      <c r="D3117" s="3" t="s">
        <v>7507</v>
      </c>
      <c r="E3117" s="3" t="s">
        <v>7508</v>
      </c>
      <c r="H3117" t="s">
        <v>3884</v>
      </c>
      <c r="J3117" s="9" t="s">
        <v>3885</v>
      </c>
      <c r="K3117" s="9">
        <v>1</v>
      </c>
      <c r="L3117" s="9">
        <v>2</v>
      </c>
      <c r="M3117" s="9" t="s">
        <v>8698</v>
      </c>
      <c r="N3117" s="9" t="s">
        <v>8730</v>
      </c>
      <c r="Q3117" s="9" t="s">
        <v>8685</v>
      </c>
      <c r="R3117" s="9">
        <v>159</v>
      </c>
      <c r="T3117" s="9" t="str">
        <f t="shared" ca="1" si="112"/>
        <v/>
      </c>
      <c r="U3117" s="9" t="str">
        <f t="shared" ca="1" si="113"/>
        <v/>
      </c>
      <c r="AB3117" s="9" t="s">
        <v>8694</v>
      </c>
    </row>
    <row r="3118" spans="1:28">
      <c r="A3118" s="3" t="s">
        <v>1579</v>
      </c>
      <c r="D3118" s="3" t="s">
        <v>3649</v>
      </c>
      <c r="E3118" s="3" t="s">
        <v>3649</v>
      </c>
      <c r="F3118" t="s">
        <v>3932</v>
      </c>
      <c r="I3118" t="s">
        <v>3578</v>
      </c>
      <c r="T3118" s="9" t="str">
        <f t="shared" ca="1" si="112"/>
        <v/>
      </c>
      <c r="U3118" s="9" t="str">
        <f t="shared" ca="1" si="113"/>
        <v/>
      </c>
    </row>
    <row r="3119" spans="1:28">
      <c r="A3119" s="3" t="s">
        <v>1579</v>
      </c>
      <c r="D3119" s="3" t="s">
        <v>3651</v>
      </c>
      <c r="E3119" s="3" t="s">
        <v>2334</v>
      </c>
      <c r="H3119" t="s">
        <v>3884</v>
      </c>
      <c r="J3119" s="9" t="s">
        <v>8731</v>
      </c>
      <c r="T3119" s="9" t="str">
        <f t="shared" ca="1" si="112"/>
        <v/>
      </c>
      <c r="U3119" s="9" t="str">
        <f t="shared" ca="1" si="113"/>
        <v/>
      </c>
    </row>
    <row r="3120" spans="1:28">
      <c r="A3120" s="3" t="s">
        <v>1580</v>
      </c>
      <c r="D3120" s="3" t="s">
        <v>2506</v>
      </c>
      <c r="E3120" s="3" t="s">
        <v>2506</v>
      </c>
      <c r="F3120" t="s">
        <v>3932</v>
      </c>
      <c r="I3120" t="s">
        <v>2507</v>
      </c>
      <c r="T3120" s="9" t="str">
        <f t="shared" ca="1" si="112"/>
        <v/>
      </c>
      <c r="U3120" s="9" t="str">
        <f t="shared" ca="1" si="113"/>
        <v/>
      </c>
    </row>
    <row r="3121" spans="1:28">
      <c r="A3121" s="3" t="s">
        <v>1580</v>
      </c>
      <c r="D3121" s="4" t="s">
        <v>7509</v>
      </c>
      <c r="E3121" s="3" t="s">
        <v>7510</v>
      </c>
      <c r="F3121" t="s">
        <v>4196</v>
      </c>
      <c r="H3121" t="s">
        <v>3884</v>
      </c>
      <c r="I3121" t="s">
        <v>9529</v>
      </c>
      <c r="J3121" s="9" t="s">
        <v>8731</v>
      </c>
      <c r="T3121" s="9" t="str">
        <f t="shared" ca="1" si="112"/>
        <v/>
      </c>
      <c r="U3121" s="9" t="str">
        <f t="shared" ca="1" si="113"/>
        <v/>
      </c>
    </row>
    <row r="3122" spans="1:28">
      <c r="A3122" s="3" t="s">
        <v>1581</v>
      </c>
      <c r="D3122" s="3" t="s">
        <v>7511</v>
      </c>
      <c r="E3122" s="3" t="s">
        <v>7511</v>
      </c>
      <c r="F3122" t="s">
        <v>3932</v>
      </c>
      <c r="I3122" t="s">
        <v>7512</v>
      </c>
      <c r="T3122" s="9" t="str">
        <f t="shared" ca="1" si="112"/>
        <v/>
      </c>
      <c r="U3122" s="9" t="str">
        <f t="shared" ca="1" si="113"/>
        <v/>
      </c>
    </row>
    <row r="3123" spans="1:28" ht="29">
      <c r="A3123" s="3" t="s">
        <v>1582</v>
      </c>
      <c r="D3123" s="3" t="s">
        <v>7513</v>
      </c>
      <c r="E3123" s="3" t="s">
        <v>7514</v>
      </c>
      <c r="F3123" t="s">
        <v>3932</v>
      </c>
      <c r="I3123" t="s">
        <v>7515</v>
      </c>
      <c r="T3123" s="9" t="str">
        <f t="shared" ca="1" si="112"/>
        <v/>
      </c>
      <c r="U3123" s="9" t="str">
        <f t="shared" ca="1" si="113"/>
        <v/>
      </c>
    </row>
    <row r="3124" spans="1:28">
      <c r="A3124" s="3" t="s">
        <v>1582</v>
      </c>
      <c r="D3124" s="3" t="s">
        <v>7516</v>
      </c>
      <c r="E3124" s="3" t="s">
        <v>7517</v>
      </c>
      <c r="J3124" s="9" t="s">
        <v>8731</v>
      </c>
      <c r="T3124" s="9" t="str">
        <f t="shared" ca="1" si="112"/>
        <v/>
      </c>
      <c r="U3124" s="9" t="str">
        <f t="shared" ca="1" si="113"/>
        <v/>
      </c>
      <c r="Z3124" s="9" t="s">
        <v>8741</v>
      </c>
      <c r="AA3124" s="9" t="s">
        <v>3884</v>
      </c>
    </row>
    <row r="3125" spans="1:28" ht="29">
      <c r="A3125" s="3" t="s">
        <v>1582</v>
      </c>
      <c r="D3125" s="4" t="s">
        <v>7518</v>
      </c>
      <c r="E3125" s="3" t="s">
        <v>7519</v>
      </c>
      <c r="F3125" t="s">
        <v>3883</v>
      </c>
      <c r="T3125" s="9" t="str">
        <f t="shared" ca="1" si="112"/>
        <v/>
      </c>
      <c r="U3125" s="9" t="str">
        <f t="shared" ca="1" si="113"/>
        <v/>
      </c>
    </row>
    <row r="3126" spans="1:28">
      <c r="A3126" s="3" t="s">
        <v>1583</v>
      </c>
      <c r="D3126" s="3" t="s">
        <v>3654</v>
      </c>
      <c r="E3126" s="3" t="s">
        <v>3654</v>
      </c>
      <c r="F3126" t="s">
        <v>3932</v>
      </c>
      <c r="I3126" t="s">
        <v>3578</v>
      </c>
      <c r="T3126" s="9" t="str">
        <f t="shared" ca="1" si="112"/>
        <v/>
      </c>
      <c r="U3126" s="9" t="str">
        <f t="shared" ca="1" si="113"/>
        <v/>
      </c>
    </row>
    <row r="3127" spans="1:28" ht="43.5">
      <c r="A3127" s="3" t="s">
        <v>1583</v>
      </c>
      <c r="D3127" s="3" t="s">
        <v>7520</v>
      </c>
      <c r="E3127" s="3" t="s">
        <v>7521</v>
      </c>
      <c r="F3127" t="s">
        <v>3897</v>
      </c>
      <c r="I3127" t="s">
        <v>9654</v>
      </c>
      <c r="J3127" s="9" t="s">
        <v>3885</v>
      </c>
      <c r="K3127" s="9">
        <v>3</v>
      </c>
      <c r="L3127" s="9">
        <v>13</v>
      </c>
      <c r="N3127" s="9" t="s">
        <v>8684</v>
      </c>
      <c r="O3127" s="9" t="s">
        <v>8740</v>
      </c>
      <c r="P3127" s="10" t="s">
        <v>9018</v>
      </c>
      <c r="R3127" s="9">
        <v>99</v>
      </c>
      <c r="T3127" s="9" t="str">
        <f t="shared" ca="1" si="112"/>
        <v/>
      </c>
      <c r="U3127" s="9" t="str">
        <f t="shared" ca="1" si="113"/>
        <v/>
      </c>
    </row>
    <row r="3128" spans="1:28">
      <c r="A3128" s="3" t="s">
        <v>1584</v>
      </c>
      <c r="D3128" s="3" t="s">
        <v>7522</v>
      </c>
      <c r="E3128" s="3" t="s">
        <v>7523</v>
      </c>
      <c r="F3128" t="s">
        <v>3893</v>
      </c>
      <c r="H3128" t="s">
        <v>3884</v>
      </c>
      <c r="T3128" s="9" t="str">
        <f t="shared" ca="1" si="112"/>
        <v/>
      </c>
      <c r="U3128" s="9" t="str">
        <f t="shared" ca="1" si="113"/>
        <v/>
      </c>
    </row>
    <row r="3129" spans="1:28">
      <c r="A3129" s="3" t="s">
        <v>1584</v>
      </c>
      <c r="D3129" s="3" t="s">
        <v>7524</v>
      </c>
      <c r="E3129" s="4" t="s">
        <v>7525</v>
      </c>
      <c r="F3129" t="s">
        <v>3897</v>
      </c>
      <c r="T3129" s="9" t="str">
        <f t="shared" ca="1" si="112"/>
        <v/>
      </c>
      <c r="U3129" s="9" t="str">
        <f t="shared" ca="1" si="113"/>
        <v/>
      </c>
    </row>
    <row r="3130" spans="1:28">
      <c r="A3130" s="3" t="s">
        <v>1585</v>
      </c>
      <c r="D3130" s="3" t="s">
        <v>7526</v>
      </c>
      <c r="E3130" s="3" t="s">
        <v>7527</v>
      </c>
      <c r="H3130" t="s">
        <v>3884</v>
      </c>
      <c r="I3130" t="s">
        <v>9705</v>
      </c>
      <c r="J3130" s="9" t="s">
        <v>3885</v>
      </c>
      <c r="K3130" s="9">
        <v>1</v>
      </c>
      <c r="L3130" s="9">
        <v>1</v>
      </c>
      <c r="M3130" s="9" t="s">
        <v>8683</v>
      </c>
      <c r="N3130" s="9" t="s">
        <v>8730</v>
      </c>
      <c r="R3130" s="9">
        <v>1</v>
      </c>
      <c r="T3130" s="9" t="str">
        <f t="shared" ca="1" si="112"/>
        <v/>
      </c>
      <c r="U3130" s="9" t="str">
        <f t="shared" ca="1" si="113"/>
        <v/>
      </c>
      <c r="V3130" s="9" t="s">
        <v>8728</v>
      </c>
    </row>
    <row r="3131" spans="1:28">
      <c r="A3131" s="3" t="s">
        <v>1586</v>
      </c>
      <c r="D3131" s="3" t="s">
        <v>3156</v>
      </c>
      <c r="E3131" s="3" t="s">
        <v>3655</v>
      </c>
      <c r="J3131" s="9" t="s">
        <v>8729</v>
      </c>
      <c r="S3131" s="9" t="s">
        <v>8730</v>
      </c>
      <c r="T3131" s="9" t="str">
        <f t="shared" ca="1" si="112"/>
        <v/>
      </c>
      <c r="U3131" s="9" t="str">
        <f t="shared" ca="1" si="113"/>
        <v/>
      </c>
      <c r="Y3131" s="9" t="s">
        <v>8735</v>
      </c>
      <c r="AA3131" s="9" t="s">
        <v>3884</v>
      </c>
    </row>
    <row r="3132" spans="1:28">
      <c r="A3132" s="3" t="s">
        <v>1586</v>
      </c>
      <c r="D3132" s="3" t="s">
        <v>7528</v>
      </c>
      <c r="E3132" s="3" t="s">
        <v>7529</v>
      </c>
      <c r="H3132" t="s">
        <v>3884</v>
      </c>
      <c r="J3132" s="9" t="s">
        <v>8731</v>
      </c>
      <c r="T3132" s="9" t="str">
        <f t="shared" ca="1" si="112"/>
        <v/>
      </c>
      <c r="U3132" s="9" t="str">
        <f t="shared" ca="1" si="113"/>
        <v/>
      </c>
    </row>
    <row r="3133" spans="1:28">
      <c r="A3133" s="3" t="s">
        <v>1586</v>
      </c>
      <c r="D3133" s="3" t="s">
        <v>7530</v>
      </c>
      <c r="E3133" s="3" t="s">
        <v>7531</v>
      </c>
      <c r="J3133" s="9" t="s">
        <v>8731</v>
      </c>
      <c r="T3133" s="9" t="str">
        <f t="shared" ca="1" si="112"/>
        <v/>
      </c>
      <c r="U3133" s="9" t="str">
        <f t="shared" ca="1" si="113"/>
        <v/>
      </c>
    </row>
    <row r="3134" spans="1:28" ht="29">
      <c r="A3134" s="3" t="s">
        <v>1587</v>
      </c>
      <c r="D3134" s="3" t="s">
        <v>7532</v>
      </c>
      <c r="E3134" s="4" t="s">
        <v>7533</v>
      </c>
      <c r="F3134" t="s">
        <v>4197</v>
      </c>
      <c r="I3134" t="s">
        <v>9706</v>
      </c>
      <c r="J3134" s="9" t="s">
        <v>3885</v>
      </c>
      <c r="K3134" s="9">
        <v>1</v>
      </c>
      <c r="L3134" s="9">
        <v>2</v>
      </c>
      <c r="N3134" s="9" t="s">
        <v>8730</v>
      </c>
      <c r="R3134" s="9" t="s">
        <v>8739</v>
      </c>
      <c r="T3134" s="9" t="str">
        <f t="shared" ca="1" si="112"/>
        <v/>
      </c>
      <c r="U3134" s="9" t="str">
        <f t="shared" ca="1" si="113"/>
        <v/>
      </c>
      <c r="AB3134" s="9" t="s">
        <v>8694</v>
      </c>
    </row>
    <row r="3135" spans="1:28">
      <c r="A3135" s="3" t="s">
        <v>1587</v>
      </c>
      <c r="D3135" s="3" t="s">
        <v>7535</v>
      </c>
      <c r="E3135" s="3" t="s">
        <v>7536</v>
      </c>
      <c r="H3135" t="s">
        <v>3884</v>
      </c>
      <c r="J3135" s="9" t="s">
        <v>8731</v>
      </c>
      <c r="T3135" s="9" t="str">
        <f t="shared" ca="1" si="112"/>
        <v/>
      </c>
      <c r="U3135" s="9" t="str">
        <f t="shared" ca="1" si="113"/>
        <v/>
      </c>
      <c r="AB3135" s="9" t="s">
        <v>8688</v>
      </c>
    </row>
    <row r="3136" spans="1:28">
      <c r="A3136" s="3" t="s">
        <v>1587</v>
      </c>
      <c r="D3136" s="3" t="s">
        <v>7537</v>
      </c>
      <c r="E3136" s="3" t="s">
        <v>7534</v>
      </c>
      <c r="J3136" s="9" t="s">
        <v>3889</v>
      </c>
      <c r="K3136" s="9">
        <v>1</v>
      </c>
      <c r="L3136" s="9">
        <v>2</v>
      </c>
      <c r="M3136" s="9" t="s">
        <v>8707</v>
      </c>
      <c r="N3136" s="9" t="s">
        <v>8730</v>
      </c>
      <c r="R3136" s="9">
        <v>1942</v>
      </c>
      <c r="T3136" s="9" t="str">
        <f t="shared" ca="1" si="112"/>
        <v/>
      </c>
      <c r="U3136" s="9" t="str">
        <f t="shared" ca="1" si="113"/>
        <v/>
      </c>
    </row>
    <row r="3137" spans="1:28" ht="29">
      <c r="A3137" s="3" t="s">
        <v>1587</v>
      </c>
      <c r="D3137" s="3" t="s">
        <v>7538</v>
      </c>
      <c r="E3137" s="4" t="s">
        <v>7539</v>
      </c>
      <c r="F3137" t="s">
        <v>3897</v>
      </c>
      <c r="T3137" s="9" t="str">
        <f t="shared" ca="1" si="112"/>
        <v/>
      </c>
      <c r="U3137" s="9" t="str">
        <f t="shared" ca="1" si="113"/>
        <v/>
      </c>
    </row>
    <row r="3138" spans="1:28" ht="29">
      <c r="A3138" s="3" t="s">
        <v>1588</v>
      </c>
      <c r="D3138" s="3" t="s">
        <v>7540</v>
      </c>
      <c r="E3138" s="3" t="s">
        <v>7541</v>
      </c>
      <c r="F3138" t="s">
        <v>3932</v>
      </c>
      <c r="I3138" t="s">
        <v>7544</v>
      </c>
      <c r="T3138" s="9" t="str">
        <f t="shared" ref="T3138:T3201" ca="1" si="114">IF(ISNUMBER(S3138),VALUE(MID(_xlfn.FORMULATEXT(S3138),SEARCH("-",_xlfn.FORMULATEXT(S3138))+1,LEN(_xlfn.FORMULATEXT(S3138))-SEARCH("-",_xlfn.FORMULATEXT(S3138)))), "")</f>
        <v/>
      </c>
      <c r="U3138" s="9" t="str">
        <f t="shared" ref="U3138:U3201" ca="1" si="115">IF(ISNUMBER(S3138), VALUE(MID(_xlfn.FORMULATEXT(S3138), 2, SEARCH("-", _xlfn.FORMULATEXT(S3138)) - 2)), "")</f>
        <v/>
      </c>
    </row>
    <row r="3139" spans="1:28" ht="29">
      <c r="A3139" s="3" t="s">
        <v>1588</v>
      </c>
      <c r="D3139" s="3" t="s">
        <v>7542</v>
      </c>
      <c r="E3139" s="3" t="s">
        <v>7543</v>
      </c>
      <c r="J3139" s="9" t="s">
        <v>8732</v>
      </c>
      <c r="S3139" s="9">
        <f>20-251</f>
        <v>-231</v>
      </c>
      <c r="T3139" s="9">
        <f t="shared" ca="1" si="114"/>
        <v>251</v>
      </c>
      <c r="U3139" s="9">
        <f t="shared" ca="1" si="115"/>
        <v>20</v>
      </c>
      <c r="Z3139" s="9" t="s">
        <v>8757</v>
      </c>
      <c r="AA3139" s="9" t="s">
        <v>3884</v>
      </c>
      <c r="AB3139" s="9" t="s">
        <v>8697</v>
      </c>
    </row>
    <row r="3140" spans="1:28">
      <c r="A3140" s="3" t="s">
        <v>1589</v>
      </c>
      <c r="D3140" s="3" t="s">
        <v>3144</v>
      </c>
      <c r="E3140" s="3" t="s">
        <v>3656</v>
      </c>
      <c r="J3140" s="9" t="s">
        <v>8731</v>
      </c>
      <c r="T3140" s="9" t="str">
        <f t="shared" ca="1" si="114"/>
        <v/>
      </c>
      <c r="U3140" s="9" t="str">
        <f t="shared" ca="1" si="115"/>
        <v/>
      </c>
      <c r="Z3140" s="9" t="s">
        <v>8757</v>
      </c>
      <c r="AA3140" s="9" t="s">
        <v>3884</v>
      </c>
    </row>
    <row r="3141" spans="1:28" ht="29">
      <c r="A3141" s="3" t="s">
        <v>1589</v>
      </c>
      <c r="D3141" s="3" t="s">
        <v>7545</v>
      </c>
      <c r="E3141" s="3" t="s">
        <v>7545</v>
      </c>
      <c r="F3141" t="s">
        <v>3932</v>
      </c>
      <c r="I3141" t="s">
        <v>7546</v>
      </c>
      <c r="T3141" s="9" t="str">
        <f t="shared" ca="1" si="114"/>
        <v/>
      </c>
      <c r="U3141" s="9" t="str">
        <f t="shared" ca="1" si="115"/>
        <v/>
      </c>
    </row>
    <row r="3142" spans="1:28">
      <c r="A3142" s="3" t="s">
        <v>1590</v>
      </c>
      <c r="D3142" s="3" t="s">
        <v>7547</v>
      </c>
      <c r="E3142" s="3" t="s">
        <v>9138</v>
      </c>
      <c r="J3142" s="9" t="s">
        <v>8729</v>
      </c>
      <c r="S3142" s="9">
        <f>42-128</f>
        <v>-86</v>
      </c>
      <c r="T3142" s="9">
        <f t="shared" ca="1" si="114"/>
        <v>128</v>
      </c>
      <c r="U3142" s="9">
        <f t="shared" ca="1" si="115"/>
        <v>42</v>
      </c>
    </row>
    <row r="3143" spans="1:28">
      <c r="A3143" s="3" t="s">
        <v>1591</v>
      </c>
      <c r="D3143" s="3" t="s">
        <v>3649</v>
      </c>
      <c r="E3143" s="3" t="s">
        <v>3649</v>
      </c>
      <c r="F3143" t="s">
        <v>3932</v>
      </c>
      <c r="I3143" t="s">
        <v>3578</v>
      </c>
      <c r="T3143" s="9" t="str">
        <f t="shared" ca="1" si="114"/>
        <v/>
      </c>
      <c r="U3143" s="9" t="str">
        <f t="shared" ca="1" si="115"/>
        <v/>
      </c>
    </row>
    <row r="3144" spans="1:28">
      <c r="A3144" s="3" t="s">
        <v>1592</v>
      </c>
      <c r="D3144" s="3" t="s">
        <v>3657</v>
      </c>
      <c r="E3144" s="3" t="s">
        <v>3658</v>
      </c>
      <c r="J3144" s="9" t="s">
        <v>8732</v>
      </c>
      <c r="S3144" s="9" t="s">
        <v>8739</v>
      </c>
      <c r="T3144" s="9" t="str">
        <f t="shared" ca="1" si="114"/>
        <v/>
      </c>
      <c r="U3144" s="9" t="str">
        <f t="shared" ca="1" si="115"/>
        <v/>
      </c>
      <c r="Z3144" s="9" t="s">
        <v>9139</v>
      </c>
      <c r="AA3144" s="9" t="s">
        <v>3884</v>
      </c>
      <c r="AB3144" s="9" t="s">
        <v>8697</v>
      </c>
    </row>
    <row r="3145" spans="1:28">
      <c r="A3145" s="3" t="s">
        <v>1593</v>
      </c>
      <c r="D3145" s="3" t="s">
        <v>2098</v>
      </c>
      <c r="E3145" s="3" t="s">
        <v>2099</v>
      </c>
      <c r="J3145" s="9" t="s">
        <v>8731</v>
      </c>
      <c r="T3145" s="9" t="str">
        <f t="shared" ca="1" si="114"/>
        <v/>
      </c>
      <c r="U3145" s="9" t="str">
        <f t="shared" ca="1" si="115"/>
        <v/>
      </c>
      <c r="Z3145" s="9" t="s">
        <v>8741</v>
      </c>
      <c r="AA3145" s="9" t="s">
        <v>3884</v>
      </c>
    </row>
    <row r="3146" spans="1:28">
      <c r="A3146" s="3" t="s">
        <v>1593</v>
      </c>
      <c r="D3146" s="3" t="s">
        <v>7548</v>
      </c>
      <c r="E3146" s="3" t="s">
        <v>7549</v>
      </c>
      <c r="J3146" s="9" t="s">
        <v>8731</v>
      </c>
      <c r="T3146" s="9" t="str">
        <f t="shared" ca="1" si="114"/>
        <v/>
      </c>
      <c r="U3146" s="9" t="str">
        <f t="shared" ca="1" si="115"/>
        <v/>
      </c>
      <c r="Z3146" s="9" t="s">
        <v>8861</v>
      </c>
      <c r="AA3146" s="9" t="s">
        <v>3884</v>
      </c>
    </row>
    <row r="3147" spans="1:28">
      <c r="A3147" s="3" t="s">
        <v>1593</v>
      </c>
      <c r="D3147" s="3" t="s">
        <v>2779</v>
      </c>
      <c r="E3147" s="3" t="s">
        <v>3659</v>
      </c>
      <c r="H3147" t="s">
        <v>3884</v>
      </c>
      <c r="J3147" s="9" t="s">
        <v>8729</v>
      </c>
      <c r="S3147" s="9" t="s">
        <v>8739</v>
      </c>
      <c r="T3147" s="9" t="str">
        <f t="shared" ca="1" si="114"/>
        <v/>
      </c>
      <c r="U3147" s="9" t="str">
        <f t="shared" ca="1" si="115"/>
        <v/>
      </c>
      <c r="Y3147" s="9" t="s">
        <v>8735</v>
      </c>
      <c r="AA3147" s="9" t="s">
        <v>3884</v>
      </c>
    </row>
    <row r="3148" spans="1:28">
      <c r="A3148" s="3" t="s">
        <v>1594</v>
      </c>
      <c r="D3148" s="3" t="s">
        <v>2098</v>
      </c>
      <c r="E3148" s="3" t="s">
        <v>2099</v>
      </c>
      <c r="J3148" s="9" t="s">
        <v>8731</v>
      </c>
      <c r="T3148" s="9" t="str">
        <f t="shared" ca="1" si="114"/>
        <v/>
      </c>
      <c r="U3148" s="9" t="str">
        <f t="shared" ca="1" si="115"/>
        <v/>
      </c>
      <c r="Z3148" s="9" t="s">
        <v>8741</v>
      </c>
      <c r="AA3148" s="9" t="s">
        <v>3884</v>
      </c>
    </row>
    <row r="3149" spans="1:28">
      <c r="A3149" s="3" t="s">
        <v>1595</v>
      </c>
      <c r="D3149" s="3" t="s">
        <v>7550</v>
      </c>
      <c r="E3149" s="3" t="s">
        <v>7551</v>
      </c>
      <c r="J3149" s="9" t="s">
        <v>8729</v>
      </c>
      <c r="S3149" s="9">
        <f>1-1</f>
        <v>0</v>
      </c>
      <c r="T3149" s="9">
        <f t="shared" ca="1" si="114"/>
        <v>1</v>
      </c>
      <c r="U3149" s="9">
        <f t="shared" ca="1" si="115"/>
        <v>1</v>
      </c>
    </row>
    <row r="3150" spans="1:28">
      <c r="A3150" s="3" t="s">
        <v>1595</v>
      </c>
      <c r="D3150" s="3" t="s">
        <v>7552</v>
      </c>
      <c r="E3150" s="4" t="s">
        <v>7553</v>
      </c>
      <c r="F3150" t="s">
        <v>3897</v>
      </c>
      <c r="T3150" s="9" t="str">
        <f t="shared" ca="1" si="114"/>
        <v/>
      </c>
      <c r="U3150" s="9" t="str">
        <f t="shared" ca="1" si="115"/>
        <v/>
      </c>
    </row>
    <row r="3151" spans="1:28">
      <c r="A3151" s="3" t="s">
        <v>1595</v>
      </c>
      <c r="D3151" s="3" t="s">
        <v>7554</v>
      </c>
      <c r="E3151" s="3" t="s">
        <v>7555</v>
      </c>
      <c r="J3151" s="9" t="s">
        <v>3889</v>
      </c>
      <c r="K3151" s="9">
        <v>1</v>
      </c>
      <c r="L3151" s="9">
        <v>3</v>
      </c>
      <c r="M3151" s="9" t="s">
        <v>8689</v>
      </c>
      <c r="N3151" s="9" t="s">
        <v>8690</v>
      </c>
      <c r="R3151" s="9">
        <v>10929</v>
      </c>
      <c r="T3151" s="9" t="str">
        <f t="shared" ca="1" si="114"/>
        <v/>
      </c>
      <c r="U3151" s="9" t="str">
        <f t="shared" ca="1" si="115"/>
        <v/>
      </c>
    </row>
    <row r="3152" spans="1:28">
      <c r="A3152" s="3" t="s">
        <v>1596</v>
      </c>
      <c r="D3152" s="3" t="s">
        <v>3660</v>
      </c>
      <c r="E3152" s="3" t="s">
        <v>3661</v>
      </c>
      <c r="F3152" t="s">
        <v>3881</v>
      </c>
      <c r="H3152" t="s">
        <v>3892</v>
      </c>
      <c r="I3152" t="s">
        <v>7556</v>
      </c>
      <c r="T3152" s="9" t="str">
        <f t="shared" ca="1" si="114"/>
        <v/>
      </c>
      <c r="U3152" s="9" t="str">
        <f t="shared" ca="1" si="115"/>
        <v/>
      </c>
    </row>
    <row r="3153" spans="1:28">
      <c r="A3153" s="3" t="s">
        <v>1597</v>
      </c>
      <c r="D3153" s="3" t="s">
        <v>9530</v>
      </c>
      <c r="E3153" s="3" t="s">
        <v>9530</v>
      </c>
      <c r="F3153" t="s">
        <v>3932</v>
      </c>
      <c r="I3153" t="s">
        <v>3600</v>
      </c>
      <c r="T3153" s="9" t="str">
        <f t="shared" ca="1" si="114"/>
        <v/>
      </c>
      <c r="U3153" s="9" t="str">
        <f t="shared" ca="1" si="115"/>
        <v/>
      </c>
    </row>
    <row r="3154" spans="1:28">
      <c r="A3154" s="3" t="s">
        <v>1597</v>
      </c>
      <c r="D3154" s="3" t="s">
        <v>7949</v>
      </c>
      <c r="E3154" s="3" t="s">
        <v>7949</v>
      </c>
      <c r="F3154" t="s">
        <v>3932</v>
      </c>
      <c r="I3154" t="s">
        <v>3529</v>
      </c>
      <c r="T3154" s="9" t="str">
        <f t="shared" ca="1" si="114"/>
        <v/>
      </c>
      <c r="U3154" s="9" t="str">
        <f t="shared" ca="1" si="115"/>
        <v/>
      </c>
    </row>
    <row r="3155" spans="1:28">
      <c r="A3155" s="3" t="s">
        <v>1598</v>
      </c>
      <c r="D3155" s="3" t="s">
        <v>7557</v>
      </c>
      <c r="E3155" s="3" t="s">
        <v>7558</v>
      </c>
      <c r="H3155" t="s">
        <v>3884</v>
      </c>
      <c r="J3155" s="9" t="s">
        <v>8729</v>
      </c>
      <c r="S3155" s="9">
        <f>2-1</f>
        <v>1</v>
      </c>
      <c r="T3155" s="9">
        <f t="shared" ca="1" si="114"/>
        <v>1</v>
      </c>
      <c r="U3155" s="9">
        <f t="shared" ca="1" si="115"/>
        <v>2</v>
      </c>
    </row>
    <row r="3156" spans="1:28">
      <c r="A3156" s="3" t="s">
        <v>1598</v>
      </c>
      <c r="D3156" s="3" t="s">
        <v>3601</v>
      </c>
      <c r="E3156" s="3" t="s">
        <v>3617</v>
      </c>
      <c r="H3156" t="s">
        <v>3884</v>
      </c>
      <c r="J3156" s="9" t="s">
        <v>8729</v>
      </c>
      <c r="S3156" s="9" t="s">
        <v>8730</v>
      </c>
      <c r="T3156" s="9" t="str">
        <f t="shared" ca="1" si="114"/>
        <v/>
      </c>
      <c r="U3156" s="9" t="str">
        <f t="shared" ca="1" si="115"/>
        <v/>
      </c>
      <c r="Y3156" s="9" t="s">
        <v>8735</v>
      </c>
      <c r="Z3156" s="9" t="s">
        <v>8742</v>
      </c>
      <c r="AA3156" s="9" t="s">
        <v>3884</v>
      </c>
    </row>
    <row r="3157" spans="1:28">
      <c r="A3157" s="3" t="s">
        <v>1598</v>
      </c>
      <c r="D3157" s="3" t="s">
        <v>7559</v>
      </c>
      <c r="E3157" s="3" t="s">
        <v>3662</v>
      </c>
      <c r="F3157" t="s">
        <v>3893</v>
      </c>
      <c r="H3157" t="s">
        <v>3884</v>
      </c>
      <c r="T3157" s="9" t="str">
        <f t="shared" ca="1" si="114"/>
        <v/>
      </c>
      <c r="U3157" s="9" t="str">
        <f t="shared" ca="1" si="115"/>
        <v/>
      </c>
    </row>
    <row r="3158" spans="1:28">
      <c r="A3158" s="3" t="s">
        <v>1598</v>
      </c>
      <c r="D3158" s="3" t="s">
        <v>7560</v>
      </c>
      <c r="E3158" s="3" t="s">
        <v>7561</v>
      </c>
      <c r="H3158" t="s">
        <v>3884</v>
      </c>
      <c r="J3158" s="9" t="s">
        <v>3885</v>
      </c>
      <c r="K3158" s="9">
        <v>1</v>
      </c>
      <c r="L3158" s="9">
        <v>2</v>
      </c>
      <c r="M3158" s="9" t="s">
        <v>8689</v>
      </c>
      <c r="N3158" s="9" t="s">
        <v>8730</v>
      </c>
      <c r="R3158" s="9">
        <v>10929</v>
      </c>
      <c r="T3158" s="9" t="str">
        <f t="shared" ca="1" si="114"/>
        <v/>
      </c>
      <c r="U3158" s="9" t="str">
        <f t="shared" ca="1" si="115"/>
        <v/>
      </c>
      <c r="AB3158" s="9" t="s">
        <v>8694</v>
      </c>
    </row>
    <row r="3159" spans="1:28">
      <c r="A3159" s="3" t="s">
        <v>1599</v>
      </c>
      <c r="D3159" s="3" t="s">
        <v>7562</v>
      </c>
      <c r="E3159" s="3" t="s">
        <v>7562</v>
      </c>
      <c r="F3159" t="s">
        <v>3932</v>
      </c>
      <c r="I3159" t="s">
        <v>7563</v>
      </c>
      <c r="T3159" s="9" t="str">
        <f t="shared" ca="1" si="114"/>
        <v/>
      </c>
      <c r="U3159" s="9" t="str">
        <f t="shared" ca="1" si="115"/>
        <v/>
      </c>
    </row>
    <row r="3160" spans="1:28">
      <c r="A3160" s="3" t="s">
        <v>1599</v>
      </c>
      <c r="D3160" s="3" t="s">
        <v>7564</v>
      </c>
      <c r="E3160" s="3" t="s">
        <v>7564</v>
      </c>
      <c r="F3160" t="s">
        <v>3932</v>
      </c>
      <c r="I3160" t="s">
        <v>7565</v>
      </c>
      <c r="T3160" s="9" t="str">
        <f t="shared" ca="1" si="114"/>
        <v/>
      </c>
      <c r="U3160" s="9" t="str">
        <f t="shared" ca="1" si="115"/>
        <v/>
      </c>
    </row>
    <row r="3161" spans="1:28">
      <c r="A3161" s="3" t="s">
        <v>1599</v>
      </c>
      <c r="D3161" s="3" t="s">
        <v>7566</v>
      </c>
      <c r="E3161" s="3" t="s">
        <v>7567</v>
      </c>
      <c r="I3161" t="s">
        <v>9258</v>
      </c>
      <c r="J3161" s="9" t="s">
        <v>3889</v>
      </c>
      <c r="K3161" s="9">
        <v>1</v>
      </c>
      <c r="L3161" s="9">
        <v>3</v>
      </c>
      <c r="M3161" s="9" t="s">
        <v>8689</v>
      </c>
      <c r="N3161" s="9" t="s">
        <v>8690</v>
      </c>
      <c r="R3161" s="9">
        <v>10929</v>
      </c>
      <c r="T3161" s="9" t="str">
        <f t="shared" ca="1" si="114"/>
        <v/>
      </c>
      <c r="U3161" s="9" t="str">
        <f t="shared" ca="1" si="115"/>
        <v/>
      </c>
      <c r="V3161" s="9" t="s">
        <v>8728</v>
      </c>
    </row>
    <row r="3162" spans="1:28" ht="43.5">
      <c r="A3162" s="3" t="s">
        <v>1600</v>
      </c>
      <c r="D3162" s="3" t="s">
        <v>7569</v>
      </c>
      <c r="E3162" s="3" t="s">
        <v>7570</v>
      </c>
      <c r="J3162" s="9" t="s">
        <v>8729</v>
      </c>
      <c r="S3162" s="9">
        <f>148-78</f>
        <v>70</v>
      </c>
      <c r="T3162" s="9">
        <f t="shared" ca="1" si="114"/>
        <v>78</v>
      </c>
      <c r="U3162" s="9">
        <f t="shared" ca="1" si="115"/>
        <v>148</v>
      </c>
      <c r="Z3162" s="9" t="s">
        <v>8741</v>
      </c>
      <c r="AA3162" s="9" t="s">
        <v>3884</v>
      </c>
    </row>
    <row r="3163" spans="1:28" ht="43.5">
      <c r="A3163" s="3" t="s">
        <v>1600</v>
      </c>
      <c r="D3163" s="3" t="s">
        <v>7571</v>
      </c>
      <c r="E3163" s="3" t="s">
        <v>7572</v>
      </c>
      <c r="F3163" t="s">
        <v>3932</v>
      </c>
      <c r="I3163" t="s">
        <v>2015</v>
      </c>
      <c r="T3163" s="9" t="str">
        <f t="shared" ca="1" si="114"/>
        <v/>
      </c>
      <c r="U3163" s="9" t="str">
        <f t="shared" ca="1" si="115"/>
        <v/>
      </c>
    </row>
    <row r="3164" spans="1:28" ht="43.5">
      <c r="A3164" s="3" t="s">
        <v>1600</v>
      </c>
      <c r="D3164" s="3" t="s">
        <v>7573</v>
      </c>
      <c r="E3164" s="3" t="s">
        <v>7568</v>
      </c>
      <c r="H3164" t="s">
        <v>3884</v>
      </c>
      <c r="I3164" t="s">
        <v>8844</v>
      </c>
      <c r="J3164" s="9" t="s">
        <v>3889</v>
      </c>
      <c r="K3164" s="9">
        <v>2</v>
      </c>
      <c r="L3164" s="9">
        <v>11</v>
      </c>
      <c r="N3164" s="9" t="s">
        <v>8684</v>
      </c>
      <c r="O3164" s="9" t="s">
        <v>8847</v>
      </c>
      <c r="P3164" s="10" t="s">
        <v>8958</v>
      </c>
      <c r="R3164" s="9">
        <v>627</v>
      </c>
      <c r="T3164" s="9" t="str">
        <f t="shared" ca="1" si="114"/>
        <v/>
      </c>
      <c r="U3164" s="9" t="str">
        <f t="shared" ca="1" si="115"/>
        <v/>
      </c>
    </row>
    <row r="3165" spans="1:28">
      <c r="A3165" s="3" t="s">
        <v>1601</v>
      </c>
      <c r="D3165" s="3" t="s">
        <v>7574</v>
      </c>
      <c r="E3165" s="3" t="s">
        <v>7575</v>
      </c>
      <c r="I3165" t="s">
        <v>9140</v>
      </c>
      <c r="J3165" s="9" t="s">
        <v>8729</v>
      </c>
      <c r="S3165" s="9">
        <f>42-3</f>
        <v>39</v>
      </c>
      <c r="T3165" s="9">
        <f t="shared" ca="1" si="114"/>
        <v>3</v>
      </c>
      <c r="U3165" s="9">
        <f t="shared" ca="1" si="115"/>
        <v>42</v>
      </c>
      <c r="Y3165" s="9" t="s">
        <v>8735</v>
      </c>
      <c r="AA3165" s="9" t="s">
        <v>3884</v>
      </c>
    </row>
    <row r="3166" spans="1:28">
      <c r="A3166" s="3" t="s">
        <v>1602</v>
      </c>
      <c r="D3166" s="3" t="s">
        <v>2654</v>
      </c>
      <c r="E3166" s="3" t="s">
        <v>2655</v>
      </c>
      <c r="J3166" s="9" t="s">
        <v>8729</v>
      </c>
      <c r="S3166" s="9" t="s">
        <v>8739</v>
      </c>
      <c r="T3166" s="9" t="str">
        <f t="shared" ca="1" si="114"/>
        <v/>
      </c>
      <c r="U3166" s="9" t="str">
        <f t="shared" ca="1" si="115"/>
        <v/>
      </c>
      <c r="Z3166" s="9" t="s">
        <v>8742</v>
      </c>
      <c r="AA3166" s="9" t="s">
        <v>3884</v>
      </c>
      <c r="AB3166" s="9" t="s">
        <v>8697</v>
      </c>
    </row>
    <row r="3167" spans="1:28">
      <c r="A3167" s="3" t="s">
        <v>1603</v>
      </c>
      <c r="D3167" s="3" t="s">
        <v>3664</v>
      </c>
      <c r="E3167" s="3" t="s">
        <v>3665</v>
      </c>
      <c r="J3167" s="9" t="s">
        <v>8731</v>
      </c>
      <c r="T3167" s="9" t="str">
        <f t="shared" ca="1" si="114"/>
        <v/>
      </c>
      <c r="U3167" s="9" t="str">
        <f t="shared" ca="1" si="115"/>
        <v/>
      </c>
    </row>
    <row r="3168" spans="1:28">
      <c r="A3168" s="3" t="s">
        <v>1604</v>
      </c>
      <c r="D3168" s="3" t="s">
        <v>7576</v>
      </c>
      <c r="E3168" s="3" t="s">
        <v>7577</v>
      </c>
      <c r="F3168" t="s">
        <v>3932</v>
      </c>
      <c r="I3168" t="s">
        <v>7578</v>
      </c>
      <c r="T3168" s="9" t="str">
        <f t="shared" ca="1" si="114"/>
        <v/>
      </c>
      <c r="U3168" s="9" t="str">
        <f t="shared" ca="1" si="115"/>
        <v/>
      </c>
    </row>
    <row r="3169" spans="1:28" ht="43.5">
      <c r="A3169" s="3" t="s">
        <v>1605</v>
      </c>
      <c r="D3169" s="3" t="s">
        <v>7579</v>
      </c>
      <c r="E3169" s="3" t="s">
        <v>7580</v>
      </c>
      <c r="H3169" t="s">
        <v>3892</v>
      </c>
      <c r="I3169" t="s">
        <v>9707</v>
      </c>
      <c r="J3169" s="9" t="s">
        <v>8731</v>
      </c>
      <c r="T3169" s="9" t="str">
        <f t="shared" ca="1" si="114"/>
        <v/>
      </c>
      <c r="U3169" s="9" t="str">
        <f t="shared" ca="1" si="115"/>
        <v/>
      </c>
      <c r="Z3169" s="9" t="s">
        <v>8741</v>
      </c>
      <c r="AA3169" s="9" t="s">
        <v>3884</v>
      </c>
    </row>
    <row r="3170" spans="1:28">
      <c r="A3170" s="3" t="s">
        <v>1606</v>
      </c>
      <c r="D3170" s="3" t="s">
        <v>7581</v>
      </c>
      <c r="E3170" s="3" t="s">
        <v>7581</v>
      </c>
      <c r="F3170" t="s">
        <v>3932</v>
      </c>
      <c r="I3170" t="s">
        <v>7582</v>
      </c>
      <c r="T3170" s="9" t="str">
        <f t="shared" ca="1" si="114"/>
        <v/>
      </c>
      <c r="U3170" s="9" t="str">
        <f t="shared" ca="1" si="115"/>
        <v/>
      </c>
    </row>
    <row r="3171" spans="1:28">
      <c r="A3171" s="3" t="s">
        <v>1607</v>
      </c>
      <c r="D3171" s="3" t="s">
        <v>3666</v>
      </c>
      <c r="E3171" s="3" t="s">
        <v>7583</v>
      </c>
      <c r="F3171" t="s">
        <v>3932</v>
      </c>
      <c r="I3171" t="s">
        <v>7584</v>
      </c>
      <c r="T3171" s="9" t="str">
        <f t="shared" ca="1" si="114"/>
        <v/>
      </c>
      <c r="U3171" s="9" t="str">
        <f t="shared" ca="1" si="115"/>
        <v/>
      </c>
    </row>
    <row r="3172" spans="1:28" ht="29">
      <c r="A3172" s="3" t="s">
        <v>1608</v>
      </c>
      <c r="D3172" s="3" t="s">
        <v>7585</v>
      </c>
      <c r="E3172" s="3" t="s">
        <v>7585</v>
      </c>
      <c r="F3172" t="s">
        <v>3932</v>
      </c>
      <c r="I3172" t="s">
        <v>7586</v>
      </c>
      <c r="T3172" s="9" t="str">
        <f t="shared" ca="1" si="114"/>
        <v/>
      </c>
      <c r="U3172" s="9" t="str">
        <f t="shared" ca="1" si="115"/>
        <v/>
      </c>
    </row>
    <row r="3173" spans="1:28">
      <c r="A3173" s="3" t="s">
        <v>1609</v>
      </c>
      <c r="D3173" s="3" t="s">
        <v>3527</v>
      </c>
      <c r="E3173" s="3" t="s">
        <v>3527</v>
      </c>
      <c r="F3173" t="s">
        <v>3932</v>
      </c>
      <c r="I3173" t="s">
        <v>3529</v>
      </c>
      <c r="T3173" s="9" t="str">
        <f t="shared" ca="1" si="114"/>
        <v/>
      </c>
      <c r="U3173" s="9" t="str">
        <f t="shared" ca="1" si="115"/>
        <v/>
      </c>
    </row>
    <row r="3174" spans="1:28" ht="29">
      <c r="A3174" s="3" t="s">
        <v>1609</v>
      </c>
      <c r="D3174" s="3" t="s">
        <v>7587</v>
      </c>
      <c r="E3174" s="3" t="s">
        <v>7587</v>
      </c>
      <c r="F3174" t="s">
        <v>3932</v>
      </c>
      <c r="I3174" t="s">
        <v>7588</v>
      </c>
      <c r="T3174" s="9" t="str">
        <f t="shared" ca="1" si="114"/>
        <v/>
      </c>
      <c r="U3174" s="9" t="str">
        <f t="shared" ca="1" si="115"/>
        <v/>
      </c>
    </row>
    <row r="3175" spans="1:28" ht="29">
      <c r="A3175" s="3" t="s">
        <v>1610</v>
      </c>
      <c r="D3175" s="3" t="s">
        <v>7589</v>
      </c>
      <c r="E3175" s="3" t="s">
        <v>7590</v>
      </c>
      <c r="H3175" t="s">
        <v>3884</v>
      </c>
      <c r="J3175" s="9" t="s">
        <v>3885</v>
      </c>
      <c r="K3175" s="9">
        <v>2</v>
      </c>
      <c r="L3175" s="9">
        <v>8</v>
      </c>
      <c r="N3175" s="9" t="s">
        <v>8690</v>
      </c>
      <c r="R3175" s="9">
        <v>627</v>
      </c>
      <c r="T3175" s="9" t="str">
        <f t="shared" ca="1" si="114"/>
        <v/>
      </c>
      <c r="U3175" s="9" t="str">
        <f t="shared" ca="1" si="115"/>
        <v/>
      </c>
    </row>
    <row r="3176" spans="1:28" ht="29">
      <c r="A3176" s="3" t="s">
        <v>1611</v>
      </c>
      <c r="D3176" s="4" t="s">
        <v>7591</v>
      </c>
      <c r="E3176" s="3" t="s">
        <v>7592</v>
      </c>
      <c r="F3176" t="s">
        <v>3883</v>
      </c>
      <c r="I3176" t="s">
        <v>9708</v>
      </c>
      <c r="T3176" s="9" t="str">
        <f t="shared" ca="1" si="114"/>
        <v/>
      </c>
      <c r="U3176" s="9" t="str">
        <f t="shared" ca="1" si="115"/>
        <v/>
      </c>
    </row>
    <row r="3177" spans="1:28">
      <c r="A3177" s="3" t="s">
        <v>1611</v>
      </c>
      <c r="D3177" s="3" t="s">
        <v>3529</v>
      </c>
      <c r="E3177" s="3" t="s">
        <v>3667</v>
      </c>
      <c r="H3177" t="s">
        <v>3884</v>
      </c>
      <c r="J3177" s="9" t="s">
        <v>8729</v>
      </c>
      <c r="S3177" s="9" t="s">
        <v>8730</v>
      </c>
      <c r="T3177" s="9" t="str">
        <f t="shared" ca="1" si="114"/>
        <v/>
      </c>
      <c r="U3177" s="9" t="str">
        <f t="shared" ca="1" si="115"/>
        <v/>
      </c>
      <c r="Y3177" s="9" t="s">
        <v>8735</v>
      </c>
      <c r="Z3177" s="9" t="s">
        <v>8758</v>
      </c>
      <c r="AA3177" s="9" t="s">
        <v>3884</v>
      </c>
    </row>
    <row r="3178" spans="1:28">
      <c r="A3178" s="3" t="s">
        <v>1611</v>
      </c>
      <c r="D3178" s="3" t="s">
        <v>7593</v>
      </c>
      <c r="E3178" s="3" t="s">
        <v>7593</v>
      </c>
      <c r="F3178" t="s">
        <v>3932</v>
      </c>
      <c r="I3178" t="s">
        <v>7594</v>
      </c>
      <c r="T3178" s="9" t="str">
        <f t="shared" ca="1" si="114"/>
        <v/>
      </c>
      <c r="U3178" s="9" t="str">
        <f t="shared" ca="1" si="115"/>
        <v/>
      </c>
    </row>
    <row r="3179" spans="1:28">
      <c r="A3179" s="3" t="s">
        <v>1611</v>
      </c>
      <c r="D3179" s="3" t="s">
        <v>7595</v>
      </c>
      <c r="E3179" s="3" t="s">
        <v>7596</v>
      </c>
      <c r="H3179" t="s">
        <v>3892</v>
      </c>
      <c r="I3179" t="s">
        <v>7597</v>
      </c>
      <c r="J3179" s="9" t="s">
        <v>8731</v>
      </c>
      <c r="T3179" s="9" t="str">
        <f t="shared" ca="1" si="114"/>
        <v/>
      </c>
      <c r="U3179" s="9" t="str">
        <f t="shared" ca="1" si="115"/>
        <v/>
      </c>
      <c r="Y3179" s="9" t="s">
        <v>9282</v>
      </c>
      <c r="AA3179" s="9" t="s">
        <v>3884</v>
      </c>
    </row>
    <row r="3180" spans="1:28">
      <c r="A3180" s="3" t="s">
        <v>1612</v>
      </c>
      <c r="D3180" s="3" t="s">
        <v>3617</v>
      </c>
      <c r="E3180" s="3" t="s">
        <v>3617</v>
      </c>
      <c r="F3180" t="s">
        <v>3932</v>
      </c>
      <c r="I3180" t="s">
        <v>3601</v>
      </c>
      <c r="T3180" s="9" t="str">
        <f t="shared" ca="1" si="114"/>
        <v/>
      </c>
      <c r="U3180" s="9" t="str">
        <f t="shared" ca="1" si="115"/>
        <v/>
      </c>
    </row>
    <row r="3181" spans="1:28">
      <c r="A3181" s="3" t="s">
        <v>1612</v>
      </c>
      <c r="D3181" s="3" t="s">
        <v>7598</v>
      </c>
      <c r="E3181" s="3" t="s">
        <v>9141</v>
      </c>
      <c r="H3181" t="s">
        <v>3892</v>
      </c>
      <c r="I3181" t="s">
        <v>7599</v>
      </c>
      <c r="J3181" s="9" t="s">
        <v>8731</v>
      </c>
      <c r="T3181" s="9" t="str">
        <f t="shared" ca="1" si="114"/>
        <v/>
      </c>
      <c r="U3181" s="9" t="str">
        <f t="shared" ca="1" si="115"/>
        <v/>
      </c>
      <c r="AB3181" s="9" t="s">
        <v>8688</v>
      </c>
    </row>
    <row r="3182" spans="1:28">
      <c r="A3182" s="3" t="s">
        <v>1612</v>
      </c>
      <c r="D3182" s="3" t="s">
        <v>7600</v>
      </c>
      <c r="E3182" s="3" t="s">
        <v>7601</v>
      </c>
      <c r="F3182" t="s">
        <v>3893</v>
      </c>
      <c r="H3182" t="s">
        <v>3884</v>
      </c>
      <c r="T3182" s="9" t="str">
        <f t="shared" ca="1" si="114"/>
        <v/>
      </c>
      <c r="U3182" s="9" t="str">
        <f t="shared" ca="1" si="115"/>
        <v/>
      </c>
    </row>
    <row r="3183" spans="1:28">
      <c r="A3183" s="3" t="s">
        <v>1613</v>
      </c>
      <c r="D3183" s="3" t="s">
        <v>3668</v>
      </c>
      <c r="E3183" s="3" t="s">
        <v>3669</v>
      </c>
      <c r="J3183" s="9" t="s">
        <v>8731</v>
      </c>
      <c r="T3183" s="9" t="str">
        <f t="shared" ca="1" si="114"/>
        <v/>
      </c>
      <c r="U3183" s="9" t="str">
        <f t="shared" ca="1" si="115"/>
        <v/>
      </c>
      <c r="Z3183" s="9" t="s">
        <v>8757</v>
      </c>
      <c r="AA3183" s="9" t="s">
        <v>3884</v>
      </c>
      <c r="AB3183" s="9" t="s">
        <v>8697</v>
      </c>
    </row>
    <row r="3184" spans="1:28">
      <c r="A3184" s="3" t="s">
        <v>1614</v>
      </c>
      <c r="D3184" s="3" t="s">
        <v>7602</v>
      </c>
      <c r="E3184" s="3" t="s">
        <v>7603</v>
      </c>
      <c r="H3184" t="s">
        <v>3884</v>
      </c>
      <c r="J3184" s="9" t="s">
        <v>3885</v>
      </c>
      <c r="K3184" s="9">
        <v>1</v>
      </c>
      <c r="L3184" s="9">
        <v>1</v>
      </c>
      <c r="M3184" s="9" t="s">
        <v>8683</v>
      </c>
      <c r="N3184" s="9" t="s">
        <v>8730</v>
      </c>
      <c r="R3184" s="9">
        <v>21</v>
      </c>
      <c r="T3184" s="9" t="str">
        <f t="shared" ca="1" si="114"/>
        <v/>
      </c>
      <c r="U3184" s="9" t="str">
        <f t="shared" ca="1" si="115"/>
        <v/>
      </c>
      <c r="AB3184" s="9" t="s">
        <v>8694</v>
      </c>
    </row>
    <row r="3185" spans="1:28" ht="43.5">
      <c r="A3185" s="3" t="s">
        <v>1614</v>
      </c>
      <c r="D3185" s="3" t="s">
        <v>7604</v>
      </c>
      <c r="E3185" s="3" t="s">
        <v>7605</v>
      </c>
      <c r="I3185" t="s">
        <v>9259</v>
      </c>
      <c r="J3185" s="9" t="s">
        <v>3885</v>
      </c>
      <c r="K3185" s="9">
        <v>1</v>
      </c>
      <c r="L3185" s="9">
        <v>3</v>
      </c>
      <c r="M3185" s="9" t="s">
        <v>8689</v>
      </c>
      <c r="N3185" s="9" t="s">
        <v>8690</v>
      </c>
      <c r="R3185" s="9">
        <v>10929</v>
      </c>
      <c r="T3185" s="9" t="str">
        <f t="shared" ca="1" si="114"/>
        <v/>
      </c>
      <c r="U3185" s="9" t="str">
        <f t="shared" ca="1" si="115"/>
        <v/>
      </c>
      <c r="V3185" s="9" t="s">
        <v>8728</v>
      </c>
    </row>
    <row r="3186" spans="1:28" ht="43.5">
      <c r="A3186" s="3" t="s">
        <v>1614</v>
      </c>
      <c r="D3186" s="3" t="s">
        <v>7606</v>
      </c>
      <c r="E3186" s="3" t="s">
        <v>7607</v>
      </c>
      <c r="F3186" t="s">
        <v>3932</v>
      </c>
      <c r="I3186" t="s">
        <v>2004</v>
      </c>
      <c r="T3186" s="9" t="str">
        <f t="shared" ca="1" si="114"/>
        <v/>
      </c>
      <c r="U3186" s="9" t="str">
        <f t="shared" ca="1" si="115"/>
        <v/>
      </c>
    </row>
    <row r="3187" spans="1:28" ht="43.5">
      <c r="A3187" s="3" t="s">
        <v>1614</v>
      </c>
      <c r="D3187" s="3" t="s">
        <v>7604</v>
      </c>
      <c r="E3187" s="3" t="s">
        <v>7608</v>
      </c>
      <c r="H3187" t="s">
        <v>3884</v>
      </c>
      <c r="J3187" s="9" t="s">
        <v>3885</v>
      </c>
      <c r="K3187" s="9">
        <v>1</v>
      </c>
      <c r="L3187" s="9">
        <v>1</v>
      </c>
      <c r="M3187" s="9" t="s">
        <v>8683</v>
      </c>
      <c r="N3187" s="9" t="s">
        <v>8730</v>
      </c>
      <c r="R3187" s="9">
        <v>99</v>
      </c>
      <c r="T3187" s="9" t="str">
        <f t="shared" ca="1" si="114"/>
        <v/>
      </c>
      <c r="U3187" s="9" t="str">
        <f t="shared" ca="1" si="115"/>
        <v/>
      </c>
      <c r="AB3187" s="9" t="s">
        <v>8694</v>
      </c>
    </row>
    <row r="3188" spans="1:28">
      <c r="A3188" s="3" t="s">
        <v>1614</v>
      </c>
      <c r="D3188" s="3" t="s">
        <v>7593</v>
      </c>
      <c r="E3188" s="3" t="s">
        <v>7593</v>
      </c>
      <c r="F3188" t="s">
        <v>3932</v>
      </c>
      <c r="I3188" t="s">
        <v>7594</v>
      </c>
      <c r="T3188" s="9" t="str">
        <f t="shared" ca="1" si="114"/>
        <v/>
      </c>
      <c r="U3188" s="9" t="str">
        <f t="shared" ca="1" si="115"/>
        <v/>
      </c>
    </row>
    <row r="3189" spans="1:28" ht="43.5">
      <c r="A3189" s="3" t="s">
        <v>1614</v>
      </c>
      <c r="D3189" s="3" t="s">
        <v>7609</v>
      </c>
      <c r="E3189" s="3" t="s">
        <v>7610</v>
      </c>
      <c r="F3189" t="s">
        <v>3932</v>
      </c>
      <c r="I3189" t="s">
        <v>7611</v>
      </c>
      <c r="T3189" s="9" t="str">
        <f t="shared" ca="1" si="114"/>
        <v/>
      </c>
      <c r="U3189" s="9" t="str">
        <f t="shared" ca="1" si="115"/>
        <v/>
      </c>
    </row>
    <row r="3190" spans="1:28" ht="43.5">
      <c r="A3190" s="3" t="s">
        <v>1614</v>
      </c>
      <c r="D3190" s="3" t="s">
        <v>7612</v>
      </c>
      <c r="E3190" s="3" t="s">
        <v>7613</v>
      </c>
      <c r="F3190" t="s">
        <v>3932</v>
      </c>
      <c r="I3190" t="s">
        <v>7614</v>
      </c>
      <c r="T3190" s="9" t="str">
        <f t="shared" ca="1" si="114"/>
        <v/>
      </c>
      <c r="U3190" s="9" t="str">
        <f t="shared" ca="1" si="115"/>
        <v/>
      </c>
    </row>
    <row r="3191" spans="1:28" ht="29">
      <c r="A3191" s="3" t="s">
        <v>1615</v>
      </c>
      <c r="D3191" s="3" t="s">
        <v>7615</v>
      </c>
      <c r="E3191" s="3" t="s">
        <v>9655</v>
      </c>
      <c r="H3191" t="s">
        <v>3884</v>
      </c>
      <c r="J3191" s="9" t="s">
        <v>3885</v>
      </c>
      <c r="K3191" s="9">
        <v>1</v>
      </c>
      <c r="L3191" s="9">
        <v>2</v>
      </c>
      <c r="M3191" s="9" t="s">
        <v>8698</v>
      </c>
      <c r="N3191" s="9" t="s">
        <v>8730</v>
      </c>
      <c r="R3191" s="9">
        <v>159</v>
      </c>
      <c r="T3191" s="9" t="str">
        <f t="shared" ca="1" si="114"/>
        <v/>
      </c>
      <c r="U3191" s="9" t="str">
        <f t="shared" ca="1" si="115"/>
        <v/>
      </c>
    </row>
    <row r="3192" spans="1:28" ht="29">
      <c r="A3192" s="3" t="s">
        <v>1615</v>
      </c>
      <c r="D3192" s="3" t="s">
        <v>7616</v>
      </c>
      <c r="E3192" s="3" t="s">
        <v>7617</v>
      </c>
      <c r="J3192" s="9" t="s">
        <v>8729</v>
      </c>
      <c r="S3192" s="9">
        <f>340-207</f>
        <v>133</v>
      </c>
      <c r="T3192" s="9">
        <f t="shared" ca="1" si="114"/>
        <v>207</v>
      </c>
      <c r="U3192" s="9">
        <f t="shared" ca="1" si="115"/>
        <v>340</v>
      </c>
    </row>
    <row r="3193" spans="1:28">
      <c r="A3193" s="3" t="s">
        <v>1616</v>
      </c>
      <c r="D3193" s="3" t="s">
        <v>2175</v>
      </c>
      <c r="E3193" s="3" t="s">
        <v>2159</v>
      </c>
      <c r="J3193" s="9" t="s">
        <v>8731</v>
      </c>
      <c r="T3193" s="9" t="str">
        <f t="shared" ca="1" si="114"/>
        <v/>
      </c>
      <c r="U3193" s="9" t="str">
        <f t="shared" ca="1" si="115"/>
        <v/>
      </c>
    </row>
    <row r="3194" spans="1:28">
      <c r="A3194" s="3" t="s">
        <v>1617</v>
      </c>
      <c r="D3194" s="3" t="s">
        <v>7618</v>
      </c>
      <c r="E3194" s="3" t="s">
        <v>7619</v>
      </c>
      <c r="H3194" t="s">
        <v>3884</v>
      </c>
      <c r="I3194" t="s">
        <v>9260</v>
      </c>
      <c r="J3194" s="9" t="s">
        <v>3885</v>
      </c>
      <c r="K3194" s="9">
        <v>1</v>
      </c>
      <c r="L3194" s="9">
        <v>1</v>
      </c>
      <c r="M3194" s="9" t="s">
        <v>8698</v>
      </c>
      <c r="N3194" s="9" t="s">
        <v>8730</v>
      </c>
      <c r="R3194" s="9">
        <v>1</v>
      </c>
      <c r="T3194" s="9" t="str">
        <f t="shared" ca="1" si="114"/>
        <v/>
      </c>
      <c r="U3194" s="9" t="str">
        <f t="shared" ca="1" si="115"/>
        <v/>
      </c>
      <c r="V3194" s="9" t="s">
        <v>8728</v>
      </c>
    </row>
    <row r="3195" spans="1:28">
      <c r="A3195" s="3" t="s">
        <v>1618</v>
      </c>
      <c r="D3195" s="3" t="s">
        <v>7620</v>
      </c>
      <c r="E3195" s="3" t="s">
        <v>7621</v>
      </c>
      <c r="J3195" s="9" t="s">
        <v>8729</v>
      </c>
      <c r="S3195" s="9">
        <f>3678-79</f>
        <v>3599</v>
      </c>
      <c r="T3195" s="9">
        <f t="shared" ca="1" si="114"/>
        <v>79</v>
      </c>
      <c r="U3195" s="9">
        <f t="shared" ca="1" si="115"/>
        <v>3678</v>
      </c>
    </row>
    <row r="3196" spans="1:28" ht="29">
      <c r="A3196" s="3" t="s">
        <v>1618</v>
      </c>
      <c r="D3196" s="3" t="s">
        <v>7622</v>
      </c>
      <c r="E3196" s="3" t="s">
        <v>7623</v>
      </c>
      <c r="H3196" t="s">
        <v>3884</v>
      </c>
      <c r="J3196" s="9" t="s">
        <v>8729</v>
      </c>
      <c r="S3196" s="9">
        <f>1485-1443</f>
        <v>42</v>
      </c>
      <c r="T3196" s="9">
        <f t="shared" ca="1" si="114"/>
        <v>1443</v>
      </c>
      <c r="U3196" s="9">
        <f t="shared" ca="1" si="115"/>
        <v>1485</v>
      </c>
    </row>
    <row r="3197" spans="1:28">
      <c r="A3197" s="3" t="s">
        <v>1619</v>
      </c>
      <c r="D3197" s="3" t="s">
        <v>7624</v>
      </c>
      <c r="E3197" s="3" t="s">
        <v>7625</v>
      </c>
      <c r="H3197" t="s">
        <v>3884</v>
      </c>
      <c r="J3197" s="9" t="s">
        <v>3885</v>
      </c>
      <c r="K3197" s="9">
        <v>1</v>
      </c>
      <c r="L3197" s="9">
        <v>5</v>
      </c>
      <c r="M3197" s="9" t="s">
        <v>8705</v>
      </c>
      <c r="N3197" s="9" t="s">
        <v>8690</v>
      </c>
      <c r="R3197" s="9">
        <v>3678</v>
      </c>
      <c r="T3197" s="9" t="str">
        <f t="shared" ca="1" si="114"/>
        <v/>
      </c>
      <c r="U3197" s="9" t="str">
        <f t="shared" ca="1" si="115"/>
        <v/>
      </c>
    </row>
    <row r="3198" spans="1:28">
      <c r="A3198" s="3" t="s">
        <v>1620</v>
      </c>
      <c r="D3198" s="3" t="s">
        <v>7626</v>
      </c>
      <c r="E3198" s="3" t="s">
        <v>7627</v>
      </c>
      <c r="F3198" t="s">
        <v>3893</v>
      </c>
      <c r="H3198" t="s">
        <v>3884</v>
      </c>
      <c r="T3198" s="9" t="str">
        <f t="shared" ca="1" si="114"/>
        <v/>
      </c>
      <c r="U3198" s="9" t="str">
        <f t="shared" ca="1" si="115"/>
        <v/>
      </c>
    </row>
    <row r="3199" spans="1:28">
      <c r="A3199" s="3" t="s">
        <v>1620</v>
      </c>
      <c r="D3199" s="3" t="s">
        <v>7593</v>
      </c>
      <c r="E3199" s="3" t="s">
        <v>7593</v>
      </c>
      <c r="F3199" t="s">
        <v>3932</v>
      </c>
      <c r="I3199" t="s">
        <v>7594</v>
      </c>
      <c r="T3199" s="9" t="str">
        <f t="shared" ca="1" si="114"/>
        <v/>
      </c>
      <c r="U3199" s="9" t="str">
        <f t="shared" ca="1" si="115"/>
        <v/>
      </c>
    </row>
    <row r="3200" spans="1:28" ht="43.5">
      <c r="A3200" s="3" t="s">
        <v>1621</v>
      </c>
      <c r="D3200" s="3" t="s">
        <v>7629</v>
      </c>
      <c r="E3200" s="3" t="s">
        <v>7630</v>
      </c>
      <c r="J3200" s="9" t="s">
        <v>8729</v>
      </c>
      <c r="S3200" s="9" t="s">
        <v>8739</v>
      </c>
      <c r="T3200" s="9" t="str">
        <f t="shared" ca="1" si="114"/>
        <v/>
      </c>
      <c r="U3200" s="9" t="str">
        <f t="shared" ca="1" si="115"/>
        <v/>
      </c>
      <c r="Y3200" s="9" t="s">
        <v>8735</v>
      </c>
      <c r="Z3200" s="9" t="s">
        <v>8741</v>
      </c>
      <c r="AA3200" s="9" t="s">
        <v>3884</v>
      </c>
    </row>
    <row r="3201" spans="1:28" ht="43.5">
      <c r="A3201" s="3" t="s">
        <v>1621</v>
      </c>
      <c r="D3201" s="3" t="s">
        <v>7628</v>
      </c>
      <c r="E3201" s="4" t="s">
        <v>7631</v>
      </c>
      <c r="F3201" t="s">
        <v>3897</v>
      </c>
      <c r="T3201" s="9" t="str">
        <f t="shared" ca="1" si="114"/>
        <v/>
      </c>
      <c r="U3201" s="9" t="str">
        <f t="shared" ca="1" si="115"/>
        <v/>
      </c>
    </row>
    <row r="3202" spans="1:28" ht="29">
      <c r="A3202" s="3" t="s">
        <v>1621</v>
      </c>
      <c r="D3202" s="3" t="s">
        <v>7632</v>
      </c>
      <c r="E3202" s="3" t="s">
        <v>7633</v>
      </c>
      <c r="H3202" t="s">
        <v>3884</v>
      </c>
      <c r="J3202" s="9" t="s">
        <v>8729</v>
      </c>
      <c r="S3202" s="9" t="s">
        <v>8739</v>
      </c>
      <c r="T3202" s="9" t="str">
        <f t="shared" ref="T3202:T3266" ca="1" si="116">IF(ISNUMBER(S3202),VALUE(MID(_xlfn.FORMULATEXT(S3202),SEARCH("-",_xlfn.FORMULATEXT(S3202))+1,LEN(_xlfn.FORMULATEXT(S3202))-SEARCH("-",_xlfn.FORMULATEXT(S3202)))), "")</f>
        <v/>
      </c>
      <c r="U3202" s="9" t="str">
        <f t="shared" ref="U3202:U3266" ca="1" si="117">IF(ISNUMBER(S3202), VALUE(MID(_xlfn.FORMULATEXT(S3202), 2, SEARCH("-", _xlfn.FORMULATEXT(S3202)) - 2)), "")</f>
        <v/>
      </c>
      <c r="AB3202" s="9" t="s">
        <v>8688</v>
      </c>
    </row>
    <row r="3203" spans="1:28">
      <c r="A3203" s="3" t="s">
        <v>1621</v>
      </c>
      <c r="D3203" s="3" t="s">
        <v>7634</v>
      </c>
      <c r="E3203" s="4" t="s">
        <v>7635</v>
      </c>
      <c r="F3203" t="s">
        <v>3897</v>
      </c>
      <c r="T3203" s="9" t="str">
        <f t="shared" ca="1" si="116"/>
        <v/>
      </c>
      <c r="U3203" s="9" t="str">
        <f t="shared" ca="1" si="117"/>
        <v/>
      </c>
    </row>
    <row r="3204" spans="1:28">
      <c r="A3204" s="3" t="s">
        <v>1621</v>
      </c>
      <c r="D3204" s="3" t="s">
        <v>7636</v>
      </c>
      <c r="E3204" s="3" t="s">
        <v>7637</v>
      </c>
      <c r="F3204" t="s">
        <v>3886</v>
      </c>
      <c r="J3204" s="9" t="s">
        <v>8729</v>
      </c>
      <c r="S3204" s="9">
        <f>183-41</f>
        <v>142</v>
      </c>
      <c r="T3204" s="9">
        <f t="shared" ca="1" si="116"/>
        <v>41</v>
      </c>
      <c r="U3204" s="9">
        <f t="shared" ca="1" si="117"/>
        <v>183</v>
      </c>
    </row>
    <row r="3205" spans="1:28" ht="29">
      <c r="A3205" s="3" t="s">
        <v>1621</v>
      </c>
      <c r="D3205" s="3" t="s">
        <v>7638</v>
      </c>
      <c r="E3205" s="3" t="s">
        <v>7640</v>
      </c>
      <c r="F3205" t="s">
        <v>3932</v>
      </c>
      <c r="I3205" t="s">
        <v>2223</v>
      </c>
      <c r="T3205" s="9" t="str">
        <f t="shared" ca="1" si="116"/>
        <v/>
      </c>
      <c r="U3205" s="9" t="str">
        <f t="shared" ca="1" si="117"/>
        <v/>
      </c>
    </row>
    <row r="3206" spans="1:28" ht="29">
      <c r="A3206" s="3" t="s">
        <v>1621</v>
      </c>
      <c r="D3206" s="3" t="s">
        <v>7639</v>
      </c>
      <c r="E3206" s="3" t="s">
        <v>7641</v>
      </c>
      <c r="F3206" t="s">
        <v>3932</v>
      </c>
      <c r="I3206" t="s">
        <v>2212</v>
      </c>
      <c r="T3206" s="9" t="str">
        <f t="shared" ca="1" si="116"/>
        <v/>
      </c>
      <c r="U3206" s="9" t="str">
        <f t="shared" ca="1" si="117"/>
        <v/>
      </c>
    </row>
    <row r="3207" spans="1:28">
      <c r="A3207" s="3" t="s">
        <v>1622</v>
      </c>
      <c r="D3207" s="3" t="s">
        <v>7642</v>
      </c>
      <c r="E3207" s="3" t="s">
        <v>7643</v>
      </c>
      <c r="H3207" t="s">
        <v>3884</v>
      </c>
      <c r="J3207" s="9" t="s">
        <v>8731</v>
      </c>
      <c r="T3207" s="9" t="str">
        <f t="shared" ca="1" si="116"/>
        <v/>
      </c>
      <c r="U3207" s="9" t="str">
        <f t="shared" ca="1" si="117"/>
        <v/>
      </c>
      <c r="Y3207" s="9" t="s">
        <v>8735</v>
      </c>
      <c r="AA3207" s="9" t="s">
        <v>3884</v>
      </c>
    </row>
    <row r="3208" spans="1:28">
      <c r="A3208" s="3" t="s">
        <v>1622</v>
      </c>
      <c r="D3208" s="3" t="s">
        <v>6638</v>
      </c>
      <c r="E3208" s="3" t="s">
        <v>6639</v>
      </c>
      <c r="F3208" t="s">
        <v>3886</v>
      </c>
      <c r="J3208" s="9" t="s">
        <v>8731</v>
      </c>
      <c r="T3208" s="9" t="str">
        <f t="shared" ca="1" si="116"/>
        <v/>
      </c>
      <c r="U3208" s="9" t="str">
        <f t="shared" ca="1" si="117"/>
        <v/>
      </c>
      <c r="Y3208" s="9" t="s">
        <v>9282</v>
      </c>
      <c r="AA3208" s="9" t="s">
        <v>3884</v>
      </c>
    </row>
    <row r="3209" spans="1:28" ht="29">
      <c r="A3209" s="3" t="s">
        <v>1622</v>
      </c>
      <c r="D3209" s="3" t="s">
        <v>7644</v>
      </c>
      <c r="E3209" s="3" t="s">
        <v>6948</v>
      </c>
      <c r="F3209" t="s">
        <v>3932</v>
      </c>
      <c r="I3209" t="s">
        <v>6949</v>
      </c>
      <c r="T3209" s="9" t="str">
        <f t="shared" ca="1" si="116"/>
        <v/>
      </c>
      <c r="U3209" s="9" t="str">
        <f t="shared" ca="1" si="117"/>
        <v/>
      </c>
    </row>
    <row r="3210" spans="1:28">
      <c r="A3210" s="3" t="s">
        <v>1623</v>
      </c>
      <c r="D3210" s="3" t="s">
        <v>3684</v>
      </c>
      <c r="E3210" s="3" t="s">
        <v>3670</v>
      </c>
      <c r="F3210" t="s">
        <v>3886</v>
      </c>
      <c r="H3210" t="s">
        <v>3892</v>
      </c>
      <c r="I3210" t="s">
        <v>3584</v>
      </c>
      <c r="J3210" s="9" t="s">
        <v>8729</v>
      </c>
      <c r="S3210" s="9" t="s">
        <v>8739</v>
      </c>
      <c r="T3210" s="9" t="str">
        <f t="shared" ca="1" si="116"/>
        <v/>
      </c>
      <c r="U3210" s="9" t="str">
        <f t="shared" ca="1" si="117"/>
        <v/>
      </c>
      <c r="Z3210" s="9" t="s">
        <v>8741</v>
      </c>
      <c r="AA3210" s="9" t="s">
        <v>3884</v>
      </c>
      <c r="AB3210" s="9" t="s">
        <v>8697</v>
      </c>
    </row>
    <row r="3211" spans="1:28">
      <c r="A3211" s="3" t="s">
        <v>1624</v>
      </c>
      <c r="D3211" s="3" t="s">
        <v>7645</v>
      </c>
      <c r="E3211" s="3" t="s">
        <v>7646</v>
      </c>
      <c r="J3211" s="9" t="s">
        <v>3885</v>
      </c>
      <c r="K3211" s="9">
        <v>1</v>
      </c>
      <c r="L3211" s="9">
        <v>2</v>
      </c>
      <c r="M3211" s="9" t="s">
        <v>8734</v>
      </c>
      <c r="N3211" s="9" t="s">
        <v>8730</v>
      </c>
      <c r="R3211" s="9" t="s">
        <v>8739</v>
      </c>
      <c r="T3211" s="9" t="str">
        <f t="shared" ca="1" si="116"/>
        <v/>
      </c>
      <c r="U3211" s="9" t="str">
        <f t="shared" ca="1" si="117"/>
        <v/>
      </c>
      <c r="AB3211" s="9" t="s">
        <v>8688</v>
      </c>
    </row>
    <row r="3212" spans="1:28">
      <c r="A3212" s="3" t="s">
        <v>1624</v>
      </c>
      <c r="D3212" s="3" t="s">
        <v>3671</v>
      </c>
      <c r="E3212" s="3" t="s">
        <v>3671</v>
      </c>
      <c r="F3212" t="s">
        <v>3932</v>
      </c>
      <c r="I3212" t="s">
        <v>2288</v>
      </c>
      <c r="T3212" s="9" t="str">
        <f t="shared" ca="1" si="116"/>
        <v/>
      </c>
      <c r="U3212" s="9" t="str">
        <f t="shared" ca="1" si="117"/>
        <v/>
      </c>
    </row>
    <row r="3213" spans="1:28">
      <c r="A3213" s="3" t="s">
        <v>1624</v>
      </c>
      <c r="D3213" s="3" t="s">
        <v>3672</v>
      </c>
      <c r="E3213" s="3" t="s">
        <v>2517</v>
      </c>
      <c r="F3213" t="s">
        <v>3881</v>
      </c>
      <c r="T3213" s="9" t="str">
        <f t="shared" ca="1" si="116"/>
        <v/>
      </c>
      <c r="U3213" s="9" t="str">
        <f t="shared" ca="1" si="117"/>
        <v/>
      </c>
    </row>
    <row r="3214" spans="1:28">
      <c r="A3214" s="3" t="s">
        <v>1624</v>
      </c>
      <c r="D3214" s="4" t="s">
        <v>9656</v>
      </c>
      <c r="E3214" s="3" t="s">
        <v>9657</v>
      </c>
      <c r="F3214" t="s">
        <v>3883</v>
      </c>
      <c r="T3214" s="9" t="str">
        <f t="shared" ca="1" si="116"/>
        <v/>
      </c>
      <c r="U3214" s="9" t="str">
        <f t="shared" ca="1" si="117"/>
        <v/>
      </c>
    </row>
    <row r="3215" spans="1:28">
      <c r="A3215" s="3" t="s">
        <v>1624</v>
      </c>
      <c r="D3215" s="3" t="s">
        <v>2622</v>
      </c>
      <c r="E3215" s="3" t="s">
        <v>2622</v>
      </c>
      <c r="F3215" t="s">
        <v>3932</v>
      </c>
      <c r="I3215" t="s">
        <v>3141</v>
      </c>
      <c r="T3215" s="9" t="str">
        <f t="shared" ca="1" si="116"/>
        <v/>
      </c>
      <c r="U3215" s="9" t="str">
        <f t="shared" ca="1" si="117"/>
        <v/>
      </c>
    </row>
    <row r="3216" spans="1:28">
      <c r="A3216" s="3" t="s">
        <v>1625</v>
      </c>
      <c r="D3216" s="3" t="s">
        <v>3141</v>
      </c>
      <c r="E3216" s="3" t="s">
        <v>3141</v>
      </c>
      <c r="F3216" t="s">
        <v>3932</v>
      </c>
      <c r="I3216" t="s">
        <v>2502</v>
      </c>
      <c r="T3216" s="9" t="str">
        <f t="shared" ca="1" si="116"/>
        <v/>
      </c>
      <c r="U3216" s="9" t="str">
        <f t="shared" ca="1" si="117"/>
        <v/>
      </c>
    </row>
    <row r="3217" spans="1:28">
      <c r="A3217" s="3" t="s">
        <v>1625</v>
      </c>
      <c r="D3217" s="3" t="s">
        <v>7647</v>
      </c>
      <c r="E3217" s="3" t="s">
        <v>7647</v>
      </c>
      <c r="F3217" t="s">
        <v>3932</v>
      </c>
      <c r="I3217" t="s">
        <v>7648</v>
      </c>
      <c r="T3217" s="9" t="str">
        <f t="shared" ca="1" si="116"/>
        <v/>
      </c>
      <c r="U3217" s="9" t="str">
        <f t="shared" ca="1" si="117"/>
        <v/>
      </c>
    </row>
    <row r="3218" spans="1:28">
      <c r="A3218" s="3" t="s">
        <v>1625</v>
      </c>
      <c r="D3218" s="3" t="s">
        <v>7649</v>
      </c>
      <c r="E3218" s="3" t="s">
        <v>7650</v>
      </c>
      <c r="H3218" t="s">
        <v>3884</v>
      </c>
      <c r="J3218" s="9" t="s">
        <v>8732</v>
      </c>
      <c r="S3218" s="9">
        <f>92-92</f>
        <v>0</v>
      </c>
      <c r="T3218" s="9">
        <f t="shared" ca="1" si="116"/>
        <v>92</v>
      </c>
      <c r="U3218" s="9">
        <f t="shared" ca="1" si="117"/>
        <v>92</v>
      </c>
    </row>
    <row r="3219" spans="1:28">
      <c r="A3219" s="3" t="s">
        <v>1626</v>
      </c>
      <c r="D3219" s="3" t="s">
        <v>3591</v>
      </c>
      <c r="E3219" s="3" t="s">
        <v>3673</v>
      </c>
      <c r="H3219" t="s">
        <v>3884</v>
      </c>
      <c r="J3219" s="9" t="s">
        <v>8729</v>
      </c>
      <c r="Q3219" s="9" t="s">
        <v>8685</v>
      </c>
      <c r="S3219" s="9" t="s">
        <v>8739</v>
      </c>
      <c r="T3219" s="9" t="str">
        <f t="shared" ca="1" si="116"/>
        <v/>
      </c>
      <c r="U3219" s="9" t="str">
        <f t="shared" ca="1" si="117"/>
        <v/>
      </c>
      <c r="AB3219" s="9" t="s">
        <v>8688</v>
      </c>
    </row>
    <row r="3220" spans="1:28" ht="29">
      <c r="A3220" s="3" t="s">
        <v>1626</v>
      </c>
      <c r="D3220" s="3" t="s">
        <v>7651</v>
      </c>
      <c r="E3220" s="3" t="s">
        <v>7652</v>
      </c>
      <c r="J3220" s="9" t="s">
        <v>8731</v>
      </c>
      <c r="T3220" s="9" t="str">
        <f t="shared" ca="1" si="116"/>
        <v/>
      </c>
      <c r="U3220" s="9" t="str">
        <f t="shared" ca="1" si="117"/>
        <v/>
      </c>
      <c r="Z3220" s="9" t="s">
        <v>8885</v>
      </c>
      <c r="AA3220" s="9" t="s">
        <v>3884</v>
      </c>
      <c r="AB3220" s="9" t="s">
        <v>8688</v>
      </c>
    </row>
    <row r="3221" spans="1:28">
      <c r="A3221" s="3" t="s">
        <v>1626</v>
      </c>
      <c r="D3221" s="3" t="s">
        <v>7653</v>
      </c>
      <c r="E3221" s="3" t="s">
        <v>7654</v>
      </c>
      <c r="J3221" s="9" t="s">
        <v>8729</v>
      </c>
      <c r="S3221" s="9">
        <f>24-18</f>
        <v>6</v>
      </c>
      <c r="T3221" s="9">
        <f t="shared" ca="1" si="116"/>
        <v>18</v>
      </c>
      <c r="U3221" s="9">
        <f t="shared" ca="1" si="117"/>
        <v>24</v>
      </c>
    </row>
    <row r="3222" spans="1:28">
      <c r="A3222" s="3" t="s">
        <v>1627</v>
      </c>
      <c r="D3222" s="3" t="s">
        <v>3533</v>
      </c>
      <c r="E3222" s="3" t="s">
        <v>3534</v>
      </c>
      <c r="J3222" s="9" t="s">
        <v>8729</v>
      </c>
      <c r="S3222" s="9" t="s">
        <v>8739</v>
      </c>
      <c r="T3222" s="9" t="str">
        <f t="shared" ca="1" si="116"/>
        <v/>
      </c>
      <c r="U3222" s="9" t="str">
        <f t="shared" ca="1" si="117"/>
        <v/>
      </c>
      <c r="Y3222" s="9" t="s">
        <v>8735</v>
      </c>
      <c r="Z3222" s="9" t="s">
        <v>8742</v>
      </c>
      <c r="AA3222" s="9" t="s">
        <v>3884</v>
      </c>
    </row>
    <row r="3223" spans="1:28" ht="29">
      <c r="A3223" s="3" t="s">
        <v>1627</v>
      </c>
      <c r="D3223" s="3" t="s">
        <v>9142</v>
      </c>
      <c r="E3223" s="3" t="s">
        <v>9143</v>
      </c>
      <c r="I3223" t="s">
        <v>9261</v>
      </c>
      <c r="J3223" s="9" t="s">
        <v>8731</v>
      </c>
      <c r="T3223" s="9" t="str">
        <f t="shared" ca="1" si="116"/>
        <v/>
      </c>
      <c r="U3223" s="9" t="str">
        <f t="shared" ca="1" si="117"/>
        <v/>
      </c>
      <c r="V3223" s="9" t="s">
        <v>8728</v>
      </c>
    </row>
    <row r="3224" spans="1:28" ht="29">
      <c r="A3224" s="3" t="s">
        <v>1627</v>
      </c>
      <c r="D3224" s="3" t="s">
        <v>7655</v>
      </c>
      <c r="E3224" s="3" t="s">
        <v>9144</v>
      </c>
      <c r="H3224" t="s">
        <v>3884</v>
      </c>
      <c r="J3224" s="9" t="s">
        <v>3885</v>
      </c>
      <c r="K3224" s="9">
        <v>1</v>
      </c>
      <c r="L3224" s="9">
        <v>2</v>
      </c>
      <c r="M3224" s="9" t="s">
        <v>8707</v>
      </c>
      <c r="N3224" s="9" t="s">
        <v>8730</v>
      </c>
      <c r="R3224" s="9">
        <v>519</v>
      </c>
      <c r="T3224" s="9" t="str">
        <f t="shared" ca="1" si="116"/>
        <v/>
      </c>
      <c r="U3224" s="9" t="str">
        <f t="shared" ca="1" si="117"/>
        <v/>
      </c>
      <c r="AB3224" s="9" t="s">
        <v>8694</v>
      </c>
    </row>
    <row r="3225" spans="1:28">
      <c r="A3225" s="3" t="s">
        <v>1628</v>
      </c>
      <c r="D3225" s="4" t="s">
        <v>7656</v>
      </c>
      <c r="E3225" s="3" t="s">
        <v>7657</v>
      </c>
      <c r="F3225" t="s">
        <v>3883</v>
      </c>
      <c r="T3225" s="9" t="str">
        <f t="shared" ca="1" si="116"/>
        <v/>
      </c>
      <c r="U3225" s="9" t="str">
        <f t="shared" ca="1" si="117"/>
        <v/>
      </c>
    </row>
    <row r="3226" spans="1:28">
      <c r="A3226" s="3" t="s">
        <v>1628</v>
      </c>
      <c r="D3226" s="4" t="s">
        <v>3590</v>
      </c>
      <c r="E3226" s="3" t="s">
        <v>3591</v>
      </c>
      <c r="F3226" t="s">
        <v>3883</v>
      </c>
      <c r="T3226" s="9" t="str">
        <f t="shared" ca="1" si="116"/>
        <v/>
      </c>
      <c r="U3226" s="9" t="str">
        <f t="shared" ca="1" si="117"/>
        <v/>
      </c>
    </row>
    <row r="3227" spans="1:28">
      <c r="A3227" s="3" t="s">
        <v>1628</v>
      </c>
      <c r="D3227" s="3" t="s">
        <v>7653</v>
      </c>
      <c r="E3227" s="3" t="s">
        <v>7654</v>
      </c>
      <c r="J3227" s="9" t="s">
        <v>8729</v>
      </c>
      <c r="S3227" s="9">
        <f>24-18</f>
        <v>6</v>
      </c>
      <c r="T3227" s="9">
        <f t="shared" ca="1" si="116"/>
        <v>18</v>
      </c>
      <c r="U3227" s="9">
        <f t="shared" ca="1" si="117"/>
        <v>24</v>
      </c>
    </row>
    <row r="3228" spans="1:28">
      <c r="A3228" s="3" t="s">
        <v>1629</v>
      </c>
      <c r="D3228" s="3" t="s">
        <v>3676</v>
      </c>
      <c r="E3228" s="3" t="s">
        <v>3677</v>
      </c>
      <c r="H3228" t="s">
        <v>3892</v>
      </c>
      <c r="I3228" t="s">
        <v>7658</v>
      </c>
      <c r="J3228" s="9" t="s">
        <v>8731</v>
      </c>
      <c r="T3228" s="9" t="str">
        <f t="shared" ca="1" si="116"/>
        <v/>
      </c>
      <c r="U3228" s="9" t="str">
        <f t="shared" ca="1" si="117"/>
        <v/>
      </c>
      <c r="Z3228" s="9" t="s">
        <v>8804</v>
      </c>
      <c r="AA3228" s="9" t="s">
        <v>3884</v>
      </c>
      <c r="AB3228" s="9" t="s">
        <v>8697</v>
      </c>
    </row>
    <row r="3229" spans="1:28">
      <c r="A3229" s="3" t="s">
        <v>1630</v>
      </c>
      <c r="D3229" s="3" t="s">
        <v>3678</v>
      </c>
      <c r="E3229" s="3" t="s">
        <v>3679</v>
      </c>
      <c r="J3229" s="9" t="s">
        <v>8731</v>
      </c>
      <c r="T3229" s="9" t="str">
        <f t="shared" ca="1" si="116"/>
        <v/>
      </c>
      <c r="U3229" s="9" t="str">
        <f t="shared" ca="1" si="117"/>
        <v/>
      </c>
      <c r="Z3229" s="9" t="s">
        <v>9279</v>
      </c>
      <c r="AA3229" s="9" t="s">
        <v>3884</v>
      </c>
    </row>
    <row r="3230" spans="1:28">
      <c r="A3230" s="3" t="s">
        <v>1630</v>
      </c>
      <c r="D3230" s="4" t="s">
        <v>3590</v>
      </c>
      <c r="E3230" s="3" t="s">
        <v>3591</v>
      </c>
      <c r="F3230" t="s">
        <v>3883</v>
      </c>
      <c r="T3230" s="9" t="str">
        <f t="shared" ca="1" si="116"/>
        <v/>
      </c>
      <c r="U3230" s="9" t="str">
        <f t="shared" ca="1" si="117"/>
        <v/>
      </c>
    </row>
    <row r="3231" spans="1:28">
      <c r="A3231" s="3" t="s">
        <v>1631</v>
      </c>
      <c r="D3231" s="3" t="s">
        <v>3680</v>
      </c>
      <c r="E3231" s="3" t="s">
        <v>3681</v>
      </c>
      <c r="F3231" t="s">
        <v>3881</v>
      </c>
      <c r="T3231" s="9" t="str">
        <f t="shared" ca="1" si="116"/>
        <v/>
      </c>
      <c r="U3231" s="9" t="str">
        <f t="shared" ca="1" si="117"/>
        <v/>
      </c>
    </row>
    <row r="3232" spans="1:28">
      <c r="A3232" s="3" t="s">
        <v>1632</v>
      </c>
      <c r="D3232" s="3" t="s">
        <v>7659</v>
      </c>
      <c r="E3232" s="3" t="s">
        <v>7660</v>
      </c>
      <c r="H3232" t="s">
        <v>3884</v>
      </c>
      <c r="J3232" s="9" t="s">
        <v>8731</v>
      </c>
      <c r="T3232" s="9" t="str">
        <f t="shared" ca="1" si="116"/>
        <v/>
      </c>
      <c r="U3232" s="9" t="str">
        <f t="shared" ca="1" si="117"/>
        <v/>
      </c>
      <c r="AB3232" s="9" t="s">
        <v>8688</v>
      </c>
    </row>
    <row r="3233" spans="1:28">
      <c r="A3233" s="3" t="s">
        <v>1632</v>
      </c>
      <c r="D3233" s="3" t="s">
        <v>3682</v>
      </c>
      <c r="E3233" s="3" t="s">
        <v>3683</v>
      </c>
      <c r="J3233" s="9" t="s">
        <v>8731</v>
      </c>
      <c r="T3233" s="9" t="str">
        <f t="shared" ca="1" si="116"/>
        <v/>
      </c>
      <c r="U3233" s="9" t="str">
        <f t="shared" ca="1" si="117"/>
        <v/>
      </c>
      <c r="Z3233" s="9" t="s">
        <v>9279</v>
      </c>
      <c r="AA3233" s="9" t="s">
        <v>3884</v>
      </c>
    </row>
    <row r="3234" spans="1:28">
      <c r="A3234" s="3" t="s">
        <v>1632</v>
      </c>
      <c r="D3234" s="3" t="s">
        <v>3684</v>
      </c>
      <c r="E3234" s="3" t="s">
        <v>3585</v>
      </c>
      <c r="H3234" t="s">
        <v>3892</v>
      </c>
      <c r="I3234" t="s">
        <v>3584</v>
      </c>
      <c r="J3234" s="9" t="s">
        <v>8732</v>
      </c>
      <c r="S3234" s="9" t="s">
        <v>8739</v>
      </c>
      <c r="T3234" s="9" t="str">
        <f t="shared" ca="1" si="116"/>
        <v/>
      </c>
      <c r="U3234" s="9" t="str">
        <f t="shared" ca="1" si="117"/>
        <v/>
      </c>
      <c r="Z3234" s="9" t="s">
        <v>8741</v>
      </c>
      <c r="AA3234" s="9" t="s">
        <v>3891</v>
      </c>
      <c r="AB3234" s="9" t="s">
        <v>8688</v>
      </c>
    </row>
    <row r="3235" spans="1:28">
      <c r="A3235" s="3" t="s">
        <v>1633</v>
      </c>
      <c r="D3235" s="3" t="s">
        <v>7661</v>
      </c>
      <c r="E3235" s="3" t="s">
        <v>7662</v>
      </c>
      <c r="F3235" t="s">
        <v>3932</v>
      </c>
      <c r="I3235" t="s">
        <v>2063</v>
      </c>
      <c r="T3235" s="9" t="str">
        <f t="shared" ca="1" si="116"/>
        <v/>
      </c>
      <c r="U3235" s="9" t="str">
        <f t="shared" ca="1" si="117"/>
        <v/>
      </c>
    </row>
    <row r="3236" spans="1:28">
      <c r="A3236" s="3" t="s">
        <v>1633</v>
      </c>
      <c r="D3236" s="3" t="s">
        <v>7663</v>
      </c>
      <c r="E3236" s="3" t="s">
        <v>7664</v>
      </c>
      <c r="J3236" s="9" t="s">
        <v>8731</v>
      </c>
      <c r="T3236" s="9" t="str">
        <f t="shared" ca="1" si="116"/>
        <v/>
      </c>
      <c r="U3236" s="9" t="str">
        <f t="shared" ca="1" si="117"/>
        <v/>
      </c>
      <c r="Z3236" s="9" t="s">
        <v>8741</v>
      </c>
      <c r="AA3236" s="9" t="s">
        <v>3884</v>
      </c>
    </row>
    <row r="3237" spans="1:28" ht="29">
      <c r="A3237" s="3" t="s">
        <v>1633</v>
      </c>
      <c r="D3237" s="3" t="s">
        <v>9145</v>
      </c>
      <c r="E3237" s="3" t="s">
        <v>9146</v>
      </c>
      <c r="J3237" s="9" t="s">
        <v>8731</v>
      </c>
      <c r="T3237" s="9" t="str">
        <f t="shared" ca="1" si="116"/>
        <v/>
      </c>
      <c r="U3237" s="9" t="str">
        <f t="shared" ca="1" si="117"/>
        <v/>
      </c>
    </row>
    <row r="3238" spans="1:28" ht="29">
      <c r="A3238" s="3" t="s">
        <v>1633</v>
      </c>
      <c r="D3238" s="3" t="s">
        <v>7665</v>
      </c>
      <c r="E3238" s="3" t="s">
        <v>9147</v>
      </c>
      <c r="H3238" t="s">
        <v>3884</v>
      </c>
      <c r="J3238" s="9" t="s">
        <v>3885</v>
      </c>
      <c r="K3238" s="9">
        <v>1</v>
      </c>
      <c r="L3238" s="9">
        <v>2</v>
      </c>
      <c r="M3238" s="9" t="s">
        <v>8689</v>
      </c>
      <c r="N3238" s="9" t="s">
        <v>8730</v>
      </c>
      <c r="R3238" s="9">
        <v>10929</v>
      </c>
      <c r="T3238" s="9" t="str">
        <f t="shared" ca="1" si="116"/>
        <v/>
      </c>
      <c r="U3238" s="9" t="str">
        <f t="shared" ca="1" si="117"/>
        <v/>
      </c>
      <c r="AB3238" s="9" t="s">
        <v>8694</v>
      </c>
    </row>
    <row r="3239" spans="1:28">
      <c r="A3239" s="3" t="s">
        <v>1633</v>
      </c>
      <c r="D3239" s="3" t="s">
        <v>7666</v>
      </c>
      <c r="E3239" s="3" t="s">
        <v>7667</v>
      </c>
      <c r="F3239" t="s">
        <v>3932</v>
      </c>
      <c r="I3239" t="s">
        <v>7668</v>
      </c>
      <c r="T3239" s="9" t="str">
        <f t="shared" ca="1" si="116"/>
        <v/>
      </c>
      <c r="U3239" s="9" t="str">
        <f t="shared" ca="1" si="117"/>
        <v/>
      </c>
    </row>
    <row r="3240" spans="1:28">
      <c r="A3240" s="3" t="s">
        <v>1634</v>
      </c>
      <c r="D3240" s="3" t="s">
        <v>3590</v>
      </c>
      <c r="E3240" s="3" t="s">
        <v>3591</v>
      </c>
      <c r="J3240" s="9" t="s">
        <v>8729</v>
      </c>
      <c r="S3240" s="9" t="s">
        <v>8739</v>
      </c>
      <c r="T3240" s="9" t="str">
        <f t="shared" ca="1" si="116"/>
        <v/>
      </c>
      <c r="U3240" s="9" t="str">
        <f t="shared" ca="1" si="117"/>
        <v/>
      </c>
      <c r="Y3240" s="9" t="s">
        <v>8735</v>
      </c>
      <c r="Z3240" s="9" t="s">
        <v>9280</v>
      </c>
      <c r="AA3240" s="9" t="s">
        <v>3884</v>
      </c>
    </row>
    <row r="3241" spans="1:28">
      <c r="A3241" s="3" t="s">
        <v>1635</v>
      </c>
      <c r="D3241" s="3" t="s">
        <v>7669</v>
      </c>
      <c r="E3241" s="3" t="s">
        <v>7670</v>
      </c>
      <c r="H3241" t="s">
        <v>3892</v>
      </c>
      <c r="I3241" t="s">
        <v>6784</v>
      </c>
      <c r="J3241" s="9" t="s">
        <v>8731</v>
      </c>
      <c r="T3241" s="9" t="str">
        <f t="shared" ca="1" si="116"/>
        <v/>
      </c>
      <c r="U3241" s="9" t="str">
        <f t="shared" ca="1" si="117"/>
        <v/>
      </c>
      <c r="Z3241" s="9" t="s">
        <v>8741</v>
      </c>
      <c r="AA3241" s="9" t="s">
        <v>3884</v>
      </c>
    </row>
    <row r="3242" spans="1:28">
      <c r="A3242" s="3" t="s">
        <v>1635</v>
      </c>
      <c r="D3242" s="3" t="s">
        <v>2175</v>
      </c>
      <c r="E3242" s="3" t="s">
        <v>2159</v>
      </c>
      <c r="H3242" t="s">
        <v>3884</v>
      </c>
      <c r="J3242" s="9" t="s">
        <v>8731</v>
      </c>
      <c r="T3242" s="9" t="str">
        <f t="shared" ca="1" si="116"/>
        <v/>
      </c>
      <c r="U3242" s="9" t="str">
        <f t="shared" ca="1" si="117"/>
        <v/>
      </c>
    </row>
    <row r="3243" spans="1:28">
      <c r="A3243" s="3" t="s">
        <v>1636</v>
      </c>
      <c r="D3243" s="3" t="s">
        <v>7671</v>
      </c>
      <c r="E3243" s="3" t="s">
        <v>7672</v>
      </c>
      <c r="J3243" s="9" t="s">
        <v>3889</v>
      </c>
      <c r="K3243" s="9">
        <v>1</v>
      </c>
      <c r="L3243" s="9">
        <v>2</v>
      </c>
      <c r="M3243" s="9" t="s">
        <v>8689</v>
      </c>
      <c r="N3243" s="9" t="s">
        <v>8730</v>
      </c>
      <c r="R3243" s="9">
        <v>10929</v>
      </c>
      <c r="T3243" s="9" t="str">
        <f t="shared" ca="1" si="116"/>
        <v/>
      </c>
      <c r="U3243" s="9" t="str">
        <f t="shared" ca="1" si="117"/>
        <v/>
      </c>
    </row>
    <row r="3244" spans="1:28">
      <c r="A3244" s="3" t="s">
        <v>1636</v>
      </c>
      <c r="D3244" s="3" t="s">
        <v>7673</v>
      </c>
      <c r="E3244" s="3" t="s">
        <v>7674</v>
      </c>
      <c r="H3244" t="s">
        <v>3884</v>
      </c>
      <c r="J3244" s="9" t="s">
        <v>3889</v>
      </c>
      <c r="K3244" s="9">
        <v>1</v>
      </c>
      <c r="L3244" s="9">
        <v>3</v>
      </c>
      <c r="M3244" s="9" t="s">
        <v>8689</v>
      </c>
      <c r="N3244" s="9" t="s">
        <v>8690</v>
      </c>
      <c r="R3244" s="9">
        <v>10929</v>
      </c>
      <c r="T3244" s="9" t="str">
        <f t="shared" ca="1" si="116"/>
        <v/>
      </c>
      <c r="U3244" s="9" t="str">
        <f t="shared" ca="1" si="117"/>
        <v/>
      </c>
    </row>
    <row r="3245" spans="1:28">
      <c r="A3245" s="3" t="s">
        <v>1636</v>
      </c>
      <c r="D3245" s="3" t="s">
        <v>9531</v>
      </c>
      <c r="E3245" s="3" t="s">
        <v>9532</v>
      </c>
      <c r="H3245" t="s">
        <v>3892</v>
      </c>
      <c r="I3245" t="s">
        <v>9709</v>
      </c>
      <c r="J3245" s="9" t="s">
        <v>8729</v>
      </c>
      <c r="S3245" s="9">
        <f>2-90</f>
        <v>-88</v>
      </c>
      <c r="T3245" s="9">
        <f t="shared" ca="1" si="116"/>
        <v>90</v>
      </c>
      <c r="U3245" s="9">
        <f t="shared" ca="1" si="117"/>
        <v>2</v>
      </c>
      <c r="AB3245" s="9" t="s">
        <v>8688</v>
      </c>
    </row>
    <row r="3246" spans="1:28">
      <c r="A3246" s="3" t="s">
        <v>1636</v>
      </c>
      <c r="D3246" s="3" t="s">
        <v>9533</v>
      </c>
      <c r="E3246" s="3" t="s">
        <v>9534</v>
      </c>
      <c r="F3246" t="s">
        <v>4196</v>
      </c>
      <c r="I3246" t="s">
        <v>9535</v>
      </c>
      <c r="J3246" s="9" t="s">
        <v>8731</v>
      </c>
    </row>
    <row r="3247" spans="1:28" ht="43.5">
      <c r="A3247" s="3" t="s">
        <v>1636</v>
      </c>
      <c r="D3247" s="3" t="s">
        <v>7675</v>
      </c>
      <c r="E3247" s="3" t="s">
        <v>7676</v>
      </c>
      <c r="H3247" t="s">
        <v>3892</v>
      </c>
      <c r="I3247" t="s">
        <v>7679</v>
      </c>
      <c r="J3247" s="9" t="s">
        <v>8729</v>
      </c>
      <c r="S3247" s="9">
        <f xml:space="preserve"> 0-18</f>
        <v>-18</v>
      </c>
      <c r="T3247" s="9">
        <f t="shared" ca="1" si="116"/>
        <v>18</v>
      </c>
      <c r="U3247" s="9">
        <f t="shared" ca="1" si="117"/>
        <v>0</v>
      </c>
      <c r="AB3247" s="9" t="s">
        <v>8700</v>
      </c>
    </row>
    <row r="3248" spans="1:28" ht="43.5">
      <c r="A3248" s="3" t="s">
        <v>1636</v>
      </c>
      <c r="D3248" s="3" t="s">
        <v>7677</v>
      </c>
      <c r="E3248" s="3" t="s">
        <v>7678</v>
      </c>
      <c r="F3248" t="s">
        <v>3893</v>
      </c>
      <c r="H3248" t="s">
        <v>3884</v>
      </c>
      <c r="T3248" s="9" t="str">
        <f t="shared" ca="1" si="116"/>
        <v/>
      </c>
      <c r="U3248" s="9" t="str">
        <f t="shared" ca="1" si="117"/>
        <v/>
      </c>
    </row>
    <row r="3249" spans="1:28">
      <c r="A3249" s="3" t="s">
        <v>1636</v>
      </c>
      <c r="D3249" s="3" t="s">
        <v>7680</v>
      </c>
      <c r="E3249" s="3" t="s">
        <v>7680</v>
      </c>
      <c r="F3249" t="s">
        <v>3932</v>
      </c>
      <c r="I3249" t="s">
        <v>7681</v>
      </c>
      <c r="T3249" s="9" t="str">
        <f t="shared" ca="1" si="116"/>
        <v/>
      </c>
      <c r="U3249" s="9" t="str">
        <f t="shared" ca="1" si="117"/>
        <v/>
      </c>
    </row>
    <row r="3250" spans="1:28">
      <c r="A3250" s="3" t="s">
        <v>1636</v>
      </c>
      <c r="D3250" s="3" t="s">
        <v>3685</v>
      </c>
      <c r="E3250" s="3" t="s">
        <v>3686</v>
      </c>
      <c r="J3250" s="9" t="s">
        <v>8731</v>
      </c>
      <c r="T3250" s="9" t="str">
        <f t="shared" ca="1" si="116"/>
        <v/>
      </c>
      <c r="U3250" s="9" t="str">
        <f t="shared" ca="1" si="117"/>
        <v/>
      </c>
      <c r="Z3250" s="9" t="s">
        <v>8757</v>
      </c>
      <c r="AA3250" s="9" t="s">
        <v>3884</v>
      </c>
    </row>
    <row r="3251" spans="1:28">
      <c r="A3251" s="3" t="s">
        <v>1637</v>
      </c>
      <c r="D3251" s="3" t="s">
        <v>2332</v>
      </c>
      <c r="E3251" s="3" t="s">
        <v>2221</v>
      </c>
      <c r="J3251" s="9" t="s">
        <v>8731</v>
      </c>
      <c r="T3251" s="9" t="str">
        <f t="shared" ca="1" si="116"/>
        <v/>
      </c>
      <c r="U3251" s="9" t="str">
        <f t="shared" ca="1" si="117"/>
        <v/>
      </c>
    </row>
    <row r="3252" spans="1:28">
      <c r="A3252" s="3" t="s">
        <v>1637</v>
      </c>
      <c r="D3252" s="3" t="s">
        <v>7682</v>
      </c>
      <c r="E3252" s="3" t="s">
        <v>7683</v>
      </c>
      <c r="H3252" t="s">
        <v>3884</v>
      </c>
      <c r="J3252" s="9" t="s">
        <v>3885</v>
      </c>
      <c r="K3252" s="9">
        <v>1</v>
      </c>
      <c r="L3252" s="9">
        <v>2</v>
      </c>
      <c r="M3252" s="9" t="s">
        <v>8707</v>
      </c>
      <c r="N3252" s="9" t="s">
        <v>8730</v>
      </c>
      <c r="R3252" s="9">
        <v>519</v>
      </c>
      <c r="T3252" s="9" t="str">
        <f t="shared" ca="1" si="116"/>
        <v/>
      </c>
      <c r="U3252" s="9" t="str">
        <f t="shared" ca="1" si="117"/>
        <v/>
      </c>
      <c r="AB3252" s="9" t="s">
        <v>8694</v>
      </c>
    </row>
    <row r="3253" spans="1:28">
      <c r="A3253" s="3" t="s">
        <v>1638</v>
      </c>
      <c r="D3253" s="3" t="s">
        <v>7684</v>
      </c>
      <c r="E3253" s="3" t="s">
        <v>7685</v>
      </c>
      <c r="H3253" t="s">
        <v>3892</v>
      </c>
      <c r="I3253" t="s">
        <v>7686</v>
      </c>
      <c r="J3253" s="9" t="s">
        <v>3885</v>
      </c>
      <c r="K3253" s="9">
        <v>1</v>
      </c>
      <c r="L3253" s="9">
        <v>1</v>
      </c>
      <c r="M3253" s="9" t="s">
        <v>8695</v>
      </c>
      <c r="N3253" s="9" t="s">
        <v>8730</v>
      </c>
      <c r="R3253" s="9">
        <v>10</v>
      </c>
      <c r="T3253" s="9" t="str">
        <f t="shared" ca="1" si="116"/>
        <v/>
      </c>
      <c r="U3253" s="9" t="str">
        <f t="shared" ca="1" si="117"/>
        <v/>
      </c>
    </row>
    <row r="3254" spans="1:28">
      <c r="A3254" s="3" t="s">
        <v>1638</v>
      </c>
      <c r="D3254" s="3" t="s">
        <v>3425</v>
      </c>
      <c r="E3254" s="3" t="s">
        <v>2228</v>
      </c>
      <c r="J3254" s="9" t="s">
        <v>8731</v>
      </c>
      <c r="T3254" s="9" t="str">
        <f t="shared" ca="1" si="116"/>
        <v/>
      </c>
      <c r="U3254" s="9" t="str">
        <f t="shared" ca="1" si="117"/>
        <v/>
      </c>
      <c r="Z3254" s="9" t="s">
        <v>8757</v>
      </c>
      <c r="AA3254" s="9" t="s">
        <v>3884</v>
      </c>
      <c r="AB3254" s="9" t="s">
        <v>8697</v>
      </c>
    </row>
    <row r="3255" spans="1:28">
      <c r="A3255" s="3" t="s">
        <v>1639</v>
      </c>
      <c r="D3255" s="3" t="s">
        <v>2502</v>
      </c>
      <c r="E3255" s="3" t="s">
        <v>2629</v>
      </c>
      <c r="J3255" s="9" t="s">
        <v>8731</v>
      </c>
      <c r="T3255" s="9" t="str">
        <f t="shared" ca="1" si="116"/>
        <v/>
      </c>
      <c r="U3255" s="9" t="str">
        <f t="shared" ca="1" si="117"/>
        <v/>
      </c>
    </row>
    <row r="3256" spans="1:28">
      <c r="A3256" s="3" t="s">
        <v>1639</v>
      </c>
      <c r="D3256" s="3" t="s">
        <v>3687</v>
      </c>
      <c r="E3256" s="3" t="s">
        <v>3688</v>
      </c>
      <c r="J3256" s="9" t="s">
        <v>8731</v>
      </c>
      <c r="T3256" s="9" t="str">
        <f t="shared" ca="1" si="116"/>
        <v/>
      </c>
      <c r="U3256" s="9" t="str">
        <f t="shared" ca="1" si="117"/>
        <v/>
      </c>
      <c r="Z3256" s="9" t="s">
        <v>8741</v>
      </c>
      <c r="AA3256" s="9" t="s">
        <v>3884</v>
      </c>
      <c r="AB3256" s="9" t="s">
        <v>8697</v>
      </c>
    </row>
    <row r="3257" spans="1:28">
      <c r="A3257" s="3" t="s">
        <v>1639</v>
      </c>
      <c r="D3257" s="3" t="s">
        <v>1995</v>
      </c>
      <c r="E3257" s="3" t="s">
        <v>2159</v>
      </c>
      <c r="H3257" t="s">
        <v>3892</v>
      </c>
      <c r="I3257" t="s">
        <v>2175</v>
      </c>
      <c r="J3257" s="9" t="s">
        <v>8731</v>
      </c>
      <c r="T3257" s="9" t="str">
        <f t="shared" ca="1" si="116"/>
        <v/>
      </c>
      <c r="U3257" s="9" t="str">
        <f t="shared" ca="1" si="117"/>
        <v/>
      </c>
    </row>
    <row r="3258" spans="1:28" ht="29">
      <c r="A3258" s="3" t="s">
        <v>1640</v>
      </c>
      <c r="D3258" s="3" t="s">
        <v>7687</v>
      </c>
      <c r="E3258" s="3" t="s">
        <v>7688</v>
      </c>
      <c r="F3258" t="s">
        <v>3932</v>
      </c>
      <c r="I3258" t="s">
        <v>1939</v>
      </c>
      <c r="T3258" s="9" t="str">
        <f t="shared" ca="1" si="116"/>
        <v/>
      </c>
      <c r="U3258" s="9" t="str">
        <f t="shared" ca="1" si="117"/>
        <v/>
      </c>
    </row>
    <row r="3259" spans="1:28" ht="29">
      <c r="A3259" s="3" t="s">
        <v>1640</v>
      </c>
      <c r="D3259" s="3" t="s">
        <v>7689</v>
      </c>
      <c r="E3259" s="3" t="s">
        <v>7690</v>
      </c>
      <c r="H3259" t="s">
        <v>3892</v>
      </c>
      <c r="I3259" t="s">
        <v>2421</v>
      </c>
      <c r="J3259" s="9" t="s">
        <v>8729</v>
      </c>
      <c r="S3259" s="9">
        <f>340-187</f>
        <v>153</v>
      </c>
      <c r="T3259" s="9">
        <f t="shared" ca="1" si="116"/>
        <v>187</v>
      </c>
      <c r="U3259" s="9">
        <f t="shared" ca="1" si="117"/>
        <v>340</v>
      </c>
    </row>
    <row r="3260" spans="1:28">
      <c r="A3260" s="3" t="s">
        <v>1640</v>
      </c>
      <c r="D3260" s="3" t="s">
        <v>2845</v>
      </c>
      <c r="E3260" s="3" t="s">
        <v>2845</v>
      </c>
      <c r="F3260" t="s">
        <v>3932</v>
      </c>
      <c r="I3260" t="s">
        <v>3058</v>
      </c>
      <c r="T3260" s="9" t="str">
        <f t="shared" ca="1" si="116"/>
        <v/>
      </c>
      <c r="U3260" s="9" t="str">
        <f t="shared" ca="1" si="117"/>
        <v/>
      </c>
    </row>
    <row r="3261" spans="1:28">
      <c r="A3261" s="3" t="s">
        <v>1641</v>
      </c>
      <c r="D3261" s="3" t="s">
        <v>3596</v>
      </c>
      <c r="E3261" s="3" t="s">
        <v>3600</v>
      </c>
      <c r="J3261" s="9" t="s">
        <v>8729</v>
      </c>
      <c r="S3261" s="9" t="s">
        <v>8739</v>
      </c>
      <c r="T3261" s="9" t="str">
        <f t="shared" ca="1" si="116"/>
        <v/>
      </c>
      <c r="U3261" s="9" t="str">
        <f t="shared" ca="1" si="117"/>
        <v/>
      </c>
      <c r="Y3261" s="9" t="s">
        <v>8735</v>
      </c>
      <c r="Z3261" s="9" t="s">
        <v>8741</v>
      </c>
      <c r="AA3261" s="9" t="s">
        <v>3884</v>
      </c>
    </row>
    <row r="3262" spans="1:28" ht="29">
      <c r="A3262" s="3" t="s">
        <v>1642</v>
      </c>
      <c r="D3262" s="3" t="s">
        <v>7691</v>
      </c>
      <c r="E3262" s="4" t="s">
        <v>7692</v>
      </c>
      <c r="F3262" t="s">
        <v>3897</v>
      </c>
      <c r="T3262" s="9" t="str">
        <f t="shared" ca="1" si="116"/>
        <v/>
      </c>
      <c r="U3262" s="9" t="str">
        <f t="shared" ca="1" si="117"/>
        <v/>
      </c>
    </row>
    <row r="3263" spans="1:28">
      <c r="A3263" s="3" t="s">
        <v>1643</v>
      </c>
      <c r="D3263" s="4" t="s">
        <v>7693</v>
      </c>
      <c r="E3263" s="3" t="s">
        <v>7694</v>
      </c>
      <c r="F3263" t="s">
        <v>3883</v>
      </c>
      <c r="T3263" s="9" t="str">
        <f t="shared" ca="1" si="116"/>
        <v/>
      </c>
      <c r="U3263" s="9" t="str">
        <f t="shared" ca="1" si="117"/>
        <v/>
      </c>
    </row>
    <row r="3264" spans="1:28">
      <c r="A3264" s="3" t="s">
        <v>1644</v>
      </c>
      <c r="D3264" s="3" t="s">
        <v>7695</v>
      </c>
      <c r="E3264" s="3" t="s">
        <v>7695</v>
      </c>
      <c r="F3264" t="s">
        <v>3932</v>
      </c>
      <c r="I3264" t="s">
        <v>7696</v>
      </c>
      <c r="T3264" s="9" t="str">
        <f t="shared" ca="1" si="116"/>
        <v/>
      </c>
      <c r="U3264" s="9" t="str">
        <f t="shared" ca="1" si="117"/>
        <v/>
      </c>
    </row>
    <row r="3265" spans="1:28">
      <c r="A3265" s="3" t="s">
        <v>1644</v>
      </c>
      <c r="D3265" s="3" t="s">
        <v>3689</v>
      </c>
      <c r="E3265" s="3" t="s">
        <v>3690</v>
      </c>
      <c r="F3265" t="s">
        <v>3893</v>
      </c>
      <c r="T3265" s="9" t="str">
        <f t="shared" ca="1" si="116"/>
        <v/>
      </c>
      <c r="U3265" s="9" t="str">
        <f t="shared" ca="1" si="117"/>
        <v/>
      </c>
    </row>
    <row r="3266" spans="1:28">
      <c r="A3266" s="3" t="s">
        <v>1644</v>
      </c>
      <c r="D3266" s="4" t="s">
        <v>2396</v>
      </c>
      <c r="E3266" s="3" t="s">
        <v>2359</v>
      </c>
      <c r="F3266" t="s">
        <v>3883</v>
      </c>
      <c r="T3266" s="9" t="str">
        <f t="shared" ca="1" si="116"/>
        <v/>
      </c>
      <c r="U3266" s="9" t="str">
        <f t="shared" ca="1" si="117"/>
        <v/>
      </c>
    </row>
    <row r="3267" spans="1:28">
      <c r="A3267" s="3" t="s">
        <v>1644</v>
      </c>
      <c r="D3267" s="3" t="s">
        <v>7697</v>
      </c>
      <c r="E3267" s="3" t="s">
        <v>7697</v>
      </c>
      <c r="F3267" t="s">
        <v>3932</v>
      </c>
      <c r="I3267" t="s">
        <v>7698</v>
      </c>
      <c r="T3267" s="9" t="str">
        <f t="shared" ref="T3267:T3330" ca="1" si="118">IF(ISNUMBER(S3267),VALUE(MID(_xlfn.FORMULATEXT(S3267),SEARCH("-",_xlfn.FORMULATEXT(S3267))+1,LEN(_xlfn.FORMULATEXT(S3267))-SEARCH("-",_xlfn.FORMULATEXT(S3267)))), "")</f>
        <v/>
      </c>
      <c r="U3267" s="9" t="str">
        <f t="shared" ref="U3267:U3330" ca="1" si="119">IF(ISNUMBER(S3267), VALUE(MID(_xlfn.FORMULATEXT(S3267), 2, SEARCH("-", _xlfn.FORMULATEXT(S3267)) - 2)), "")</f>
        <v/>
      </c>
    </row>
    <row r="3268" spans="1:28">
      <c r="A3268" s="3" t="s">
        <v>1645</v>
      </c>
      <c r="D3268" s="3" t="s">
        <v>3617</v>
      </c>
      <c r="E3268" s="3" t="s">
        <v>3617</v>
      </c>
      <c r="F3268" t="s">
        <v>3932</v>
      </c>
      <c r="I3268" t="s">
        <v>3601</v>
      </c>
      <c r="T3268" s="9" t="str">
        <f t="shared" ca="1" si="118"/>
        <v/>
      </c>
      <c r="U3268" s="9" t="str">
        <f t="shared" ca="1" si="119"/>
        <v/>
      </c>
    </row>
    <row r="3269" spans="1:28">
      <c r="A3269" s="3" t="s">
        <v>1646</v>
      </c>
      <c r="D3269" s="3" t="s">
        <v>7699</v>
      </c>
      <c r="E3269" s="3" t="s">
        <v>7700</v>
      </c>
      <c r="H3269" t="s">
        <v>3884</v>
      </c>
      <c r="I3269" t="s">
        <v>9710</v>
      </c>
      <c r="J3269" s="9" t="s">
        <v>8729</v>
      </c>
      <c r="S3269" s="9">
        <f>627-2</f>
        <v>625</v>
      </c>
      <c r="T3269" s="9">
        <f t="shared" ca="1" si="118"/>
        <v>2</v>
      </c>
      <c r="U3269" s="9">
        <f t="shared" ca="1" si="119"/>
        <v>627</v>
      </c>
    </row>
    <row r="3270" spans="1:28">
      <c r="A3270" s="3" t="s">
        <v>1646</v>
      </c>
      <c r="D3270" s="3" t="s">
        <v>7701</v>
      </c>
      <c r="E3270" s="3" t="s">
        <v>7702</v>
      </c>
      <c r="H3270" t="s">
        <v>3884</v>
      </c>
      <c r="J3270" s="9" t="s">
        <v>8731</v>
      </c>
      <c r="T3270" s="9" t="str">
        <f t="shared" ca="1" si="118"/>
        <v/>
      </c>
      <c r="U3270" s="9" t="str">
        <f t="shared" ca="1" si="119"/>
        <v/>
      </c>
      <c r="AB3270" s="9" t="s">
        <v>8694</v>
      </c>
    </row>
    <row r="3271" spans="1:28">
      <c r="A3271" s="3" t="s">
        <v>1647</v>
      </c>
      <c r="D3271" s="4" t="s">
        <v>7703</v>
      </c>
      <c r="E3271" s="3" t="s">
        <v>7704</v>
      </c>
      <c r="F3271" t="s">
        <v>3883</v>
      </c>
      <c r="T3271" s="9" t="str">
        <f t="shared" ca="1" si="118"/>
        <v/>
      </c>
      <c r="U3271" s="9" t="str">
        <f t="shared" ca="1" si="119"/>
        <v/>
      </c>
    </row>
    <row r="3272" spans="1:28">
      <c r="A3272" s="3" t="s">
        <v>1647</v>
      </c>
      <c r="D3272" s="3" t="s">
        <v>7705</v>
      </c>
      <c r="E3272" s="3" t="s">
        <v>7706</v>
      </c>
      <c r="H3272" t="s">
        <v>3884</v>
      </c>
      <c r="I3272" t="s">
        <v>9262</v>
      </c>
      <c r="J3272" s="9" t="s">
        <v>3889</v>
      </c>
      <c r="K3272" s="9">
        <v>1</v>
      </c>
      <c r="L3272" s="9">
        <v>2</v>
      </c>
      <c r="M3272" s="9" t="s">
        <v>8703</v>
      </c>
      <c r="N3272" s="9" t="s">
        <v>8730</v>
      </c>
      <c r="R3272" s="9">
        <v>1225</v>
      </c>
      <c r="T3272" s="9" t="str">
        <f t="shared" ca="1" si="118"/>
        <v/>
      </c>
      <c r="U3272" s="9" t="str">
        <f t="shared" ca="1" si="119"/>
        <v/>
      </c>
      <c r="V3272" s="9" t="s">
        <v>8728</v>
      </c>
    </row>
    <row r="3273" spans="1:28">
      <c r="A3273" s="3" t="s">
        <v>1647</v>
      </c>
      <c r="D3273" s="3" t="s">
        <v>3691</v>
      </c>
      <c r="E3273" s="3" t="s">
        <v>3691</v>
      </c>
      <c r="F3273" t="s">
        <v>3932</v>
      </c>
      <c r="I3273" t="s">
        <v>7707</v>
      </c>
      <c r="T3273" s="9" t="str">
        <f t="shared" ca="1" si="118"/>
        <v/>
      </c>
      <c r="U3273" s="9" t="str">
        <f t="shared" ca="1" si="119"/>
        <v/>
      </c>
    </row>
    <row r="3274" spans="1:28">
      <c r="A3274" s="3" t="s">
        <v>1648</v>
      </c>
      <c r="D3274" s="3" t="s">
        <v>9536</v>
      </c>
      <c r="E3274" s="3" t="s">
        <v>9537</v>
      </c>
      <c r="J3274" s="9" t="s">
        <v>8729</v>
      </c>
      <c r="S3274" s="9">
        <f>22-4</f>
        <v>18</v>
      </c>
      <c r="T3274" s="9">
        <f t="shared" ca="1" si="118"/>
        <v>4</v>
      </c>
      <c r="U3274" s="9">
        <f t="shared" ca="1" si="119"/>
        <v>22</v>
      </c>
      <c r="Z3274" s="9" t="s">
        <v>8757</v>
      </c>
      <c r="AA3274" s="9" t="s">
        <v>3884</v>
      </c>
      <c r="AB3274" s="9" t="s">
        <v>8700</v>
      </c>
    </row>
    <row r="3275" spans="1:28">
      <c r="A3275" s="3" t="s">
        <v>1648</v>
      </c>
      <c r="D3275" s="3" t="s">
        <v>7708</v>
      </c>
      <c r="E3275" s="3" t="s">
        <v>7709</v>
      </c>
      <c r="J3275" s="9" t="s">
        <v>8729</v>
      </c>
      <c r="S3275" s="9" t="s">
        <v>8739</v>
      </c>
      <c r="T3275" s="9" t="str">
        <f t="shared" ca="1" si="118"/>
        <v/>
      </c>
      <c r="U3275" s="9" t="str">
        <f t="shared" ca="1" si="119"/>
        <v/>
      </c>
      <c r="Z3275" s="9" t="s">
        <v>8741</v>
      </c>
      <c r="AA3275" s="9" t="s">
        <v>3884</v>
      </c>
      <c r="AB3275" s="9" t="s">
        <v>8697</v>
      </c>
    </row>
    <row r="3276" spans="1:28">
      <c r="A3276" s="3" t="s">
        <v>1649</v>
      </c>
      <c r="D3276" s="3" t="s">
        <v>4917</v>
      </c>
      <c r="E3276" s="3" t="s">
        <v>7710</v>
      </c>
      <c r="F3276" t="s">
        <v>3893</v>
      </c>
      <c r="H3276" t="s">
        <v>3884</v>
      </c>
      <c r="T3276" s="9" t="str">
        <f t="shared" ca="1" si="118"/>
        <v/>
      </c>
      <c r="U3276" s="9" t="str">
        <f t="shared" ca="1" si="119"/>
        <v/>
      </c>
    </row>
    <row r="3277" spans="1:28">
      <c r="A3277" s="3" t="s">
        <v>1650</v>
      </c>
      <c r="D3277" s="3" t="s">
        <v>3511</v>
      </c>
      <c r="E3277" s="3" t="s">
        <v>2936</v>
      </c>
      <c r="J3277" s="9" t="s">
        <v>8729</v>
      </c>
      <c r="S3277" s="9" t="s">
        <v>8739</v>
      </c>
      <c r="T3277" s="9" t="str">
        <f t="shared" ca="1" si="118"/>
        <v/>
      </c>
      <c r="U3277" s="9" t="str">
        <f t="shared" ca="1" si="119"/>
        <v/>
      </c>
      <c r="Z3277" s="9" t="s">
        <v>8757</v>
      </c>
      <c r="AA3277" s="9" t="s">
        <v>3884</v>
      </c>
      <c r="AB3277" s="9" t="s">
        <v>8697</v>
      </c>
    </row>
    <row r="3278" spans="1:28" ht="43.5">
      <c r="A3278" s="3" t="s">
        <v>1650</v>
      </c>
      <c r="D3278" s="3" t="s">
        <v>7711</v>
      </c>
      <c r="E3278" s="3" t="s">
        <v>7712</v>
      </c>
      <c r="H3278" t="s">
        <v>3884</v>
      </c>
      <c r="J3278" s="9" t="s">
        <v>3885</v>
      </c>
      <c r="K3278" s="9">
        <v>2</v>
      </c>
      <c r="L3278" s="9">
        <v>8</v>
      </c>
      <c r="N3278" s="9" t="s">
        <v>8690</v>
      </c>
      <c r="R3278" s="9" t="s">
        <v>8739</v>
      </c>
      <c r="T3278" s="9" t="str">
        <f t="shared" ca="1" si="118"/>
        <v/>
      </c>
      <c r="U3278" s="9" t="str">
        <f t="shared" ca="1" si="119"/>
        <v/>
      </c>
      <c r="AB3278" s="9" t="s">
        <v>8688</v>
      </c>
    </row>
    <row r="3279" spans="1:28">
      <c r="A3279" s="3" t="s">
        <v>1650</v>
      </c>
      <c r="D3279" s="3" t="s">
        <v>2098</v>
      </c>
      <c r="E3279" s="3" t="s">
        <v>2099</v>
      </c>
      <c r="J3279" s="9" t="s">
        <v>8731</v>
      </c>
      <c r="T3279" s="9" t="str">
        <f t="shared" ca="1" si="118"/>
        <v/>
      </c>
      <c r="U3279" s="9" t="str">
        <f t="shared" ca="1" si="119"/>
        <v/>
      </c>
      <c r="Z3279" s="9" t="s">
        <v>8741</v>
      </c>
      <c r="AA3279" s="9" t="s">
        <v>3884</v>
      </c>
    </row>
    <row r="3280" spans="1:28">
      <c r="A3280" s="3" t="s">
        <v>1651</v>
      </c>
      <c r="D3280" s="3" t="s">
        <v>7713</v>
      </c>
      <c r="E3280" s="3" t="s">
        <v>7714</v>
      </c>
      <c r="F3280" t="s">
        <v>3932</v>
      </c>
      <c r="I3280" t="s">
        <v>7715</v>
      </c>
      <c r="T3280" s="9" t="str">
        <f t="shared" ca="1" si="118"/>
        <v/>
      </c>
      <c r="U3280" s="9" t="str">
        <f t="shared" ca="1" si="119"/>
        <v/>
      </c>
    </row>
    <row r="3281" spans="1:28">
      <c r="A3281" s="3" t="s">
        <v>1651</v>
      </c>
      <c r="D3281" s="3" t="s">
        <v>7716</v>
      </c>
      <c r="E3281" s="3" t="s">
        <v>7717</v>
      </c>
      <c r="H3281" t="s">
        <v>3884</v>
      </c>
      <c r="J3281" s="9" t="s">
        <v>3889</v>
      </c>
      <c r="K3281" s="9">
        <v>2</v>
      </c>
      <c r="L3281" s="9">
        <v>7</v>
      </c>
      <c r="N3281" s="9" t="s">
        <v>8690</v>
      </c>
      <c r="R3281" s="9">
        <v>872</v>
      </c>
      <c r="T3281" s="9" t="str">
        <f t="shared" ca="1" si="118"/>
        <v/>
      </c>
      <c r="U3281" s="9" t="str">
        <f t="shared" ca="1" si="119"/>
        <v/>
      </c>
    </row>
    <row r="3282" spans="1:28">
      <c r="A3282" s="3" t="s">
        <v>1652</v>
      </c>
      <c r="D3282" s="3" t="s">
        <v>7720</v>
      </c>
      <c r="E3282" s="3" t="s">
        <v>7721</v>
      </c>
      <c r="J3282" s="9" t="s">
        <v>8731</v>
      </c>
      <c r="T3282" s="9" t="str">
        <f t="shared" ca="1" si="118"/>
        <v/>
      </c>
      <c r="U3282" s="9" t="str">
        <f t="shared" ca="1" si="119"/>
        <v/>
      </c>
      <c r="Z3282" s="9" t="s">
        <v>8757</v>
      </c>
      <c r="AA3282" s="9" t="s">
        <v>3884</v>
      </c>
    </row>
    <row r="3283" spans="1:28">
      <c r="A3283" s="3" t="s">
        <v>1652</v>
      </c>
      <c r="D3283" s="6" t="s">
        <v>7718</v>
      </c>
      <c r="E3283" s="6" t="s">
        <v>7719</v>
      </c>
      <c r="F3283" t="s">
        <v>3932</v>
      </c>
      <c r="I3283" t="s">
        <v>7722</v>
      </c>
      <c r="T3283" s="9" t="str">
        <f t="shared" ca="1" si="118"/>
        <v/>
      </c>
      <c r="U3283" s="9" t="str">
        <f t="shared" ca="1" si="119"/>
        <v/>
      </c>
    </row>
    <row r="3284" spans="1:28">
      <c r="A3284" s="3" t="s">
        <v>1652</v>
      </c>
      <c r="D3284" s="3" t="s">
        <v>7723</v>
      </c>
      <c r="E3284" s="3" t="s">
        <v>7724</v>
      </c>
      <c r="H3284" t="s">
        <v>3892</v>
      </c>
      <c r="I3284" t="s">
        <v>7725</v>
      </c>
      <c r="J3284" s="9" t="s">
        <v>8731</v>
      </c>
      <c r="T3284" s="9" t="str">
        <f t="shared" ca="1" si="118"/>
        <v/>
      </c>
      <c r="U3284" s="9" t="str">
        <f t="shared" ca="1" si="119"/>
        <v/>
      </c>
      <c r="Z3284" s="9" t="s">
        <v>8757</v>
      </c>
      <c r="AA3284" s="9" t="s">
        <v>3884</v>
      </c>
      <c r="AB3284" s="9" t="s">
        <v>8700</v>
      </c>
    </row>
    <row r="3285" spans="1:28">
      <c r="A3285" s="3" t="s">
        <v>1653</v>
      </c>
      <c r="D3285" s="3" t="s">
        <v>3693</v>
      </c>
      <c r="E3285" s="3" t="s">
        <v>3693</v>
      </c>
      <c r="F3285" t="s">
        <v>3932</v>
      </c>
      <c r="I3285" t="s">
        <v>2489</v>
      </c>
      <c r="J3285" s="9" t="s">
        <v>8731</v>
      </c>
      <c r="T3285" s="9" t="str">
        <f t="shared" ca="1" si="118"/>
        <v/>
      </c>
      <c r="U3285" s="9" t="str">
        <f t="shared" ca="1" si="119"/>
        <v/>
      </c>
      <c r="Z3285" s="9" t="s">
        <v>8757</v>
      </c>
      <c r="AA3285" s="9" t="s">
        <v>3884</v>
      </c>
    </row>
    <row r="3286" spans="1:28">
      <c r="A3286" s="3" t="s">
        <v>1654</v>
      </c>
      <c r="D3286" s="3" t="s">
        <v>3694</v>
      </c>
      <c r="E3286" s="3" t="s">
        <v>3695</v>
      </c>
      <c r="J3286" s="9" t="s">
        <v>8731</v>
      </c>
      <c r="T3286" s="9" t="str">
        <f t="shared" ca="1" si="118"/>
        <v/>
      </c>
      <c r="U3286" s="9" t="str">
        <f t="shared" ca="1" si="119"/>
        <v/>
      </c>
      <c r="Z3286" s="9" t="s">
        <v>8757</v>
      </c>
      <c r="AA3286" s="9" t="s">
        <v>3884</v>
      </c>
    </row>
    <row r="3287" spans="1:28">
      <c r="A3287" s="3" t="s">
        <v>1654</v>
      </c>
      <c r="D3287" s="3" t="s">
        <v>3696</v>
      </c>
      <c r="E3287" s="3" t="s">
        <v>3697</v>
      </c>
      <c r="H3287" t="s">
        <v>3892</v>
      </c>
      <c r="I3287" t="s">
        <v>7726</v>
      </c>
      <c r="J3287" s="9" t="s">
        <v>8731</v>
      </c>
      <c r="T3287" s="9" t="str">
        <f t="shared" ca="1" si="118"/>
        <v/>
      </c>
      <c r="U3287" s="9" t="str">
        <f t="shared" ca="1" si="119"/>
        <v/>
      </c>
      <c r="Z3287" s="9" t="s">
        <v>8757</v>
      </c>
      <c r="AA3287" s="9" t="s">
        <v>3884</v>
      </c>
      <c r="AB3287" s="9" t="s">
        <v>8700</v>
      </c>
    </row>
    <row r="3288" spans="1:28">
      <c r="A3288" s="3" t="s">
        <v>1654</v>
      </c>
      <c r="D3288" s="3" t="s">
        <v>3698</v>
      </c>
      <c r="E3288" s="3" t="s">
        <v>3698</v>
      </c>
      <c r="F3288" t="s">
        <v>3932</v>
      </c>
      <c r="I3288" t="s">
        <v>7727</v>
      </c>
      <c r="T3288" s="9" t="str">
        <f t="shared" ca="1" si="118"/>
        <v/>
      </c>
      <c r="U3288" s="9" t="str">
        <f t="shared" ca="1" si="119"/>
        <v/>
      </c>
    </row>
    <row r="3289" spans="1:28">
      <c r="A3289" s="3" t="s">
        <v>1655</v>
      </c>
      <c r="D3289" s="3" t="s">
        <v>7728</v>
      </c>
      <c r="E3289" s="3" t="s">
        <v>7729</v>
      </c>
      <c r="F3289" t="s">
        <v>3893</v>
      </c>
      <c r="H3289" t="s">
        <v>3884</v>
      </c>
      <c r="T3289" s="9" t="str">
        <f t="shared" ca="1" si="118"/>
        <v/>
      </c>
      <c r="U3289" s="9" t="str">
        <f t="shared" ca="1" si="119"/>
        <v/>
      </c>
    </row>
    <row r="3290" spans="1:28">
      <c r="A3290" s="3" t="s">
        <v>1656</v>
      </c>
      <c r="D3290" s="3" t="s">
        <v>2354</v>
      </c>
      <c r="E3290" s="3" t="s">
        <v>2219</v>
      </c>
      <c r="F3290" t="s">
        <v>3893</v>
      </c>
      <c r="H3290" t="s">
        <v>3884</v>
      </c>
      <c r="T3290" s="9" t="str">
        <f t="shared" ca="1" si="118"/>
        <v/>
      </c>
      <c r="U3290" s="9" t="str">
        <f t="shared" ca="1" si="119"/>
        <v/>
      </c>
    </row>
    <row r="3291" spans="1:28">
      <c r="A3291" s="3" t="s">
        <v>1657</v>
      </c>
      <c r="D3291" s="3" t="s">
        <v>3699</v>
      </c>
      <c r="E3291" s="3" t="s">
        <v>3700</v>
      </c>
      <c r="J3291" s="9" t="s">
        <v>8729</v>
      </c>
      <c r="S3291" s="9" t="s">
        <v>8739</v>
      </c>
      <c r="T3291" s="9" t="str">
        <f t="shared" ca="1" si="118"/>
        <v/>
      </c>
      <c r="U3291" s="9" t="str">
        <f t="shared" ca="1" si="119"/>
        <v/>
      </c>
      <c r="Z3291" s="9" t="s">
        <v>8741</v>
      </c>
      <c r="AA3291" s="9" t="s">
        <v>3884</v>
      </c>
      <c r="AB3291" s="9" t="s">
        <v>8697</v>
      </c>
    </row>
    <row r="3292" spans="1:28">
      <c r="A3292" s="3" t="s">
        <v>1657</v>
      </c>
      <c r="D3292" s="3" t="s">
        <v>7730</v>
      </c>
      <c r="E3292" s="3" t="s">
        <v>7731</v>
      </c>
      <c r="J3292" s="9" t="s">
        <v>8731</v>
      </c>
      <c r="T3292" s="9" t="str">
        <f t="shared" ca="1" si="118"/>
        <v/>
      </c>
      <c r="U3292" s="9" t="str">
        <f t="shared" ca="1" si="119"/>
        <v/>
      </c>
      <c r="Z3292" s="9" t="s">
        <v>8741</v>
      </c>
      <c r="AA3292" s="9" t="s">
        <v>3884</v>
      </c>
    </row>
    <row r="3293" spans="1:28">
      <c r="A3293" s="3" t="s">
        <v>1658</v>
      </c>
      <c r="D3293" s="3" t="s">
        <v>2349</v>
      </c>
      <c r="E3293" s="3" t="s">
        <v>3701</v>
      </c>
      <c r="H3293" t="s">
        <v>3884</v>
      </c>
      <c r="J3293" s="9" t="s">
        <v>8731</v>
      </c>
      <c r="T3293" s="9" t="str">
        <f t="shared" ca="1" si="118"/>
        <v/>
      </c>
      <c r="U3293" s="9" t="str">
        <f t="shared" ca="1" si="119"/>
        <v/>
      </c>
      <c r="AB3293" s="9" t="s">
        <v>8688</v>
      </c>
    </row>
    <row r="3294" spans="1:28">
      <c r="A3294" s="3" t="s">
        <v>1658</v>
      </c>
      <c r="D3294" s="4" t="s">
        <v>7732</v>
      </c>
      <c r="E3294" s="3" t="s">
        <v>7733</v>
      </c>
      <c r="F3294" t="s">
        <v>3883</v>
      </c>
      <c r="J3294" s="9" t="s">
        <v>8731</v>
      </c>
      <c r="T3294" s="9" t="str">
        <f t="shared" ca="1" si="118"/>
        <v/>
      </c>
      <c r="U3294" s="9" t="str">
        <f t="shared" ca="1" si="119"/>
        <v/>
      </c>
      <c r="AB3294" s="9" t="s">
        <v>8700</v>
      </c>
    </row>
    <row r="3295" spans="1:28">
      <c r="A3295" s="3" t="s">
        <v>1659</v>
      </c>
      <c r="D3295" s="3" t="s">
        <v>7734</v>
      </c>
      <c r="E3295" s="3" t="s">
        <v>7735</v>
      </c>
      <c r="H3295" t="s">
        <v>3884</v>
      </c>
      <c r="J3295" s="9" t="s">
        <v>8731</v>
      </c>
      <c r="T3295" s="9" t="str">
        <f t="shared" ca="1" si="118"/>
        <v/>
      </c>
      <c r="U3295" s="9" t="str">
        <f t="shared" ca="1" si="119"/>
        <v/>
      </c>
      <c r="AB3295" s="9" t="s">
        <v>8694</v>
      </c>
    </row>
    <row r="3296" spans="1:28" ht="29">
      <c r="A3296" s="3" t="s">
        <v>1659</v>
      </c>
      <c r="D3296" s="3" t="s">
        <v>7737</v>
      </c>
      <c r="E3296" s="3" t="s">
        <v>7738</v>
      </c>
      <c r="F3296" t="s">
        <v>3932</v>
      </c>
      <c r="I3296" t="s">
        <v>7736</v>
      </c>
      <c r="T3296" s="9" t="str">
        <f t="shared" ca="1" si="118"/>
        <v/>
      </c>
      <c r="U3296" s="9" t="str">
        <f t="shared" ca="1" si="119"/>
        <v/>
      </c>
    </row>
    <row r="3297" spans="1:28" ht="29">
      <c r="A3297" s="3" t="s">
        <v>1659</v>
      </c>
      <c r="D3297" s="3" t="s">
        <v>9538</v>
      </c>
      <c r="E3297" s="3" t="s">
        <v>7739</v>
      </c>
      <c r="H3297" t="s">
        <v>3884</v>
      </c>
      <c r="J3297" s="9" t="s">
        <v>3885</v>
      </c>
      <c r="K3297" s="9">
        <v>1</v>
      </c>
      <c r="L3297" s="9">
        <v>2</v>
      </c>
      <c r="M3297" s="9" t="s">
        <v>8689</v>
      </c>
      <c r="N3297" s="9" t="s">
        <v>8730</v>
      </c>
      <c r="R3297" s="9">
        <v>10929</v>
      </c>
      <c r="T3297" s="9" t="str">
        <f t="shared" ca="1" si="118"/>
        <v/>
      </c>
      <c r="U3297" s="9" t="str">
        <f t="shared" ca="1" si="119"/>
        <v/>
      </c>
      <c r="AB3297" s="9" t="s">
        <v>8694</v>
      </c>
    </row>
    <row r="3298" spans="1:28">
      <c r="A3298" s="3" t="s">
        <v>1659</v>
      </c>
      <c r="D3298" s="3" t="s">
        <v>3703</v>
      </c>
      <c r="E3298" s="3" t="s">
        <v>3703</v>
      </c>
      <c r="F3298" t="s">
        <v>3932</v>
      </c>
      <c r="I3298" t="s">
        <v>7740</v>
      </c>
      <c r="T3298" s="9" t="str">
        <f t="shared" ca="1" si="118"/>
        <v/>
      </c>
      <c r="U3298" s="9" t="str">
        <f t="shared" ca="1" si="119"/>
        <v/>
      </c>
    </row>
    <row r="3299" spans="1:28">
      <c r="A3299" s="3" t="s">
        <v>1659</v>
      </c>
      <c r="D3299" s="3" t="s">
        <v>3704</v>
      </c>
      <c r="E3299" s="4" t="s">
        <v>3705</v>
      </c>
      <c r="F3299" t="s">
        <v>3897</v>
      </c>
      <c r="T3299" s="9" t="str">
        <f t="shared" ca="1" si="118"/>
        <v/>
      </c>
      <c r="U3299" s="9" t="str">
        <f t="shared" ca="1" si="119"/>
        <v/>
      </c>
    </row>
    <row r="3300" spans="1:28">
      <c r="A3300" s="3" t="s">
        <v>1659</v>
      </c>
      <c r="D3300" s="3" t="s">
        <v>3706</v>
      </c>
      <c r="E3300" s="3" t="s">
        <v>3707</v>
      </c>
      <c r="H3300" t="s">
        <v>3892</v>
      </c>
      <c r="I3300" t="s">
        <v>9711</v>
      </c>
      <c r="J3300" s="9" t="s">
        <v>8729</v>
      </c>
      <c r="S3300" s="9" t="s">
        <v>8739</v>
      </c>
      <c r="T3300" s="9" t="str">
        <f t="shared" ca="1" si="118"/>
        <v/>
      </c>
      <c r="U3300" s="9" t="str">
        <f t="shared" ca="1" si="119"/>
        <v/>
      </c>
      <c r="Z3300" s="9" t="s">
        <v>9038</v>
      </c>
      <c r="AA3300" s="9" t="s">
        <v>3884</v>
      </c>
      <c r="AB3300" s="9" t="s">
        <v>8688</v>
      </c>
    </row>
    <row r="3301" spans="1:28">
      <c r="A3301" s="3" t="s">
        <v>1660</v>
      </c>
      <c r="D3301" s="3" t="s">
        <v>7730</v>
      </c>
      <c r="E3301" s="3" t="s">
        <v>7731</v>
      </c>
      <c r="J3301" s="9" t="s">
        <v>8731</v>
      </c>
      <c r="T3301" s="9" t="str">
        <f t="shared" ca="1" si="118"/>
        <v/>
      </c>
      <c r="U3301" s="9" t="str">
        <f t="shared" ca="1" si="119"/>
        <v/>
      </c>
      <c r="Z3301" s="9" t="s">
        <v>8741</v>
      </c>
      <c r="AA3301" s="9" t="s">
        <v>3884</v>
      </c>
    </row>
    <row r="3302" spans="1:28">
      <c r="A3302" s="3" t="s">
        <v>1661</v>
      </c>
      <c r="D3302" s="3" t="s">
        <v>2788</v>
      </c>
      <c r="E3302" s="3" t="s">
        <v>2789</v>
      </c>
      <c r="J3302" s="9" t="s">
        <v>8729</v>
      </c>
      <c r="S3302" s="9" t="s">
        <v>8739</v>
      </c>
      <c r="T3302" s="9" t="str">
        <f t="shared" ca="1" si="118"/>
        <v/>
      </c>
      <c r="U3302" s="9" t="str">
        <f t="shared" ca="1" si="119"/>
        <v/>
      </c>
      <c r="Z3302" s="9" t="s">
        <v>8741</v>
      </c>
      <c r="AA3302" s="9" t="s">
        <v>3884</v>
      </c>
      <c r="AB3302" s="9" t="s">
        <v>8697</v>
      </c>
    </row>
    <row r="3303" spans="1:28">
      <c r="A3303" s="3" t="s">
        <v>1662</v>
      </c>
      <c r="D3303" s="3" t="s">
        <v>3591</v>
      </c>
      <c r="E3303" s="3" t="s">
        <v>3590</v>
      </c>
      <c r="J3303" s="9" t="s">
        <v>8729</v>
      </c>
      <c r="S3303" s="9" t="s">
        <v>8739</v>
      </c>
      <c r="T3303" s="9" t="str">
        <f t="shared" ca="1" si="118"/>
        <v/>
      </c>
      <c r="U3303" s="9" t="str">
        <f t="shared" ca="1" si="119"/>
        <v/>
      </c>
      <c r="Y3303" s="9" t="s">
        <v>8735</v>
      </c>
      <c r="Z3303" s="9" t="s">
        <v>9280</v>
      </c>
      <c r="AA3303" s="9" t="s">
        <v>3884</v>
      </c>
    </row>
    <row r="3304" spans="1:28">
      <c r="A3304" s="3" t="s">
        <v>1662</v>
      </c>
      <c r="D3304" s="3" t="s">
        <v>3708</v>
      </c>
      <c r="E3304" s="3" t="s">
        <v>3709</v>
      </c>
      <c r="H3304" t="s">
        <v>3892</v>
      </c>
      <c r="I3304" t="s">
        <v>7741</v>
      </c>
      <c r="J3304" s="9" t="s">
        <v>8731</v>
      </c>
      <c r="T3304" s="9" t="str">
        <f t="shared" ca="1" si="118"/>
        <v/>
      </c>
      <c r="U3304" s="9" t="str">
        <f t="shared" ca="1" si="119"/>
        <v/>
      </c>
      <c r="Z3304" s="9" t="s">
        <v>8924</v>
      </c>
      <c r="AA3304" s="9" t="s">
        <v>3884</v>
      </c>
      <c r="AB3304" s="9" t="s">
        <v>8697</v>
      </c>
    </row>
    <row r="3305" spans="1:28">
      <c r="A3305" s="3" t="s">
        <v>1662</v>
      </c>
      <c r="D3305" s="3" t="s">
        <v>9148</v>
      </c>
      <c r="E3305" s="3" t="s">
        <v>9149</v>
      </c>
      <c r="J3305" s="9" t="s">
        <v>8731</v>
      </c>
      <c r="T3305" s="9" t="str">
        <f t="shared" ca="1" si="118"/>
        <v/>
      </c>
      <c r="U3305" s="9" t="str">
        <f t="shared" ca="1" si="119"/>
        <v/>
      </c>
      <c r="AB3305" s="9" t="s">
        <v>8700</v>
      </c>
    </row>
    <row r="3306" spans="1:28" ht="29">
      <c r="A3306" s="3" t="s">
        <v>1663</v>
      </c>
      <c r="D3306" s="3" t="s">
        <v>9150</v>
      </c>
      <c r="E3306" s="3" t="s">
        <v>7742</v>
      </c>
      <c r="H3306" t="s">
        <v>3888</v>
      </c>
      <c r="I3306" t="s">
        <v>7743</v>
      </c>
      <c r="J3306" s="9" t="s">
        <v>3889</v>
      </c>
      <c r="K3306" s="9">
        <v>1</v>
      </c>
      <c r="L3306" s="9">
        <v>4</v>
      </c>
      <c r="M3306" s="9" t="s">
        <v>8707</v>
      </c>
      <c r="N3306" s="9" t="s">
        <v>8690</v>
      </c>
      <c r="R3306" s="9">
        <v>886</v>
      </c>
      <c r="T3306" s="9" t="str">
        <f t="shared" ca="1" si="118"/>
        <v/>
      </c>
      <c r="U3306" s="9" t="str">
        <f t="shared" ca="1" si="119"/>
        <v/>
      </c>
      <c r="AB3306" s="9" t="s">
        <v>8694</v>
      </c>
    </row>
    <row r="3307" spans="1:28" ht="29">
      <c r="A3307" s="3" t="s">
        <v>1663</v>
      </c>
      <c r="D3307" s="3" t="s">
        <v>9151</v>
      </c>
      <c r="E3307" s="3" t="s">
        <v>9152</v>
      </c>
      <c r="J3307" s="9" t="s">
        <v>8731</v>
      </c>
      <c r="T3307" s="9" t="str">
        <f t="shared" ca="1" si="118"/>
        <v/>
      </c>
      <c r="U3307" s="9" t="str">
        <f t="shared" ca="1" si="119"/>
        <v/>
      </c>
      <c r="AB3307" s="9" t="s">
        <v>8700</v>
      </c>
    </row>
    <row r="3308" spans="1:28">
      <c r="A3308" s="3" t="s">
        <v>1664</v>
      </c>
      <c r="D3308" s="3" t="s">
        <v>3710</v>
      </c>
      <c r="E3308" s="3" t="s">
        <v>3711</v>
      </c>
      <c r="J3308" s="9" t="s">
        <v>8729</v>
      </c>
      <c r="S3308" s="9" t="s">
        <v>8739</v>
      </c>
      <c r="T3308" s="9" t="str">
        <f t="shared" ca="1" si="118"/>
        <v/>
      </c>
      <c r="U3308" s="9" t="str">
        <f t="shared" ca="1" si="119"/>
        <v/>
      </c>
      <c r="Z3308" s="9" t="s">
        <v>8741</v>
      </c>
      <c r="AA3308" s="9" t="s">
        <v>3884</v>
      </c>
      <c r="AB3308" s="9" t="s">
        <v>8697</v>
      </c>
    </row>
    <row r="3309" spans="1:28">
      <c r="A3309" s="3" t="s">
        <v>1665</v>
      </c>
      <c r="D3309" s="3" t="s">
        <v>3712</v>
      </c>
      <c r="E3309" s="3" t="s">
        <v>3713</v>
      </c>
      <c r="F3309" t="s">
        <v>4197</v>
      </c>
      <c r="I3309" t="s">
        <v>7744</v>
      </c>
      <c r="J3309" s="9" t="s">
        <v>8732</v>
      </c>
      <c r="S3309" s="9">
        <f>15-0</f>
        <v>15</v>
      </c>
      <c r="T3309" s="9">
        <f t="shared" ca="1" si="118"/>
        <v>0</v>
      </c>
      <c r="U3309" s="9">
        <f t="shared" ca="1" si="119"/>
        <v>15</v>
      </c>
      <c r="Z3309" s="9" t="s">
        <v>8741</v>
      </c>
      <c r="AA3309" s="9" t="s">
        <v>3884</v>
      </c>
      <c r="AB3309" s="9" t="s">
        <v>8697</v>
      </c>
    </row>
    <row r="3310" spans="1:28" ht="29">
      <c r="A3310" s="3" t="s">
        <v>1665</v>
      </c>
      <c r="D3310" s="3" t="s">
        <v>7745</v>
      </c>
      <c r="E3310" s="3" t="s">
        <v>7746</v>
      </c>
      <c r="F3310" t="s">
        <v>3932</v>
      </c>
      <c r="I3310" t="s">
        <v>7747</v>
      </c>
      <c r="T3310" s="9" t="str">
        <f t="shared" ca="1" si="118"/>
        <v/>
      </c>
      <c r="U3310" s="9" t="str">
        <f t="shared" ca="1" si="119"/>
        <v/>
      </c>
    </row>
    <row r="3311" spans="1:28" ht="29">
      <c r="A3311" s="3" t="s">
        <v>1665</v>
      </c>
      <c r="D3311" s="4" t="s">
        <v>7748</v>
      </c>
      <c r="E3311" s="3" t="s">
        <v>7749</v>
      </c>
      <c r="F3311" t="s">
        <v>3883</v>
      </c>
      <c r="H3311" t="s">
        <v>3884</v>
      </c>
      <c r="I3311" t="s">
        <v>9712</v>
      </c>
      <c r="T3311" s="9" t="str">
        <f t="shared" ca="1" si="118"/>
        <v/>
      </c>
      <c r="U3311" s="9" t="str">
        <f t="shared" ca="1" si="119"/>
        <v/>
      </c>
    </row>
    <row r="3312" spans="1:28">
      <c r="A3312" s="3" t="s">
        <v>1666</v>
      </c>
      <c r="D3312" s="3" t="s">
        <v>2646</v>
      </c>
      <c r="E3312" s="3" t="s">
        <v>2647</v>
      </c>
      <c r="J3312" s="9" t="s">
        <v>8732</v>
      </c>
      <c r="S3312" s="9">
        <f>15-0</f>
        <v>15</v>
      </c>
      <c r="T3312" s="9">
        <f t="shared" ca="1" si="118"/>
        <v>0</v>
      </c>
      <c r="U3312" s="9">
        <f t="shared" ca="1" si="119"/>
        <v>15</v>
      </c>
      <c r="Z3312" s="9" t="s">
        <v>8741</v>
      </c>
      <c r="AA3312" s="9" t="s">
        <v>3884</v>
      </c>
      <c r="AB3312" s="9" t="s">
        <v>8697</v>
      </c>
    </row>
    <row r="3313" spans="1:28" ht="29">
      <c r="A3313" s="3" t="s">
        <v>1667</v>
      </c>
      <c r="D3313" s="3" t="s">
        <v>7750</v>
      </c>
      <c r="E3313" s="3" t="s">
        <v>9658</v>
      </c>
      <c r="F3313" t="s">
        <v>3932</v>
      </c>
      <c r="I3313" t="s">
        <v>7751</v>
      </c>
      <c r="T3313" s="9" t="str">
        <f t="shared" ca="1" si="118"/>
        <v/>
      </c>
      <c r="U3313" s="9" t="str">
        <f t="shared" ca="1" si="119"/>
        <v/>
      </c>
    </row>
    <row r="3314" spans="1:28">
      <c r="A3314" s="3" t="s">
        <v>1667</v>
      </c>
      <c r="D3314" s="3" t="s">
        <v>3714</v>
      </c>
      <c r="E3314" s="3" t="s">
        <v>3715</v>
      </c>
      <c r="J3314" s="9" t="s">
        <v>8731</v>
      </c>
      <c r="T3314" s="9" t="str">
        <f t="shared" ca="1" si="118"/>
        <v/>
      </c>
      <c r="U3314" s="9" t="str">
        <f t="shared" ca="1" si="119"/>
        <v/>
      </c>
      <c r="Z3314" s="9" t="s">
        <v>9032</v>
      </c>
      <c r="AA3314" s="9" t="s">
        <v>3884</v>
      </c>
      <c r="AB3314" s="9" t="s">
        <v>8697</v>
      </c>
    </row>
    <row r="3315" spans="1:28">
      <c r="A3315" s="3" t="s">
        <v>1667</v>
      </c>
      <c r="D3315" s="3" t="s">
        <v>3716</v>
      </c>
      <c r="E3315" s="3" t="s">
        <v>3717</v>
      </c>
      <c r="J3315" s="9" t="s">
        <v>8731</v>
      </c>
      <c r="T3315" s="9" t="str">
        <f t="shared" ca="1" si="118"/>
        <v/>
      </c>
      <c r="U3315" s="9" t="str">
        <f t="shared" ca="1" si="119"/>
        <v/>
      </c>
      <c r="Z3315" s="9" t="s">
        <v>8757</v>
      </c>
      <c r="AA3315" s="9" t="s">
        <v>3884</v>
      </c>
      <c r="AB3315" s="9" t="s">
        <v>8700</v>
      </c>
    </row>
    <row r="3316" spans="1:28">
      <c r="A3316" s="3" t="s">
        <v>1668</v>
      </c>
      <c r="D3316" s="3" t="s">
        <v>3718</v>
      </c>
      <c r="E3316" s="3" t="s">
        <v>3719</v>
      </c>
      <c r="G3316" t="s">
        <v>3884</v>
      </c>
      <c r="H3316" t="s">
        <v>3892</v>
      </c>
      <c r="I3316" t="s">
        <v>7752</v>
      </c>
      <c r="J3316" s="9" t="s">
        <v>8729</v>
      </c>
      <c r="S3316" s="9" t="s">
        <v>8730</v>
      </c>
      <c r="T3316" s="9" t="str">
        <f t="shared" ca="1" si="118"/>
        <v/>
      </c>
      <c r="U3316" s="9" t="str">
        <f t="shared" ca="1" si="119"/>
        <v/>
      </c>
      <c r="Y3316" s="9" t="s">
        <v>8735</v>
      </c>
      <c r="AA3316" s="9" t="s">
        <v>3884</v>
      </c>
    </row>
    <row r="3317" spans="1:28">
      <c r="A3317" s="3" t="s">
        <v>1668</v>
      </c>
      <c r="D3317" s="3" t="s">
        <v>7753</v>
      </c>
      <c r="E3317" s="3" t="s">
        <v>5988</v>
      </c>
      <c r="J3317" s="9" t="s">
        <v>8729</v>
      </c>
      <c r="S3317" s="9">
        <f xml:space="preserve"> 311-21</f>
        <v>290</v>
      </c>
      <c r="T3317" s="9">
        <f t="shared" ca="1" si="118"/>
        <v>21</v>
      </c>
      <c r="U3317" s="9">
        <f t="shared" ca="1" si="119"/>
        <v>311</v>
      </c>
    </row>
    <row r="3318" spans="1:28" ht="29">
      <c r="A3318" s="3" t="s">
        <v>1669</v>
      </c>
      <c r="D3318" s="3" t="s">
        <v>7754</v>
      </c>
      <c r="E3318" s="3" t="s">
        <v>7754</v>
      </c>
      <c r="F3318" t="s">
        <v>3932</v>
      </c>
      <c r="I3318" t="s">
        <v>7755</v>
      </c>
      <c r="T3318" s="9" t="str">
        <f t="shared" ca="1" si="118"/>
        <v/>
      </c>
      <c r="U3318" s="9" t="str">
        <f t="shared" ca="1" si="119"/>
        <v/>
      </c>
    </row>
    <row r="3319" spans="1:28">
      <c r="A3319" s="3" t="s">
        <v>1670</v>
      </c>
      <c r="D3319" s="4" t="s">
        <v>3720</v>
      </c>
      <c r="E3319" s="3" t="s">
        <v>3721</v>
      </c>
      <c r="F3319" t="s">
        <v>4196</v>
      </c>
      <c r="I3319" t="s">
        <v>7756</v>
      </c>
      <c r="J3319" s="9" t="s">
        <v>8732</v>
      </c>
      <c r="S3319" s="9" t="s">
        <v>8739</v>
      </c>
      <c r="T3319" s="9" t="str">
        <f t="shared" ca="1" si="118"/>
        <v/>
      </c>
      <c r="U3319" s="9" t="str">
        <f t="shared" ca="1" si="119"/>
        <v/>
      </c>
      <c r="Z3319" s="9" t="s">
        <v>9032</v>
      </c>
      <c r="AA3319" s="9" t="s">
        <v>3884</v>
      </c>
      <c r="AB3319" s="9" t="s">
        <v>8697</v>
      </c>
    </row>
    <row r="3320" spans="1:28">
      <c r="A3320" s="3" t="s">
        <v>1671</v>
      </c>
      <c r="D3320" s="3" t="s">
        <v>2654</v>
      </c>
      <c r="E3320" s="3" t="s">
        <v>2655</v>
      </c>
      <c r="J3320" s="9" t="s">
        <v>8729</v>
      </c>
      <c r="S3320" s="9" t="s">
        <v>8739</v>
      </c>
      <c r="T3320" s="9" t="str">
        <f t="shared" ca="1" si="118"/>
        <v/>
      </c>
      <c r="U3320" s="9" t="str">
        <f t="shared" ca="1" si="119"/>
        <v/>
      </c>
      <c r="Z3320" s="9" t="s">
        <v>8742</v>
      </c>
      <c r="AA3320" s="9" t="s">
        <v>3884</v>
      </c>
    </row>
    <row r="3321" spans="1:28">
      <c r="A3321" s="3" t="s">
        <v>1672</v>
      </c>
      <c r="D3321" s="4" t="s">
        <v>3293</v>
      </c>
      <c r="E3321" s="3" t="s">
        <v>3265</v>
      </c>
      <c r="F3321" t="s">
        <v>3883</v>
      </c>
      <c r="I3321" t="s">
        <v>7757</v>
      </c>
      <c r="T3321" s="9" t="str">
        <f t="shared" ca="1" si="118"/>
        <v/>
      </c>
      <c r="U3321" s="9" t="str">
        <f t="shared" ca="1" si="119"/>
        <v/>
      </c>
    </row>
    <row r="3322" spans="1:28">
      <c r="A3322" s="3" t="s">
        <v>1673</v>
      </c>
      <c r="D3322" s="3" t="s">
        <v>7758</v>
      </c>
      <c r="E3322" s="3" t="s">
        <v>7759</v>
      </c>
      <c r="J3322" s="9" t="s">
        <v>3885</v>
      </c>
      <c r="K3322" s="9">
        <v>1</v>
      </c>
      <c r="L3322" s="9">
        <v>4</v>
      </c>
      <c r="M3322" s="9" t="s">
        <v>8707</v>
      </c>
      <c r="N3322" s="9" t="s">
        <v>8690</v>
      </c>
      <c r="R3322" s="9">
        <v>866</v>
      </c>
      <c r="T3322" s="9" t="str">
        <f t="shared" ca="1" si="118"/>
        <v/>
      </c>
      <c r="U3322" s="9" t="str">
        <f t="shared" ca="1" si="119"/>
        <v/>
      </c>
    </row>
    <row r="3323" spans="1:28" ht="29">
      <c r="A3323" s="3" t="s">
        <v>1674</v>
      </c>
      <c r="D3323" s="3" t="s">
        <v>7760</v>
      </c>
      <c r="E3323" s="3" t="s">
        <v>7760</v>
      </c>
      <c r="F3323" t="s">
        <v>3932</v>
      </c>
      <c r="I3323" t="s">
        <v>7761</v>
      </c>
      <c r="T3323" s="9" t="str">
        <f t="shared" ca="1" si="118"/>
        <v/>
      </c>
      <c r="U3323" s="9" t="str">
        <f t="shared" ca="1" si="119"/>
        <v/>
      </c>
    </row>
    <row r="3324" spans="1:28" ht="29">
      <c r="A3324" s="3" t="s">
        <v>1675</v>
      </c>
      <c r="D3324" s="3" t="s">
        <v>7762</v>
      </c>
      <c r="E3324" s="4" t="s">
        <v>7763</v>
      </c>
      <c r="F3324" t="s">
        <v>3897</v>
      </c>
      <c r="T3324" s="9" t="str">
        <f t="shared" ca="1" si="118"/>
        <v/>
      </c>
      <c r="U3324" s="9" t="str">
        <f t="shared" ca="1" si="119"/>
        <v/>
      </c>
    </row>
    <row r="3325" spans="1:28">
      <c r="A3325" s="3" t="s">
        <v>1676</v>
      </c>
      <c r="D3325" s="3" t="s">
        <v>7764</v>
      </c>
      <c r="E3325" s="3" t="s">
        <v>5183</v>
      </c>
      <c r="H3325" t="s">
        <v>3884</v>
      </c>
      <c r="J3325" s="9" t="s">
        <v>8731</v>
      </c>
      <c r="T3325" s="9" t="str">
        <f t="shared" ca="1" si="118"/>
        <v/>
      </c>
      <c r="U3325" s="9" t="str">
        <f t="shared" ca="1" si="119"/>
        <v/>
      </c>
      <c r="AB3325" s="9" t="s">
        <v>8694</v>
      </c>
    </row>
    <row r="3326" spans="1:28" ht="29">
      <c r="A3326" s="3" t="s">
        <v>1676</v>
      </c>
      <c r="D3326" s="3" t="s">
        <v>7765</v>
      </c>
      <c r="E3326" s="3" t="s">
        <v>7766</v>
      </c>
      <c r="H3326" t="s">
        <v>3884</v>
      </c>
      <c r="J3326" s="9" t="s">
        <v>3885</v>
      </c>
      <c r="K3326" s="9">
        <v>1</v>
      </c>
      <c r="L3326" s="9">
        <v>2</v>
      </c>
      <c r="M3326" s="9" t="s">
        <v>8698</v>
      </c>
      <c r="N3326" s="9" t="s">
        <v>8730</v>
      </c>
      <c r="Q3326" s="9" t="s">
        <v>8685</v>
      </c>
      <c r="R3326" s="9">
        <v>203</v>
      </c>
      <c r="T3326" s="9" t="str">
        <f t="shared" ca="1" si="118"/>
        <v/>
      </c>
      <c r="U3326" s="9" t="str">
        <f t="shared" ca="1" si="119"/>
        <v/>
      </c>
      <c r="AB3326" s="9" t="s">
        <v>8694</v>
      </c>
    </row>
    <row r="3327" spans="1:28" ht="29">
      <c r="A3327" s="3" t="s">
        <v>1676</v>
      </c>
      <c r="D3327" s="3" t="s">
        <v>7767</v>
      </c>
      <c r="E3327" s="3" t="s">
        <v>7768</v>
      </c>
      <c r="H3327" t="s">
        <v>3884</v>
      </c>
      <c r="I3327" t="s">
        <v>9263</v>
      </c>
      <c r="J3327" s="9" t="s">
        <v>8729</v>
      </c>
      <c r="S3327" s="9">
        <f>332-9</f>
        <v>323</v>
      </c>
      <c r="T3327" s="9">
        <f t="shared" ca="1" si="118"/>
        <v>9</v>
      </c>
      <c r="U3327" s="9">
        <f t="shared" ca="1" si="119"/>
        <v>332</v>
      </c>
      <c r="V3327" s="9" t="s">
        <v>8728</v>
      </c>
    </row>
    <row r="3328" spans="1:28">
      <c r="A3328" s="3" t="s">
        <v>1677</v>
      </c>
      <c r="D3328" s="3" t="s">
        <v>2646</v>
      </c>
      <c r="E3328" s="3" t="s">
        <v>2647</v>
      </c>
      <c r="J3328" s="9" t="s">
        <v>8729</v>
      </c>
      <c r="S3328" s="9" t="s">
        <v>8739</v>
      </c>
      <c r="T3328" s="9" t="str">
        <f t="shared" ca="1" si="118"/>
        <v/>
      </c>
      <c r="U3328" s="9" t="str">
        <f t="shared" ca="1" si="119"/>
        <v/>
      </c>
      <c r="Z3328" s="9" t="s">
        <v>8741</v>
      </c>
      <c r="AA3328" s="9" t="s">
        <v>3884</v>
      </c>
    </row>
    <row r="3329" spans="1:28">
      <c r="A3329" s="3" t="s">
        <v>1678</v>
      </c>
      <c r="D3329" s="3" t="s">
        <v>7769</v>
      </c>
      <c r="E3329" s="3" t="s">
        <v>7770</v>
      </c>
      <c r="J3329" s="9" t="s">
        <v>8731</v>
      </c>
      <c r="T3329" s="9" t="str">
        <f t="shared" ca="1" si="118"/>
        <v/>
      </c>
      <c r="U3329" s="9" t="str">
        <f t="shared" ca="1" si="119"/>
        <v/>
      </c>
      <c r="Z3329" s="9" t="s">
        <v>8747</v>
      </c>
      <c r="AA3329" s="9" t="s">
        <v>3884</v>
      </c>
      <c r="AB3329" s="9" t="s">
        <v>8697</v>
      </c>
    </row>
    <row r="3330" spans="1:28">
      <c r="A3330" s="3" t="s">
        <v>1679</v>
      </c>
      <c r="D3330" s="3" t="s">
        <v>7771</v>
      </c>
      <c r="E3330" s="3" t="s">
        <v>7771</v>
      </c>
      <c r="F3330" t="s">
        <v>3932</v>
      </c>
      <c r="I3330" t="s">
        <v>7772</v>
      </c>
      <c r="T3330" s="9" t="str">
        <f t="shared" ca="1" si="118"/>
        <v/>
      </c>
      <c r="U3330" s="9" t="str">
        <f t="shared" ca="1" si="119"/>
        <v/>
      </c>
    </row>
    <row r="3331" spans="1:28">
      <c r="A3331" s="3" t="s">
        <v>1679</v>
      </c>
      <c r="D3331" s="3" t="s">
        <v>3722</v>
      </c>
      <c r="E3331" s="3" t="s">
        <v>3723</v>
      </c>
      <c r="H3331" t="s">
        <v>3892</v>
      </c>
      <c r="I3331" t="s">
        <v>7773</v>
      </c>
      <c r="J3331" s="9" t="s">
        <v>8731</v>
      </c>
      <c r="T3331" s="9" t="str">
        <f t="shared" ref="T3331:T3394" ca="1" si="120">IF(ISNUMBER(S3331),VALUE(MID(_xlfn.FORMULATEXT(S3331),SEARCH("-",_xlfn.FORMULATEXT(S3331))+1,LEN(_xlfn.FORMULATEXT(S3331))-SEARCH("-",_xlfn.FORMULATEXT(S3331)))), "")</f>
        <v/>
      </c>
      <c r="U3331" s="9" t="str">
        <f t="shared" ref="U3331:U3394" ca="1" si="121">IF(ISNUMBER(S3331), VALUE(MID(_xlfn.FORMULATEXT(S3331), 2, SEARCH("-", _xlfn.FORMULATEXT(S3331)) - 2)), "")</f>
        <v/>
      </c>
      <c r="Z3331" s="9" t="s">
        <v>8741</v>
      </c>
      <c r="AA3331" s="9" t="s">
        <v>3884</v>
      </c>
      <c r="AB3331" s="9" t="s">
        <v>8697</v>
      </c>
    </row>
    <row r="3332" spans="1:28">
      <c r="A3332" s="3" t="s">
        <v>1680</v>
      </c>
      <c r="D3332" s="3" t="s">
        <v>7774</v>
      </c>
      <c r="E3332" s="3" t="s">
        <v>9153</v>
      </c>
      <c r="J3332" s="9" t="s">
        <v>3889</v>
      </c>
      <c r="K3332" s="9">
        <v>1</v>
      </c>
      <c r="L3332" s="9">
        <v>1</v>
      </c>
      <c r="M3332" s="9" t="s">
        <v>8689</v>
      </c>
      <c r="N3332" s="9" t="s">
        <v>8730</v>
      </c>
      <c r="R3332" s="9">
        <v>10929</v>
      </c>
      <c r="T3332" s="9" t="str">
        <f t="shared" ca="1" si="120"/>
        <v/>
      </c>
      <c r="U3332" s="9" t="str">
        <f t="shared" ca="1" si="121"/>
        <v/>
      </c>
    </row>
    <row r="3333" spans="1:28">
      <c r="A3333" s="3" t="s">
        <v>1680</v>
      </c>
      <c r="D3333" s="3" t="s">
        <v>7775</v>
      </c>
      <c r="E3333" s="3" t="s">
        <v>7775</v>
      </c>
      <c r="F3333" t="s">
        <v>3932</v>
      </c>
      <c r="I3333" t="s">
        <v>7776</v>
      </c>
      <c r="T3333" s="9" t="str">
        <f t="shared" ca="1" si="120"/>
        <v/>
      </c>
      <c r="U3333" s="9" t="str">
        <f t="shared" ca="1" si="121"/>
        <v/>
      </c>
    </row>
    <row r="3334" spans="1:28" ht="29">
      <c r="A3334" s="3" t="s">
        <v>1681</v>
      </c>
      <c r="D3334" s="3" t="s">
        <v>7777</v>
      </c>
      <c r="E3334" s="3" t="s">
        <v>7778</v>
      </c>
      <c r="J3334" s="9" t="s">
        <v>3889</v>
      </c>
      <c r="K3334" s="9">
        <v>1</v>
      </c>
      <c r="L3334" s="9">
        <v>3</v>
      </c>
      <c r="M3334" s="9" t="s">
        <v>8695</v>
      </c>
      <c r="N3334" s="9" t="s">
        <v>8690</v>
      </c>
      <c r="R3334" s="9">
        <v>131</v>
      </c>
      <c r="T3334" s="9" t="str">
        <f t="shared" ca="1" si="120"/>
        <v/>
      </c>
      <c r="U3334" s="9" t="str">
        <f t="shared" ca="1" si="121"/>
        <v/>
      </c>
    </row>
    <row r="3335" spans="1:28" ht="29">
      <c r="A3335" s="3" t="s">
        <v>1681</v>
      </c>
      <c r="D3335" s="3" t="s">
        <v>7779</v>
      </c>
      <c r="E3335" s="3" t="s">
        <v>7780</v>
      </c>
      <c r="J3335" s="9" t="s">
        <v>3885</v>
      </c>
      <c r="K3335" s="9">
        <v>1</v>
      </c>
      <c r="L3335" s="9">
        <v>3</v>
      </c>
      <c r="M3335" s="9" t="s">
        <v>8698</v>
      </c>
      <c r="N3335" s="9" t="s">
        <v>8690</v>
      </c>
      <c r="R3335" s="9">
        <v>9418</v>
      </c>
      <c r="T3335" s="9" t="str">
        <f t="shared" ca="1" si="120"/>
        <v/>
      </c>
      <c r="U3335" s="9" t="str">
        <f t="shared" ca="1" si="121"/>
        <v/>
      </c>
    </row>
    <row r="3336" spans="1:28" ht="29">
      <c r="A3336" s="3" t="s">
        <v>1681</v>
      </c>
      <c r="D3336" s="3" t="s">
        <v>7781</v>
      </c>
      <c r="E3336" s="3" t="s">
        <v>7782</v>
      </c>
      <c r="J3336" s="9" t="s">
        <v>8731</v>
      </c>
      <c r="T3336" s="9" t="str">
        <f t="shared" ca="1" si="120"/>
        <v/>
      </c>
      <c r="U3336" s="9" t="str">
        <f t="shared" ca="1" si="121"/>
        <v/>
      </c>
      <c r="AB3336" s="9" t="s">
        <v>8697</v>
      </c>
    </row>
    <row r="3337" spans="1:28">
      <c r="A3337" s="3" t="s">
        <v>1681</v>
      </c>
      <c r="D3337" s="3" t="s">
        <v>7783</v>
      </c>
      <c r="E3337" s="3" t="s">
        <v>7784</v>
      </c>
      <c r="J3337" s="9" t="s">
        <v>3885</v>
      </c>
      <c r="K3337" s="9">
        <v>1</v>
      </c>
      <c r="L3337" s="9">
        <v>3</v>
      </c>
      <c r="M3337" s="9" t="s">
        <v>8698</v>
      </c>
      <c r="N3337" s="9" t="s">
        <v>8690</v>
      </c>
      <c r="R3337" s="9">
        <v>9418</v>
      </c>
      <c r="T3337" s="9" t="str">
        <f t="shared" ca="1" si="120"/>
        <v/>
      </c>
      <c r="U3337" s="9" t="str">
        <f t="shared" ca="1" si="121"/>
        <v/>
      </c>
    </row>
    <row r="3338" spans="1:28">
      <c r="A3338" s="3" t="s">
        <v>1682</v>
      </c>
      <c r="D3338" s="3" t="s">
        <v>7785</v>
      </c>
      <c r="E3338" s="3" t="s">
        <v>7786</v>
      </c>
      <c r="F3338" t="s">
        <v>3893</v>
      </c>
      <c r="H3338" t="s">
        <v>3884</v>
      </c>
      <c r="T3338" s="9" t="str">
        <f t="shared" ca="1" si="120"/>
        <v/>
      </c>
      <c r="U3338" s="9" t="str">
        <f t="shared" ca="1" si="121"/>
        <v/>
      </c>
    </row>
    <row r="3339" spans="1:28">
      <c r="A3339" s="3" t="s">
        <v>1682</v>
      </c>
      <c r="D3339" s="3" t="s">
        <v>7787</v>
      </c>
      <c r="E3339" s="3" t="s">
        <v>7788</v>
      </c>
      <c r="J3339" s="9" t="s">
        <v>8729</v>
      </c>
      <c r="S3339" s="9" t="s">
        <v>8739</v>
      </c>
      <c r="T3339" s="9" t="str">
        <f t="shared" ca="1" si="120"/>
        <v/>
      </c>
      <c r="U3339" s="9" t="str">
        <f t="shared" ca="1" si="121"/>
        <v/>
      </c>
      <c r="AB3339" s="9" t="s">
        <v>8697</v>
      </c>
    </row>
    <row r="3340" spans="1:28">
      <c r="A3340" s="3" t="s">
        <v>1682</v>
      </c>
      <c r="D3340" s="3" t="s">
        <v>3724</v>
      </c>
      <c r="E3340" s="3" t="s">
        <v>2996</v>
      </c>
      <c r="J3340" s="9" t="s">
        <v>8729</v>
      </c>
      <c r="S3340" s="9" t="s">
        <v>8739</v>
      </c>
      <c r="T3340" s="9" t="str">
        <f t="shared" ca="1" si="120"/>
        <v/>
      </c>
      <c r="U3340" s="9" t="str">
        <f t="shared" ca="1" si="121"/>
        <v/>
      </c>
      <c r="Z3340" s="9" t="s">
        <v>8741</v>
      </c>
      <c r="AA3340" s="9" t="s">
        <v>3884</v>
      </c>
    </row>
    <row r="3341" spans="1:28">
      <c r="A3341" s="3" t="s">
        <v>1683</v>
      </c>
      <c r="D3341" s="3" t="s">
        <v>7789</v>
      </c>
      <c r="E3341" s="4" t="s">
        <v>7790</v>
      </c>
      <c r="F3341" t="s">
        <v>3897</v>
      </c>
      <c r="T3341" s="9" t="str">
        <f t="shared" ca="1" si="120"/>
        <v/>
      </c>
      <c r="U3341" s="9" t="str">
        <f t="shared" ca="1" si="121"/>
        <v/>
      </c>
    </row>
    <row r="3342" spans="1:28" ht="145">
      <c r="A3342" s="3" t="s">
        <v>1683</v>
      </c>
      <c r="D3342" s="3" t="s">
        <v>7791</v>
      </c>
      <c r="E3342" s="3" t="s">
        <v>9154</v>
      </c>
      <c r="H3342" t="s">
        <v>3884</v>
      </c>
      <c r="I3342" t="s">
        <v>9155</v>
      </c>
      <c r="J3342" s="9" t="s">
        <v>3885</v>
      </c>
      <c r="K3342" s="9">
        <v>28</v>
      </c>
      <c r="L3342" s="9">
        <v>130</v>
      </c>
      <c r="N3342" s="9" t="s">
        <v>8684</v>
      </c>
      <c r="O3342" s="9" t="s">
        <v>8847</v>
      </c>
      <c r="P3342" s="10" t="s">
        <v>8838</v>
      </c>
      <c r="Q3342" s="9" t="s">
        <v>8691</v>
      </c>
      <c r="R3342" s="9">
        <v>14</v>
      </c>
      <c r="T3342" s="9" t="str">
        <f t="shared" ca="1" si="120"/>
        <v/>
      </c>
      <c r="U3342" s="9" t="str">
        <f t="shared" ca="1" si="121"/>
        <v/>
      </c>
    </row>
    <row r="3343" spans="1:28">
      <c r="A3343" s="3" t="s">
        <v>1684</v>
      </c>
      <c r="D3343" s="3" t="s">
        <v>9539</v>
      </c>
      <c r="E3343" s="3" t="s">
        <v>9539</v>
      </c>
      <c r="F3343" t="s">
        <v>3932</v>
      </c>
      <c r="T3343" s="9" t="str">
        <f t="shared" ca="1" si="120"/>
        <v/>
      </c>
      <c r="U3343" s="9" t="str">
        <f t="shared" ca="1" si="121"/>
        <v/>
      </c>
    </row>
    <row r="3344" spans="1:28">
      <c r="A3344" s="3" t="s">
        <v>1684</v>
      </c>
      <c r="D3344" s="3" t="s">
        <v>9540</v>
      </c>
      <c r="E3344" s="3" t="s">
        <v>9540</v>
      </c>
      <c r="F3344" t="s">
        <v>3932</v>
      </c>
      <c r="T3344" s="9" t="str">
        <f t="shared" ca="1" si="120"/>
        <v/>
      </c>
      <c r="U3344" s="9" t="str">
        <f t="shared" ca="1" si="121"/>
        <v/>
      </c>
    </row>
    <row r="3345" spans="1:28">
      <c r="A3345" s="3" t="s">
        <v>1685</v>
      </c>
      <c r="D3345" s="3" t="s">
        <v>3725</v>
      </c>
      <c r="E3345" s="3" t="s">
        <v>3674</v>
      </c>
      <c r="J3345" s="9" t="s">
        <v>8731</v>
      </c>
      <c r="T3345" s="9" t="str">
        <f t="shared" ca="1" si="120"/>
        <v/>
      </c>
      <c r="U3345" s="9" t="str">
        <f t="shared" ca="1" si="121"/>
        <v/>
      </c>
      <c r="Z3345" s="9" t="s">
        <v>9285</v>
      </c>
      <c r="AA3345" s="9" t="s">
        <v>3884</v>
      </c>
    </row>
    <row r="3346" spans="1:28" ht="29">
      <c r="A3346" s="3" t="s">
        <v>1686</v>
      </c>
      <c r="D3346" s="3" t="s">
        <v>7792</v>
      </c>
      <c r="E3346" s="3" t="s">
        <v>7793</v>
      </c>
      <c r="H3346" t="s">
        <v>3884</v>
      </c>
      <c r="J3346" s="9" t="s">
        <v>3885</v>
      </c>
      <c r="K3346" s="9">
        <v>1</v>
      </c>
      <c r="L3346" s="9">
        <v>1</v>
      </c>
      <c r="M3346" s="9" t="s">
        <v>8705</v>
      </c>
      <c r="N3346" s="9" t="s">
        <v>8730</v>
      </c>
      <c r="R3346" s="9">
        <v>615</v>
      </c>
      <c r="T3346" s="9" t="str">
        <f t="shared" ca="1" si="120"/>
        <v/>
      </c>
      <c r="U3346" s="9" t="str">
        <f t="shared" ca="1" si="121"/>
        <v/>
      </c>
      <c r="AB3346" s="9" t="s">
        <v>8694</v>
      </c>
    </row>
    <row r="3347" spans="1:28" ht="29">
      <c r="A3347" s="3" t="s">
        <v>1686</v>
      </c>
      <c r="D3347" s="3" t="s">
        <v>7794</v>
      </c>
      <c r="E3347" s="3" t="s">
        <v>7795</v>
      </c>
      <c r="F3347" t="s">
        <v>3932</v>
      </c>
      <c r="I3347" t="s">
        <v>2060</v>
      </c>
      <c r="T3347" s="9" t="str">
        <f t="shared" ca="1" si="120"/>
        <v/>
      </c>
      <c r="U3347" s="9" t="str">
        <f t="shared" ca="1" si="121"/>
        <v/>
      </c>
    </row>
    <row r="3348" spans="1:28" ht="29">
      <c r="A3348" s="3" t="s">
        <v>1687</v>
      </c>
      <c r="D3348" s="3" t="s">
        <v>7796</v>
      </c>
      <c r="E3348" s="3" t="s">
        <v>7796</v>
      </c>
      <c r="F3348" t="s">
        <v>3932</v>
      </c>
      <c r="I3348" t="s">
        <v>7797</v>
      </c>
      <c r="T3348" s="9" t="str">
        <f t="shared" ca="1" si="120"/>
        <v/>
      </c>
      <c r="U3348" s="9" t="str">
        <f t="shared" ca="1" si="121"/>
        <v/>
      </c>
    </row>
    <row r="3349" spans="1:28">
      <c r="A3349" s="3" t="s">
        <v>1688</v>
      </c>
      <c r="D3349" s="3" t="s">
        <v>2646</v>
      </c>
      <c r="E3349" s="3" t="s">
        <v>2647</v>
      </c>
      <c r="J3349" s="9" t="s">
        <v>8729</v>
      </c>
      <c r="S3349" s="9" t="s">
        <v>8739</v>
      </c>
      <c r="T3349" s="9" t="str">
        <f t="shared" ca="1" si="120"/>
        <v/>
      </c>
      <c r="U3349" s="9" t="str">
        <f t="shared" ca="1" si="121"/>
        <v/>
      </c>
      <c r="Z3349" s="9" t="s">
        <v>8741</v>
      </c>
      <c r="AA3349" s="9" t="s">
        <v>3884</v>
      </c>
      <c r="AB3349" s="9" t="s">
        <v>8697</v>
      </c>
    </row>
    <row r="3350" spans="1:28" ht="87">
      <c r="A3350" s="3" t="s">
        <v>1689</v>
      </c>
      <c r="D3350" s="3" t="s">
        <v>7800</v>
      </c>
      <c r="E3350" s="3" t="s">
        <v>7801</v>
      </c>
      <c r="F3350" t="s">
        <v>3932</v>
      </c>
      <c r="I3350" t="s">
        <v>1939</v>
      </c>
      <c r="T3350" s="9" t="str">
        <f t="shared" ca="1" si="120"/>
        <v/>
      </c>
      <c r="U3350" s="9" t="str">
        <f t="shared" ca="1" si="121"/>
        <v/>
      </c>
    </row>
    <row r="3351" spans="1:28" ht="87">
      <c r="A3351" s="3" t="s">
        <v>1689</v>
      </c>
      <c r="D3351" s="3" t="s">
        <v>7798</v>
      </c>
      <c r="E3351" s="3" t="s">
        <v>7799</v>
      </c>
      <c r="H3351" t="s">
        <v>3884</v>
      </c>
      <c r="J3351" s="9" t="s">
        <v>8732</v>
      </c>
      <c r="S3351" s="9">
        <f>121-38</f>
        <v>83</v>
      </c>
      <c r="T3351" s="9">
        <f t="shared" ca="1" si="120"/>
        <v>38</v>
      </c>
      <c r="U3351" s="9">
        <f t="shared" ca="1" si="121"/>
        <v>121</v>
      </c>
    </row>
    <row r="3352" spans="1:28">
      <c r="A3352" s="3" t="s">
        <v>1689</v>
      </c>
      <c r="D3352" s="3" t="s">
        <v>7802</v>
      </c>
      <c r="E3352" s="3" t="s">
        <v>7802</v>
      </c>
      <c r="F3352" t="s">
        <v>3932</v>
      </c>
      <c r="I3352" t="s">
        <v>7218</v>
      </c>
      <c r="T3352" s="9" t="str">
        <f t="shared" ca="1" si="120"/>
        <v/>
      </c>
      <c r="U3352" s="9" t="str">
        <f t="shared" ca="1" si="121"/>
        <v/>
      </c>
    </row>
    <row r="3353" spans="1:28">
      <c r="A3353" s="3" t="s">
        <v>1690</v>
      </c>
      <c r="D3353" s="3" t="s">
        <v>7803</v>
      </c>
      <c r="E3353" s="3" t="s">
        <v>7803</v>
      </c>
      <c r="F3353" t="s">
        <v>3932</v>
      </c>
      <c r="I3353" t="s">
        <v>7218</v>
      </c>
      <c r="T3353" s="9" t="str">
        <f t="shared" ca="1" si="120"/>
        <v/>
      </c>
      <c r="U3353" s="9" t="str">
        <f t="shared" ca="1" si="121"/>
        <v/>
      </c>
    </row>
    <row r="3354" spans="1:28">
      <c r="A3354" s="3" t="s">
        <v>1691</v>
      </c>
      <c r="D3354" s="3" t="s">
        <v>3264</v>
      </c>
      <c r="E3354" s="3" t="s">
        <v>3264</v>
      </c>
      <c r="F3354" t="s">
        <v>3932</v>
      </c>
      <c r="I3354" t="s">
        <v>3293</v>
      </c>
      <c r="T3354" s="9" t="str">
        <f t="shared" ca="1" si="120"/>
        <v/>
      </c>
      <c r="U3354" s="9" t="str">
        <f t="shared" ca="1" si="121"/>
        <v/>
      </c>
    </row>
    <row r="3355" spans="1:28">
      <c r="A3355" s="3" t="s">
        <v>1692</v>
      </c>
      <c r="D3355" s="3" t="s">
        <v>7804</v>
      </c>
      <c r="E3355" s="3" t="s">
        <v>7805</v>
      </c>
      <c r="J3355" s="9" t="s">
        <v>3889</v>
      </c>
      <c r="K3355" s="9">
        <v>1</v>
      </c>
      <c r="L3355" s="9">
        <v>1</v>
      </c>
      <c r="M3355" s="9" t="s">
        <v>8689</v>
      </c>
      <c r="N3355" s="9" t="s">
        <v>8730</v>
      </c>
      <c r="R3355" s="9">
        <v>10929</v>
      </c>
      <c r="T3355" s="9" t="str">
        <f t="shared" ca="1" si="120"/>
        <v/>
      </c>
      <c r="U3355" s="9" t="str">
        <f t="shared" ca="1" si="121"/>
        <v/>
      </c>
    </row>
    <row r="3356" spans="1:28">
      <c r="A3356" s="3" t="s">
        <v>1693</v>
      </c>
      <c r="D3356" s="3" t="s">
        <v>7806</v>
      </c>
      <c r="E3356" s="3" t="s">
        <v>7806</v>
      </c>
      <c r="F3356" t="s">
        <v>3932</v>
      </c>
      <c r="I3356" t="s">
        <v>7807</v>
      </c>
      <c r="T3356" s="9" t="str">
        <f t="shared" ca="1" si="120"/>
        <v/>
      </c>
      <c r="U3356" s="9" t="str">
        <f t="shared" ca="1" si="121"/>
        <v/>
      </c>
    </row>
    <row r="3357" spans="1:28">
      <c r="A3357" s="3" t="s">
        <v>1693</v>
      </c>
      <c r="D3357" s="3" t="s">
        <v>7808</v>
      </c>
      <c r="E3357" s="3" t="s">
        <v>3726</v>
      </c>
      <c r="H3357" t="s">
        <v>3884</v>
      </c>
      <c r="J3357" s="9" t="s">
        <v>8729</v>
      </c>
      <c r="S3357" s="9" t="s">
        <v>8739</v>
      </c>
      <c r="T3357" s="9" t="str">
        <f t="shared" ca="1" si="120"/>
        <v/>
      </c>
      <c r="U3357" s="9" t="str">
        <f t="shared" ca="1" si="121"/>
        <v/>
      </c>
      <c r="AB3357" s="9" t="s">
        <v>8688</v>
      </c>
    </row>
    <row r="3358" spans="1:28">
      <c r="A3358" s="3" t="s">
        <v>1693</v>
      </c>
      <c r="D3358" s="3" t="s">
        <v>7809</v>
      </c>
      <c r="E3358" s="3" t="s">
        <v>7810</v>
      </c>
      <c r="J3358" s="9" t="s">
        <v>8729</v>
      </c>
      <c r="S3358" s="9">
        <f>519-329</f>
        <v>190</v>
      </c>
      <c r="T3358" s="9">
        <f t="shared" ca="1" si="120"/>
        <v>329</v>
      </c>
      <c r="U3358" s="9">
        <f t="shared" ca="1" si="121"/>
        <v>519</v>
      </c>
    </row>
    <row r="3359" spans="1:28">
      <c r="A3359" s="3" t="s">
        <v>1693</v>
      </c>
      <c r="D3359" s="3" t="s">
        <v>3219</v>
      </c>
      <c r="E3359" s="3" t="s">
        <v>3219</v>
      </c>
      <c r="F3359" t="s">
        <v>3932</v>
      </c>
      <c r="I3359" t="s">
        <v>7811</v>
      </c>
      <c r="T3359" s="9" t="str">
        <f t="shared" ca="1" si="120"/>
        <v/>
      </c>
      <c r="U3359" s="9" t="str">
        <f t="shared" ca="1" si="121"/>
        <v/>
      </c>
    </row>
    <row r="3360" spans="1:28">
      <c r="A3360" s="3" t="s">
        <v>1693</v>
      </c>
      <c r="D3360" s="3" t="s">
        <v>3727</v>
      </c>
      <c r="E3360" s="3" t="s">
        <v>3728</v>
      </c>
      <c r="F3360" t="s">
        <v>3886</v>
      </c>
      <c r="J3360" s="9" t="s">
        <v>8729</v>
      </c>
      <c r="S3360" s="9" t="s">
        <v>8739</v>
      </c>
      <c r="T3360" s="9" t="str">
        <f t="shared" ca="1" si="120"/>
        <v/>
      </c>
      <c r="U3360" s="9" t="str">
        <f t="shared" ca="1" si="121"/>
        <v/>
      </c>
      <c r="AB3360" s="9" t="s">
        <v>8697</v>
      </c>
    </row>
    <row r="3361" spans="1:28">
      <c r="A3361" s="3" t="s">
        <v>1694</v>
      </c>
      <c r="D3361" s="3" t="s">
        <v>7812</v>
      </c>
      <c r="E3361" s="3" t="s">
        <v>7813</v>
      </c>
      <c r="J3361" s="9" t="s">
        <v>8729</v>
      </c>
      <c r="S3361" s="9">
        <f>33-13</f>
        <v>20</v>
      </c>
      <c r="T3361" s="9">
        <f t="shared" ca="1" si="120"/>
        <v>13</v>
      </c>
      <c r="U3361" s="9">
        <f t="shared" ca="1" si="121"/>
        <v>33</v>
      </c>
    </row>
    <row r="3362" spans="1:28">
      <c r="A3362" s="3" t="s">
        <v>1695</v>
      </c>
      <c r="D3362" s="3" t="s">
        <v>7814</v>
      </c>
      <c r="E3362" s="3" t="s">
        <v>7815</v>
      </c>
      <c r="J3362" s="9" t="s">
        <v>8731</v>
      </c>
      <c r="T3362" s="9" t="str">
        <f t="shared" ca="1" si="120"/>
        <v/>
      </c>
      <c r="U3362" s="9" t="str">
        <f t="shared" ca="1" si="121"/>
        <v/>
      </c>
    </row>
    <row r="3363" spans="1:28">
      <c r="A3363" s="3" t="s">
        <v>1695</v>
      </c>
      <c r="D3363" s="3" t="s">
        <v>3730</v>
      </c>
      <c r="E3363" s="3" t="s">
        <v>3730</v>
      </c>
      <c r="F3363" t="s">
        <v>3932</v>
      </c>
      <c r="I3363" t="s">
        <v>7816</v>
      </c>
      <c r="T3363" s="9" t="str">
        <f t="shared" ca="1" si="120"/>
        <v/>
      </c>
      <c r="U3363" s="9" t="str">
        <f t="shared" ca="1" si="121"/>
        <v/>
      </c>
    </row>
    <row r="3364" spans="1:28">
      <c r="A3364" s="3" t="s">
        <v>1695</v>
      </c>
      <c r="D3364" s="3" t="s">
        <v>2231</v>
      </c>
      <c r="E3364" s="3" t="s">
        <v>2231</v>
      </c>
      <c r="F3364" t="s">
        <v>3932</v>
      </c>
      <c r="I3364" t="s">
        <v>1962</v>
      </c>
      <c r="T3364" s="9" t="str">
        <f t="shared" ca="1" si="120"/>
        <v/>
      </c>
      <c r="U3364" s="9" t="str">
        <f t="shared" ca="1" si="121"/>
        <v/>
      </c>
    </row>
    <row r="3365" spans="1:28">
      <c r="A3365" s="3" t="s">
        <v>1696</v>
      </c>
      <c r="D3365" s="3" t="s">
        <v>7817</v>
      </c>
      <c r="E3365" s="3" t="s">
        <v>7818</v>
      </c>
      <c r="H3365" t="s">
        <v>3884</v>
      </c>
      <c r="J3365" s="9" t="s">
        <v>8729</v>
      </c>
      <c r="S3365" s="9">
        <f>70-26</f>
        <v>44</v>
      </c>
      <c r="T3365" s="9">
        <f t="shared" ca="1" si="120"/>
        <v>26</v>
      </c>
      <c r="U3365" s="9">
        <f t="shared" ca="1" si="121"/>
        <v>70</v>
      </c>
    </row>
    <row r="3366" spans="1:28">
      <c r="A3366" s="3" t="s">
        <v>1696</v>
      </c>
      <c r="D3366" s="3" t="s">
        <v>3731</v>
      </c>
      <c r="E3366" s="3" t="s">
        <v>3731</v>
      </c>
      <c r="F3366" t="s">
        <v>3932</v>
      </c>
      <c r="I3366" t="s">
        <v>7819</v>
      </c>
      <c r="T3366" s="9" t="str">
        <f t="shared" ca="1" si="120"/>
        <v/>
      </c>
      <c r="U3366" s="9" t="str">
        <f t="shared" ca="1" si="121"/>
        <v/>
      </c>
    </row>
    <row r="3367" spans="1:28">
      <c r="A3367" s="3" t="s">
        <v>1696</v>
      </c>
      <c r="D3367" s="3" t="s">
        <v>7820</v>
      </c>
      <c r="E3367" s="3" t="s">
        <v>3732</v>
      </c>
      <c r="F3367" t="s">
        <v>3893</v>
      </c>
      <c r="H3367" t="s">
        <v>3884</v>
      </c>
      <c r="T3367" s="9" t="str">
        <f t="shared" ca="1" si="120"/>
        <v/>
      </c>
      <c r="U3367" s="9" t="str">
        <f t="shared" ca="1" si="121"/>
        <v/>
      </c>
    </row>
    <row r="3368" spans="1:28">
      <c r="A3368" s="3" t="s">
        <v>1697</v>
      </c>
      <c r="D3368" s="3" t="s">
        <v>7821</v>
      </c>
      <c r="E3368" s="3" t="s">
        <v>7821</v>
      </c>
      <c r="F3368" t="s">
        <v>3932</v>
      </c>
      <c r="I3368" t="s">
        <v>7822</v>
      </c>
      <c r="T3368" s="9" t="str">
        <f t="shared" ca="1" si="120"/>
        <v/>
      </c>
      <c r="U3368" s="9" t="str">
        <f t="shared" ca="1" si="121"/>
        <v/>
      </c>
    </row>
    <row r="3369" spans="1:28">
      <c r="A3369" s="3" t="s">
        <v>1698</v>
      </c>
      <c r="D3369" s="3" t="s">
        <v>7823</v>
      </c>
      <c r="E3369" s="3" t="s">
        <v>7823</v>
      </c>
      <c r="F3369" t="s">
        <v>3932</v>
      </c>
      <c r="I3369" t="s">
        <v>7824</v>
      </c>
      <c r="T3369" s="9" t="str">
        <f t="shared" ca="1" si="120"/>
        <v/>
      </c>
      <c r="U3369" s="9" t="str">
        <f t="shared" ca="1" si="121"/>
        <v/>
      </c>
    </row>
    <row r="3370" spans="1:28">
      <c r="A3370" s="3" t="s">
        <v>1698</v>
      </c>
      <c r="D3370" s="3" t="s">
        <v>1982</v>
      </c>
      <c r="E3370" s="3" t="s">
        <v>1983</v>
      </c>
      <c r="J3370" s="9" t="s">
        <v>8731</v>
      </c>
      <c r="T3370" s="9" t="str">
        <f t="shared" ca="1" si="120"/>
        <v/>
      </c>
      <c r="U3370" s="9" t="str">
        <f t="shared" ca="1" si="121"/>
        <v/>
      </c>
      <c r="Z3370" s="9" t="s">
        <v>8742</v>
      </c>
      <c r="AA3370" s="9" t="s">
        <v>3884</v>
      </c>
    </row>
    <row r="3371" spans="1:28">
      <c r="A3371" s="3" t="s">
        <v>1699</v>
      </c>
      <c r="D3371" s="3" t="s">
        <v>3527</v>
      </c>
      <c r="E3371" s="3" t="s">
        <v>3527</v>
      </c>
      <c r="F3371" t="s">
        <v>3932</v>
      </c>
      <c r="I3371" t="s">
        <v>3529</v>
      </c>
      <c r="T3371" s="9" t="str">
        <f t="shared" ca="1" si="120"/>
        <v/>
      </c>
      <c r="U3371" s="9" t="str">
        <f t="shared" ca="1" si="121"/>
        <v/>
      </c>
    </row>
    <row r="3372" spans="1:28">
      <c r="A3372" s="3" t="s">
        <v>1700</v>
      </c>
      <c r="D3372" s="3" t="s">
        <v>7825</v>
      </c>
      <c r="E3372" s="3" t="s">
        <v>7825</v>
      </c>
      <c r="F3372" t="s">
        <v>3932</v>
      </c>
      <c r="I3372" t="s">
        <v>7772</v>
      </c>
      <c r="T3372" s="9" t="str">
        <f t="shared" ca="1" si="120"/>
        <v/>
      </c>
      <c r="U3372" s="9" t="str">
        <f t="shared" ca="1" si="121"/>
        <v/>
      </c>
    </row>
    <row r="3373" spans="1:28">
      <c r="A3373" s="3" t="s">
        <v>1700</v>
      </c>
      <c r="D3373" s="3" t="s">
        <v>7826</v>
      </c>
      <c r="E3373" s="3" t="s">
        <v>7827</v>
      </c>
      <c r="J3373" s="9" t="s">
        <v>8729</v>
      </c>
      <c r="S3373" s="9">
        <f>519-1942</f>
        <v>-1423</v>
      </c>
      <c r="T3373" s="9">
        <f t="shared" ca="1" si="120"/>
        <v>1942</v>
      </c>
      <c r="U3373" s="9">
        <f t="shared" ca="1" si="121"/>
        <v>519</v>
      </c>
      <c r="AB3373" s="9" t="s">
        <v>8697</v>
      </c>
    </row>
    <row r="3374" spans="1:28" ht="29">
      <c r="A3374" s="3" t="s">
        <v>1701</v>
      </c>
      <c r="D3374" s="3" t="s">
        <v>7828</v>
      </c>
      <c r="E3374" s="3" t="s">
        <v>7829</v>
      </c>
      <c r="H3374" t="s">
        <v>3892</v>
      </c>
      <c r="I3374" t="s">
        <v>7830</v>
      </c>
      <c r="J3374" s="9" t="s">
        <v>3885</v>
      </c>
      <c r="K3374" s="9">
        <v>1</v>
      </c>
      <c r="L3374" s="9">
        <v>5</v>
      </c>
      <c r="M3374" s="9" t="s">
        <v>8695</v>
      </c>
      <c r="N3374" s="9" t="s">
        <v>8690</v>
      </c>
      <c r="R3374" s="9">
        <v>99</v>
      </c>
      <c r="T3374" s="9" t="str">
        <f t="shared" ca="1" si="120"/>
        <v/>
      </c>
      <c r="U3374" s="9" t="str">
        <f t="shared" ca="1" si="121"/>
        <v/>
      </c>
    </row>
    <row r="3375" spans="1:28">
      <c r="A3375" s="3" t="s">
        <v>1701</v>
      </c>
      <c r="D3375" s="3" t="s">
        <v>2243</v>
      </c>
      <c r="E3375" s="3" t="s">
        <v>2253</v>
      </c>
      <c r="J3375" s="9" t="s">
        <v>8731</v>
      </c>
      <c r="T3375" s="9" t="str">
        <f t="shared" ca="1" si="120"/>
        <v/>
      </c>
      <c r="U3375" s="9" t="str">
        <f t="shared" ca="1" si="121"/>
        <v/>
      </c>
      <c r="Z3375" s="9" t="s">
        <v>9280</v>
      </c>
      <c r="AA3375" s="9" t="s">
        <v>3884</v>
      </c>
    </row>
    <row r="3376" spans="1:28">
      <c r="A3376" s="3" t="s">
        <v>1701</v>
      </c>
      <c r="D3376" s="3" t="s">
        <v>7831</v>
      </c>
      <c r="E3376" s="3" t="s">
        <v>3733</v>
      </c>
      <c r="H3376" t="s">
        <v>3884</v>
      </c>
      <c r="J3376" s="9" t="s">
        <v>8729</v>
      </c>
      <c r="S3376" s="9" t="s">
        <v>8739</v>
      </c>
      <c r="T3376" s="9" t="str">
        <f t="shared" ca="1" si="120"/>
        <v/>
      </c>
      <c r="U3376" s="9" t="str">
        <f t="shared" ca="1" si="121"/>
        <v/>
      </c>
      <c r="AB3376" s="9" t="s">
        <v>8688</v>
      </c>
    </row>
    <row r="3377" spans="1:28">
      <c r="A3377" s="3" t="s">
        <v>1702</v>
      </c>
      <c r="D3377" s="3" t="s">
        <v>7832</v>
      </c>
      <c r="E3377" s="3" t="s">
        <v>7833</v>
      </c>
      <c r="J3377" s="9" t="s">
        <v>8729</v>
      </c>
      <c r="S3377" s="9">
        <f>520-10929</f>
        <v>-10409</v>
      </c>
      <c r="T3377" s="9">
        <f t="shared" ca="1" si="120"/>
        <v>10929</v>
      </c>
      <c r="U3377" s="9">
        <f t="shared" ca="1" si="121"/>
        <v>520</v>
      </c>
      <c r="AB3377" s="9" t="s">
        <v>8700</v>
      </c>
    </row>
    <row r="3378" spans="1:28">
      <c r="A3378" s="3" t="s">
        <v>1702</v>
      </c>
      <c r="D3378" s="3" t="s">
        <v>7834</v>
      </c>
      <c r="E3378" s="3" t="s">
        <v>7835</v>
      </c>
      <c r="I3378" t="s">
        <v>9264</v>
      </c>
      <c r="J3378" s="9" t="s">
        <v>8729</v>
      </c>
      <c r="S3378" s="9">
        <f>329-519</f>
        <v>-190</v>
      </c>
      <c r="T3378" s="9">
        <f t="shared" ca="1" si="120"/>
        <v>519</v>
      </c>
      <c r="U3378" s="9">
        <f t="shared" ca="1" si="121"/>
        <v>329</v>
      </c>
      <c r="V3378" s="9" t="s">
        <v>8728</v>
      </c>
    </row>
    <row r="3379" spans="1:28">
      <c r="A3379" s="3" t="s">
        <v>1703</v>
      </c>
      <c r="D3379" s="3" t="s">
        <v>7836</v>
      </c>
      <c r="E3379" s="3" t="s">
        <v>7837</v>
      </c>
      <c r="I3379" t="s">
        <v>9265</v>
      </c>
      <c r="J3379" s="9" t="s">
        <v>8729</v>
      </c>
      <c r="S3379" s="9">
        <f>3678-79</f>
        <v>3599</v>
      </c>
      <c r="T3379" s="9">
        <f t="shared" ca="1" si="120"/>
        <v>79</v>
      </c>
      <c r="U3379" s="9">
        <f t="shared" ca="1" si="121"/>
        <v>3678</v>
      </c>
      <c r="V3379" s="9" t="s">
        <v>8728</v>
      </c>
    </row>
    <row r="3380" spans="1:28">
      <c r="A3380" s="3" t="s">
        <v>1703</v>
      </c>
      <c r="D3380" s="3" t="s">
        <v>3638</v>
      </c>
      <c r="E3380" s="3" t="s">
        <v>3607</v>
      </c>
      <c r="J3380" s="9" t="s">
        <v>8732</v>
      </c>
      <c r="S3380" s="9">
        <f>92-0</f>
        <v>92</v>
      </c>
      <c r="T3380" s="9">
        <f t="shared" ca="1" si="120"/>
        <v>0</v>
      </c>
      <c r="U3380" s="9">
        <f t="shared" ca="1" si="121"/>
        <v>92</v>
      </c>
      <c r="Z3380" s="9" t="s">
        <v>8757</v>
      </c>
      <c r="AA3380" s="9" t="s">
        <v>3884</v>
      </c>
      <c r="AB3380" s="9" t="s">
        <v>8700</v>
      </c>
    </row>
    <row r="3381" spans="1:28">
      <c r="A3381" s="3" t="s">
        <v>1704</v>
      </c>
      <c r="D3381" s="3" t="s">
        <v>7836</v>
      </c>
      <c r="E3381" s="3" t="s">
        <v>7836</v>
      </c>
      <c r="F3381" t="s">
        <v>3932</v>
      </c>
      <c r="I3381" t="s">
        <v>7218</v>
      </c>
      <c r="T3381" s="9" t="str">
        <f t="shared" ca="1" si="120"/>
        <v/>
      </c>
      <c r="U3381" s="9" t="str">
        <f t="shared" ca="1" si="121"/>
        <v/>
      </c>
    </row>
    <row r="3382" spans="1:28">
      <c r="A3382" s="3" t="s">
        <v>1704</v>
      </c>
      <c r="D3382" s="3" t="s">
        <v>7838</v>
      </c>
      <c r="E3382" s="3" t="s">
        <v>7839</v>
      </c>
      <c r="J3382" s="9" t="s">
        <v>3889</v>
      </c>
      <c r="K3382" s="9">
        <v>1</v>
      </c>
      <c r="L3382" s="9">
        <v>3</v>
      </c>
      <c r="M3382" s="9" t="s">
        <v>8703</v>
      </c>
      <c r="N3382" s="9" t="s">
        <v>8690</v>
      </c>
      <c r="R3382" s="9">
        <v>627</v>
      </c>
      <c r="T3382" s="9" t="str">
        <f t="shared" ca="1" si="120"/>
        <v/>
      </c>
      <c r="U3382" s="9" t="str">
        <f t="shared" ca="1" si="121"/>
        <v/>
      </c>
    </row>
    <row r="3383" spans="1:28">
      <c r="A3383" s="3" t="s">
        <v>1704</v>
      </c>
      <c r="D3383" s="3" t="s">
        <v>7840</v>
      </c>
      <c r="E3383" s="3" t="s">
        <v>7841</v>
      </c>
      <c r="H3383" t="s">
        <v>3884</v>
      </c>
      <c r="J3383" s="9" t="s">
        <v>8729</v>
      </c>
      <c r="S3383" s="9">
        <f>26-206</f>
        <v>-180</v>
      </c>
      <c r="T3383" s="9">
        <f t="shared" ca="1" si="120"/>
        <v>206</v>
      </c>
      <c r="U3383" s="9">
        <f t="shared" ca="1" si="121"/>
        <v>26</v>
      </c>
    </row>
    <row r="3384" spans="1:28">
      <c r="A3384" s="3" t="s">
        <v>1704</v>
      </c>
      <c r="D3384" s="3" t="s">
        <v>7842</v>
      </c>
      <c r="E3384" s="3" t="s">
        <v>7843</v>
      </c>
      <c r="J3384" s="9" t="s">
        <v>3889</v>
      </c>
      <c r="K3384" s="9">
        <v>1</v>
      </c>
      <c r="L3384" s="9">
        <v>6</v>
      </c>
      <c r="M3384" s="9" t="s">
        <v>8703</v>
      </c>
      <c r="N3384" s="9" t="s">
        <v>8690</v>
      </c>
      <c r="R3384" s="9">
        <v>15</v>
      </c>
      <c r="T3384" s="9" t="str">
        <f t="shared" ca="1" si="120"/>
        <v/>
      </c>
      <c r="U3384" s="9" t="str">
        <f t="shared" ca="1" si="121"/>
        <v/>
      </c>
    </row>
    <row r="3385" spans="1:28" ht="29">
      <c r="A3385" s="3" t="s">
        <v>1704</v>
      </c>
      <c r="D3385" s="3" t="s">
        <v>7844</v>
      </c>
      <c r="E3385" s="3" t="s">
        <v>7845</v>
      </c>
      <c r="I3385" t="s">
        <v>8865</v>
      </c>
      <c r="J3385" s="9" t="s">
        <v>3894</v>
      </c>
      <c r="T3385" s="9" t="str">
        <f t="shared" ca="1" si="120"/>
        <v/>
      </c>
      <c r="U3385" s="9" t="str">
        <f t="shared" ca="1" si="121"/>
        <v/>
      </c>
    </row>
    <row r="3386" spans="1:28">
      <c r="A3386" s="3" t="s">
        <v>1705</v>
      </c>
      <c r="D3386" s="3" t="s">
        <v>3735</v>
      </c>
      <c r="E3386" s="3" t="s">
        <v>3735</v>
      </c>
      <c r="F3386" t="s">
        <v>3932</v>
      </c>
      <c r="I3386" t="s">
        <v>7846</v>
      </c>
      <c r="T3386" s="9" t="str">
        <f t="shared" ca="1" si="120"/>
        <v/>
      </c>
      <c r="U3386" s="9" t="str">
        <f t="shared" ca="1" si="121"/>
        <v/>
      </c>
    </row>
    <row r="3387" spans="1:28">
      <c r="A3387" s="3" t="s">
        <v>1706</v>
      </c>
      <c r="D3387" s="3" t="s">
        <v>7847</v>
      </c>
      <c r="E3387" s="3" t="s">
        <v>7848</v>
      </c>
      <c r="F3387" t="s">
        <v>3893</v>
      </c>
      <c r="J3387" s="9" t="s">
        <v>3885</v>
      </c>
      <c r="K3387" s="9">
        <v>1</v>
      </c>
      <c r="L3387" s="9">
        <v>4</v>
      </c>
      <c r="M3387" s="9" t="s">
        <v>8703</v>
      </c>
      <c r="N3387" s="9" t="s">
        <v>8684</v>
      </c>
      <c r="O3387" s="9" t="s">
        <v>8771</v>
      </c>
      <c r="P3387" s="10" t="s">
        <v>8778</v>
      </c>
      <c r="R3387" s="9">
        <v>335</v>
      </c>
      <c r="T3387" s="9" t="str">
        <f t="shared" ca="1" si="120"/>
        <v/>
      </c>
      <c r="U3387" s="9" t="str">
        <f t="shared" ca="1" si="121"/>
        <v/>
      </c>
    </row>
    <row r="3388" spans="1:28">
      <c r="A3388" s="3" t="s">
        <v>1706</v>
      </c>
      <c r="D3388" s="3" t="s">
        <v>7849</v>
      </c>
      <c r="E3388" s="3" t="s">
        <v>7850</v>
      </c>
      <c r="H3388" t="s">
        <v>3884</v>
      </c>
      <c r="J3388" s="9" t="s">
        <v>8729</v>
      </c>
      <c r="S3388" s="9">
        <f>79-3678</f>
        <v>-3599</v>
      </c>
      <c r="T3388" s="9">
        <f t="shared" ca="1" si="120"/>
        <v>3678</v>
      </c>
      <c r="U3388" s="9">
        <f t="shared" ca="1" si="121"/>
        <v>79</v>
      </c>
    </row>
    <row r="3389" spans="1:28">
      <c r="A3389" s="3" t="s">
        <v>1706</v>
      </c>
      <c r="D3389" s="4" t="s">
        <v>7851</v>
      </c>
      <c r="E3389" s="3" t="s">
        <v>7852</v>
      </c>
      <c r="F3389" t="s">
        <v>3883</v>
      </c>
      <c r="I3389" t="s">
        <v>7853</v>
      </c>
      <c r="T3389" s="9" t="str">
        <f t="shared" ca="1" si="120"/>
        <v/>
      </c>
      <c r="U3389" s="9" t="str">
        <f t="shared" ca="1" si="121"/>
        <v/>
      </c>
    </row>
    <row r="3390" spans="1:28">
      <c r="A3390" s="3" t="s">
        <v>1707</v>
      </c>
      <c r="D3390" s="3" t="s">
        <v>3150</v>
      </c>
      <c r="E3390" s="3" t="s">
        <v>3150</v>
      </c>
      <c r="F3390" t="s">
        <v>3932</v>
      </c>
      <c r="I3390" t="s">
        <v>7854</v>
      </c>
      <c r="T3390" s="9" t="str">
        <f t="shared" ca="1" si="120"/>
        <v/>
      </c>
      <c r="U3390" s="9" t="str">
        <f t="shared" ca="1" si="121"/>
        <v/>
      </c>
    </row>
    <row r="3391" spans="1:28">
      <c r="A3391" s="3" t="s">
        <v>1708</v>
      </c>
      <c r="D3391" s="3" t="s">
        <v>7855</v>
      </c>
      <c r="E3391" s="3" t="s">
        <v>7856</v>
      </c>
      <c r="H3391" t="s">
        <v>3884</v>
      </c>
      <c r="J3391" s="9" t="s">
        <v>3889</v>
      </c>
      <c r="K3391" s="9">
        <v>1</v>
      </c>
      <c r="L3391" s="9">
        <v>1</v>
      </c>
      <c r="M3391" s="9" t="s">
        <v>8689</v>
      </c>
      <c r="N3391" s="9" t="s">
        <v>8730</v>
      </c>
      <c r="R3391" s="9">
        <v>10929</v>
      </c>
      <c r="T3391" s="9" t="str">
        <f t="shared" ca="1" si="120"/>
        <v/>
      </c>
      <c r="U3391" s="9" t="str">
        <f t="shared" ca="1" si="121"/>
        <v/>
      </c>
    </row>
    <row r="3392" spans="1:28">
      <c r="A3392" s="3" t="s">
        <v>1708</v>
      </c>
      <c r="D3392" s="3" t="s">
        <v>7857</v>
      </c>
      <c r="E3392" s="3" t="s">
        <v>7857</v>
      </c>
      <c r="F3392" t="s">
        <v>3932</v>
      </c>
      <c r="I3392" t="s">
        <v>7858</v>
      </c>
      <c r="T3392" s="9" t="str">
        <f t="shared" ca="1" si="120"/>
        <v/>
      </c>
      <c r="U3392" s="9" t="str">
        <f t="shared" ca="1" si="121"/>
        <v/>
      </c>
    </row>
    <row r="3393" spans="1:28">
      <c r="A3393" s="3" t="s">
        <v>1709</v>
      </c>
      <c r="D3393" s="3" t="s">
        <v>7859</v>
      </c>
      <c r="E3393" s="3" t="s">
        <v>7860</v>
      </c>
      <c r="J3393" s="9" t="s">
        <v>8729</v>
      </c>
      <c r="S3393" s="9" t="s">
        <v>8739</v>
      </c>
      <c r="T3393" s="9" t="str">
        <f t="shared" ca="1" si="120"/>
        <v/>
      </c>
      <c r="U3393" s="9" t="str">
        <f t="shared" ca="1" si="121"/>
        <v/>
      </c>
      <c r="AB3393" s="9" t="s">
        <v>8697</v>
      </c>
    </row>
    <row r="3394" spans="1:28">
      <c r="A3394" s="3" t="s">
        <v>1709</v>
      </c>
      <c r="D3394" s="3" t="s">
        <v>7861</v>
      </c>
      <c r="E3394" s="3" t="s">
        <v>7861</v>
      </c>
      <c r="F3394" t="s">
        <v>3932</v>
      </c>
      <c r="I3394" t="s">
        <v>7862</v>
      </c>
      <c r="T3394" s="9" t="str">
        <f t="shared" ca="1" si="120"/>
        <v/>
      </c>
      <c r="U3394" s="9" t="str">
        <f t="shared" ca="1" si="121"/>
        <v/>
      </c>
    </row>
    <row r="3395" spans="1:28">
      <c r="A3395" s="3" t="s">
        <v>1710</v>
      </c>
      <c r="D3395" s="3" t="s">
        <v>7863</v>
      </c>
      <c r="E3395" s="3" t="s">
        <v>7863</v>
      </c>
      <c r="F3395" t="s">
        <v>3932</v>
      </c>
      <c r="I3395" t="s">
        <v>7864</v>
      </c>
      <c r="T3395" s="9" t="str">
        <f t="shared" ref="T3395:T3459" ca="1" si="122">IF(ISNUMBER(S3395),VALUE(MID(_xlfn.FORMULATEXT(S3395),SEARCH("-",_xlfn.FORMULATEXT(S3395))+1,LEN(_xlfn.FORMULATEXT(S3395))-SEARCH("-",_xlfn.FORMULATEXT(S3395)))), "")</f>
        <v/>
      </c>
      <c r="U3395" s="9" t="str">
        <f t="shared" ref="U3395:U3459" ca="1" si="123">IF(ISNUMBER(S3395), VALUE(MID(_xlfn.FORMULATEXT(S3395), 2, SEARCH("-", _xlfn.FORMULATEXT(S3395)) - 2)), "")</f>
        <v/>
      </c>
    </row>
    <row r="3396" spans="1:28" ht="29">
      <c r="A3396" s="3" t="s">
        <v>1710</v>
      </c>
      <c r="D3396" s="3" t="s">
        <v>7865</v>
      </c>
      <c r="E3396" s="3" t="s">
        <v>7866</v>
      </c>
      <c r="F3396" t="s">
        <v>3932</v>
      </c>
      <c r="I3396" t="s">
        <v>7867</v>
      </c>
      <c r="T3396" s="9" t="str">
        <f t="shared" ca="1" si="122"/>
        <v/>
      </c>
      <c r="U3396" s="9" t="str">
        <f t="shared" ca="1" si="123"/>
        <v/>
      </c>
    </row>
    <row r="3397" spans="1:28">
      <c r="A3397" s="3" t="s">
        <v>1711</v>
      </c>
      <c r="D3397" s="3" t="s">
        <v>7868</v>
      </c>
      <c r="E3397" s="3" t="s">
        <v>7869</v>
      </c>
      <c r="H3397" t="s">
        <v>3884</v>
      </c>
      <c r="J3397" s="9" t="s">
        <v>3885</v>
      </c>
      <c r="K3397" s="9">
        <v>1</v>
      </c>
      <c r="L3397" s="9">
        <v>3</v>
      </c>
      <c r="M3397" s="9" t="s">
        <v>8705</v>
      </c>
      <c r="N3397" s="9" t="s">
        <v>8690</v>
      </c>
      <c r="R3397" s="9">
        <v>1443</v>
      </c>
      <c r="T3397" s="9" t="str">
        <f t="shared" ca="1" si="122"/>
        <v/>
      </c>
      <c r="U3397" s="9" t="str">
        <f t="shared" ca="1" si="123"/>
        <v/>
      </c>
    </row>
    <row r="3398" spans="1:28">
      <c r="A3398" s="3" t="s">
        <v>1711</v>
      </c>
      <c r="D3398" s="3" t="s">
        <v>1997</v>
      </c>
      <c r="E3398" s="3" t="s">
        <v>3010</v>
      </c>
      <c r="J3398" s="9" t="s">
        <v>8731</v>
      </c>
      <c r="T3398" s="9" t="str">
        <f t="shared" ca="1" si="122"/>
        <v/>
      </c>
      <c r="U3398" s="9" t="str">
        <f t="shared" ca="1" si="123"/>
        <v/>
      </c>
      <c r="Z3398" s="9" t="s">
        <v>9279</v>
      </c>
      <c r="AA3398" s="9" t="s">
        <v>3884</v>
      </c>
    </row>
    <row r="3399" spans="1:28">
      <c r="A3399" s="3" t="s">
        <v>1711</v>
      </c>
      <c r="D3399" s="3" t="s">
        <v>3736</v>
      </c>
      <c r="E3399" s="3" t="s">
        <v>3737</v>
      </c>
      <c r="J3399" s="9" t="s">
        <v>8729</v>
      </c>
      <c r="S3399" s="9" t="s">
        <v>8739</v>
      </c>
      <c r="T3399" s="9" t="str">
        <f t="shared" ca="1" si="122"/>
        <v/>
      </c>
      <c r="U3399" s="9" t="str">
        <f t="shared" ca="1" si="123"/>
        <v/>
      </c>
      <c r="Z3399" s="9" t="s">
        <v>8741</v>
      </c>
      <c r="AA3399" s="9" t="s">
        <v>3884</v>
      </c>
      <c r="AB3399" s="9" t="s">
        <v>8697</v>
      </c>
    </row>
    <row r="3400" spans="1:28">
      <c r="A3400" s="3" t="s">
        <v>1712</v>
      </c>
      <c r="D3400" s="3" t="s">
        <v>3738</v>
      </c>
      <c r="E3400" s="3" t="s">
        <v>3739</v>
      </c>
      <c r="J3400" s="9" t="s">
        <v>8729</v>
      </c>
      <c r="S3400" s="9">
        <f>34-0</f>
        <v>34</v>
      </c>
      <c r="T3400" s="9">
        <f t="shared" ca="1" si="122"/>
        <v>0</v>
      </c>
      <c r="U3400" s="9">
        <f t="shared" ca="1" si="123"/>
        <v>34</v>
      </c>
    </row>
    <row r="3401" spans="1:28">
      <c r="A3401" s="3" t="s">
        <v>1713</v>
      </c>
      <c r="D3401" s="3" t="s">
        <v>3649</v>
      </c>
      <c r="E3401" s="3" t="s">
        <v>3649</v>
      </c>
      <c r="F3401" t="s">
        <v>3932</v>
      </c>
      <c r="I3401" t="s">
        <v>7870</v>
      </c>
      <c r="T3401" s="9" t="str">
        <f t="shared" ca="1" si="122"/>
        <v/>
      </c>
      <c r="U3401" s="9" t="str">
        <f t="shared" ca="1" si="123"/>
        <v/>
      </c>
    </row>
    <row r="3402" spans="1:28">
      <c r="A3402" s="3" t="s">
        <v>1714</v>
      </c>
      <c r="D3402" s="3" t="s">
        <v>7871</v>
      </c>
      <c r="E3402" s="3" t="s">
        <v>7871</v>
      </c>
      <c r="F3402" t="s">
        <v>3932</v>
      </c>
      <c r="I3402" t="s">
        <v>7872</v>
      </c>
      <c r="T3402" s="9" t="str">
        <f t="shared" ca="1" si="122"/>
        <v/>
      </c>
      <c r="U3402" s="9" t="str">
        <f t="shared" ca="1" si="123"/>
        <v/>
      </c>
    </row>
    <row r="3403" spans="1:28">
      <c r="A3403" s="3" t="s">
        <v>1714</v>
      </c>
      <c r="D3403" s="3" t="s">
        <v>7873</v>
      </c>
      <c r="E3403" s="3" t="s">
        <v>7874</v>
      </c>
      <c r="H3403" t="s">
        <v>3892</v>
      </c>
      <c r="I3403" t="s">
        <v>7875</v>
      </c>
      <c r="J3403" s="9" t="s">
        <v>3885</v>
      </c>
      <c r="K3403" s="9">
        <v>1</v>
      </c>
      <c r="L3403" s="9">
        <v>3</v>
      </c>
      <c r="M3403" s="9" t="s">
        <v>8689</v>
      </c>
      <c r="N3403" s="9" t="s">
        <v>8690</v>
      </c>
      <c r="R3403" s="9">
        <v>10929</v>
      </c>
      <c r="T3403" s="9" t="str">
        <f t="shared" ca="1" si="122"/>
        <v/>
      </c>
      <c r="U3403" s="9" t="str">
        <f t="shared" ca="1" si="123"/>
        <v/>
      </c>
    </row>
    <row r="3404" spans="1:28">
      <c r="A3404" s="3" t="s">
        <v>1714</v>
      </c>
      <c r="D3404" s="3" t="s">
        <v>7876</v>
      </c>
      <c r="E3404" s="3" t="s">
        <v>7877</v>
      </c>
      <c r="H3404" t="s">
        <v>3884</v>
      </c>
      <c r="J3404" s="9" t="s">
        <v>3885</v>
      </c>
      <c r="K3404" s="9">
        <v>1</v>
      </c>
      <c r="L3404" s="9">
        <v>2</v>
      </c>
      <c r="M3404" s="9" t="s">
        <v>8705</v>
      </c>
      <c r="N3404" s="9" t="s">
        <v>8730</v>
      </c>
      <c r="R3404" s="9">
        <v>615</v>
      </c>
      <c r="T3404" s="9" t="str">
        <f t="shared" ca="1" si="122"/>
        <v/>
      </c>
      <c r="U3404" s="9" t="str">
        <f t="shared" ca="1" si="123"/>
        <v/>
      </c>
      <c r="AB3404" s="9" t="s">
        <v>8694</v>
      </c>
    </row>
    <row r="3405" spans="1:28">
      <c r="A3405" s="3" t="s">
        <v>1714</v>
      </c>
      <c r="D3405" s="3" t="s">
        <v>1997</v>
      </c>
      <c r="E3405" s="3" t="s">
        <v>3010</v>
      </c>
      <c r="J3405" s="9" t="s">
        <v>8731</v>
      </c>
      <c r="T3405" s="9" t="str">
        <f t="shared" ca="1" si="122"/>
        <v/>
      </c>
      <c r="U3405" s="9" t="str">
        <f t="shared" ca="1" si="123"/>
        <v/>
      </c>
      <c r="Z3405" s="9" t="s">
        <v>9279</v>
      </c>
      <c r="AA3405" s="9" t="s">
        <v>3884</v>
      </c>
    </row>
    <row r="3406" spans="1:28">
      <c r="A3406" s="3" t="s">
        <v>1715</v>
      </c>
      <c r="D3406" s="3" t="s">
        <v>3734</v>
      </c>
      <c r="E3406" s="3" t="s">
        <v>3740</v>
      </c>
      <c r="H3406" t="s">
        <v>3884</v>
      </c>
      <c r="J3406" s="9" t="s">
        <v>8729</v>
      </c>
      <c r="S3406" s="9" t="s">
        <v>8730</v>
      </c>
      <c r="T3406" s="9" t="str">
        <f t="shared" ca="1" si="122"/>
        <v/>
      </c>
      <c r="U3406" s="9" t="str">
        <f t="shared" ca="1" si="123"/>
        <v/>
      </c>
      <c r="Y3406" s="9" t="s">
        <v>8735</v>
      </c>
      <c r="AA3406" s="9" t="s">
        <v>3884</v>
      </c>
    </row>
    <row r="3407" spans="1:28">
      <c r="A3407" s="3" t="s">
        <v>1716</v>
      </c>
      <c r="D3407" s="3" t="s">
        <v>7879</v>
      </c>
      <c r="E3407" s="3" t="s">
        <v>7880</v>
      </c>
      <c r="J3407" s="9" t="s">
        <v>8731</v>
      </c>
      <c r="T3407" s="9" t="str">
        <f t="shared" ca="1" si="122"/>
        <v/>
      </c>
      <c r="U3407" s="9" t="str">
        <f t="shared" ca="1" si="123"/>
        <v/>
      </c>
      <c r="AB3407" s="9" t="s">
        <v>8697</v>
      </c>
    </row>
    <row r="3408" spans="1:28">
      <c r="A3408" s="3" t="s">
        <v>1716</v>
      </c>
      <c r="D3408" s="3" t="s">
        <v>7878</v>
      </c>
      <c r="E3408" s="3" t="s">
        <v>7881</v>
      </c>
      <c r="H3408" t="s">
        <v>3884</v>
      </c>
      <c r="J3408" s="9" t="s">
        <v>3885</v>
      </c>
      <c r="K3408" s="9">
        <v>1</v>
      </c>
      <c r="L3408" s="9">
        <v>2</v>
      </c>
      <c r="M3408" s="9" t="s">
        <v>8734</v>
      </c>
      <c r="N3408" s="9" t="s">
        <v>8730</v>
      </c>
      <c r="R3408" s="9" t="s">
        <v>8730</v>
      </c>
      <c r="T3408" s="9" t="str">
        <f t="shared" ca="1" si="122"/>
        <v/>
      </c>
      <c r="U3408" s="9" t="str">
        <f t="shared" ca="1" si="123"/>
        <v/>
      </c>
      <c r="AB3408" s="9" t="s">
        <v>8688</v>
      </c>
    </row>
    <row r="3409" spans="1:28">
      <c r="A3409" s="3" t="s">
        <v>1716</v>
      </c>
      <c r="D3409" s="3" t="s">
        <v>7882</v>
      </c>
      <c r="E3409" s="3" t="s">
        <v>3741</v>
      </c>
      <c r="J3409" s="9" t="s">
        <v>8731</v>
      </c>
      <c r="T3409" s="9" t="str">
        <f t="shared" ca="1" si="122"/>
        <v/>
      </c>
      <c r="U3409" s="9" t="str">
        <f t="shared" ca="1" si="123"/>
        <v/>
      </c>
    </row>
    <row r="3410" spans="1:28" ht="188.5">
      <c r="A3410" s="3" t="s">
        <v>1717</v>
      </c>
      <c r="D3410" s="3" t="s">
        <v>7884</v>
      </c>
      <c r="E3410" s="3" t="s">
        <v>7883</v>
      </c>
      <c r="I3410" t="s">
        <v>9266</v>
      </c>
      <c r="J3410" s="9" t="s">
        <v>8729</v>
      </c>
      <c r="S3410" s="9">
        <f>4-8</f>
        <v>-4</v>
      </c>
      <c r="T3410" s="9">
        <f t="shared" ca="1" si="122"/>
        <v>8</v>
      </c>
      <c r="U3410" s="9">
        <f t="shared" ca="1" si="123"/>
        <v>4</v>
      </c>
      <c r="V3410" s="9" t="s">
        <v>8728</v>
      </c>
    </row>
    <row r="3411" spans="1:28" ht="203">
      <c r="A3411" s="3" t="s">
        <v>1717</v>
      </c>
      <c r="D3411" s="3" t="s">
        <v>7885</v>
      </c>
      <c r="E3411" s="3" t="s">
        <v>7886</v>
      </c>
      <c r="F3411" t="s">
        <v>3932</v>
      </c>
      <c r="T3411" s="9" t="str">
        <f t="shared" ca="1" si="122"/>
        <v/>
      </c>
      <c r="U3411" s="9" t="str">
        <f t="shared" ca="1" si="123"/>
        <v/>
      </c>
    </row>
    <row r="3412" spans="1:28">
      <c r="A3412" s="3" t="s">
        <v>1717</v>
      </c>
      <c r="D3412" s="3" t="s">
        <v>7887</v>
      </c>
      <c r="E3412" s="3" t="s">
        <v>7888</v>
      </c>
      <c r="G3412" t="s">
        <v>3884</v>
      </c>
      <c r="J3412" s="9" t="s">
        <v>8731</v>
      </c>
      <c r="T3412" s="9" t="str">
        <f t="shared" ca="1" si="122"/>
        <v/>
      </c>
      <c r="U3412" s="9" t="str">
        <f t="shared" ca="1" si="123"/>
        <v/>
      </c>
      <c r="AB3412" s="9" t="s">
        <v>8697</v>
      </c>
    </row>
    <row r="3413" spans="1:28">
      <c r="A3413" s="3" t="s">
        <v>1718</v>
      </c>
      <c r="D3413" s="3" t="s">
        <v>2653</v>
      </c>
      <c r="E3413" s="3" t="s">
        <v>2653</v>
      </c>
      <c r="F3413" t="s">
        <v>3897</v>
      </c>
      <c r="I3413" t="s">
        <v>2622</v>
      </c>
      <c r="T3413" s="9" t="str">
        <f t="shared" ca="1" si="122"/>
        <v/>
      </c>
      <c r="U3413" s="9" t="str">
        <f t="shared" ca="1" si="123"/>
        <v/>
      </c>
    </row>
    <row r="3414" spans="1:28">
      <c r="A3414" s="3" t="s">
        <v>1718</v>
      </c>
      <c r="D3414" s="3" t="s">
        <v>3742</v>
      </c>
      <c r="E3414" s="3" t="s">
        <v>3743</v>
      </c>
      <c r="J3414" s="9" t="s">
        <v>8731</v>
      </c>
      <c r="T3414" s="9" t="str">
        <f t="shared" ca="1" si="122"/>
        <v/>
      </c>
      <c r="U3414" s="9" t="str">
        <f t="shared" ca="1" si="123"/>
        <v/>
      </c>
      <c r="Z3414" s="9" t="s">
        <v>8741</v>
      </c>
      <c r="AA3414" s="9" t="s">
        <v>3884</v>
      </c>
    </row>
    <row r="3415" spans="1:28" ht="29">
      <c r="A3415" s="3" t="s">
        <v>1718</v>
      </c>
      <c r="D3415" s="3" t="s">
        <v>7889</v>
      </c>
      <c r="E3415" s="3" t="s">
        <v>7890</v>
      </c>
      <c r="J3415" s="9" t="s">
        <v>3889</v>
      </c>
      <c r="K3415" s="9">
        <v>1</v>
      </c>
      <c r="L3415" s="9">
        <v>4</v>
      </c>
      <c r="M3415" s="9" t="s">
        <v>8689</v>
      </c>
      <c r="N3415" s="9" t="s">
        <v>8690</v>
      </c>
      <c r="R3415" s="9">
        <v>10929</v>
      </c>
      <c r="T3415" s="9" t="str">
        <f t="shared" ca="1" si="122"/>
        <v/>
      </c>
      <c r="U3415" s="9" t="str">
        <f t="shared" ca="1" si="123"/>
        <v/>
      </c>
    </row>
    <row r="3416" spans="1:28">
      <c r="A3416" s="3" t="s">
        <v>1719</v>
      </c>
      <c r="D3416" s="3" t="s">
        <v>7891</v>
      </c>
      <c r="E3416" s="3" t="s">
        <v>7892</v>
      </c>
      <c r="J3416" s="9" t="s">
        <v>3889</v>
      </c>
      <c r="K3416" s="9">
        <v>1</v>
      </c>
      <c r="L3416" s="9">
        <v>1</v>
      </c>
      <c r="M3416" s="9" t="s">
        <v>8689</v>
      </c>
      <c r="N3416" s="9" t="s">
        <v>8730</v>
      </c>
      <c r="R3416" s="9">
        <v>10929</v>
      </c>
      <c r="T3416" s="9" t="str">
        <f t="shared" ca="1" si="122"/>
        <v/>
      </c>
      <c r="U3416" s="9" t="str">
        <f t="shared" ca="1" si="123"/>
        <v/>
      </c>
    </row>
    <row r="3417" spans="1:28">
      <c r="A3417" s="3" t="s">
        <v>1720</v>
      </c>
      <c r="D3417" s="3" t="s">
        <v>7893</v>
      </c>
      <c r="E3417" s="3" t="s">
        <v>7894</v>
      </c>
      <c r="H3417" t="s">
        <v>3884</v>
      </c>
      <c r="J3417" s="9" t="s">
        <v>3885</v>
      </c>
      <c r="K3417" s="9">
        <v>1</v>
      </c>
      <c r="L3417" s="9">
        <v>3</v>
      </c>
      <c r="M3417" s="9" t="s">
        <v>8698</v>
      </c>
      <c r="N3417" s="9" t="s">
        <v>8690</v>
      </c>
      <c r="R3417" s="9">
        <v>57</v>
      </c>
      <c r="T3417" s="9" t="str">
        <f t="shared" ca="1" si="122"/>
        <v/>
      </c>
      <c r="U3417" s="9" t="str">
        <f t="shared" ca="1" si="123"/>
        <v/>
      </c>
    </row>
    <row r="3418" spans="1:28">
      <c r="A3418" s="3" t="s">
        <v>1720</v>
      </c>
      <c r="D3418" s="3" t="s">
        <v>7895</v>
      </c>
      <c r="E3418" s="3" t="s">
        <v>7896</v>
      </c>
      <c r="J3418" s="9" t="s">
        <v>8729</v>
      </c>
      <c r="S3418" s="9">
        <f>50-128</f>
        <v>-78</v>
      </c>
      <c r="T3418" s="9">
        <f t="shared" ca="1" si="122"/>
        <v>128</v>
      </c>
      <c r="U3418" s="9">
        <f t="shared" ca="1" si="123"/>
        <v>50</v>
      </c>
    </row>
    <row r="3419" spans="1:28" ht="29">
      <c r="A3419" s="3" t="s">
        <v>1720</v>
      </c>
      <c r="D3419" s="3" t="s">
        <v>7897</v>
      </c>
      <c r="E3419" s="3" t="s">
        <v>7898</v>
      </c>
      <c r="J3419" s="9" t="s">
        <v>8729</v>
      </c>
      <c r="S3419" s="9">
        <f>991-615</f>
        <v>376</v>
      </c>
      <c r="T3419" s="9">
        <f t="shared" ca="1" si="122"/>
        <v>615</v>
      </c>
      <c r="U3419" s="9">
        <f t="shared" ca="1" si="123"/>
        <v>991</v>
      </c>
      <c r="AB3419" s="9" t="s">
        <v>8700</v>
      </c>
    </row>
    <row r="3420" spans="1:28">
      <c r="A3420" s="3" t="s">
        <v>1720</v>
      </c>
      <c r="D3420" s="3" t="s">
        <v>7899</v>
      </c>
      <c r="E3420" s="3" t="s">
        <v>7900</v>
      </c>
      <c r="J3420" s="9" t="s">
        <v>3889</v>
      </c>
      <c r="K3420" s="9">
        <v>1</v>
      </c>
      <c r="L3420" s="9">
        <v>3</v>
      </c>
      <c r="M3420" s="9" t="s">
        <v>8698</v>
      </c>
      <c r="N3420" s="9" t="s">
        <v>8690</v>
      </c>
      <c r="R3420" s="9">
        <v>9418</v>
      </c>
      <c r="T3420" s="9" t="str">
        <f t="shared" ca="1" si="122"/>
        <v/>
      </c>
      <c r="U3420" s="9" t="str">
        <f t="shared" ca="1" si="123"/>
        <v/>
      </c>
    </row>
    <row r="3421" spans="1:28" ht="29">
      <c r="A3421" s="3" t="s">
        <v>1721</v>
      </c>
      <c r="D3421" s="3" t="s">
        <v>7901</v>
      </c>
      <c r="E3421" s="3" t="s">
        <v>7902</v>
      </c>
      <c r="H3421" t="s">
        <v>3888</v>
      </c>
      <c r="I3421" t="s">
        <v>9713</v>
      </c>
      <c r="J3421" s="9" t="s">
        <v>8729</v>
      </c>
      <c r="S3421" s="9" t="s">
        <v>8739</v>
      </c>
      <c r="T3421" s="9" t="str">
        <f t="shared" ca="1" si="122"/>
        <v/>
      </c>
      <c r="U3421" s="9" t="str">
        <f t="shared" ca="1" si="123"/>
        <v/>
      </c>
      <c r="AB3421" s="9" t="s">
        <v>8688</v>
      </c>
    </row>
    <row r="3422" spans="1:28">
      <c r="A3422" s="3" t="s">
        <v>1722</v>
      </c>
      <c r="D3422" s="3" t="s">
        <v>3744</v>
      </c>
      <c r="E3422" s="3" t="s">
        <v>3745</v>
      </c>
      <c r="J3422" s="9" t="s">
        <v>8731</v>
      </c>
      <c r="T3422" s="9" t="str">
        <f t="shared" ca="1" si="122"/>
        <v/>
      </c>
      <c r="U3422" s="9" t="str">
        <f t="shared" ca="1" si="123"/>
        <v/>
      </c>
      <c r="Z3422" s="9" t="s">
        <v>9280</v>
      </c>
      <c r="AA3422" s="9" t="s">
        <v>3884</v>
      </c>
    </row>
    <row r="3423" spans="1:28">
      <c r="A3423" s="3" t="s">
        <v>1722</v>
      </c>
      <c r="D3423" s="3" t="s">
        <v>7903</v>
      </c>
      <c r="E3423" s="3" t="s">
        <v>7904</v>
      </c>
      <c r="J3423" s="9" t="s">
        <v>8729</v>
      </c>
      <c r="S3423" s="9">
        <f>58-1</f>
        <v>57</v>
      </c>
      <c r="T3423" s="9">
        <f t="shared" ca="1" si="122"/>
        <v>1</v>
      </c>
      <c r="U3423" s="9">
        <f t="shared" ca="1" si="123"/>
        <v>58</v>
      </c>
    </row>
    <row r="3424" spans="1:28">
      <c r="A3424" s="3" t="s">
        <v>1722</v>
      </c>
      <c r="D3424" s="4" t="s">
        <v>3746</v>
      </c>
      <c r="E3424" s="3" t="s">
        <v>3747</v>
      </c>
      <c r="F3424" t="s">
        <v>4196</v>
      </c>
      <c r="H3424" t="s">
        <v>3884</v>
      </c>
      <c r="I3424" t="s">
        <v>7905</v>
      </c>
      <c r="J3424" s="9" t="s">
        <v>8729</v>
      </c>
      <c r="Q3424" s="9" t="s">
        <v>8685</v>
      </c>
      <c r="S3424" s="9" t="s">
        <v>8739</v>
      </c>
      <c r="T3424" s="9" t="str">
        <f t="shared" ca="1" si="122"/>
        <v/>
      </c>
      <c r="U3424" s="9" t="str">
        <f t="shared" ca="1" si="123"/>
        <v/>
      </c>
      <c r="AB3424" s="9" t="s">
        <v>8688</v>
      </c>
    </row>
    <row r="3425" spans="1:28">
      <c r="A3425" s="3" t="s">
        <v>1723</v>
      </c>
      <c r="D3425" s="3" t="s">
        <v>3748</v>
      </c>
      <c r="E3425" s="3" t="s">
        <v>3749</v>
      </c>
      <c r="J3425" s="9" t="s">
        <v>8729</v>
      </c>
      <c r="S3425" s="9">
        <f>2-6</f>
        <v>-4</v>
      </c>
      <c r="T3425" s="9">
        <f t="shared" ca="1" si="122"/>
        <v>6</v>
      </c>
      <c r="U3425" s="9">
        <f t="shared" ca="1" si="123"/>
        <v>2</v>
      </c>
    </row>
    <row r="3426" spans="1:28">
      <c r="A3426" s="3" t="s">
        <v>1724</v>
      </c>
      <c r="D3426" s="3" t="s">
        <v>7906</v>
      </c>
      <c r="E3426" s="3" t="s">
        <v>7907</v>
      </c>
      <c r="H3426" t="s">
        <v>3884</v>
      </c>
      <c r="J3426" s="9" t="s">
        <v>3885</v>
      </c>
      <c r="K3426" s="9">
        <v>1</v>
      </c>
      <c r="L3426" s="9">
        <v>6</v>
      </c>
      <c r="M3426" s="9" t="s">
        <v>8736</v>
      </c>
      <c r="N3426" s="9" t="s">
        <v>8690</v>
      </c>
      <c r="R3426" s="9">
        <v>251</v>
      </c>
      <c r="T3426" s="9" t="str">
        <f t="shared" ca="1" si="122"/>
        <v/>
      </c>
      <c r="U3426" s="9" t="str">
        <f t="shared" ca="1" si="123"/>
        <v/>
      </c>
    </row>
    <row r="3427" spans="1:28">
      <c r="A3427" s="3" t="s">
        <v>1724</v>
      </c>
      <c r="D3427" s="3" t="s">
        <v>7908</v>
      </c>
      <c r="E3427" s="3" t="s">
        <v>7909</v>
      </c>
      <c r="F3427" t="s">
        <v>3932</v>
      </c>
      <c r="I3427" t="s">
        <v>4261</v>
      </c>
      <c r="T3427" s="9" t="str">
        <f t="shared" ca="1" si="122"/>
        <v/>
      </c>
      <c r="U3427" s="9" t="str">
        <f t="shared" ca="1" si="123"/>
        <v/>
      </c>
    </row>
    <row r="3428" spans="1:28">
      <c r="A3428" s="3" t="s">
        <v>1725</v>
      </c>
      <c r="D3428" s="3" t="s">
        <v>3591</v>
      </c>
      <c r="E3428" s="3" t="s">
        <v>3591</v>
      </c>
      <c r="F3428" t="s">
        <v>3932</v>
      </c>
      <c r="I3428" t="s">
        <v>7910</v>
      </c>
      <c r="T3428" s="9" t="str">
        <f t="shared" ca="1" si="122"/>
        <v/>
      </c>
      <c r="U3428" s="9" t="str">
        <f t="shared" ca="1" si="123"/>
        <v/>
      </c>
    </row>
    <row r="3429" spans="1:28">
      <c r="A3429" s="3" t="s">
        <v>1726</v>
      </c>
      <c r="D3429" s="3" t="s">
        <v>3591</v>
      </c>
      <c r="E3429" s="3" t="s">
        <v>3591</v>
      </c>
      <c r="F3429" t="s">
        <v>3932</v>
      </c>
      <c r="I3429" t="s">
        <v>7911</v>
      </c>
      <c r="T3429" s="9" t="str">
        <f t="shared" ca="1" si="122"/>
        <v/>
      </c>
      <c r="U3429" s="9" t="str">
        <f t="shared" ca="1" si="123"/>
        <v/>
      </c>
    </row>
    <row r="3430" spans="1:28">
      <c r="A3430" s="3" t="s">
        <v>1726</v>
      </c>
      <c r="D3430" s="3" t="s">
        <v>7913</v>
      </c>
      <c r="E3430" s="4" t="s">
        <v>7912</v>
      </c>
      <c r="F3430" t="s">
        <v>3897</v>
      </c>
      <c r="T3430" s="9" t="str">
        <f t="shared" ca="1" si="122"/>
        <v/>
      </c>
      <c r="U3430" s="9" t="str">
        <f t="shared" ca="1" si="123"/>
        <v/>
      </c>
    </row>
    <row r="3431" spans="1:28">
      <c r="A3431" s="3" t="s">
        <v>1727</v>
      </c>
      <c r="D3431" s="4" t="s">
        <v>3750</v>
      </c>
      <c r="E3431" s="3" t="s">
        <v>2233</v>
      </c>
      <c r="F3431" t="s">
        <v>3883</v>
      </c>
      <c r="T3431" s="9" t="str">
        <f t="shared" ca="1" si="122"/>
        <v/>
      </c>
      <c r="U3431" s="9" t="str">
        <f t="shared" ca="1" si="123"/>
        <v/>
      </c>
    </row>
    <row r="3432" spans="1:28">
      <c r="A3432" s="3" t="s">
        <v>1727</v>
      </c>
      <c r="D3432" s="3" t="s">
        <v>3628</v>
      </c>
      <c r="E3432" s="3" t="s">
        <v>3751</v>
      </c>
      <c r="H3432" t="s">
        <v>3884</v>
      </c>
      <c r="J3432" s="9" t="s">
        <v>8729</v>
      </c>
      <c r="S3432" s="9" t="s">
        <v>8739</v>
      </c>
      <c r="T3432" s="9" t="str">
        <f t="shared" ca="1" si="122"/>
        <v/>
      </c>
      <c r="U3432" s="9" t="str">
        <f t="shared" ca="1" si="123"/>
        <v/>
      </c>
      <c r="AB3432" s="9" t="s">
        <v>8688</v>
      </c>
    </row>
    <row r="3433" spans="1:28">
      <c r="A3433" s="3" t="s">
        <v>1728</v>
      </c>
      <c r="D3433" s="3" t="s">
        <v>1997</v>
      </c>
      <c r="E3433" s="3" t="s">
        <v>3010</v>
      </c>
      <c r="J3433" s="9" t="s">
        <v>8731</v>
      </c>
      <c r="T3433" s="9" t="str">
        <f t="shared" ca="1" si="122"/>
        <v/>
      </c>
      <c r="U3433" s="9" t="str">
        <f t="shared" ca="1" si="123"/>
        <v/>
      </c>
      <c r="Z3433" s="9" t="s">
        <v>9279</v>
      </c>
      <c r="AA3433" s="9" t="s">
        <v>3884</v>
      </c>
    </row>
    <row r="3434" spans="1:28">
      <c r="A3434" s="3" t="s">
        <v>1729</v>
      </c>
      <c r="D3434" s="3" t="s">
        <v>7914</v>
      </c>
      <c r="E3434" s="3" t="s">
        <v>7914</v>
      </c>
      <c r="F3434" t="s">
        <v>3932</v>
      </c>
      <c r="I3434" t="s">
        <v>7916</v>
      </c>
      <c r="T3434" s="9" t="str">
        <f t="shared" ca="1" si="122"/>
        <v/>
      </c>
      <c r="U3434" s="9" t="str">
        <f t="shared" ca="1" si="123"/>
        <v/>
      </c>
    </row>
    <row r="3435" spans="1:28">
      <c r="A3435" s="3" t="s">
        <v>1729</v>
      </c>
      <c r="D3435" s="3" t="s">
        <v>7915</v>
      </c>
      <c r="E3435" s="3" t="s">
        <v>7915</v>
      </c>
      <c r="F3435" t="s">
        <v>3932</v>
      </c>
      <c r="I3435" t="s">
        <v>7917</v>
      </c>
      <c r="T3435" s="9" t="str">
        <f t="shared" ca="1" si="122"/>
        <v/>
      </c>
      <c r="U3435" s="9" t="str">
        <f t="shared" ca="1" si="123"/>
        <v/>
      </c>
    </row>
    <row r="3436" spans="1:28">
      <c r="A3436" s="3" t="s">
        <v>1729</v>
      </c>
      <c r="D3436" s="3" t="s">
        <v>7918</v>
      </c>
      <c r="E3436" s="3" t="s">
        <v>7919</v>
      </c>
      <c r="F3436" t="s">
        <v>3893</v>
      </c>
      <c r="H3436" t="s">
        <v>3892</v>
      </c>
      <c r="I3436" t="s">
        <v>3597</v>
      </c>
      <c r="T3436" s="9" t="str">
        <f t="shared" ca="1" si="122"/>
        <v/>
      </c>
      <c r="U3436" s="9" t="str">
        <f t="shared" ca="1" si="123"/>
        <v/>
      </c>
    </row>
    <row r="3437" spans="1:28">
      <c r="A3437" s="3" t="s">
        <v>1730</v>
      </c>
      <c r="D3437" s="3" t="s">
        <v>7920</v>
      </c>
      <c r="E3437" s="3" t="s">
        <v>5590</v>
      </c>
      <c r="H3437" t="s">
        <v>3884</v>
      </c>
      <c r="J3437" s="9" t="s">
        <v>8729</v>
      </c>
      <c r="S3437" s="9">
        <f xml:space="preserve"> 1485-1443</f>
        <v>42</v>
      </c>
      <c r="T3437" s="9">
        <f t="shared" ca="1" si="122"/>
        <v>1443</v>
      </c>
      <c r="U3437" s="9">
        <f t="shared" ca="1" si="123"/>
        <v>1485</v>
      </c>
    </row>
    <row r="3438" spans="1:28">
      <c r="A3438" s="3" t="s">
        <v>1731</v>
      </c>
      <c r="D3438" s="3" t="s">
        <v>2369</v>
      </c>
      <c r="E3438" s="4" t="s">
        <v>3752</v>
      </c>
      <c r="F3438" t="s">
        <v>3897</v>
      </c>
      <c r="T3438" s="9" t="str">
        <f t="shared" ca="1" si="122"/>
        <v/>
      </c>
      <c r="U3438" s="9" t="str">
        <f t="shared" ca="1" si="123"/>
        <v/>
      </c>
    </row>
    <row r="3439" spans="1:28" ht="29">
      <c r="A3439" s="3" t="s">
        <v>1731</v>
      </c>
      <c r="D3439" s="3" t="s">
        <v>7921</v>
      </c>
      <c r="E3439" s="3" t="s">
        <v>7922</v>
      </c>
      <c r="H3439" t="s">
        <v>3884</v>
      </c>
      <c r="J3439" s="9" t="s">
        <v>3885</v>
      </c>
      <c r="K3439" s="9">
        <v>1</v>
      </c>
      <c r="L3439" s="9">
        <v>2</v>
      </c>
      <c r="M3439" s="9" t="s">
        <v>8703</v>
      </c>
      <c r="N3439" s="9" t="s">
        <v>8730</v>
      </c>
      <c r="R3439" s="9">
        <v>1225</v>
      </c>
      <c r="T3439" s="9" t="str">
        <f t="shared" ca="1" si="122"/>
        <v/>
      </c>
      <c r="U3439" s="9" t="str">
        <f t="shared" ca="1" si="123"/>
        <v/>
      </c>
    </row>
    <row r="3440" spans="1:28" ht="29">
      <c r="A3440" s="3" t="s">
        <v>1731</v>
      </c>
      <c r="D3440" s="3" t="s">
        <v>7923</v>
      </c>
      <c r="E3440" s="3" t="s">
        <v>7924</v>
      </c>
      <c r="H3440" t="s">
        <v>3884</v>
      </c>
      <c r="J3440" s="9" t="s">
        <v>8731</v>
      </c>
      <c r="T3440" s="9" t="str">
        <f t="shared" ca="1" si="122"/>
        <v/>
      </c>
      <c r="U3440" s="9" t="str">
        <f t="shared" ca="1" si="123"/>
        <v/>
      </c>
      <c r="AB3440" s="9" t="s">
        <v>8688</v>
      </c>
    </row>
    <row r="3441" spans="1:28" ht="29">
      <c r="A3441" s="3" t="s">
        <v>1731</v>
      </c>
      <c r="D3441" s="4" t="s">
        <v>7921</v>
      </c>
      <c r="E3441" s="3" t="s">
        <v>9541</v>
      </c>
      <c r="F3441" t="s">
        <v>4196</v>
      </c>
      <c r="H3441" t="s">
        <v>3884</v>
      </c>
      <c r="I3441" t="s">
        <v>9542</v>
      </c>
      <c r="J3441" s="9" t="s">
        <v>3889</v>
      </c>
      <c r="K3441" s="9">
        <v>1</v>
      </c>
      <c r="L3441" s="9">
        <v>2</v>
      </c>
      <c r="M3441" s="9" t="s">
        <v>8734</v>
      </c>
      <c r="N3441" s="9" t="s">
        <v>8730</v>
      </c>
      <c r="R3441" s="9">
        <v>120</v>
      </c>
      <c r="T3441" s="9" t="str">
        <f t="shared" ref="T3441" ca="1" si="124">IF(ISNUMBER(S3441),VALUE(MID(_xlfn.FORMULATEXT(S3441),SEARCH("-",_xlfn.FORMULATEXT(S3441))+1,LEN(_xlfn.FORMULATEXT(S3441))-SEARCH("-",_xlfn.FORMULATEXT(S3441)))), "")</f>
        <v/>
      </c>
      <c r="U3441" s="9" t="str">
        <f t="shared" ref="U3441" ca="1" si="125">IF(ISNUMBER(S3441), VALUE(MID(_xlfn.FORMULATEXT(S3441), 2, SEARCH("-", _xlfn.FORMULATEXT(S3441)) - 2)), "")</f>
        <v/>
      </c>
      <c r="AB3441" s="9" t="s">
        <v>8688</v>
      </c>
    </row>
    <row r="3442" spans="1:28">
      <c r="A3442" s="3" t="s">
        <v>1731</v>
      </c>
      <c r="D3442" s="3" t="s">
        <v>2420</v>
      </c>
      <c r="E3442" s="3" t="s">
        <v>2421</v>
      </c>
      <c r="J3442" s="9" t="s">
        <v>8731</v>
      </c>
      <c r="T3442" s="9" t="str">
        <f t="shared" ca="1" si="122"/>
        <v/>
      </c>
      <c r="U3442" s="9" t="str">
        <f t="shared" ca="1" si="123"/>
        <v/>
      </c>
      <c r="Z3442" s="9" t="s">
        <v>8741</v>
      </c>
      <c r="AA3442" s="9" t="s">
        <v>3884</v>
      </c>
    </row>
    <row r="3443" spans="1:28">
      <c r="A3443" s="3" t="s">
        <v>1731</v>
      </c>
      <c r="D3443" s="3" t="s">
        <v>3753</v>
      </c>
      <c r="E3443" s="3" t="s">
        <v>3753</v>
      </c>
      <c r="F3443" t="s">
        <v>3932</v>
      </c>
      <c r="I3443" t="s">
        <v>3218</v>
      </c>
      <c r="T3443" s="9" t="str">
        <f t="shared" ca="1" si="122"/>
        <v/>
      </c>
      <c r="U3443" s="9" t="str">
        <f t="shared" ca="1" si="123"/>
        <v/>
      </c>
    </row>
    <row r="3444" spans="1:28">
      <c r="A3444" s="3" t="s">
        <v>1732</v>
      </c>
      <c r="D3444" s="3" t="s">
        <v>7925</v>
      </c>
      <c r="E3444" s="3" t="s">
        <v>7925</v>
      </c>
      <c r="F3444" t="s">
        <v>3932</v>
      </c>
      <c r="I3444" t="s">
        <v>7927</v>
      </c>
      <c r="T3444" s="9" t="str">
        <f t="shared" ca="1" si="122"/>
        <v/>
      </c>
      <c r="U3444" s="9" t="str">
        <f t="shared" ca="1" si="123"/>
        <v/>
      </c>
    </row>
    <row r="3445" spans="1:28">
      <c r="A3445" s="3" t="s">
        <v>1732</v>
      </c>
      <c r="D3445" s="3" t="s">
        <v>7926</v>
      </c>
      <c r="E3445" s="3" t="s">
        <v>7926</v>
      </c>
      <c r="F3445" t="s">
        <v>3932</v>
      </c>
      <c r="I3445" t="s">
        <v>7927</v>
      </c>
      <c r="T3445" s="9" t="str">
        <f t="shared" ca="1" si="122"/>
        <v/>
      </c>
      <c r="U3445" s="9" t="str">
        <f t="shared" ca="1" si="123"/>
        <v/>
      </c>
    </row>
    <row r="3446" spans="1:28">
      <c r="A3446" s="3" t="s">
        <v>1732</v>
      </c>
      <c r="D3446" s="3" t="s">
        <v>3596</v>
      </c>
      <c r="E3446" s="3" t="s">
        <v>3596</v>
      </c>
      <c r="F3446" t="s">
        <v>3932</v>
      </c>
      <c r="I3446" t="s">
        <v>3600</v>
      </c>
      <c r="T3446" s="9" t="str">
        <f t="shared" ca="1" si="122"/>
        <v/>
      </c>
      <c r="U3446" s="9" t="str">
        <f t="shared" ca="1" si="123"/>
        <v/>
      </c>
    </row>
    <row r="3447" spans="1:28" ht="29">
      <c r="A3447" s="3" t="s">
        <v>1733</v>
      </c>
      <c r="D3447" s="3" t="s">
        <v>7928</v>
      </c>
      <c r="E3447" s="3" t="s">
        <v>7929</v>
      </c>
      <c r="F3447" t="s">
        <v>3932</v>
      </c>
      <c r="I3447" t="s">
        <v>2329</v>
      </c>
      <c r="T3447" s="9" t="str">
        <f t="shared" ca="1" si="122"/>
        <v/>
      </c>
      <c r="U3447" s="9" t="str">
        <f t="shared" ca="1" si="123"/>
        <v/>
      </c>
    </row>
    <row r="3448" spans="1:28" ht="29">
      <c r="A3448" s="3" t="s">
        <v>1733</v>
      </c>
      <c r="D3448" s="3" t="s">
        <v>7930</v>
      </c>
      <c r="E3448" s="3" t="s">
        <v>7931</v>
      </c>
      <c r="H3448" t="s">
        <v>3884</v>
      </c>
      <c r="J3448" s="9" t="s">
        <v>8729</v>
      </c>
      <c r="S3448" s="9" t="s">
        <v>8739</v>
      </c>
      <c r="T3448" s="9" t="str">
        <f t="shared" ca="1" si="122"/>
        <v/>
      </c>
      <c r="U3448" s="9" t="str">
        <f t="shared" ca="1" si="123"/>
        <v/>
      </c>
      <c r="Y3448" s="9" t="s">
        <v>8735</v>
      </c>
      <c r="Z3448" s="9" t="s">
        <v>8742</v>
      </c>
      <c r="AA3448" s="9" t="s">
        <v>3884</v>
      </c>
    </row>
    <row r="3449" spans="1:28" ht="29">
      <c r="A3449" s="3" t="s">
        <v>1733</v>
      </c>
      <c r="D3449" s="3" t="s">
        <v>7932</v>
      </c>
      <c r="E3449" s="3" t="s">
        <v>7933</v>
      </c>
      <c r="J3449" s="9" t="s">
        <v>8729</v>
      </c>
      <c r="S3449" s="9" t="s">
        <v>8739</v>
      </c>
      <c r="T3449" s="9" t="str">
        <f t="shared" ca="1" si="122"/>
        <v/>
      </c>
      <c r="U3449" s="9" t="str">
        <f t="shared" ca="1" si="123"/>
        <v/>
      </c>
      <c r="Y3449" s="9" t="s">
        <v>8735</v>
      </c>
      <c r="AA3449" s="9" t="s">
        <v>3884</v>
      </c>
    </row>
    <row r="3450" spans="1:28" ht="29">
      <c r="A3450" s="3" t="s">
        <v>1733</v>
      </c>
      <c r="D3450" s="3" t="s">
        <v>7934</v>
      </c>
      <c r="E3450" s="3" t="s">
        <v>7935</v>
      </c>
      <c r="H3450" t="s">
        <v>3884</v>
      </c>
      <c r="J3450" s="9" t="s">
        <v>8731</v>
      </c>
      <c r="T3450" s="9" t="str">
        <f t="shared" ca="1" si="122"/>
        <v/>
      </c>
      <c r="U3450" s="9" t="str">
        <f t="shared" ca="1" si="123"/>
        <v/>
      </c>
      <c r="AB3450" s="9" t="s">
        <v>8688</v>
      </c>
    </row>
    <row r="3451" spans="1:28">
      <c r="A3451" s="3" t="s">
        <v>1733</v>
      </c>
      <c r="D3451" s="3" t="s">
        <v>7936</v>
      </c>
      <c r="E3451" s="3" t="s">
        <v>7937</v>
      </c>
      <c r="J3451" s="9" t="s">
        <v>8731</v>
      </c>
      <c r="T3451" s="9" t="str">
        <f t="shared" ca="1" si="122"/>
        <v/>
      </c>
      <c r="U3451" s="9" t="str">
        <f t="shared" ca="1" si="123"/>
        <v/>
      </c>
      <c r="Z3451" s="9" t="s">
        <v>8742</v>
      </c>
      <c r="AA3451" s="9" t="s">
        <v>3884</v>
      </c>
    </row>
    <row r="3452" spans="1:28">
      <c r="A3452" s="3" t="s">
        <v>1733</v>
      </c>
      <c r="D3452" s="3" t="s">
        <v>7938</v>
      </c>
      <c r="E3452" s="3" t="s">
        <v>7939</v>
      </c>
      <c r="J3452" s="9" t="s">
        <v>8731</v>
      </c>
      <c r="T3452" s="9" t="str">
        <f t="shared" ca="1" si="122"/>
        <v/>
      </c>
      <c r="U3452" s="9" t="str">
        <f t="shared" ca="1" si="123"/>
        <v/>
      </c>
      <c r="AB3452" s="9" t="s">
        <v>8700</v>
      </c>
    </row>
    <row r="3453" spans="1:28">
      <c r="A3453" s="3" t="s">
        <v>1733</v>
      </c>
      <c r="D3453" s="3" t="s">
        <v>2082</v>
      </c>
      <c r="E3453" s="3" t="s">
        <v>2082</v>
      </c>
      <c r="F3453" t="s">
        <v>3932</v>
      </c>
      <c r="I3453" t="s">
        <v>2099</v>
      </c>
      <c r="T3453" s="9" t="str">
        <f t="shared" ca="1" si="122"/>
        <v/>
      </c>
      <c r="U3453" s="9" t="str">
        <f t="shared" ca="1" si="123"/>
        <v/>
      </c>
    </row>
    <row r="3454" spans="1:28">
      <c r="A3454" s="3" t="s">
        <v>1733</v>
      </c>
      <c r="D3454" s="3" t="s">
        <v>3617</v>
      </c>
      <c r="E3454" s="3" t="s">
        <v>3617</v>
      </c>
      <c r="F3454" t="s">
        <v>3932</v>
      </c>
      <c r="I3454" t="s">
        <v>3601</v>
      </c>
      <c r="T3454" s="9" t="str">
        <f t="shared" ca="1" si="122"/>
        <v/>
      </c>
      <c r="U3454" s="9" t="str">
        <f t="shared" ca="1" si="123"/>
        <v/>
      </c>
    </row>
    <row r="3455" spans="1:28">
      <c r="A3455" s="3" t="s">
        <v>1734</v>
      </c>
      <c r="D3455" s="3" t="s">
        <v>7940</v>
      </c>
      <c r="E3455" s="3" t="s">
        <v>7940</v>
      </c>
      <c r="F3455" t="s">
        <v>3932</v>
      </c>
      <c r="I3455" t="s">
        <v>7941</v>
      </c>
      <c r="T3455" s="9" t="str">
        <f t="shared" ca="1" si="122"/>
        <v/>
      </c>
      <c r="U3455" s="9" t="str">
        <f t="shared" ca="1" si="123"/>
        <v/>
      </c>
    </row>
    <row r="3456" spans="1:28" ht="174">
      <c r="A3456" s="3" t="s">
        <v>1735</v>
      </c>
      <c r="D3456" s="3" t="s">
        <v>7942</v>
      </c>
      <c r="E3456" s="3" t="s">
        <v>7943</v>
      </c>
      <c r="F3456" t="s">
        <v>3932</v>
      </c>
      <c r="I3456" t="s">
        <v>7944</v>
      </c>
      <c r="T3456" s="9" t="str">
        <f t="shared" ca="1" si="122"/>
        <v/>
      </c>
      <c r="U3456" s="9" t="str">
        <f t="shared" ca="1" si="123"/>
        <v/>
      </c>
    </row>
    <row r="3457" spans="1:28" ht="159.5">
      <c r="A3457" s="3" t="s">
        <v>1735</v>
      </c>
      <c r="D3457" s="3" t="s">
        <v>7945</v>
      </c>
      <c r="E3457" s="3" t="s">
        <v>7946</v>
      </c>
      <c r="F3457" t="s">
        <v>3932</v>
      </c>
      <c r="I3457" t="s">
        <v>3858</v>
      </c>
      <c r="T3457" s="9" t="str">
        <f t="shared" ca="1" si="122"/>
        <v/>
      </c>
      <c r="U3457" s="9" t="str">
        <f t="shared" ca="1" si="123"/>
        <v/>
      </c>
    </row>
    <row r="3458" spans="1:28">
      <c r="A3458" s="3" t="s">
        <v>1735</v>
      </c>
      <c r="D3458" s="3" t="s">
        <v>7947</v>
      </c>
      <c r="E3458" s="3" t="s">
        <v>7947</v>
      </c>
      <c r="F3458" t="s">
        <v>3932</v>
      </c>
      <c r="I3458" t="s">
        <v>7948</v>
      </c>
      <c r="T3458" s="9" t="str">
        <f t="shared" ca="1" si="122"/>
        <v/>
      </c>
      <c r="U3458" s="9" t="str">
        <f t="shared" ca="1" si="123"/>
        <v/>
      </c>
    </row>
    <row r="3459" spans="1:28">
      <c r="A3459" s="3" t="s">
        <v>1736</v>
      </c>
      <c r="D3459" s="3" t="s">
        <v>7949</v>
      </c>
      <c r="E3459" s="3" t="s">
        <v>7950</v>
      </c>
      <c r="F3459" t="s">
        <v>3893</v>
      </c>
      <c r="H3459" t="s">
        <v>3884</v>
      </c>
      <c r="T3459" s="9" t="str">
        <f t="shared" ca="1" si="122"/>
        <v/>
      </c>
      <c r="U3459" s="9" t="str">
        <f t="shared" ca="1" si="123"/>
        <v/>
      </c>
    </row>
    <row r="3460" spans="1:28">
      <c r="A3460" s="3" t="s">
        <v>1736</v>
      </c>
      <c r="D3460" s="3" t="s">
        <v>7951</v>
      </c>
      <c r="E3460" s="3" t="s">
        <v>3754</v>
      </c>
      <c r="H3460" t="s">
        <v>3884</v>
      </c>
      <c r="J3460" s="9" t="s">
        <v>8731</v>
      </c>
      <c r="T3460" s="9" t="str">
        <f t="shared" ref="T3460:T3523" ca="1" si="126">IF(ISNUMBER(S3460),VALUE(MID(_xlfn.FORMULATEXT(S3460),SEARCH("-",_xlfn.FORMULATEXT(S3460))+1,LEN(_xlfn.FORMULATEXT(S3460))-SEARCH("-",_xlfn.FORMULATEXT(S3460)))), "")</f>
        <v/>
      </c>
      <c r="U3460" s="9" t="str">
        <f t="shared" ref="U3460:U3523" ca="1" si="127">IF(ISNUMBER(S3460), VALUE(MID(_xlfn.FORMULATEXT(S3460), 2, SEARCH("-", _xlfn.FORMULATEXT(S3460)) - 2)), "")</f>
        <v/>
      </c>
    </row>
    <row r="3461" spans="1:28" ht="43.5">
      <c r="A3461" s="3" t="s">
        <v>1736</v>
      </c>
      <c r="D3461" s="3" t="s">
        <v>7952</v>
      </c>
      <c r="E3461" s="3" t="s">
        <v>7952</v>
      </c>
      <c r="F3461" t="s">
        <v>3932</v>
      </c>
      <c r="I3461" t="s">
        <v>7953</v>
      </c>
      <c r="T3461" s="9" t="str">
        <f t="shared" ca="1" si="126"/>
        <v/>
      </c>
      <c r="U3461" s="9" t="str">
        <f t="shared" ca="1" si="127"/>
        <v/>
      </c>
    </row>
    <row r="3462" spans="1:28">
      <c r="A3462" s="3" t="s">
        <v>1737</v>
      </c>
      <c r="D3462" s="3" t="s">
        <v>7954</v>
      </c>
      <c r="E3462" s="3" t="s">
        <v>7955</v>
      </c>
      <c r="J3462" s="9" t="s">
        <v>3889</v>
      </c>
      <c r="K3462" s="9">
        <v>1</v>
      </c>
      <c r="L3462" s="9">
        <v>1</v>
      </c>
      <c r="M3462" s="9" t="s">
        <v>8689</v>
      </c>
      <c r="N3462" s="9" t="s">
        <v>8730</v>
      </c>
      <c r="R3462" s="9">
        <v>10929</v>
      </c>
      <c r="T3462" s="9" t="str">
        <f t="shared" ca="1" si="126"/>
        <v/>
      </c>
      <c r="U3462" s="9" t="str">
        <f t="shared" ca="1" si="127"/>
        <v/>
      </c>
    </row>
    <row r="3463" spans="1:28">
      <c r="A3463" s="3" t="s">
        <v>1737</v>
      </c>
      <c r="D3463" s="3" t="s">
        <v>7956</v>
      </c>
      <c r="E3463" s="3" t="s">
        <v>7957</v>
      </c>
      <c r="J3463" s="9" t="s">
        <v>8729</v>
      </c>
      <c r="S3463" s="9" t="s">
        <v>8739</v>
      </c>
      <c r="T3463" s="9" t="str">
        <f t="shared" ca="1" si="126"/>
        <v/>
      </c>
      <c r="U3463" s="9" t="str">
        <f t="shared" ca="1" si="127"/>
        <v/>
      </c>
      <c r="AB3463" s="9" t="s">
        <v>8697</v>
      </c>
    </row>
    <row r="3464" spans="1:28">
      <c r="A3464" s="3" t="s">
        <v>1737</v>
      </c>
      <c r="D3464" s="3" t="s">
        <v>7958</v>
      </c>
      <c r="E3464" s="3" t="s">
        <v>7959</v>
      </c>
      <c r="J3464" s="9" t="s">
        <v>8731</v>
      </c>
      <c r="T3464" s="9" t="str">
        <f t="shared" ca="1" si="126"/>
        <v/>
      </c>
      <c r="U3464" s="9" t="str">
        <f t="shared" ca="1" si="127"/>
        <v/>
      </c>
    </row>
    <row r="3465" spans="1:28">
      <c r="A3465" s="3" t="s">
        <v>1738</v>
      </c>
      <c r="D3465" s="4" t="s">
        <v>7960</v>
      </c>
      <c r="E3465" s="3" t="s">
        <v>7961</v>
      </c>
      <c r="F3465" t="s">
        <v>4196</v>
      </c>
      <c r="I3465" t="s">
        <v>9543</v>
      </c>
      <c r="J3465" s="9" t="s">
        <v>8731</v>
      </c>
      <c r="T3465" s="9" t="str">
        <f t="shared" ca="1" si="126"/>
        <v/>
      </c>
      <c r="U3465" s="9" t="str">
        <f t="shared" ca="1" si="127"/>
        <v/>
      </c>
      <c r="Z3465" s="9" t="s">
        <v>9544</v>
      </c>
      <c r="AA3465" s="9" t="s">
        <v>3884</v>
      </c>
    </row>
    <row r="3466" spans="1:28">
      <c r="A3466" s="3" t="s">
        <v>1739</v>
      </c>
      <c r="D3466" s="3" t="s">
        <v>3755</v>
      </c>
      <c r="E3466" s="3" t="s">
        <v>3755</v>
      </c>
      <c r="F3466" t="s">
        <v>3932</v>
      </c>
      <c r="I3466" t="s">
        <v>7962</v>
      </c>
      <c r="T3466" s="9" t="str">
        <f t="shared" ca="1" si="126"/>
        <v/>
      </c>
      <c r="U3466" s="9" t="str">
        <f t="shared" ca="1" si="127"/>
        <v/>
      </c>
    </row>
    <row r="3467" spans="1:28">
      <c r="A3467" s="3" t="s">
        <v>1739</v>
      </c>
      <c r="D3467" s="3" t="s">
        <v>7963</v>
      </c>
      <c r="E3467" s="3" t="s">
        <v>7964</v>
      </c>
      <c r="H3467" t="s">
        <v>3884</v>
      </c>
      <c r="J3467" s="9" t="s">
        <v>8729</v>
      </c>
      <c r="S3467" s="9" t="s">
        <v>8739</v>
      </c>
      <c r="T3467" s="9" t="str">
        <f t="shared" ca="1" si="126"/>
        <v/>
      </c>
      <c r="U3467" s="9" t="str">
        <f t="shared" ca="1" si="127"/>
        <v/>
      </c>
      <c r="AB3467" s="9" t="s">
        <v>8688</v>
      </c>
    </row>
    <row r="3468" spans="1:28">
      <c r="A3468" s="3" t="s">
        <v>1739</v>
      </c>
      <c r="D3468" s="3" t="s">
        <v>1995</v>
      </c>
      <c r="E3468" s="3" t="s">
        <v>1995</v>
      </c>
      <c r="F3468" t="s">
        <v>3932</v>
      </c>
      <c r="I3468" t="s">
        <v>2175</v>
      </c>
      <c r="T3468" s="9" t="str">
        <f t="shared" ca="1" si="126"/>
        <v/>
      </c>
      <c r="U3468" s="9" t="str">
        <f t="shared" ca="1" si="127"/>
        <v/>
      </c>
    </row>
    <row r="3469" spans="1:28">
      <c r="A3469" s="3" t="s">
        <v>1739</v>
      </c>
      <c r="D3469" s="3" t="s">
        <v>7965</v>
      </c>
      <c r="E3469" s="3" t="s">
        <v>7966</v>
      </c>
      <c r="J3469" s="9" t="s">
        <v>8731</v>
      </c>
      <c r="T3469" s="9" t="str">
        <f t="shared" ca="1" si="126"/>
        <v/>
      </c>
      <c r="U3469" s="9" t="str">
        <f t="shared" ca="1" si="127"/>
        <v/>
      </c>
      <c r="Z3469" s="9" t="s">
        <v>8832</v>
      </c>
      <c r="AA3469" s="9" t="s">
        <v>3884</v>
      </c>
    </row>
    <row r="3470" spans="1:28" ht="29">
      <c r="A3470" s="3" t="s">
        <v>1740</v>
      </c>
      <c r="D3470" s="3" t="s">
        <v>7967</v>
      </c>
      <c r="E3470" s="3" t="s">
        <v>7968</v>
      </c>
      <c r="H3470" t="s">
        <v>3884</v>
      </c>
      <c r="J3470" s="9" t="s">
        <v>3885</v>
      </c>
      <c r="K3470" s="9">
        <v>1</v>
      </c>
      <c r="L3470" s="9">
        <v>1</v>
      </c>
      <c r="M3470" s="9" t="s">
        <v>8698</v>
      </c>
      <c r="N3470" s="9" t="s">
        <v>8730</v>
      </c>
      <c r="R3470" s="9">
        <v>55</v>
      </c>
      <c r="T3470" s="9" t="str">
        <f t="shared" ca="1" si="126"/>
        <v/>
      </c>
      <c r="U3470" s="9" t="str">
        <f t="shared" ca="1" si="127"/>
        <v/>
      </c>
    </row>
    <row r="3471" spans="1:28">
      <c r="A3471" s="3" t="s">
        <v>1740</v>
      </c>
      <c r="D3471" s="3" t="s">
        <v>2788</v>
      </c>
      <c r="E3471" s="3" t="s">
        <v>2789</v>
      </c>
      <c r="J3471" s="9" t="s">
        <v>8729</v>
      </c>
      <c r="S3471" s="9" t="s">
        <v>8739</v>
      </c>
      <c r="T3471" s="9" t="str">
        <f t="shared" ca="1" si="126"/>
        <v/>
      </c>
      <c r="U3471" s="9" t="str">
        <f t="shared" ca="1" si="127"/>
        <v/>
      </c>
      <c r="Z3471" s="9" t="s">
        <v>8741</v>
      </c>
      <c r="AA3471" s="9" t="s">
        <v>3884</v>
      </c>
    </row>
    <row r="3472" spans="1:28">
      <c r="A3472" s="3" t="s">
        <v>1741</v>
      </c>
      <c r="D3472" s="4" t="s">
        <v>3590</v>
      </c>
      <c r="E3472" s="3" t="s">
        <v>3591</v>
      </c>
      <c r="F3472" t="s">
        <v>3883</v>
      </c>
      <c r="T3472" s="9" t="str">
        <f t="shared" ca="1" si="126"/>
        <v/>
      </c>
      <c r="U3472" s="9" t="str">
        <f t="shared" ca="1" si="127"/>
        <v/>
      </c>
    </row>
    <row r="3473" spans="1:28">
      <c r="A3473" s="3" t="s">
        <v>1741</v>
      </c>
      <c r="D3473" s="3" t="s">
        <v>7969</v>
      </c>
      <c r="E3473" s="3" t="s">
        <v>7970</v>
      </c>
      <c r="J3473" s="9" t="s">
        <v>8729</v>
      </c>
      <c r="S3473" s="9" t="s">
        <v>8739</v>
      </c>
      <c r="T3473" s="9" t="str">
        <f t="shared" ca="1" si="126"/>
        <v/>
      </c>
      <c r="U3473" s="9" t="str">
        <f t="shared" ca="1" si="127"/>
        <v/>
      </c>
      <c r="Y3473" s="9" t="s">
        <v>8735</v>
      </c>
      <c r="AA3473" s="9" t="s">
        <v>3884</v>
      </c>
    </row>
    <row r="3474" spans="1:28">
      <c r="A3474" s="3" t="s">
        <v>1742</v>
      </c>
      <c r="D3474" s="3" t="s">
        <v>3610</v>
      </c>
      <c r="E3474" s="3" t="s">
        <v>3756</v>
      </c>
      <c r="H3474" t="s">
        <v>3884</v>
      </c>
      <c r="J3474" s="9" t="s">
        <v>8729</v>
      </c>
      <c r="Q3474" s="9" t="s">
        <v>8685</v>
      </c>
      <c r="S3474" s="9" t="s">
        <v>8739</v>
      </c>
      <c r="T3474" s="9" t="str">
        <f t="shared" ca="1" si="126"/>
        <v/>
      </c>
      <c r="U3474" s="9" t="str">
        <f t="shared" ca="1" si="127"/>
        <v/>
      </c>
      <c r="AB3474" s="9" t="s">
        <v>8688</v>
      </c>
    </row>
    <row r="3475" spans="1:28">
      <c r="A3475" s="3" t="s">
        <v>1742</v>
      </c>
      <c r="D3475" s="3" t="s">
        <v>7971</v>
      </c>
      <c r="E3475" s="3" t="s">
        <v>7972</v>
      </c>
      <c r="F3475" t="s">
        <v>3886</v>
      </c>
      <c r="J3475" s="9" t="s">
        <v>8731</v>
      </c>
      <c r="T3475" s="9" t="str">
        <f t="shared" ca="1" si="126"/>
        <v/>
      </c>
      <c r="U3475" s="9" t="str">
        <f t="shared" ca="1" si="127"/>
        <v/>
      </c>
      <c r="Z3475" s="9" t="s">
        <v>8742</v>
      </c>
      <c r="AA3475" s="9" t="s">
        <v>3884</v>
      </c>
    </row>
    <row r="3476" spans="1:28">
      <c r="A3476" s="3" t="s">
        <v>1742</v>
      </c>
      <c r="D3476" s="3" t="s">
        <v>3757</v>
      </c>
      <c r="E3476" s="3" t="s">
        <v>3758</v>
      </c>
      <c r="F3476" t="s">
        <v>3881</v>
      </c>
      <c r="J3476" s="9" t="s">
        <v>8729</v>
      </c>
      <c r="S3476" s="9" t="s">
        <v>8739</v>
      </c>
      <c r="T3476" s="9" t="str">
        <f t="shared" ca="1" si="126"/>
        <v/>
      </c>
      <c r="U3476" s="9" t="str">
        <f t="shared" ca="1" si="127"/>
        <v/>
      </c>
      <c r="Z3476" s="9" t="s">
        <v>8741</v>
      </c>
      <c r="AA3476" s="9" t="s">
        <v>3884</v>
      </c>
      <c r="AB3476" s="9" t="s">
        <v>8697</v>
      </c>
    </row>
    <row r="3477" spans="1:28">
      <c r="A3477" s="3" t="s">
        <v>1743</v>
      </c>
      <c r="D3477" s="3" t="s">
        <v>3759</v>
      </c>
      <c r="E3477" s="4" t="s">
        <v>3760</v>
      </c>
      <c r="F3477" t="s">
        <v>3897</v>
      </c>
      <c r="T3477" s="9" t="str">
        <f t="shared" ca="1" si="126"/>
        <v/>
      </c>
      <c r="U3477" s="9" t="str">
        <f t="shared" ca="1" si="127"/>
        <v/>
      </c>
    </row>
    <row r="3478" spans="1:28">
      <c r="A3478" s="3" t="s">
        <v>1744</v>
      </c>
      <c r="D3478" s="3" t="s">
        <v>3761</v>
      </c>
      <c r="E3478" s="3" t="s">
        <v>3762</v>
      </c>
      <c r="J3478" s="9" t="s">
        <v>8729</v>
      </c>
      <c r="S3478" s="9" t="s">
        <v>8739</v>
      </c>
      <c r="T3478" s="9" t="str">
        <f t="shared" ca="1" si="126"/>
        <v/>
      </c>
      <c r="U3478" s="9" t="str">
        <f t="shared" ca="1" si="127"/>
        <v/>
      </c>
      <c r="AB3478" s="9" t="s">
        <v>8697</v>
      </c>
    </row>
    <row r="3479" spans="1:28">
      <c r="A3479" s="3" t="s">
        <v>1744</v>
      </c>
      <c r="D3479" s="3" t="s">
        <v>3601</v>
      </c>
      <c r="E3479" s="3" t="s">
        <v>3617</v>
      </c>
      <c r="H3479" t="s">
        <v>3884</v>
      </c>
      <c r="J3479" s="9" t="s">
        <v>8729</v>
      </c>
      <c r="S3479" s="9" t="s">
        <v>8739</v>
      </c>
      <c r="T3479" s="9" t="str">
        <f t="shared" ca="1" si="126"/>
        <v/>
      </c>
      <c r="U3479" s="9" t="str">
        <f t="shared" ca="1" si="127"/>
        <v/>
      </c>
      <c r="Y3479" s="9" t="s">
        <v>8735</v>
      </c>
      <c r="Z3479" s="9" t="s">
        <v>8742</v>
      </c>
      <c r="AA3479" s="9" t="s">
        <v>3884</v>
      </c>
    </row>
    <row r="3480" spans="1:28" ht="29">
      <c r="A3480" s="3" t="s">
        <v>1745</v>
      </c>
      <c r="D3480" s="3" t="s">
        <v>7973</v>
      </c>
      <c r="E3480" s="3" t="s">
        <v>7973</v>
      </c>
      <c r="F3480" t="s">
        <v>3932</v>
      </c>
      <c r="I3480" t="s">
        <v>7974</v>
      </c>
      <c r="T3480" s="9" t="str">
        <f t="shared" ca="1" si="126"/>
        <v/>
      </c>
      <c r="U3480" s="9" t="str">
        <f t="shared" ca="1" si="127"/>
        <v/>
      </c>
    </row>
    <row r="3481" spans="1:28">
      <c r="A3481" s="3" t="s">
        <v>1745</v>
      </c>
      <c r="D3481" s="3" t="s">
        <v>7975</v>
      </c>
      <c r="E3481" s="3" t="s">
        <v>7975</v>
      </c>
      <c r="F3481" t="s">
        <v>3932</v>
      </c>
      <c r="I3481" t="s">
        <v>7976</v>
      </c>
      <c r="T3481" s="9" t="str">
        <f t="shared" ca="1" si="126"/>
        <v/>
      </c>
      <c r="U3481" s="9" t="str">
        <f t="shared" ca="1" si="127"/>
        <v/>
      </c>
    </row>
    <row r="3482" spans="1:28">
      <c r="A3482" s="3" t="s">
        <v>1746</v>
      </c>
      <c r="D3482" s="3" t="s">
        <v>7977</v>
      </c>
      <c r="E3482" s="3" t="s">
        <v>7978</v>
      </c>
      <c r="F3482" t="s">
        <v>3881</v>
      </c>
      <c r="H3482" t="s">
        <v>3884</v>
      </c>
      <c r="T3482" s="9" t="str">
        <f t="shared" ca="1" si="126"/>
        <v/>
      </c>
      <c r="U3482" s="9" t="str">
        <f t="shared" ca="1" si="127"/>
        <v/>
      </c>
    </row>
    <row r="3483" spans="1:28">
      <c r="A3483" s="3" t="s">
        <v>1746</v>
      </c>
      <c r="D3483" s="3" t="s">
        <v>9156</v>
      </c>
      <c r="E3483" s="3" t="s">
        <v>3763</v>
      </c>
      <c r="H3483" t="s">
        <v>3884</v>
      </c>
      <c r="J3483" s="9" t="s">
        <v>8731</v>
      </c>
      <c r="T3483" s="9" t="str">
        <f t="shared" ca="1" si="126"/>
        <v/>
      </c>
      <c r="U3483" s="9" t="str">
        <f t="shared" ca="1" si="127"/>
        <v/>
      </c>
    </row>
    <row r="3484" spans="1:28">
      <c r="A3484" s="3" t="s">
        <v>1747</v>
      </c>
      <c r="D3484" s="3" t="s">
        <v>7979</v>
      </c>
      <c r="E3484" s="3" t="s">
        <v>7981</v>
      </c>
      <c r="F3484" t="s">
        <v>3893</v>
      </c>
      <c r="H3484" t="s">
        <v>3892</v>
      </c>
      <c r="I3484" t="s">
        <v>7980</v>
      </c>
      <c r="T3484" s="9" t="str">
        <f t="shared" ca="1" si="126"/>
        <v/>
      </c>
      <c r="U3484" s="9" t="str">
        <f t="shared" ca="1" si="127"/>
        <v/>
      </c>
    </row>
    <row r="3485" spans="1:28" ht="29">
      <c r="A3485" s="3" t="s">
        <v>1748</v>
      </c>
      <c r="D3485" s="4" t="s">
        <v>7983</v>
      </c>
      <c r="E3485" s="3" t="s">
        <v>7982</v>
      </c>
      <c r="F3485" t="s">
        <v>3883</v>
      </c>
      <c r="T3485" s="9" t="str">
        <f t="shared" ca="1" si="126"/>
        <v/>
      </c>
      <c r="U3485" s="9" t="str">
        <f t="shared" ca="1" si="127"/>
        <v/>
      </c>
    </row>
    <row r="3486" spans="1:28" ht="29">
      <c r="A3486" s="3" t="s">
        <v>1748</v>
      </c>
      <c r="D3486" s="3" t="s">
        <v>7984</v>
      </c>
      <c r="E3486" s="3" t="s">
        <v>7985</v>
      </c>
      <c r="F3486" t="s">
        <v>3881</v>
      </c>
      <c r="H3486" t="s">
        <v>3892</v>
      </c>
      <c r="I3486" t="s">
        <v>2353</v>
      </c>
      <c r="J3486" s="9" t="s">
        <v>8731</v>
      </c>
      <c r="T3486" s="9" t="str">
        <f t="shared" ca="1" si="126"/>
        <v/>
      </c>
      <c r="U3486" s="9" t="str">
        <f t="shared" ca="1" si="127"/>
        <v/>
      </c>
    </row>
    <row r="3487" spans="1:28">
      <c r="A3487" s="3" t="s">
        <v>1748</v>
      </c>
      <c r="D3487" s="3" t="s">
        <v>7986</v>
      </c>
      <c r="E3487" s="3" t="s">
        <v>7987</v>
      </c>
      <c r="H3487" t="s">
        <v>3884</v>
      </c>
      <c r="J3487" s="9" t="s">
        <v>8729</v>
      </c>
      <c r="Q3487" s="9" t="s">
        <v>8685</v>
      </c>
      <c r="S3487" s="9" t="s">
        <v>8739</v>
      </c>
      <c r="T3487" s="9" t="str">
        <f t="shared" ca="1" si="126"/>
        <v/>
      </c>
      <c r="U3487" s="9" t="str">
        <f t="shared" ca="1" si="127"/>
        <v/>
      </c>
      <c r="AB3487" s="9" t="s">
        <v>8688</v>
      </c>
    </row>
    <row r="3488" spans="1:28">
      <c r="A3488" s="3" t="s">
        <v>1748</v>
      </c>
      <c r="D3488" s="3" t="s">
        <v>7988</v>
      </c>
      <c r="E3488" s="3" t="s">
        <v>7988</v>
      </c>
      <c r="F3488" t="s">
        <v>3932</v>
      </c>
      <c r="I3488" t="s">
        <v>7989</v>
      </c>
      <c r="T3488" s="9" t="str">
        <f t="shared" ca="1" si="126"/>
        <v/>
      </c>
      <c r="U3488" s="9" t="str">
        <f t="shared" ca="1" si="127"/>
        <v/>
      </c>
    </row>
    <row r="3489" spans="1:28" ht="29">
      <c r="A3489" s="3" t="s">
        <v>1748</v>
      </c>
      <c r="D3489" s="3" t="s">
        <v>9157</v>
      </c>
      <c r="E3489" s="3" t="s">
        <v>9158</v>
      </c>
      <c r="F3489" t="s">
        <v>3881</v>
      </c>
      <c r="J3489" s="9" t="s">
        <v>8731</v>
      </c>
      <c r="T3489" s="9" t="str">
        <f t="shared" ca="1" si="126"/>
        <v/>
      </c>
      <c r="U3489" s="9" t="str">
        <f t="shared" ca="1" si="127"/>
        <v/>
      </c>
      <c r="AB3489" s="9" t="s">
        <v>8694</v>
      </c>
    </row>
    <row r="3490" spans="1:28">
      <c r="A3490" s="3" t="s">
        <v>1748</v>
      </c>
      <c r="D3490" s="3" t="s">
        <v>7990</v>
      </c>
      <c r="E3490" s="3" t="s">
        <v>7993</v>
      </c>
      <c r="H3490" t="s">
        <v>3884</v>
      </c>
      <c r="J3490" s="9" t="s">
        <v>3885</v>
      </c>
      <c r="K3490" s="9">
        <v>1</v>
      </c>
      <c r="L3490" s="9">
        <v>1</v>
      </c>
      <c r="M3490" s="9" t="s">
        <v>8698</v>
      </c>
      <c r="N3490" s="9" t="s">
        <v>8730</v>
      </c>
      <c r="R3490" s="9">
        <v>73</v>
      </c>
      <c r="T3490" s="9" t="str">
        <f t="shared" ca="1" si="126"/>
        <v/>
      </c>
      <c r="U3490" s="9" t="str">
        <f t="shared" ca="1" si="127"/>
        <v/>
      </c>
      <c r="AB3490" s="9" t="s">
        <v>8694</v>
      </c>
    </row>
    <row r="3491" spans="1:28">
      <c r="A3491" s="3" t="s">
        <v>1748</v>
      </c>
      <c r="D3491" s="3" t="s">
        <v>7991</v>
      </c>
      <c r="E3491" s="3" t="s">
        <v>7992</v>
      </c>
      <c r="F3491" t="s">
        <v>3881</v>
      </c>
      <c r="J3491" s="9" t="s">
        <v>8731</v>
      </c>
      <c r="T3491" s="9" t="str">
        <f t="shared" ca="1" si="126"/>
        <v/>
      </c>
      <c r="U3491" s="9" t="str">
        <f t="shared" ca="1" si="127"/>
        <v/>
      </c>
      <c r="AB3491" s="9" t="s">
        <v>8694</v>
      </c>
    </row>
    <row r="3492" spans="1:28">
      <c r="A3492" s="3" t="s">
        <v>1749</v>
      </c>
      <c r="D3492" s="3" t="s">
        <v>3764</v>
      </c>
      <c r="E3492" s="3" t="s">
        <v>3765</v>
      </c>
      <c r="J3492" s="9" t="s">
        <v>8731</v>
      </c>
      <c r="T3492" s="9" t="str">
        <f t="shared" ca="1" si="126"/>
        <v/>
      </c>
      <c r="U3492" s="9" t="str">
        <f t="shared" ca="1" si="127"/>
        <v/>
      </c>
      <c r="Z3492" s="9" t="s">
        <v>8741</v>
      </c>
      <c r="AA3492" s="9" t="s">
        <v>3884</v>
      </c>
      <c r="AB3492" s="9" t="s">
        <v>8697</v>
      </c>
    </row>
    <row r="3493" spans="1:28" ht="29">
      <c r="A3493" s="3" t="s">
        <v>1749</v>
      </c>
      <c r="D3493" s="3" t="s">
        <v>7994</v>
      </c>
      <c r="E3493" s="4" t="s">
        <v>7995</v>
      </c>
      <c r="F3493" t="s">
        <v>3897</v>
      </c>
      <c r="J3493" s="9" t="s">
        <v>8731</v>
      </c>
      <c r="T3493" s="9" t="str">
        <f t="shared" ca="1" si="126"/>
        <v/>
      </c>
      <c r="U3493" s="9" t="str">
        <f t="shared" ca="1" si="127"/>
        <v/>
      </c>
      <c r="Z3493" s="9" t="s">
        <v>8742</v>
      </c>
      <c r="AA3493" s="9" t="s">
        <v>3884</v>
      </c>
    </row>
    <row r="3494" spans="1:28" ht="29">
      <c r="A3494" s="3" t="s">
        <v>1749</v>
      </c>
      <c r="D3494" s="3" t="s">
        <v>7996</v>
      </c>
      <c r="E3494" s="3" t="s">
        <v>7997</v>
      </c>
      <c r="H3494" t="s">
        <v>3884</v>
      </c>
      <c r="J3494" s="9" t="s">
        <v>3885</v>
      </c>
      <c r="K3494" s="9">
        <v>1</v>
      </c>
      <c r="L3494" s="9">
        <v>4</v>
      </c>
      <c r="M3494" s="9" t="s">
        <v>8689</v>
      </c>
      <c r="N3494" s="9" t="s">
        <v>8684</v>
      </c>
      <c r="O3494" s="9" t="s">
        <v>8771</v>
      </c>
      <c r="P3494" s="10" t="s">
        <v>8778</v>
      </c>
      <c r="Q3494" s="9" t="s">
        <v>8685</v>
      </c>
      <c r="R3494" s="9" t="s">
        <v>8730</v>
      </c>
      <c r="T3494" s="9" t="str">
        <f t="shared" ca="1" si="126"/>
        <v/>
      </c>
      <c r="U3494" s="9" t="str">
        <f t="shared" ca="1" si="127"/>
        <v/>
      </c>
      <c r="AB3494" s="9" t="s">
        <v>8688</v>
      </c>
    </row>
    <row r="3495" spans="1:28" ht="29">
      <c r="A3495" s="3" t="s">
        <v>1749</v>
      </c>
      <c r="D3495" s="3" t="s">
        <v>7998</v>
      </c>
      <c r="E3495" s="3" t="s">
        <v>7999</v>
      </c>
      <c r="F3495" t="s">
        <v>3932</v>
      </c>
      <c r="I3495" t="s">
        <v>2060</v>
      </c>
      <c r="T3495" s="9" t="str">
        <f t="shared" ca="1" si="126"/>
        <v/>
      </c>
      <c r="U3495" s="9" t="str">
        <f t="shared" ca="1" si="127"/>
        <v/>
      </c>
    </row>
    <row r="3496" spans="1:28">
      <c r="A3496" s="3" t="s">
        <v>1749</v>
      </c>
      <c r="D3496" s="3" t="s">
        <v>8000</v>
      </c>
      <c r="E3496" s="3" t="s">
        <v>8000</v>
      </c>
      <c r="F3496" t="s">
        <v>3932</v>
      </c>
      <c r="I3496" t="s">
        <v>8002</v>
      </c>
      <c r="T3496" s="9" t="str">
        <f t="shared" ca="1" si="126"/>
        <v/>
      </c>
      <c r="U3496" s="9" t="str">
        <f t="shared" ca="1" si="127"/>
        <v/>
      </c>
    </row>
    <row r="3497" spans="1:28">
      <c r="A3497" s="3" t="s">
        <v>1749</v>
      </c>
      <c r="D3497" s="3" t="s">
        <v>8001</v>
      </c>
      <c r="E3497" s="3" t="s">
        <v>8001</v>
      </c>
      <c r="F3497" t="s">
        <v>3932</v>
      </c>
      <c r="I3497" t="s">
        <v>8002</v>
      </c>
      <c r="T3497" s="9" t="str">
        <f t="shared" ca="1" si="126"/>
        <v/>
      </c>
      <c r="U3497" s="9" t="str">
        <f t="shared" ca="1" si="127"/>
        <v/>
      </c>
    </row>
    <row r="3498" spans="1:28">
      <c r="A3498" s="3" t="s">
        <v>1750</v>
      </c>
      <c r="D3498" s="3" t="s">
        <v>2329</v>
      </c>
      <c r="E3498" s="3" t="s">
        <v>2329</v>
      </c>
      <c r="F3498" t="s">
        <v>3932</v>
      </c>
      <c r="I3498" t="s">
        <v>3141</v>
      </c>
      <c r="T3498" s="9" t="str">
        <f t="shared" ca="1" si="126"/>
        <v/>
      </c>
      <c r="U3498" s="9" t="str">
        <f t="shared" ca="1" si="127"/>
        <v/>
      </c>
    </row>
    <row r="3499" spans="1:28" ht="58">
      <c r="A3499" s="3" t="s">
        <v>1750</v>
      </c>
      <c r="D3499" s="3" t="s">
        <v>8004</v>
      </c>
      <c r="E3499" s="4" t="s">
        <v>8005</v>
      </c>
      <c r="F3499" t="s">
        <v>3897</v>
      </c>
      <c r="T3499" s="9" t="str">
        <f t="shared" ca="1" si="126"/>
        <v/>
      </c>
      <c r="U3499" s="9" t="str">
        <f t="shared" ca="1" si="127"/>
        <v/>
      </c>
    </row>
    <row r="3500" spans="1:28" ht="58">
      <c r="A3500" s="3" t="s">
        <v>1750</v>
      </c>
      <c r="D3500" s="3" t="s">
        <v>8003</v>
      </c>
      <c r="E3500" s="3" t="s">
        <v>8006</v>
      </c>
      <c r="H3500" t="s">
        <v>3884</v>
      </c>
      <c r="J3500" s="9" t="s">
        <v>3885</v>
      </c>
      <c r="K3500" s="9">
        <v>1</v>
      </c>
      <c r="L3500" s="9">
        <v>5</v>
      </c>
      <c r="M3500" s="9" t="s">
        <v>8734</v>
      </c>
      <c r="N3500" s="9" t="s">
        <v>8690</v>
      </c>
      <c r="R3500" s="9" t="s">
        <v>8730</v>
      </c>
      <c r="T3500" s="9" t="str">
        <f t="shared" ca="1" si="126"/>
        <v/>
      </c>
      <c r="U3500" s="9" t="str">
        <f t="shared" ca="1" si="127"/>
        <v/>
      </c>
      <c r="AB3500" s="9" t="s">
        <v>8688</v>
      </c>
    </row>
    <row r="3501" spans="1:28">
      <c r="A3501" s="3" t="s">
        <v>1751</v>
      </c>
      <c r="D3501" s="3" t="s">
        <v>8007</v>
      </c>
      <c r="E3501" s="3" t="s">
        <v>8008</v>
      </c>
      <c r="J3501" s="9" t="s">
        <v>3889</v>
      </c>
      <c r="K3501" s="9">
        <v>1</v>
      </c>
      <c r="L3501" s="9">
        <v>1</v>
      </c>
      <c r="M3501" s="9" t="s">
        <v>8689</v>
      </c>
      <c r="N3501" s="9" t="s">
        <v>8730</v>
      </c>
      <c r="Q3501" s="9" t="s">
        <v>8685</v>
      </c>
      <c r="R3501" s="9">
        <v>10929</v>
      </c>
      <c r="T3501" s="9" t="str">
        <f t="shared" ca="1" si="126"/>
        <v/>
      </c>
      <c r="U3501" s="9" t="str">
        <f t="shared" ca="1" si="127"/>
        <v/>
      </c>
    </row>
    <row r="3502" spans="1:28">
      <c r="A3502" s="3" t="s">
        <v>1752</v>
      </c>
      <c r="D3502" s="3" t="s">
        <v>8009</v>
      </c>
      <c r="E3502" s="3" t="s">
        <v>8010</v>
      </c>
      <c r="H3502" t="s">
        <v>3884</v>
      </c>
      <c r="J3502" s="9" t="s">
        <v>8729</v>
      </c>
      <c r="Q3502" s="9" t="s">
        <v>8691</v>
      </c>
      <c r="S3502" s="9">
        <f xml:space="preserve"> 150-266</f>
        <v>-116</v>
      </c>
      <c r="T3502" s="9">
        <f t="shared" ca="1" si="126"/>
        <v>266</v>
      </c>
      <c r="U3502" s="9">
        <f t="shared" ca="1" si="127"/>
        <v>150</v>
      </c>
    </row>
    <row r="3503" spans="1:28">
      <c r="A3503" s="3" t="s">
        <v>1752</v>
      </c>
      <c r="D3503" s="3" t="s">
        <v>8011</v>
      </c>
      <c r="E3503" s="3" t="s">
        <v>8012</v>
      </c>
      <c r="J3503" s="9" t="s">
        <v>3889</v>
      </c>
      <c r="K3503" s="9">
        <v>2</v>
      </c>
      <c r="L3503" s="9">
        <v>4</v>
      </c>
      <c r="N3503" s="9" t="s">
        <v>8684</v>
      </c>
      <c r="O3503" s="9" t="s">
        <v>8777</v>
      </c>
      <c r="P3503" s="10" t="s">
        <v>8772</v>
      </c>
      <c r="Q3503" s="9" t="s">
        <v>8685</v>
      </c>
      <c r="R3503" s="9">
        <v>245</v>
      </c>
      <c r="T3503" s="9" t="str">
        <f t="shared" ca="1" si="126"/>
        <v/>
      </c>
      <c r="U3503" s="9" t="str">
        <f t="shared" ca="1" si="127"/>
        <v/>
      </c>
      <c r="AB3503" s="9" t="s">
        <v>8700</v>
      </c>
    </row>
    <row r="3504" spans="1:28">
      <c r="A3504" s="3" t="s">
        <v>1753</v>
      </c>
      <c r="D3504" s="3" t="s">
        <v>2368</v>
      </c>
      <c r="E3504" s="3" t="s">
        <v>2971</v>
      </c>
      <c r="J3504" s="9" t="s">
        <v>8731</v>
      </c>
      <c r="T3504" s="9" t="str">
        <f t="shared" ca="1" si="126"/>
        <v/>
      </c>
      <c r="U3504" s="9" t="str">
        <f t="shared" ca="1" si="127"/>
        <v/>
      </c>
    </row>
    <row r="3505" spans="1:28">
      <c r="A3505" s="3" t="s">
        <v>1753</v>
      </c>
      <c r="D3505" s="3" t="s">
        <v>8013</v>
      </c>
      <c r="E3505" s="3" t="s">
        <v>8013</v>
      </c>
      <c r="F3505" t="s">
        <v>3932</v>
      </c>
      <c r="I3505" t="s">
        <v>8014</v>
      </c>
      <c r="T3505" s="9" t="str">
        <f t="shared" ca="1" si="126"/>
        <v/>
      </c>
      <c r="U3505" s="9" t="str">
        <f t="shared" ca="1" si="127"/>
        <v/>
      </c>
    </row>
    <row r="3506" spans="1:28">
      <c r="A3506" s="3" t="s">
        <v>1753</v>
      </c>
      <c r="D3506" s="3" t="s">
        <v>3766</v>
      </c>
      <c r="E3506" s="3" t="s">
        <v>3767</v>
      </c>
      <c r="J3506" s="9" t="s">
        <v>8731</v>
      </c>
      <c r="T3506" s="9" t="str">
        <f t="shared" ca="1" si="126"/>
        <v/>
      </c>
      <c r="U3506" s="9" t="str">
        <f t="shared" ca="1" si="127"/>
        <v/>
      </c>
      <c r="Z3506" s="9" t="s">
        <v>8757</v>
      </c>
      <c r="AA3506" s="9" t="s">
        <v>3891</v>
      </c>
    </row>
    <row r="3507" spans="1:28">
      <c r="A3507" s="3" t="s">
        <v>1754</v>
      </c>
      <c r="D3507" s="3" t="s">
        <v>8015</v>
      </c>
      <c r="E3507" s="3" t="s">
        <v>8015</v>
      </c>
      <c r="F3507" t="s">
        <v>3932</v>
      </c>
      <c r="I3507" t="s">
        <v>8016</v>
      </c>
      <c r="T3507" s="9" t="str">
        <f t="shared" ca="1" si="126"/>
        <v/>
      </c>
      <c r="U3507" s="9" t="str">
        <f t="shared" ca="1" si="127"/>
        <v/>
      </c>
    </row>
    <row r="3508" spans="1:28">
      <c r="A3508" s="3" t="s">
        <v>1754</v>
      </c>
      <c r="D3508" s="3" t="s">
        <v>3768</v>
      </c>
      <c r="E3508" s="3" t="s">
        <v>3769</v>
      </c>
      <c r="J3508" s="9" t="s">
        <v>8731</v>
      </c>
      <c r="T3508" s="9" t="str">
        <f t="shared" ca="1" si="126"/>
        <v/>
      </c>
      <c r="U3508" s="9" t="str">
        <f t="shared" ca="1" si="127"/>
        <v/>
      </c>
      <c r="Z3508" s="9" t="s">
        <v>8741</v>
      </c>
      <c r="AA3508" s="9" t="s">
        <v>3884</v>
      </c>
    </row>
    <row r="3509" spans="1:28">
      <c r="A3509" s="3" t="s">
        <v>1754</v>
      </c>
      <c r="D3509" s="3" t="s">
        <v>3770</v>
      </c>
      <c r="E3509" s="3" t="s">
        <v>3771</v>
      </c>
      <c r="J3509" s="9" t="s">
        <v>8731</v>
      </c>
      <c r="T3509" s="9" t="str">
        <f t="shared" ca="1" si="126"/>
        <v/>
      </c>
      <c r="U3509" s="9" t="str">
        <f t="shared" ca="1" si="127"/>
        <v/>
      </c>
      <c r="Z3509" s="9" t="s">
        <v>8741</v>
      </c>
      <c r="AA3509" s="9" t="s">
        <v>3884</v>
      </c>
    </row>
    <row r="3510" spans="1:28">
      <c r="A3510" s="3" t="s">
        <v>1755</v>
      </c>
      <c r="D3510" s="3" t="s">
        <v>8017</v>
      </c>
      <c r="E3510" s="3" t="s">
        <v>8018</v>
      </c>
      <c r="H3510" t="s">
        <v>3884</v>
      </c>
      <c r="J3510" s="9" t="s">
        <v>8729</v>
      </c>
      <c r="S3510" s="9">
        <f>50-128</f>
        <v>-78</v>
      </c>
      <c r="T3510" s="9">
        <f t="shared" ca="1" si="126"/>
        <v>128</v>
      </c>
      <c r="U3510" s="9">
        <f t="shared" ca="1" si="127"/>
        <v>50</v>
      </c>
    </row>
    <row r="3511" spans="1:28">
      <c r="A3511" s="3" t="s">
        <v>1756</v>
      </c>
      <c r="D3511" s="3" t="s">
        <v>8019</v>
      </c>
      <c r="E3511" s="3" t="s">
        <v>8020</v>
      </c>
      <c r="H3511" t="s">
        <v>3884</v>
      </c>
      <c r="J3511" s="9" t="s">
        <v>3889</v>
      </c>
      <c r="K3511" s="9">
        <v>1</v>
      </c>
      <c r="L3511" s="9">
        <v>2</v>
      </c>
      <c r="M3511" s="9" t="s">
        <v>8689</v>
      </c>
      <c r="N3511" s="9" t="s">
        <v>8730</v>
      </c>
      <c r="R3511" s="9">
        <v>10929</v>
      </c>
      <c r="T3511" s="9" t="str">
        <f t="shared" ca="1" si="126"/>
        <v/>
      </c>
      <c r="U3511" s="9" t="str">
        <f t="shared" ca="1" si="127"/>
        <v/>
      </c>
    </row>
    <row r="3512" spans="1:28" ht="29">
      <c r="A3512" s="3" t="s">
        <v>1757</v>
      </c>
      <c r="D3512" s="3" t="s">
        <v>8021</v>
      </c>
      <c r="E3512" s="3" t="s">
        <v>8022</v>
      </c>
      <c r="F3512" t="s">
        <v>3932</v>
      </c>
      <c r="I3512" t="s">
        <v>8023</v>
      </c>
      <c r="T3512" s="9" t="str">
        <f t="shared" ca="1" si="126"/>
        <v/>
      </c>
      <c r="U3512" s="9" t="str">
        <f t="shared" ca="1" si="127"/>
        <v/>
      </c>
    </row>
    <row r="3513" spans="1:28" ht="29">
      <c r="A3513" s="3" t="s">
        <v>1757</v>
      </c>
      <c r="D3513" s="3" t="s">
        <v>8024</v>
      </c>
      <c r="E3513" s="3" t="s">
        <v>8025</v>
      </c>
      <c r="H3513" t="s">
        <v>3888</v>
      </c>
      <c r="I3513" t="s">
        <v>8026</v>
      </c>
      <c r="J3513" s="9" t="s">
        <v>8731</v>
      </c>
      <c r="T3513" s="9" t="str">
        <f t="shared" ca="1" si="126"/>
        <v/>
      </c>
      <c r="U3513" s="9" t="str">
        <f t="shared" ca="1" si="127"/>
        <v/>
      </c>
    </row>
    <row r="3514" spans="1:28">
      <c r="A3514" s="3" t="s">
        <v>1758</v>
      </c>
      <c r="D3514" s="3" t="s">
        <v>8027</v>
      </c>
      <c r="E3514" s="4" t="s">
        <v>8028</v>
      </c>
      <c r="F3514" t="s">
        <v>3897</v>
      </c>
      <c r="J3514" s="9" t="s">
        <v>8729</v>
      </c>
      <c r="S3514" s="9">
        <f>9-332</f>
        <v>-323</v>
      </c>
      <c r="T3514" s="9">
        <f t="shared" ca="1" si="126"/>
        <v>332</v>
      </c>
      <c r="U3514" s="9">
        <f t="shared" ca="1" si="127"/>
        <v>9</v>
      </c>
    </row>
    <row r="3515" spans="1:28">
      <c r="A3515" s="3" t="s">
        <v>1758</v>
      </c>
      <c r="D3515" s="3" t="s">
        <v>8029</v>
      </c>
      <c r="E3515" s="3" t="s">
        <v>8030</v>
      </c>
      <c r="J3515" s="9" t="s">
        <v>8731</v>
      </c>
      <c r="T3515" s="9" t="str">
        <f t="shared" ca="1" si="126"/>
        <v/>
      </c>
      <c r="U3515" s="9" t="str">
        <f t="shared" ca="1" si="127"/>
        <v/>
      </c>
      <c r="AB3515" s="9" t="s">
        <v>8697</v>
      </c>
    </row>
    <row r="3516" spans="1:28">
      <c r="A3516" s="3" t="s">
        <v>1758</v>
      </c>
      <c r="D3516" s="3" t="s">
        <v>8031</v>
      </c>
      <c r="E3516" s="3" t="s">
        <v>8032</v>
      </c>
      <c r="F3516" t="s">
        <v>3932</v>
      </c>
      <c r="I3516" t="s">
        <v>3601</v>
      </c>
      <c r="T3516" s="9" t="str">
        <f t="shared" ca="1" si="126"/>
        <v/>
      </c>
      <c r="U3516" s="9" t="str">
        <f t="shared" ca="1" si="127"/>
        <v/>
      </c>
    </row>
    <row r="3517" spans="1:28">
      <c r="A3517" s="3" t="s">
        <v>1759</v>
      </c>
      <c r="D3517" s="3" t="s">
        <v>8033</v>
      </c>
      <c r="E3517" s="3" t="s">
        <v>8034</v>
      </c>
      <c r="F3517" t="s">
        <v>3881</v>
      </c>
      <c r="T3517" s="9" t="str">
        <f t="shared" ca="1" si="126"/>
        <v/>
      </c>
      <c r="U3517" s="9" t="str">
        <f t="shared" ca="1" si="127"/>
        <v/>
      </c>
    </row>
    <row r="3518" spans="1:28">
      <c r="A3518" s="3" t="s">
        <v>1759</v>
      </c>
      <c r="D3518" s="3" t="s">
        <v>8035</v>
      </c>
      <c r="E3518" s="3" t="s">
        <v>8036</v>
      </c>
      <c r="F3518" t="s">
        <v>3881</v>
      </c>
      <c r="T3518" s="9" t="str">
        <f t="shared" ca="1" si="126"/>
        <v/>
      </c>
      <c r="U3518" s="9" t="str">
        <f t="shared" ca="1" si="127"/>
        <v/>
      </c>
    </row>
    <row r="3519" spans="1:28">
      <c r="A3519" s="3" t="s">
        <v>1759</v>
      </c>
      <c r="D3519" s="3" t="s">
        <v>3591</v>
      </c>
      <c r="E3519" s="3" t="s">
        <v>3591</v>
      </c>
      <c r="F3519" t="s">
        <v>3932</v>
      </c>
      <c r="I3519" t="s">
        <v>8037</v>
      </c>
      <c r="T3519" s="9" t="str">
        <f t="shared" ca="1" si="126"/>
        <v/>
      </c>
      <c r="U3519" s="9" t="str">
        <f t="shared" ca="1" si="127"/>
        <v/>
      </c>
    </row>
    <row r="3520" spans="1:28">
      <c r="A3520" s="3" t="s">
        <v>1759</v>
      </c>
      <c r="D3520" s="3" t="s">
        <v>8038</v>
      </c>
      <c r="E3520" s="3" t="s">
        <v>8039</v>
      </c>
      <c r="F3520" t="s">
        <v>3881</v>
      </c>
      <c r="T3520" s="9" t="str">
        <f t="shared" ca="1" si="126"/>
        <v/>
      </c>
      <c r="U3520" s="9" t="str">
        <f t="shared" ca="1" si="127"/>
        <v/>
      </c>
    </row>
    <row r="3521" spans="1:27">
      <c r="A3521" s="3" t="s">
        <v>1760</v>
      </c>
      <c r="D3521" s="4" t="s">
        <v>8040</v>
      </c>
      <c r="E3521" s="3" t="s">
        <v>3772</v>
      </c>
      <c r="F3521" t="s">
        <v>3883</v>
      </c>
      <c r="T3521" s="9" t="str">
        <f t="shared" ca="1" si="126"/>
        <v/>
      </c>
      <c r="U3521" s="9" t="str">
        <f t="shared" ca="1" si="127"/>
        <v/>
      </c>
    </row>
    <row r="3522" spans="1:27">
      <c r="A3522" s="3" t="s">
        <v>1760</v>
      </c>
      <c r="D3522" s="3" t="s">
        <v>8041</v>
      </c>
      <c r="E3522" s="3" t="s">
        <v>8042</v>
      </c>
      <c r="H3522" t="s">
        <v>3884</v>
      </c>
      <c r="J3522" s="9" t="s">
        <v>3885</v>
      </c>
      <c r="K3522" s="9">
        <v>1</v>
      </c>
      <c r="L3522" s="9">
        <v>3</v>
      </c>
      <c r="M3522" s="9" t="s">
        <v>8698</v>
      </c>
      <c r="N3522" s="9" t="s">
        <v>8684</v>
      </c>
      <c r="O3522" s="9" t="s">
        <v>8771</v>
      </c>
      <c r="P3522" s="10" t="s">
        <v>8778</v>
      </c>
      <c r="Q3522" s="9" t="s">
        <v>8685</v>
      </c>
      <c r="R3522" s="9">
        <v>9418</v>
      </c>
      <c r="T3522" s="9" t="str">
        <f t="shared" ca="1" si="126"/>
        <v/>
      </c>
      <c r="U3522" s="9" t="str">
        <f t="shared" ca="1" si="127"/>
        <v/>
      </c>
    </row>
    <row r="3523" spans="1:27">
      <c r="A3523" s="3" t="s">
        <v>1761</v>
      </c>
      <c r="D3523" s="3" t="s">
        <v>3591</v>
      </c>
      <c r="E3523" s="3" t="s">
        <v>3591</v>
      </c>
      <c r="F3523" t="s">
        <v>3932</v>
      </c>
      <c r="I3523" t="s">
        <v>7917</v>
      </c>
      <c r="T3523" s="9" t="str">
        <f t="shared" ca="1" si="126"/>
        <v/>
      </c>
      <c r="U3523" s="9" t="str">
        <f t="shared" ca="1" si="127"/>
        <v/>
      </c>
    </row>
    <row r="3524" spans="1:27">
      <c r="A3524" s="3" t="s">
        <v>1762</v>
      </c>
      <c r="D3524" s="3" t="s">
        <v>8043</v>
      </c>
      <c r="E3524" s="3" t="s">
        <v>8044</v>
      </c>
      <c r="H3524" t="s">
        <v>3884</v>
      </c>
      <c r="J3524" s="9" t="s">
        <v>3889</v>
      </c>
      <c r="K3524" s="9">
        <v>1</v>
      </c>
      <c r="L3524" s="9">
        <v>3</v>
      </c>
      <c r="M3524" s="9" t="s">
        <v>8689</v>
      </c>
      <c r="N3524" s="9" t="s">
        <v>8690</v>
      </c>
      <c r="R3524" s="9">
        <v>10929</v>
      </c>
      <c r="T3524" s="9" t="str">
        <f t="shared" ref="T3524:T3587" ca="1" si="128">IF(ISNUMBER(S3524),VALUE(MID(_xlfn.FORMULATEXT(S3524),SEARCH("-",_xlfn.FORMULATEXT(S3524))+1,LEN(_xlfn.FORMULATEXT(S3524))-SEARCH("-",_xlfn.FORMULATEXT(S3524)))), "")</f>
        <v/>
      </c>
      <c r="U3524" s="9" t="str">
        <f t="shared" ref="U3524:U3587" ca="1" si="129">IF(ISNUMBER(S3524), VALUE(MID(_xlfn.FORMULATEXT(S3524), 2, SEARCH("-", _xlfn.FORMULATEXT(S3524)) - 2)), "")</f>
        <v/>
      </c>
    </row>
    <row r="3525" spans="1:27" ht="43.5">
      <c r="A3525" s="3" t="s">
        <v>1762</v>
      </c>
      <c r="D3525" s="3" t="s">
        <v>8045</v>
      </c>
      <c r="E3525" s="4" t="s">
        <v>8046</v>
      </c>
      <c r="F3525" t="s">
        <v>4197</v>
      </c>
      <c r="H3525" t="s">
        <v>3884</v>
      </c>
      <c r="I3525" t="s">
        <v>9659</v>
      </c>
      <c r="J3525" s="9" t="s">
        <v>3885</v>
      </c>
      <c r="K3525" s="9">
        <v>4</v>
      </c>
      <c r="L3525" s="9">
        <v>17</v>
      </c>
      <c r="N3525" s="9" t="s">
        <v>8690</v>
      </c>
      <c r="R3525" s="9">
        <v>886</v>
      </c>
      <c r="T3525" s="9" t="str">
        <f t="shared" ca="1" si="128"/>
        <v/>
      </c>
      <c r="U3525" s="9" t="str">
        <f t="shared" ca="1" si="129"/>
        <v/>
      </c>
    </row>
    <row r="3526" spans="1:27" ht="43.5">
      <c r="A3526" s="3" t="s">
        <v>1762</v>
      </c>
      <c r="D3526" s="3" t="s">
        <v>8048</v>
      </c>
      <c r="E3526" s="3" t="s">
        <v>8047</v>
      </c>
      <c r="F3526" t="s">
        <v>3932</v>
      </c>
      <c r="I3526" t="s">
        <v>8049</v>
      </c>
      <c r="T3526" s="9" t="str">
        <f t="shared" ca="1" si="128"/>
        <v/>
      </c>
      <c r="U3526" s="9" t="str">
        <f t="shared" ca="1" si="129"/>
        <v/>
      </c>
    </row>
    <row r="3527" spans="1:27">
      <c r="A3527" s="3" t="s">
        <v>1762</v>
      </c>
      <c r="D3527" s="3" t="s">
        <v>8050</v>
      </c>
      <c r="E3527" s="3" t="s">
        <v>8051</v>
      </c>
      <c r="J3527" s="9" t="s">
        <v>8729</v>
      </c>
      <c r="S3527" s="9">
        <f>118-206</f>
        <v>-88</v>
      </c>
      <c r="T3527" s="9">
        <f t="shared" ca="1" si="128"/>
        <v>206</v>
      </c>
      <c r="U3527" s="9">
        <f t="shared" ca="1" si="129"/>
        <v>118</v>
      </c>
    </row>
    <row r="3528" spans="1:27">
      <c r="A3528" s="3" t="s">
        <v>1762</v>
      </c>
      <c r="D3528" s="3" t="s">
        <v>8052</v>
      </c>
      <c r="E3528" s="3" t="s">
        <v>8052</v>
      </c>
      <c r="F3528" t="s">
        <v>3932</v>
      </c>
      <c r="I3528" t="s">
        <v>7772</v>
      </c>
      <c r="T3528" s="9" t="str">
        <f t="shared" ca="1" si="128"/>
        <v/>
      </c>
      <c r="U3528" s="9" t="str">
        <f t="shared" ca="1" si="129"/>
        <v/>
      </c>
    </row>
    <row r="3529" spans="1:27">
      <c r="A3529" s="3" t="s">
        <v>1763</v>
      </c>
      <c r="D3529" s="3" t="s">
        <v>8053</v>
      </c>
      <c r="E3529" s="3" t="s">
        <v>8054</v>
      </c>
      <c r="J3529" s="9" t="s">
        <v>3885</v>
      </c>
      <c r="K3529" s="9">
        <v>1</v>
      </c>
      <c r="L3529" s="9">
        <v>1</v>
      </c>
      <c r="M3529" s="9" t="s">
        <v>8705</v>
      </c>
      <c r="N3529" s="9" t="s">
        <v>8730</v>
      </c>
      <c r="Q3529" s="9" t="s">
        <v>8685</v>
      </c>
      <c r="R3529" s="9">
        <v>615</v>
      </c>
      <c r="T3529" s="9" t="str">
        <f t="shared" ca="1" si="128"/>
        <v/>
      </c>
      <c r="U3529" s="9" t="str">
        <f t="shared" ca="1" si="129"/>
        <v/>
      </c>
    </row>
    <row r="3530" spans="1:27">
      <c r="A3530" s="3" t="s">
        <v>1764</v>
      </c>
      <c r="D3530" s="3" t="s">
        <v>8055</v>
      </c>
      <c r="E3530" s="3" t="s">
        <v>8055</v>
      </c>
      <c r="F3530" t="s">
        <v>3932</v>
      </c>
      <c r="I3530" t="s">
        <v>7772</v>
      </c>
      <c r="T3530" s="9" t="str">
        <f t="shared" ca="1" si="128"/>
        <v/>
      </c>
      <c r="U3530" s="9" t="str">
        <f t="shared" ca="1" si="129"/>
        <v/>
      </c>
    </row>
    <row r="3531" spans="1:27">
      <c r="A3531" s="3" t="s">
        <v>1764</v>
      </c>
      <c r="D3531" s="3" t="s">
        <v>8052</v>
      </c>
      <c r="E3531" s="3" t="s">
        <v>8052</v>
      </c>
      <c r="F3531" t="s">
        <v>3932</v>
      </c>
      <c r="I3531" t="s">
        <v>7772</v>
      </c>
      <c r="T3531" s="9" t="str">
        <f t="shared" ca="1" si="128"/>
        <v/>
      </c>
      <c r="U3531" s="9" t="str">
        <f t="shared" ca="1" si="129"/>
        <v/>
      </c>
    </row>
    <row r="3532" spans="1:27">
      <c r="A3532" s="3" t="s">
        <v>1765</v>
      </c>
      <c r="D3532" s="3" t="s">
        <v>2831</v>
      </c>
      <c r="E3532" s="3" t="s">
        <v>2832</v>
      </c>
      <c r="J3532" s="9" t="s">
        <v>8731</v>
      </c>
      <c r="T3532" s="9" t="str">
        <f t="shared" ca="1" si="128"/>
        <v/>
      </c>
      <c r="U3532" s="9" t="str">
        <f t="shared" ca="1" si="129"/>
        <v/>
      </c>
      <c r="Z3532" s="9" t="s">
        <v>8833</v>
      </c>
      <c r="AA3532" s="9" t="s">
        <v>3884</v>
      </c>
    </row>
    <row r="3533" spans="1:27" ht="43.5">
      <c r="A3533" s="3" t="s">
        <v>1765</v>
      </c>
      <c r="D3533" s="3" t="s">
        <v>8056</v>
      </c>
      <c r="E3533" s="3" t="s">
        <v>8056</v>
      </c>
      <c r="F3533" t="s">
        <v>3932</v>
      </c>
      <c r="I3533" t="s">
        <v>8057</v>
      </c>
      <c r="T3533" s="9" t="str">
        <f t="shared" ca="1" si="128"/>
        <v/>
      </c>
      <c r="U3533" s="9" t="str">
        <f t="shared" ca="1" si="129"/>
        <v/>
      </c>
    </row>
    <row r="3534" spans="1:27" ht="43.5">
      <c r="A3534" s="3" t="s">
        <v>1765</v>
      </c>
      <c r="D3534" s="3" t="s">
        <v>8058</v>
      </c>
      <c r="E3534" s="3" t="s">
        <v>8058</v>
      </c>
      <c r="F3534" t="s">
        <v>3932</v>
      </c>
      <c r="I3534" t="s">
        <v>8059</v>
      </c>
      <c r="T3534" s="9" t="str">
        <f t="shared" ca="1" si="128"/>
        <v/>
      </c>
      <c r="U3534" s="9" t="str">
        <f t="shared" ca="1" si="129"/>
        <v/>
      </c>
    </row>
    <row r="3535" spans="1:27">
      <c r="A3535" s="3" t="s">
        <v>1765</v>
      </c>
      <c r="D3535" s="3" t="s">
        <v>9159</v>
      </c>
      <c r="E3535" s="3" t="s">
        <v>8060</v>
      </c>
      <c r="H3535" t="s">
        <v>3892</v>
      </c>
      <c r="I3535" t="s">
        <v>8061</v>
      </c>
      <c r="J3535" s="9" t="s">
        <v>8731</v>
      </c>
      <c r="T3535" s="9" t="str">
        <f t="shared" ca="1" si="128"/>
        <v/>
      </c>
      <c r="U3535" s="9" t="str">
        <f t="shared" ca="1" si="129"/>
        <v/>
      </c>
      <c r="Z3535" s="9" t="s">
        <v>9285</v>
      </c>
      <c r="AA3535" s="9" t="s">
        <v>3884</v>
      </c>
    </row>
    <row r="3536" spans="1:27" ht="29">
      <c r="A3536" s="3" t="s">
        <v>1766</v>
      </c>
      <c r="D3536" s="3" t="s">
        <v>8063</v>
      </c>
      <c r="E3536" s="3" t="s">
        <v>8064</v>
      </c>
      <c r="F3536" t="s">
        <v>3932</v>
      </c>
      <c r="I3536" t="s">
        <v>3858</v>
      </c>
      <c r="T3536" s="9" t="str">
        <f t="shared" ca="1" si="128"/>
        <v/>
      </c>
      <c r="U3536" s="9" t="str">
        <f t="shared" ca="1" si="129"/>
        <v/>
      </c>
    </row>
    <row r="3537" spans="1:28" ht="29">
      <c r="A3537" s="3" t="s">
        <v>1766</v>
      </c>
      <c r="D3537" s="3" t="s">
        <v>8065</v>
      </c>
      <c r="E3537" s="3" t="s">
        <v>8062</v>
      </c>
      <c r="H3537" t="s">
        <v>3884</v>
      </c>
      <c r="J3537" s="9" t="s">
        <v>3889</v>
      </c>
      <c r="K3537" s="9">
        <v>2</v>
      </c>
      <c r="L3537" s="9">
        <v>14</v>
      </c>
      <c r="N3537" s="9" t="s">
        <v>8690</v>
      </c>
      <c r="R3537" s="9">
        <v>77</v>
      </c>
      <c r="T3537" s="9" t="str">
        <f t="shared" ca="1" si="128"/>
        <v/>
      </c>
      <c r="U3537" s="9" t="str">
        <f t="shared" ca="1" si="129"/>
        <v/>
      </c>
    </row>
    <row r="3538" spans="1:28">
      <c r="A3538" s="3" t="s">
        <v>1766</v>
      </c>
      <c r="D3538" s="3" t="s">
        <v>8066</v>
      </c>
      <c r="E3538" s="3" t="s">
        <v>8067</v>
      </c>
      <c r="H3538" t="s">
        <v>3884</v>
      </c>
      <c r="J3538" s="9" t="s">
        <v>8729</v>
      </c>
      <c r="S3538" s="9">
        <f>0-30</f>
        <v>-30</v>
      </c>
      <c r="T3538" s="9">
        <f t="shared" ca="1" si="128"/>
        <v>30</v>
      </c>
      <c r="U3538" s="9">
        <f t="shared" ca="1" si="129"/>
        <v>0</v>
      </c>
    </row>
    <row r="3539" spans="1:28">
      <c r="A3539" s="3" t="s">
        <v>1767</v>
      </c>
      <c r="D3539" s="3" t="s">
        <v>3066</v>
      </c>
      <c r="E3539" s="3" t="s">
        <v>3066</v>
      </c>
      <c r="F3539" t="s">
        <v>3932</v>
      </c>
      <c r="I3539" t="s">
        <v>3065</v>
      </c>
      <c r="T3539" s="9" t="str">
        <f t="shared" ca="1" si="128"/>
        <v/>
      </c>
      <c r="U3539" s="9" t="str">
        <f t="shared" ca="1" si="129"/>
        <v/>
      </c>
    </row>
    <row r="3540" spans="1:28">
      <c r="A3540" s="3" t="s">
        <v>1767</v>
      </c>
      <c r="D3540" s="3" t="s">
        <v>8068</v>
      </c>
      <c r="E3540" s="3" t="s">
        <v>8068</v>
      </c>
      <c r="F3540" t="s">
        <v>3932</v>
      </c>
      <c r="I3540" t="s">
        <v>3954</v>
      </c>
      <c r="T3540" s="9" t="str">
        <f t="shared" ca="1" si="128"/>
        <v/>
      </c>
      <c r="U3540" s="9" t="str">
        <f t="shared" ca="1" si="129"/>
        <v/>
      </c>
    </row>
    <row r="3541" spans="1:28">
      <c r="A3541" s="3" t="s">
        <v>1767</v>
      </c>
      <c r="D3541" s="3" t="s">
        <v>8069</v>
      </c>
      <c r="E3541" s="3" t="s">
        <v>8070</v>
      </c>
      <c r="H3541" t="s">
        <v>3884</v>
      </c>
      <c r="J3541" s="9" t="s">
        <v>3885</v>
      </c>
      <c r="K3541" s="9">
        <v>1</v>
      </c>
      <c r="L3541" s="9">
        <v>1</v>
      </c>
      <c r="M3541" s="9" t="s">
        <v>8689</v>
      </c>
      <c r="N3541" s="9" t="s">
        <v>8730</v>
      </c>
      <c r="R3541" s="9">
        <v>10929</v>
      </c>
      <c r="T3541" s="9" t="str">
        <f t="shared" ca="1" si="128"/>
        <v/>
      </c>
      <c r="U3541" s="9" t="str">
        <f t="shared" ca="1" si="129"/>
        <v/>
      </c>
    </row>
    <row r="3542" spans="1:28">
      <c r="A3542" s="3" t="s">
        <v>1767</v>
      </c>
      <c r="D3542" s="3" t="s">
        <v>8071</v>
      </c>
      <c r="E3542" s="3" t="s">
        <v>8072</v>
      </c>
      <c r="F3542" t="s">
        <v>3932</v>
      </c>
      <c r="I3542" t="s">
        <v>3858</v>
      </c>
      <c r="T3542" s="9" t="str">
        <f t="shared" ca="1" si="128"/>
        <v/>
      </c>
      <c r="U3542" s="9" t="str">
        <f t="shared" ca="1" si="129"/>
        <v/>
      </c>
    </row>
    <row r="3543" spans="1:28">
      <c r="A3543" s="3" t="s">
        <v>1767</v>
      </c>
      <c r="D3543" s="3" t="s">
        <v>3773</v>
      </c>
      <c r="E3543" s="3" t="s">
        <v>3774</v>
      </c>
      <c r="J3543" s="9" t="s">
        <v>8731</v>
      </c>
      <c r="T3543" s="9" t="str">
        <f t="shared" ca="1" si="128"/>
        <v/>
      </c>
      <c r="U3543" s="9" t="str">
        <f t="shared" ca="1" si="129"/>
        <v/>
      </c>
      <c r="Z3543" s="9" t="s">
        <v>8747</v>
      </c>
      <c r="AA3543" s="9" t="s">
        <v>3884</v>
      </c>
    </row>
    <row r="3544" spans="1:28">
      <c r="A3544" s="3" t="s">
        <v>1768</v>
      </c>
      <c r="D3544" s="3" t="s">
        <v>8073</v>
      </c>
      <c r="E3544" s="3" t="s">
        <v>8073</v>
      </c>
      <c r="F3544" t="s">
        <v>3932</v>
      </c>
      <c r="I3544" t="s">
        <v>8074</v>
      </c>
      <c r="T3544" s="9" t="str">
        <f t="shared" ca="1" si="128"/>
        <v/>
      </c>
      <c r="U3544" s="9" t="str">
        <f t="shared" ca="1" si="129"/>
        <v/>
      </c>
    </row>
    <row r="3545" spans="1:28">
      <c r="A3545" s="3" t="s">
        <v>1768</v>
      </c>
      <c r="D3545" s="3" t="s">
        <v>3775</v>
      </c>
      <c r="E3545" s="3" t="s">
        <v>3775</v>
      </c>
      <c r="F3545" t="s">
        <v>3932</v>
      </c>
      <c r="I3545" t="s">
        <v>3132</v>
      </c>
      <c r="T3545" s="9" t="str">
        <f t="shared" ca="1" si="128"/>
        <v/>
      </c>
      <c r="U3545" s="9" t="str">
        <f t="shared" ca="1" si="129"/>
        <v/>
      </c>
    </row>
    <row r="3546" spans="1:28" ht="29">
      <c r="A3546" s="3" t="s">
        <v>1768</v>
      </c>
      <c r="D3546" s="3" t="s">
        <v>8075</v>
      </c>
      <c r="E3546" s="3" t="s">
        <v>8076</v>
      </c>
      <c r="F3546" t="s">
        <v>3932</v>
      </c>
      <c r="I3546" t="s">
        <v>8077</v>
      </c>
      <c r="T3546" s="9" t="str">
        <f t="shared" ca="1" si="128"/>
        <v/>
      </c>
      <c r="U3546" s="9" t="str">
        <f t="shared" ca="1" si="129"/>
        <v/>
      </c>
    </row>
    <row r="3547" spans="1:28">
      <c r="A3547" s="3" t="s">
        <v>1768</v>
      </c>
      <c r="D3547" s="3" t="s">
        <v>3776</v>
      </c>
      <c r="E3547" s="3" t="s">
        <v>3777</v>
      </c>
      <c r="J3547" s="9" t="s">
        <v>8731</v>
      </c>
      <c r="T3547" s="9" t="str">
        <f t="shared" ca="1" si="128"/>
        <v/>
      </c>
      <c r="U3547" s="9" t="str">
        <f t="shared" ca="1" si="129"/>
        <v/>
      </c>
      <c r="Z3547" s="9" t="s">
        <v>8758</v>
      </c>
      <c r="AA3547" s="9" t="s">
        <v>3884</v>
      </c>
      <c r="AB3547" s="9" t="s">
        <v>8697</v>
      </c>
    </row>
    <row r="3548" spans="1:28">
      <c r="A3548" s="3" t="s">
        <v>1768</v>
      </c>
      <c r="D3548" s="3" t="s">
        <v>3778</v>
      </c>
      <c r="E3548" s="3" t="s">
        <v>3779</v>
      </c>
      <c r="J3548" s="9" t="s">
        <v>8731</v>
      </c>
      <c r="T3548" s="9" t="str">
        <f t="shared" ca="1" si="128"/>
        <v/>
      </c>
      <c r="U3548" s="9" t="str">
        <f t="shared" ca="1" si="129"/>
        <v/>
      </c>
    </row>
    <row r="3549" spans="1:28">
      <c r="A3549" s="3" t="s">
        <v>1768</v>
      </c>
      <c r="D3549" s="3" t="s">
        <v>3780</v>
      </c>
      <c r="E3549" s="3" t="s">
        <v>3780</v>
      </c>
      <c r="F3549" t="s">
        <v>3932</v>
      </c>
      <c r="I3549" t="s">
        <v>8078</v>
      </c>
      <c r="T3549" s="9" t="str">
        <f t="shared" ca="1" si="128"/>
        <v/>
      </c>
      <c r="U3549" s="9" t="str">
        <f t="shared" ca="1" si="129"/>
        <v/>
      </c>
    </row>
    <row r="3550" spans="1:28">
      <c r="A3550" s="3" t="s">
        <v>1769</v>
      </c>
      <c r="D3550" s="3" t="s">
        <v>8079</v>
      </c>
      <c r="E3550" s="3" t="s">
        <v>8080</v>
      </c>
      <c r="F3550" t="s">
        <v>3893</v>
      </c>
      <c r="H3550" t="s">
        <v>3884</v>
      </c>
      <c r="T3550" s="9" t="str">
        <f t="shared" ca="1" si="128"/>
        <v/>
      </c>
      <c r="U3550" s="9" t="str">
        <f t="shared" ca="1" si="129"/>
        <v/>
      </c>
    </row>
    <row r="3551" spans="1:28">
      <c r="A3551" s="3" t="s">
        <v>1769</v>
      </c>
      <c r="D3551" s="3" t="s">
        <v>8081</v>
      </c>
      <c r="E3551" s="3" t="s">
        <v>8082</v>
      </c>
      <c r="F3551" t="s">
        <v>3932</v>
      </c>
      <c r="I3551" t="s">
        <v>8083</v>
      </c>
      <c r="T3551" s="9" t="str">
        <f t="shared" ca="1" si="128"/>
        <v/>
      </c>
      <c r="U3551" s="9" t="str">
        <f t="shared" ca="1" si="129"/>
        <v/>
      </c>
    </row>
    <row r="3552" spans="1:28">
      <c r="A3552" s="3" t="s">
        <v>1769</v>
      </c>
      <c r="D3552" s="3" t="s">
        <v>8084</v>
      </c>
      <c r="E3552" s="3" t="s">
        <v>8085</v>
      </c>
      <c r="F3552" t="s">
        <v>3932</v>
      </c>
      <c r="I3552" t="s">
        <v>8086</v>
      </c>
      <c r="T3552" s="9" t="str">
        <f t="shared" ca="1" si="128"/>
        <v/>
      </c>
      <c r="U3552" s="9" t="str">
        <f t="shared" ca="1" si="129"/>
        <v/>
      </c>
    </row>
    <row r="3553" spans="1:29">
      <c r="A3553" s="3" t="s">
        <v>1770</v>
      </c>
      <c r="D3553" s="3" t="s">
        <v>2357</v>
      </c>
      <c r="E3553" s="3" t="s">
        <v>2357</v>
      </c>
      <c r="F3553" t="s">
        <v>3932</v>
      </c>
      <c r="I3553" t="s">
        <v>2622</v>
      </c>
      <c r="T3553" s="9" t="str">
        <f t="shared" ca="1" si="128"/>
        <v/>
      </c>
      <c r="U3553" s="9" t="str">
        <f t="shared" ca="1" si="129"/>
        <v/>
      </c>
    </row>
    <row r="3554" spans="1:29">
      <c r="A3554" s="3" t="s">
        <v>1770</v>
      </c>
      <c r="D3554" s="3" t="s">
        <v>8087</v>
      </c>
      <c r="E3554" s="3" t="s">
        <v>8088</v>
      </c>
      <c r="J3554" s="9" t="s">
        <v>8729</v>
      </c>
      <c r="S3554" s="9">
        <f>231-653</f>
        <v>-422</v>
      </c>
      <c r="T3554" s="9">
        <f t="shared" ca="1" si="128"/>
        <v>653</v>
      </c>
      <c r="U3554" s="9">
        <f t="shared" ca="1" si="129"/>
        <v>231</v>
      </c>
    </row>
    <row r="3555" spans="1:29">
      <c r="A3555" s="3" t="s">
        <v>1770</v>
      </c>
      <c r="D3555" s="3" t="s">
        <v>8089</v>
      </c>
      <c r="E3555" s="3" t="s">
        <v>8090</v>
      </c>
      <c r="I3555" t="s">
        <v>9267</v>
      </c>
      <c r="J3555" s="9" t="s">
        <v>8732</v>
      </c>
      <c r="S3555" s="9">
        <f>100-12</f>
        <v>88</v>
      </c>
      <c r="T3555" s="9">
        <f t="shared" ca="1" si="128"/>
        <v>12</v>
      </c>
      <c r="U3555" s="9">
        <f t="shared" ca="1" si="129"/>
        <v>100</v>
      </c>
      <c r="V3555" s="9" t="s">
        <v>4</v>
      </c>
    </row>
    <row r="3556" spans="1:29">
      <c r="A3556" s="3" t="s">
        <v>1771</v>
      </c>
      <c r="D3556" s="3" t="s">
        <v>8091</v>
      </c>
      <c r="E3556" s="3" t="s">
        <v>3781</v>
      </c>
      <c r="H3556" t="s">
        <v>3892</v>
      </c>
      <c r="I3556" t="s">
        <v>8092</v>
      </c>
      <c r="J3556" s="9" t="s">
        <v>8729</v>
      </c>
      <c r="S3556" s="9" t="s">
        <v>8739</v>
      </c>
      <c r="T3556" s="9" t="str">
        <f t="shared" ca="1" si="128"/>
        <v/>
      </c>
      <c r="U3556" s="9" t="str">
        <f t="shared" ca="1" si="129"/>
        <v/>
      </c>
      <c r="AB3556" s="9" t="s">
        <v>8688</v>
      </c>
    </row>
    <row r="3557" spans="1:29">
      <c r="A3557" s="3" t="s">
        <v>1772</v>
      </c>
      <c r="D3557" s="3" t="s">
        <v>8093</v>
      </c>
      <c r="E3557" s="3" t="s">
        <v>8094</v>
      </c>
      <c r="I3557" t="s">
        <v>9268</v>
      </c>
      <c r="J3557" s="9" t="s">
        <v>8731</v>
      </c>
      <c r="T3557" s="9" t="str">
        <f t="shared" ca="1" si="128"/>
        <v/>
      </c>
      <c r="U3557" s="9" t="str">
        <f t="shared" ca="1" si="129"/>
        <v/>
      </c>
      <c r="V3557" s="9" t="s">
        <v>8728</v>
      </c>
    </row>
    <row r="3558" spans="1:29" ht="72.5">
      <c r="A3558" s="3" t="s">
        <v>1772</v>
      </c>
      <c r="D3558" s="3" t="s">
        <v>9161</v>
      </c>
      <c r="E3558" s="3" t="s">
        <v>9160</v>
      </c>
      <c r="H3558" t="s">
        <v>3888</v>
      </c>
      <c r="I3558" t="s">
        <v>9163</v>
      </c>
      <c r="J3558" s="9" t="s">
        <v>3889</v>
      </c>
      <c r="K3558" s="9">
        <v>7</v>
      </c>
      <c r="L3558" s="9">
        <v>43</v>
      </c>
      <c r="N3558" s="9" t="s">
        <v>8684</v>
      </c>
      <c r="O3558" s="9" t="s">
        <v>8740</v>
      </c>
      <c r="P3558" s="10" t="s">
        <v>9162</v>
      </c>
      <c r="R3558" s="9">
        <v>2</v>
      </c>
      <c r="T3558" s="9" t="str">
        <f t="shared" ca="1" si="128"/>
        <v/>
      </c>
      <c r="U3558" s="9" t="str">
        <f t="shared" ca="1" si="129"/>
        <v/>
      </c>
    </row>
    <row r="3559" spans="1:29">
      <c r="A3559" s="3" t="s">
        <v>1773</v>
      </c>
      <c r="D3559" s="3" t="s">
        <v>3066</v>
      </c>
      <c r="E3559" s="3" t="s">
        <v>3066</v>
      </c>
      <c r="F3559" t="s">
        <v>3932</v>
      </c>
      <c r="I3559" t="s">
        <v>8095</v>
      </c>
      <c r="T3559" s="9" t="str">
        <f t="shared" ca="1" si="128"/>
        <v/>
      </c>
      <c r="U3559" s="9" t="str">
        <f t="shared" ca="1" si="129"/>
        <v/>
      </c>
    </row>
    <row r="3560" spans="1:29" ht="29">
      <c r="A3560" s="3" t="s">
        <v>1774</v>
      </c>
      <c r="D3560" s="3" t="s">
        <v>8096</v>
      </c>
      <c r="E3560" s="3" t="s">
        <v>8097</v>
      </c>
      <c r="J3560" s="9" t="s">
        <v>8732</v>
      </c>
      <c r="S3560" s="9">
        <f>1942-615</f>
        <v>1327</v>
      </c>
      <c r="T3560" s="9">
        <f t="shared" ca="1" si="128"/>
        <v>615</v>
      </c>
      <c r="U3560" s="9">
        <f t="shared" ca="1" si="129"/>
        <v>1942</v>
      </c>
      <c r="AB3560" s="9" t="s">
        <v>8700</v>
      </c>
    </row>
    <row r="3561" spans="1:29" ht="29">
      <c r="A3561" s="3" t="s">
        <v>1774</v>
      </c>
      <c r="D3561" s="3" t="s">
        <v>8098</v>
      </c>
      <c r="E3561" s="3" t="s">
        <v>8099</v>
      </c>
      <c r="J3561" s="9" t="s">
        <v>8731</v>
      </c>
      <c r="T3561" s="9" t="str">
        <f t="shared" ca="1" si="128"/>
        <v/>
      </c>
      <c r="U3561" s="9" t="str">
        <f t="shared" ca="1" si="129"/>
        <v/>
      </c>
    </row>
    <row r="3562" spans="1:29" ht="29">
      <c r="A3562" s="3" t="s">
        <v>1774</v>
      </c>
      <c r="D3562" s="3" t="s">
        <v>9164</v>
      </c>
      <c r="E3562" s="3" t="s">
        <v>9165</v>
      </c>
      <c r="J3562" s="9" t="s">
        <v>8732</v>
      </c>
      <c r="S3562" s="9">
        <f>0-3678</f>
        <v>-3678</v>
      </c>
      <c r="T3562" s="9">
        <f t="shared" ca="1" si="128"/>
        <v>3678</v>
      </c>
      <c r="U3562" s="9">
        <f t="shared" ca="1" si="129"/>
        <v>0</v>
      </c>
      <c r="AB3562" s="9" t="s">
        <v>8694</v>
      </c>
    </row>
    <row r="3563" spans="1:29">
      <c r="A3563" s="3" t="s">
        <v>1775</v>
      </c>
      <c r="D3563" s="4" t="s">
        <v>8100</v>
      </c>
      <c r="E3563" s="3" t="s">
        <v>8101</v>
      </c>
      <c r="F3563" t="s">
        <v>3883</v>
      </c>
      <c r="T3563" s="9" t="str">
        <f t="shared" ca="1" si="128"/>
        <v/>
      </c>
      <c r="U3563" s="9" t="str">
        <f t="shared" ca="1" si="129"/>
        <v/>
      </c>
    </row>
    <row r="3564" spans="1:29" ht="29">
      <c r="A3564" s="3" t="s">
        <v>1776</v>
      </c>
      <c r="D3564" s="3" t="s">
        <v>8103</v>
      </c>
      <c r="E3564" s="3" t="s">
        <v>8102</v>
      </c>
      <c r="H3564" t="s">
        <v>3888</v>
      </c>
      <c r="I3564" t="s">
        <v>9269</v>
      </c>
      <c r="J3564" s="9" t="s">
        <v>3889</v>
      </c>
      <c r="K3564" s="9">
        <v>2</v>
      </c>
      <c r="L3564" s="9">
        <v>9</v>
      </c>
      <c r="N3564" s="9" t="s">
        <v>8690</v>
      </c>
      <c r="R3564" s="9">
        <v>310</v>
      </c>
      <c r="T3564" s="9" t="str">
        <f t="shared" ca="1" si="128"/>
        <v/>
      </c>
      <c r="U3564" s="9" t="str">
        <f t="shared" ca="1" si="129"/>
        <v/>
      </c>
      <c r="AC3564" s="9" t="s">
        <v>3884</v>
      </c>
    </row>
    <row r="3565" spans="1:29" ht="29">
      <c r="A3565" s="3" t="s">
        <v>1776</v>
      </c>
      <c r="D3565" s="3" t="s">
        <v>8104</v>
      </c>
      <c r="E3565" s="3" t="s">
        <v>8105</v>
      </c>
      <c r="J3565" s="9" t="s">
        <v>8729</v>
      </c>
      <c r="S3565" s="9" t="s">
        <v>8739</v>
      </c>
      <c r="T3565" s="9" t="str">
        <f t="shared" ca="1" si="128"/>
        <v/>
      </c>
      <c r="U3565" s="9" t="str">
        <f t="shared" ca="1" si="129"/>
        <v/>
      </c>
      <c r="AB3565" s="9" t="s">
        <v>8697</v>
      </c>
    </row>
    <row r="3566" spans="1:29">
      <c r="A3566" s="3" t="s">
        <v>1776</v>
      </c>
      <c r="D3566" s="3" t="s">
        <v>2918</v>
      </c>
      <c r="E3566" s="3" t="s">
        <v>2918</v>
      </c>
      <c r="F3566" t="s">
        <v>3932</v>
      </c>
      <c r="I3566" t="s">
        <v>3876</v>
      </c>
      <c r="T3566" s="9" t="str">
        <f t="shared" ca="1" si="128"/>
        <v/>
      </c>
      <c r="U3566" s="9" t="str">
        <f t="shared" ca="1" si="129"/>
        <v/>
      </c>
    </row>
    <row r="3567" spans="1:29">
      <c r="A3567" s="3" t="s">
        <v>1776</v>
      </c>
      <c r="D3567" s="3" t="s">
        <v>8106</v>
      </c>
      <c r="E3567" s="3" t="s">
        <v>8107</v>
      </c>
      <c r="F3567" t="s">
        <v>3893</v>
      </c>
      <c r="H3567" t="s">
        <v>3884</v>
      </c>
      <c r="T3567" s="9" t="str">
        <f t="shared" ca="1" si="128"/>
        <v/>
      </c>
      <c r="U3567" s="9" t="str">
        <f t="shared" ca="1" si="129"/>
        <v/>
      </c>
    </row>
    <row r="3568" spans="1:29">
      <c r="A3568" s="3" t="s">
        <v>1777</v>
      </c>
      <c r="D3568" s="3" t="s">
        <v>8108</v>
      </c>
      <c r="E3568" s="3" t="s">
        <v>8108</v>
      </c>
      <c r="F3568" t="s">
        <v>3932</v>
      </c>
      <c r="I3568" t="s">
        <v>8109</v>
      </c>
      <c r="T3568" s="9" t="str">
        <f t="shared" ca="1" si="128"/>
        <v/>
      </c>
      <c r="U3568" s="9" t="str">
        <f t="shared" ca="1" si="129"/>
        <v/>
      </c>
    </row>
    <row r="3569" spans="1:29">
      <c r="A3569" s="3" t="s">
        <v>1777</v>
      </c>
      <c r="D3569" s="3" t="s">
        <v>8110</v>
      </c>
      <c r="E3569" s="3" t="s">
        <v>8111</v>
      </c>
      <c r="H3569" t="s">
        <v>3884</v>
      </c>
      <c r="J3569" s="9" t="s">
        <v>8732</v>
      </c>
      <c r="S3569" s="9">
        <f>266-319</f>
        <v>-53</v>
      </c>
      <c r="T3569" s="9">
        <f t="shared" ca="1" si="128"/>
        <v>319</v>
      </c>
      <c r="U3569" s="9">
        <f t="shared" ca="1" si="129"/>
        <v>266</v>
      </c>
    </row>
    <row r="3570" spans="1:29" ht="29">
      <c r="A3570" s="3" t="s">
        <v>1778</v>
      </c>
      <c r="D3570" s="3" t="s">
        <v>8112</v>
      </c>
      <c r="E3570" s="3" t="s">
        <v>8102</v>
      </c>
      <c r="H3570" t="s">
        <v>3884</v>
      </c>
      <c r="I3570" t="s">
        <v>9270</v>
      </c>
      <c r="J3570" s="9" t="s">
        <v>3889</v>
      </c>
      <c r="K3570" s="9">
        <v>1</v>
      </c>
      <c r="L3570" s="9">
        <v>6</v>
      </c>
      <c r="M3570" s="9" t="s">
        <v>8703</v>
      </c>
      <c r="N3570" s="9" t="s">
        <v>8690</v>
      </c>
      <c r="R3570" s="9">
        <v>310</v>
      </c>
      <c r="T3570" s="9" t="str">
        <f t="shared" ca="1" si="128"/>
        <v/>
      </c>
      <c r="U3570" s="9" t="str">
        <f t="shared" ca="1" si="129"/>
        <v/>
      </c>
      <c r="AC3570" s="9" t="s">
        <v>3884</v>
      </c>
    </row>
    <row r="3571" spans="1:29">
      <c r="A3571" s="3" t="s">
        <v>1778</v>
      </c>
      <c r="D3571" s="3" t="s">
        <v>3782</v>
      </c>
      <c r="E3571" s="3" t="s">
        <v>3782</v>
      </c>
      <c r="F3571" t="s">
        <v>3932</v>
      </c>
      <c r="I3571" t="s">
        <v>3877</v>
      </c>
      <c r="T3571" s="9" t="str">
        <f t="shared" ca="1" si="128"/>
        <v/>
      </c>
      <c r="U3571" s="9" t="str">
        <f t="shared" ca="1" si="129"/>
        <v/>
      </c>
    </row>
    <row r="3572" spans="1:29">
      <c r="A3572" s="3" t="s">
        <v>1779</v>
      </c>
      <c r="D3572" s="3" t="s">
        <v>6638</v>
      </c>
      <c r="E3572" s="3" t="s">
        <v>6638</v>
      </c>
      <c r="F3572" t="s">
        <v>3932</v>
      </c>
      <c r="I3572" t="s">
        <v>8113</v>
      </c>
      <c r="T3572" s="9" t="str">
        <f t="shared" ca="1" si="128"/>
        <v/>
      </c>
      <c r="U3572" s="9" t="str">
        <f t="shared" ca="1" si="129"/>
        <v/>
      </c>
    </row>
    <row r="3573" spans="1:29">
      <c r="A3573" s="3" t="s">
        <v>1779</v>
      </c>
      <c r="D3573" s="3" t="s">
        <v>8114</v>
      </c>
      <c r="E3573" s="3" t="s">
        <v>8115</v>
      </c>
      <c r="J3573" s="9" t="s">
        <v>8729</v>
      </c>
      <c r="S3573" s="9" t="s">
        <v>8739</v>
      </c>
      <c r="T3573" s="9" t="str">
        <f t="shared" ca="1" si="128"/>
        <v/>
      </c>
      <c r="U3573" s="9" t="str">
        <f t="shared" ca="1" si="129"/>
        <v/>
      </c>
      <c r="AB3573" s="9" t="s">
        <v>8688</v>
      </c>
    </row>
    <row r="3574" spans="1:29" ht="29">
      <c r="A3574" s="3" t="s">
        <v>1779</v>
      </c>
      <c r="D3574" s="3" t="s">
        <v>6877</v>
      </c>
      <c r="E3574" s="3" t="s">
        <v>8117</v>
      </c>
      <c r="F3574" t="s">
        <v>3932</v>
      </c>
      <c r="I3574" t="s">
        <v>6881</v>
      </c>
      <c r="T3574" s="9" t="str">
        <f t="shared" ca="1" si="128"/>
        <v/>
      </c>
      <c r="U3574" s="9" t="str">
        <f t="shared" ca="1" si="129"/>
        <v/>
      </c>
    </row>
    <row r="3575" spans="1:29" ht="29">
      <c r="A3575" s="3" t="s">
        <v>1779</v>
      </c>
      <c r="D3575" s="3" t="s">
        <v>8116</v>
      </c>
      <c r="E3575" s="3" t="s">
        <v>8118</v>
      </c>
      <c r="H3575" t="s">
        <v>3884</v>
      </c>
      <c r="J3575" s="9" t="s">
        <v>3885</v>
      </c>
      <c r="K3575" s="9">
        <v>1</v>
      </c>
      <c r="L3575" s="9">
        <v>6</v>
      </c>
      <c r="M3575" s="9" t="s">
        <v>8703</v>
      </c>
      <c r="N3575" s="9" t="s">
        <v>8690</v>
      </c>
      <c r="R3575" s="9">
        <v>627</v>
      </c>
      <c r="T3575" s="9" t="str">
        <f t="shared" ca="1" si="128"/>
        <v/>
      </c>
      <c r="U3575" s="9" t="str">
        <f t="shared" ca="1" si="129"/>
        <v/>
      </c>
    </row>
    <row r="3576" spans="1:29" ht="58">
      <c r="A3576" s="3" t="s">
        <v>1780</v>
      </c>
      <c r="D3576" s="3" t="s">
        <v>8119</v>
      </c>
      <c r="E3576" s="4" t="s">
        <v>8120</v>
      </c>
      <c r="F3576" t="s">
        <v>3897</v>
      </c>
      <c r="I3576" s="7"/>
      <c r="T3576" s="9" t="str">
        <f t="shared" ca="1" si="128"/>
        <v/>
      </c>
      <c r="U3576" s="9" t="str">
        <f t="shared" ca="1" si="129"/>
        <v/>
      </c>
    </row>
    <row r="3577" spans="1:29">
      <c r="A3577" s="3" t="s">
        <v>1781</v>
      </c>
      <c r="D3577" s="3" t="s">
        <v>8121</v>
      </c>
      <c r="E3577" s="4" t="s">
        <v>3357</v>
      </c>
      <c r="F3577" t="s">
        <v>3897</v>
      </c>
      <c r="T3577" s="9" t="str">
        <f t="shared" ca="1" si="128"/>
        <v/>
      </c>
      <c r="U3577" s="9" t="str">
        <f t="shared" ca="1" si="129"/>
        <v/>
      </c>
    </row>
    <row r="3578" spans="1:29" ht="29">
      <c r="A3578" s="3" t="s">
        <v>1781</v>
      </c>
      <c r="D3578" s="3" t="s">
        <v>8122</v>
      </c>
      <c r="E3578" s="3" t="s">
        <v>8124</v>
      </c>
      <c r="F3578" t="s">
        <v>3932</v>
      </c>
      <c r="I3578" t="s">
        <v>8123</v>
      </c>
      <c r="T3578" s="9" t="str">
        <f t="shared" ca="1" si="128"/>
        <v/>
      </c>
      <c r="U3578" s="9" t="str">
        <f t="shared" ca="1" si="129"/>
        <v/>
      </c>
    </row>
    <row r="3579" spans="1:29">
      <c r="A3579" s="3" t="s">
        <v>1782</v>
      </c>
      <c r="D3579" s="3" t="s">
        <v>8125</v>
      </c>
      <c r="E3579" s="3" t="s">
        <v>3783</v>
      </c>
      <c r="H3579" t="s">
        <v>3884</v>
      </c>
      <c r="J3579" s="9" t="s">
        <v>8729</v>
      </c>
      <c r="S3579" s="9">
        <f>0-185</f>
        <v>-185</v>
      </c>
      <c r="T3579" s="9">
        <f t="shared" ca="1" si="128"/>
        <v>185</v>
      </c>
      <c r="U3579" s="9">
        <f t="shared" ca="1" si="129"/>
        <v>0</v>
      </c>
    </row>
    <row r="3580" spans="1:29">
      <c r="A3580" s="3" t="s">
        <v>1782</v>
      </c>
      <c r="D3580" s="3" t="s">
        <v>8126</v>
      </c>
      <c r="E3580" s="3" t="s">
        <v>4261</v>
      </c>
      <c r="F3580" t="s">
        <v>3932</v>
      </c>
      <c r="I3580" t="s">
        <v>7909</v>
      </c>
      <c r="T3580" s="9" t="str">
        <f t="shared" ca="1" si="128"/>
        <v/>
      </c>
      <c r="U3580" s="9" t="str">
        <f t="shared" ca="1" si="129"/>
        <v/>
      </c>
    </row>
    <row r="3581" spans="1:29">
      <c r="A3581" s="3" t="s">
        <v>1783</v>
      </c>
      <c r="D3581" s="3" t="s">
        <v>8127</v>
      </c>
      <c r="E3581" s="3" t="s">
        <v>8128</v>
      </c>
      <c r="J3581" s="9" t="s">
        <v>3889</v>
      </c>
      <c r="K3581" s="9">
        <v>1</v>
      </c>
      <c r="L3581" s="9">
        <v>5</v>
      </c>
      <c r="M3581" s="9" t="s">
        <v>8703</v>
      </c>
      <c r="N3581" s="9" t="s">
        <v>8684</v>
      </c>
      <c r="O3581" s="9" t="s">
        <v>8777</v>
      </c>
      <c r="P3581" s="10" t="s">
        <v>8941</v>
      </c>
      <c r="Q3581" s="9" t="s">
        <v>8685</v>
      </c>
      <c r="T3581" s="9" t="str">
        <f t="shared" ca="1" si="128"/>
        <v/>
      </c>
      <c r="U3581" s="9" t="str">
        <f t="shared" ca="1" si="129"/>
        <v/>
      </c>
    </row>
    <row r="3582" spans="1:29">
      <c r="A3582" s="3" t="s">
        <v>1784</v>
      </c>
      <c r="D3582" s="3" t="s">
        <v>8129</v>
      </c>
      <c r="E3582" s="3" t="s">
        <v>8130</v>
      </c>
      <c r="H3582" t="s">
        <v>3884</v>
      </c>
      <c r="I3582" t="s">
        <v>9271</v>
      </c>
      <c r="J3582" s="9" t="s">
        <v>3885</v>
      </c>
      <c r="K3582" s="9">
        <v>1</v>
      </c>
      <c r="L3582" s="9">
        <v>6</v>
      </c>
      <c r="M3582" s="9" t="s">
        <v>8703</v>
      </c>
      <c r="N3582" s="9" t="s">
        <v>8684</v>
      </c>
      <c r="O3582" s="9" t="s">
        <v>8771</v>
      </c>
      <c r="P3582" s="10" t="s">
        <v>8778</v>
      </c>
      <c r="R3582" s="9">
        <v>627</v>
      </c>
      <c r="T3582" s="9" t="str">
        <f t="shared" ca="1" si="128"/>
        <v/>
      </c>
      <c r="U3582" s="9" t="str">
        <f t="shared" ca="1" si="129"/>
        <v/>
      </c>
      <c r="V3582" s="9" t="s">
        <v>8728</v>
      </c>
    </row>
    <row r="3583" spans="1:29">
      <c r="A3583" s="3" t="s">
        <v>1784</v>
      </c>
      <c r="D3583" s="3" t="s">
        <v>2330</v>
      </c>
      <c r="E3583" s="3" t="s">
        <v>2330</v>
      </c>
      <c r="F3583" t="s">
        <v>3932</v>
      </c>
      <c r="I3583" t="s">
        <v>3453</v>
      </c>
      <c r="T3583" s="9" t="str">
        <f t="shared" ca="1" si="128"/>
        <v/>
      </c>
      <c r="U3583" s="9" t="str">
        <f t="shared" ca="1" si="129"/>
        <v/>
      </c>
    </row>
    <row r="3584" spans="1:29" ht="29">
      <c r="A3584" s="3" t="s">
        <v>1785</v>
      </c>
      <c r="D3584" s="3" t="s">
        <v>8131</v>
      </c>
      <c r="E3584" s="3" t="s">
        <v>8131</v>
      </c>
      <c r="F3584" t="s">
        <v>3932</v>
      </c>
      <c r="I3584" t="s">
        <v>8132</v>
      </c>
      <c r="T3584" s="9" t="str">
        <f t="shared" ca="1" si="128"/>
        <v/>
      </c>
      <c r="U3584" s="9" t="str">
        <f t="shared" ca="1" si="129"/>
        <v/>
      </c>
    </row>
    <row r="3585" spans="1:28" ht="29">
      <c r="A3585" s="3" t="s">
        <v>1785</v>
      </c>
      <c r="D3585" s="3" t="s">
        <v>8133</v>
      </c>
      <c r="E3585" s="3" t="s">
        <v>8134</v>
      </c>
      <c r="H3585" t="s">
        <v>3884</v>
      </c>
      <c r="I3585" t="s">
        <v>9272</v>
      </c>
      <c r="J3585" s="9" t="s">
        <v>3889</v>
      </c>
      <c r="K3585" s="9">
        <v>1</v>
      </c>
      <c r="L3585" s="9">
        <v>5</v>
      </c>
      <c r="M3585" s="9" t="s">
        <v>8703</v>
      </c>
      <c r="N3585" s="9" t="s">
        <v>8690</v>
      </c>
      <c r="R3585" s="9">
        <v>21</v>
      </c>
      <c r="T3585" s="9" t="str">
        <f t="shared" ca="1" si="128"/>
        <v/>
      </c>
      <c r="U3585" s="9" t="str">
        <f t="shared" ca="1" si="129"/>
        <v/>
      </c>
      <c r="V3585" s="9" t="s">
        <v>8728</v>
      </c>
    </row>
    <row r="3586" spans="1:28" ht="29">
      <c r="A3586" s="3" t="s">
        <v>1785</v>
      </c>
      <c r="D3586" s="3" t="s">
        <v>8135</v>
      </c>
      <c r="E3586" s="3" t="s">
        <v>8136</v>
      </c>
      <c r="H3586" t="s">
        <v>3884</v>
      </c>
      <c r="J3586" s="9" t="s">
        <v>3889</v>
      </c>
      <c r="K3586" s="9">
        <v>2</v>
      </c>
      <c r="L3586" s="9">
        <v>9</v>
      </c>
      <c r="N3586" s="9" t="s">
        <v>8690</v>
      </c>
      <c r="R3586" s="9">
        <v>32</v>
      </c>
      <c r="T3586" s="9" t="str">
        <f t="shared" ca="1" si="128"/>
        <v/>
      </c>
      <c r="U3586" s="9" t="str">
        <f t="shared" ca="1" si="129"/>
        <v/>
      </c>
    </row>
    <row r="3587" spans="1:28">
      <c r="A3587" s="3" t="s">
        <v>1785</v>
      </c>
      <c r="D3587" s="4" t="s">
        <v>8137</v>
      </c>
      <c r="E3587" s="3" t="s">
        <v>8138</v>
      </c>
      <c r="F3587" t="s">
        <v>3883</v>
      </c>
      <c r="H3587" t="s">
        <v>3884</v>
      </c>
      <c r="J3587" s="9" t="s">
        <v>8729</v>
      </c>
      <c r="S3587" s="9">
        <f>991-1942</f>
        <v>-951</v>
      </c>
      <c r="T3587" s="9">
        <f t="shared" ca="1" si="128"/>
        <v>1942</v>
      </c>
      <c r="U3587" s="9">
        <f t="shared" ca="1" si="129"/>
        <v>991</v>
      </c>
    </row>
    <row r="3588" spans="1:28">
      <c r="A3588" s="3" t="s">
        <v>1786</v>
      </c>
      <c r="D3588" s="3" t="s">
        <v>8139</v>
      </c>
      <c r="E3588" s="3" t="s">
        <v>3784</v>
      </c>
      <c r="H3588" t="s">
        <v>3884</v>
      </c>
      <c r="J3588" s="9" t="s">
        <v>8729</v>
      </c>
      <c r="S3588" s="9" t="s">
        <v>8739</v>
      </c>
      <c r="T3588" s="9" t="str">
        <f t="shared" ref="T3588:T3651" ca="1" si="130">IF(ISNUMBER(S3588),VALUE(MID(_xlfn.FORMULATEXT(S3588),SEARCH("-",_xlfn.FORMULATEXT(S3588))+1,LEN(_xlfn.FORMULATEXT(S3588))-SEARCH("-",_xlfn.FORMULATEXT(S3588)))), "")</f>
        <v/>
      </c>
      <c r="U3588" s="9" t="str">
        <f t="shared" ref="U3588:U3651" ca="1" si="131">IF(ISNUMBER(S3588), VALUE(MID(_xlfn.FORMULATEXT(S3588), 2, SEARCH("-", _xlfn.FORMULATEXT(S3588)) - 2)), "")</f>
        <v/>
      </c>
      <c r="AB3588" s="9" t="s">
        <v>8688</v>
      </c>
    </row>
    <row r="3589" spans="1:28">
      <c r="A3589" s="3" t="s">
        <v>1786</v>
      </c>
      <c r="D3589" s="3" t="s">
        <v>3785</v>
      </c>
      <c r="E3589" s="3" t="s">
        <v>3649</v>
      </c>
      <c r="H3589" t="s">
        <v>3892</v>
      </c>
      <c r="I3589" t="s">
        <v>8140</v>
      </c>
      <c r="J3589" s="9" t="s">
        <v>8729</v>
      </c>
      <c r="S3589" s="9" t="s">
        <v>8739</v>
      </c>
      <c r="T3589" s="9" t="str">
        <f t="shared" ca="1" si="130"/>
        <v/>
      </c>
      <c r="U3589" s="9" t="str">
        <f t="shared" ca="1" si="131"/>
        <v/>
      </c>
      <c r="Y3589" s="9" t="s">
        <v>8735</v>
      </c>
      <c r="AA3589" s="9" t="s">
        <v>3884</v>
      </c>
    </row>
    <row r="3590" spans="1:28">
      <c r="A3590" s="3" t="s">
        <v>1787</v>
      </c>
      <c r="D3590" s="3" t="s">
        <v>8141</v>
      </c>
      <c r="E3590" s="3" t="s">
        <v>8142</v>
      </c>
      <c r="F3590" t="s">
        <v>3893</v>
      </c>
      <c r="H3590" t="s">
        <v>3884</v>
      </c>
      <c r="T3590" s="9" t="str">
        <f t="shared" ca="1" si="130"/>
        <v/>
      </c>
      <c r="U3590" s="9" t="str">
        <f t="shared" ca="1" si="131"/>
        <v/>
      </c>
    </row>
    <row r="3591" spans="1:28">
      <c r="A3591" s="3" t="s">
        <v>1787</v>
      </c>
      <c r="D3591" s="3" t="s">
        <v>8143</v>
      </c>
      <c r="E3591" s="3" t="s">
        <v>8143</v>
      </c>
      <c r="F3591" t="s">
        <v>3932</v>
      </c>
      <c r="I3591" t="s">
        <v>2223</v>
      </c>
      <c r="T3591" s="9" t="str">
        <f t="shared" ca="1" si="130"/>
        <v/>
      </c>
      <c r="U3591" s="9" t="str">
        <f t="shared" ca="1" si="131"/>
        <v/>
      </c>
    </row>
    <row r="3592" spans="1:28">
      <c r="A3592" s="3" t="s">
        <v>1787</v>
      </c>
      <c r="D3592" s="3" t="s">
        <v>8144</v>
      </c>
      <c r="E3592" s="3" t="s">
        <v>8144</v>
      </c>
      <c r="F3592" t="s">
        <v>3932</v>
      </c>
      <c r="I3592" t="s">
        <v>3791</v>
      </c>
      <c r="T3592" s="9" t="str">
        <f t="shared" ca="1" si="130"/>
        <v/>
      </c>
      <c r="U3592" s="9" t="str">
        <f t="shared" ca="1" si="131"/>
        <v/>
      </c>
    </row>
    <row r="3593" spans="1:28">
      <c r="A3593" s="3" t="s">
        <v>1787</v>
      </c>
      <c r="D3593" s="3" t="s">
        <v>8145</v>
      </c>
      <c r="E3593" s="3" t="s">
        <v>8146</v>
      </c>
      <c r="J3593" s="9" t="s">
        <v>8731</v>
      </c>
      <c r="T3593" s="9" t="str">
        <f t="shared" ca="1" si="130"/>
        <v/>
      </c>
      <c r="U3593" s="9" t="str">
        <f t="shared" ca="1" si="131"/>
        <v/>
      </c>
      <c r="AB3593" s="9" t="s">
        <v>8700</v>
      </c>
    </row>
    <row r="3594" spans="1:28">
      <c r="A3594" s="3" t="s">
        <v>1787</v>
      </c>
      <c r="D3594" s="3" t="s">
        <v>3786</v>
      </c>
      <c r="E3594" s="3" t="s">
        <v>3629</v>
      </c>
      <c r="J3594" s="9" t="s">
        <v>8731</v>
      </c>
      <c r="T3594" s="9" t="str">
        <f t="shared" ca="1" si="130"/>
        <v/>
      </c>
      <c r="U3594" s="9" t="str">
        <f t="shared" ca="1" si="131"/>
        <v/>
      </c>
    </row>
    <row r="3595" spans="1:28">
      <c r="A3595" s="3" t="s">
        <v>1788</v>
      </c>
      <c r="D3595" s="3" t="s">
        <v>2265</v>
      </c>
      <c r="E3595" s="3" t="s">
        <v>2266</v>
      </c>
      <c r="J3595" s="9" t="s">
        <v>8731</v>
      </c>
      <c r="T3595" s="9" t="str">
        <f t="shared" ca="1" si="130"/>
        <v/>
      </c>
      <c r="U3595" s="9" t="str">
        <f t="shared" ca="1" si="131"/>
        <v/>
      </c>
      <c r="Z3595" s="9" t="s">
        <v>9279</v>
      </c>
      <c r="AA3595" s="9" t="s">
        <v>3884</v>
      </c>
    </row>
    <row r="3596" spans="1:28">
      <c r="A3596" s="3" t="s">
        <v>1788</v>
      </c>
      <c r="D3596" s="3" t="s">
        <v>8147</v>
      </c>
      <c r="E3596" s="3" t="s">
        <v>8147</v>
      </c>
      <c r="F3596" t="s">
        <v>3932</v>
      </c>
      <c r="I3596" t="s">
        <v>8148</v>
      </c>
      <c r="T3596" s="9" t="str">
        <f t="shared" ca="1" si="130"/>
        <v/>
      </c>
      <c r="U3596" s="9" t="str">
        <f t="shared" ca="1" si="131"/>
        <v/>
      </c>
    </row>
    <row r="3597" spans="1:28">
      <c r="A3597" s="3" t="s">
        <v>1789</v>
      </c>
      <c r="D3597" s="4" t="s">
        <v>3787</v>
      </c>
      <c r="E3597" s="3" t="s">
        <v>3649</v>
      </c>
      <c r="F3597" t="s">
        <v>4196</v>
      </c>
      <c r="I3597" t="s">
        <v>8149</v>
      </c>
      <c r="J3597" s="9" t="s">
        <v>8729</v>
      </c>
      <c r="S3597" s="9" t="s">
        <v>8739</v>
      </c>
      <c r="T3597" s="9" t="str">
        <f t="shared" ca="1" si="130"/>
        <v/>
      </c>
      <c r="U3597" s="9" t="str">
        <f t="shared" ca="1" si="131"/>
        <v/>
      </c>
      <c r="Y3597" s="9" t="s">
        <v>8735</v>
      </c>
      <c r="Z3597" s="9" t="s">
        <v>9280</v>
      </c>
      <c r="AA3597" s="9" t="s">
        <v>3884</v>
      </c>
    </row>
    <row r="3598" spans="1:28">
      <c r="A3598" s="3" t="s">
        <v>1790</v>
      </c>
      <c r="D3598" s="3" t="s">
        <v>2329</v>
      </c>
      <c r="E3598" s="3" t="s">
        <v>2329</v>
      </c>
      <c r="F3598" t="s">
        <v>3932</v>
      </c>
      <c r="I3598" t="s">
        <v>2357</v>
      </c>
      <c r="T3598" s="9" t="str">
        <f t="shared" ca="1" si="130"/>
        <v/>
      </c>
      <c r="U3598" s="9" t="str">
        <f t="shared" ca="1" si="131"/>
        <v/>
      </c>
    </row>
    <row r="3599" spans="1:28">
      <c r="A3599" s="3" t="s">
        <v>1791</v>
      </c>
      <c r="D3599" s="3" t="s">
        <v>2379</v>
      </c>
      <c r="E3599" s="3" t="s">
        <v>2380</v>
      </c>
      <c r="I3599" t="s">
        <v>9273</v>
      </c>
      <c r="J3599" s="9" t="s">
        <v>8731</v>
      </c>
      <c r="T3599" s="9" t="str">
        <f t="shared" ca="1" si="130"/>
        <v/>
      </c>
      <c r="U3599" s="9" t="str">
        <f t="shared" ca="1" si="131"/>
        <v/>
      </c>
      <c r="V3599" s="9" t="s">
        <v>8728</v>
      </c>
    </row>
    <row r="3600" spans="1:28">
      <c r="A3600" s="3" t="s">
        <v>1791</v>
      </c>
      <c r="D3600" s="3" t="s">
        <v>8150</v>
      </c>
      <c r="E3600" s="3" t="s">
        <v>8150</v>
      </c>
      <c r="F3600" t="s">
        <v>3932</v>
      </c>
      <c r="I3600" t="s">
        <v>5639</v>
      </c>
      <c r="T3600" s="9" t="str">
        <f t="shared" ca="1" si="130"/>
        <v/>
      </c>
      <c r="U3600" s="9" t="str">
        <f t="shared" ca="1" si="131"/>
        <v/>
      </c>
    </row>
    <row r="3601" spans="1:28">
      <c r="A3601" s="3" t="s">
        <v>1791</v>
      </c>
      <c r="D3601" s="3" t="s">
        <v>3788</v>
      </c>
      <c r="E3601" s="3" t="s">
        <v>3789</v>
      </c>
      <c r="J3601" s="9" t="s">
        <v>8732</v>
      </c>
      <c r="S3601" s="9">
        <f>6-2</f>
        <v>4</v>
      </c>
      <c r="T3601" s="9">
        <f t="shared" ca="1" si="130"/>
        <v>2</v>
      </c>
      <c r="U3601" s="9">
        <f t="shared" ca="1" si="131"/>
        <v>6</v>
      </c>
      <c r="Z3601" s="9" t="s">
        <v>8741</v>
      </c>
      <c r="AA3601" s="9" t="s">
        <v>3884</v>
      </c>
      <c r="AB3601" s="9" t="s">
        <v>8700</v>
      </c>
    </row>
    <row r="3602" spans="1:28" ht="29">
      <c r="A3602" s="3" t="s">
        <v>1791</v>
      </c>
      <c r="D3602" s="3" t="s">
        <v>9545</v>
      </c>
      <c r="E3602" s="3" t="s">
        <v>9546</v>
      </c>
      <c r="J3602" s="9" t="s">
        <v>8731</v>
      </c>
      <c r="T3602" s="9" t="str">
        <f t="shared" ca="1" si="130"/>
        <v/>
      </c>
      <c r="U3602" s="9" t="str">
        <f t="shared" ca="1" si="131"/>
        <v/>
      </c>
    </row>
    <row r="3603" spans="1:28">
      <c r="A3603" s="3" t="s">
        <v>1792</v>
      </c>
      <c r="D3603" s="3" t="s">
        <v>2379</v>
      </c>
      <c r="E3603" s="3" t="s">
        <v>2379</v>
      </c>
      <c r="F3603" t="s">
        <v>3932</v>
      </c>
      <c r="I3603" t="s">
        <v>2380</v>
      </c>
      <c r="T3603" s="9" t="str">
        <f t="shared" ca="1" si="130"/>
        <v/>
      </c>
      <c r="U3603" s="9" t="str">
        <f t="shared" ca="1" si="131"/>
        <v/>
      </c>
    </row>
    <row r="3604" spans="1:28">
      <c r="A3604" s="3" t="s">
        <v>1792</v>
      </c>
      <c r="D3604" s="3" t="s">
        <v>3497</v>
      </c>
      <c r="E3604" s="3" t="s">
        <v>3498</v>
      </c>
      <c r="J3604" s="9" t="s">
        <v>8731</v>
      </c>
      <c r="T3604" s="9" t="str">
        <f t="shared" ca="1" si="130"/>
        <v/>
      </c>
      <c r="U3604" s="9" t="str">
        <f t="shared" ca="1" si="131"/>
        <v/>
      </c>
      <c r="Z3604" s="9" t="s">
        <v>8741</v>
      </c>
      <c r="AA3604" s="9" t="s">
        <v>3884</v>
      </c>
    </row>
    <row r="3605" spans="1:28" ht="29">
      <c r="A3605" s="3" t="s">
        <v>1793</v>
      </c>
      <c r="D3605" s="3" t="s">
        <v>8151</v>
      </c>
      <c r="E3605" s="3" t="s">
        <v>8151</v>
      </c>
      <c r="F3605" t="s">
        <v>3932</v>
      </c>
      <c r="I3605" t="s">
        <v>3603</v>
      </c>
      <c r="T3605" s="9" t="str">
        <f t="shared" ca="1" si="130"/>
        <v/>
      </c>
      <c r="U3605" s="9" t="str">
        <f t="shared" ca="1" si="131"/>
        <v/>
      </c>
    </row>
    <row r="3606" spans="1:28" ht="29">
      <c r="A3606" s="3" t="s">
        <v>1793</v>
      </c>
      <c r="D3606" s="3" t="s">
        <v>8152</v>
      </c>
      <c r="E3606" s="3" t="s">
        <v>8152</v>
      </c>
      <c r="F3606" t="s">
        <v>3932</v>
      </c>
      <c r="I3606" t="s">
        <v>8153</v>
      </c>
      <c r="T3606" s="9" t="str">
        <f t="shared" ca="1" si="130"/>
        <v/>
      </c>
      <c r="U3606" s="9" t="str">
        <f t="shared" ca="1" si="131"/>
        <v/>
      </c>
    </row>
    <row r="3607" spans="1:28">
      <c r="A3607" s="3" t="s">
        <v>1793</v>
      </c>
      <c r="D3607" s="4" t="s">
        <v>8154</v>
      </c>
      <c r="E3607" s="3" t="s">
        <v>8155</v>
      </c>
      <c r="F3607" t="s">
        <v>3883</v>
      </c>
      <c r="H3607" t="s">
        <v>3884</v>
      </c>
      <c r="J3607" s="9" t="s">
        <v>3885</v>
      </c>
      <c r="K3607" s="9">
        <v>1</v>
      </c>
      <c r="L3607" s="9">
        <v>3</v>
      </c>
      <c r="M3607" s="9" t="s">
        <v>8689</v>
      </c>
      <c r="N3607" s="9" t="s">
        <v>8690</v>
      </c>
      <c r="R3607" s="9">
        <v>10929</v>
      </c>
      <c r="T3607" s="9" t="str">
        <f t="shared" ca="1" si="130"/>
        <v/>
      </c>
      <c r="U3607" s="9" t="str">
        <f t="shared" ca="1" si="131"/>
        <v/>
      </c>
    </row>
    <row r="3608" spans="1:28">
      <c r="A3608" s="3" t="s">
        <v>1794</v>
      </c>
      <c r="D3608" s="3" t="s">
        <v>9166</v>
      </c>
      <c r="E3608" s="3" t="s">
        <v>8156</v>
      </c>
      <c r="J3608" s="9" t="s">
        <v>3889</v>
      </c>
      <c r="K3608" s="9">
        <v>1</v>
      </c>
      <c r="L3608" s="9">
        <v>3</v>
      </c>
      <c r="M3608" s="9" t="s">
        <v>8689</v>
      </c>
      <c r="N3608" s="9" t="s">
        <v>8690</v>
      </c>
      <c r="R3608" s="9">
        <v>10929</v>
      </c>
      <c r="T3608" s="9" t="str">
        <f t="shared" ca="1" si="130"/>
        <v/>
      </c>
      <c r="U3608" s="9" t="str">
        <f t="shared" ca="1" si="131"/>
        <v/>
      </c>
    </row>
    <row r="3609" spans="1:28">
      <c r="A3609" s="3" t="s">
        <v>1794</v>
      </c>
      <c r="D3609" s="3" t="s">
        <v>9167</v>
      </c>
      <c r="E3609" s="3" t="s">
        <v>9168</v>
      </c>
      <c r="J3609" s="9" t="s">
        <v>8729</v>
      </c>
      <c r="S3609" s="9">
        <f>21-627</f>
        <v>-606</v>
      </c>
      <c r="T3609" s="9">
        <f t="shared" ca="1" si="130"/>
        <v>627</v>
      </c>
      <c r="U3609" s="9">
        <f t="shared" ca="1" si="131"/>
        <v>21</v>
      </c>
    </row>
    <row r="3610" spans="1:28">
      <c r="A3610" s="3" t="s">
        <v>1795</v>
      </c>
      <c r="D3610" s="3" t="s">
        <v>8157</v>
      </c>
      <c r="E3610" s="4" t="s">
        <v>8158</v>
      </c>
      <c r="F3610" t="s">
        <v>3897</v>
      </c>
      <c r="T3610" s="9" t="str">
        <f t="shared" ca="1" si="130"/>
        <v/>
      </c>
      <c r="U3610" s="9" t="str">
        <f t="shared" ca="1" si="131"/>
        <v/>
      </c>
    </row>
    <row r="3611" spans="1:28" ht="29">
      <c r="A3611" s="3" t="s">
        <v>1796</v>
      </c>
      <c r="D3611" s="3" t="s">
        <v>9660</v>
      </c>
      <c r="E3611" s="3" t="s">
        <v>9661</v>
      </c>
      <c r="F3611" t="s">
        <v>3932</v>
      </c>
      <c r="I3611" t="s">
        <v>2175</v>
      </c>
      <c r="T3611" s="9" t="str">
        <f t="shared" ca="1" si="130"/>
        <v/>
      </c>
      <c r="U3611" s="9" t="str">
        <f t="shared" ca="1" si="131"/>
        <v/>
      </c>
    </row>
    <row r="3612" spans="1:28" ht="29">
      <c r="A3612" s="3" t="s">
        <v>1796</v>
      </c>
      <c r="D3612" s="3" t="s">
        <v>9663</v>
      </c>
      <c r="E3612" s="3" t="s">
        <v>9662</v>
      </c>
      <c r="J3612" s="9" t="s">
        <v>8729</v>
      </c>
      <c r="S3612" s="9">
        <f>38-90</f>
        <v>-52</v>
      </c>
      <c r="T3612" s="9">
        <f t="shared" ca="1" si="130"/>
        <v>90</v>
      </c>
      <c r="U3612" s="9">
        <f t="shared" ca="1" si="131"/>
        <v>38</v>
      </c>
    </row>
    <row r="3613" spans="1:28">
      <c r="A3613" s="3" t="s">
        <v>1796</v>
      </c>
      <c r="D3613" s="3" t="s">
        <v>8147</v>
      </c>
      <c r="E3613" s="3" t="s">
        <v>8147</v>
      </c>
      <c r="F3613" t="s">
        <v>3932</v>
      </c>
      <c r="I3613" t="s">
        <v>8148</v>
      </c>
      <c r="T3613" s="9" t="str">
        <f t="shared" ca="1" si="130"/>
        <v/>
      </c>
      <c r="U3613" s="9" t="str">
        <f t="shared" ca="1" si="131"/>
        <v/>
      </c>
    </row>
    <row r="3614" spans="1:28">
      <c r="A3614" s="3" t="s">
        <v>1797</v>
      </c>
      <c r="D3614" s="3" t="s">
        <v>8159</v>
      </c>
      <c r="E3614" s="3" t="s">
        <v>8160</v>
      </c>
      <c r="J3614" s="9" t="s">
        <v>8731</v>
      </c>
      <c r="T3614" s="9" t="str">
        <f t="shared" ca="1" si="130"/>
        <v/>
      </c>
      <c r="U3614" s="9" t="str">
        <f t="shared" ca="1" si="131"/>
        <v/>
      </c>
    </row>
    <row r="3615" spans="1:28">
      <c r="A3615" s="3" t="s">
        <v>1797</v>
      </c>
      <c r="D3615" s="3" t="s">
        <v>8161</v>
      </c>
      <c r="E3615" s="3" t="s">
        <v>8161</v>
      </c>
      <c r="F3615" t="s">
        <v>3932</v>
      </c>
      <c r="I3615" t="s">
        <v>5560</v>
      </c>
      <c r="T3615" s="9" t="str">
        <f t="shared" ca="1" si="130"/>
        <v/>
      </c>
      <c r="U3615" s="9" t="str">
        <f t="shared" ca="1" si="131"/>
        <v/>
      </c>
    </row>
    <row r="3616" spans="1:28" ht="29">
      <c r="A3616" s="3" t="s">
        <v>1797</v>
      </c>
      <c r="D3616" s="3" t="s">
        <v>8162</v>
      </c>
      <c r="E3616" s="3" t="s">
        <v>8163</v>
      </c>
      <c r="F3616" t="s">
        <v>3893</v>
      </c>
      <c r="H3616" t="s">
        <v>3884</v>
      </c>
      <c r="T3616" s="9" t="str">
        <f t="shared" ca="1" si="130"/>
        <v/>
      </c>
      <c r="U3616" s="9" t="str">
        <f t="shared" ca="1" si="131"/>
        <v/>
      </c>
    </row>
    <row r="3617" spans="1:28" ht="29">
      <c r="A3617" s="3" t="s">
        <v>1797</v>
      </c>
      <c r="D3617" s="3" t="s">
        <v>8164</v>
      </c>
      <c r="E3617" s="3" t="s">
        <v>8165</v>
      </c>
      <c r="H3617" t="s">
        <v>3884</v>
      </c>
      <c r="J3617" s="9" t="s">
        <v>8729</v>
      </c>
      <c r="Q3617" s="9" t="s">
        <v>8685</v>
      </c>
      <c r="S3617" s="9" t="s">
        <v>8739</v>
      </c>
      <c r="T3617" s="9" t="str">
        <f t="shared" ca="1" si="130"/>
        <v/>
      </c>
      <c r="U3617" s="9" t="str">
        <f t="shared" ca="1" si="131"/>
        <v/>
      </c>
      <c r="AB3617" s="9" t="s">
        <v>8688</v>
      </c>
    </row>
    <row r="3618" spans="1:28">
      <c r="A3618" s="3" t="s">
        <v>1798</v>
      </c>
      <c r="D3618" s="3" t="s">
        <v>3790</v>
      </c>
      <c r="E3618" s="3" t="s">
        <v>3790</v>
      </c>
      <c r="F3618" t="s">
        <v>3932</v>
      </c>
      <c r="I3618" t="s">
        <v>3791</v>
      </c>
      <c r="T3618" s="9" t="str">
        <f t="shared" ca="1" si="130"/>
        <v/>
      </c>
      <c r="U3618" s="9" t="str">
        <f t="shared" ca="1" si="131"/>
        <v/>
      </c>
    </row>
    <row r="3619" spans="1:28">
      <c r="A3619" s="3" t="s">
        <v>1798</v>
      </c>
      <c r="D3619" s="3" t="s">
        <v>8166</v>
      </c>
      <c r="E3619" s="3" t="s">
        <v>8166</v>
      </c>
      <c r="F3619" t="s">
        <v>3932</v>
      </c>
      <c r="I3619" t="s">
        <v>8167</v>
      </c>
      <c r="T3619" s="9" t="str">
        <f t="shared" ca="1" si="130"/>
        <v/>
      </c>
      <c r="U3619" s="9" t="str">
        <f t="shared" ca="1" si="131"/>
        <v/>
      </c>
    </row>
    <row r="3620" spans="1:28" ht="43.5">
      <c r="A3620" s="3" t="s">
        <v>1799</v>
      </c>
      <c r="D3620" s="3" t="s">
        <v>8168</v>
      </c>
      <c r="E3620" s="3" t="s">
        <v>8168</v>
      </c>
      <c r="F3620" t="s">
        <v>3932</v>
      </c>
      <c r="I3620" t="s">
        <v>2359</v>
      </c>
      <c r="T3620" s="9" t="str">
        <f t="shared" ca="1" si="130"/>
        <v/>
      </c>
      <c r="U3620" s="9" t="str">
        <f t="shared" ca="1" si="131"/>
        <v/>
      </c>
    </row>
    <row r="3621" spans="1:28" ht="43.5">
      <c r="A3621" s="3" t="s">
        <v>1799</v>
      </c>
      <c r="D3621" s="4" t="s">
        <v>8169</v>
      </c>
      <c r="E3621" s="3" t="s">
        <v>9664</v>
      </c>
      <c r="F3621" t="s">
        <v>3883</v>
      </c>
      <c r="T3621" s="9" t="str">
        <f t="shared" ca="1" si="130"/>
        <v/>
      </c>
      <c r="U3621" s="9" t="str">
        <f t="shared" ca="1" si="131"/>
        <v/>
      </c>
    </row>
    <row r="3622" spans="1:28">
      <c r="A3622" s="3" t="s">
        <v>1799</v>
      </c>
      <c r="D3622" s="3" t="s">
        <v>8170</v>
      </c>
      <c r="E3622" s="3" t="s">
        <v>8170</v>
      </c>
      <c r="F3622" t="s">
        <v>3932</v>
      </c>
      <c r="I3622" t="s">
        <v>8171</v>
      </c>
      <c r="T3622" s="9" t="str">
        <f t="shared" ca="1" si="130"/>
        <v/>
      </c>
      <c r="U3622" s="9" t="str">
        <f t="shared" ca="1" si="131"/>
        <v/>
      </c>
    </row>
    <row r="3623" spans="1:28">
      <c r="A3623" s="3" t="s">
        <v>1800</v>
      </c>
      <c r="D3623" s="3" t="s">
        <v>8172</v>
      </c>
      <c r="E3623" s="3" t="s">
        <v>8173</v>
      </c>
      <c r="F3623" t="s">
        <v>3893</v>
      </c>
      <c r="H3623" t="s">
        <v>3884</v>
      </c>
      <c r="T3623" s="9" t="str">
        <f t="shared" ca="1" si="130"/>
        <v/>
      </c>
      <c r="U3623" s="9" t="str">
        <f t="shared" ca="1" si="131"/>
        <v/>
      </c>
    </row>
    <row r="3624" spans="1:28">
      <c r="A3624" s="3" t="s">
        <v>1800</v>
      </c>
      <c r="D3624" s="3" t="s">
        <v>8174</v>
      </c>
      <c r="E3624" s="3" t="s">
        <v>8175</v>
      </c>
      <c r="F3624" t="s">
        <v>3932</v>
      </c>
      <c r="I3624" t="s">
        <v>8176</v>
      </c>
      <c r="T3624" s="9" t="str">
        <f t="shared" ca="1" si="130"/>
        <v/>
      </c>
      <c r="U3624" s="9" t="str">
        <f t="shared" ca="1" si="131"/>
        <v/>
      </c>
    </row>
    <row r="3625" spans="1:28">
      <c r="A3625" s="3" t="s">
        <v>1800</v>
      </c>
      <c r="D3625" s="3" t="s">
        <v>3649</v>
      </c>
      <c r="E3625" s="3" t="s">
        <v>3649</v>
      </c>
      <c r="F3625" t="s">
        <v>3932</v>
      </c>
      <c r="I3625" t="s">
        <v>8140</v>
      </c>
      <c r="T3625" s="9" t="str">
        <f t="shared" ca="1" si="130"/>
        <v/>
      </c>
      <c r="U3625" s="9" t="str">
        <f t="shared" ca="1" si="131"/>
        <v/>
      </c>
    </row>
    <row r="3626" spans="1:28">
      <c r="A3626" s="3" t="s">
        <v>1800</v>
      </c>
      <c r="D3626" s="3" t="s">
        <v>8177</v>
      </c>
      <c r="E3626" s="3" t="s">
        <v>8178</v>
      </c>
      <c r="H3626" t="s">
        <v>3884</v>
      </c>
      <c r="J3626" s="9" t="s">
        <v>8729</v>
      </c>
      <c r="S3626" s="9" t="s">
        <v>8739</v>
      </c>
      <c r="T3626" s="9" t="str">
        <f t="shared" ca="1" si="130"/>
        <v/>
      </c>
      <c r="U3626" s="9" t="str">
        <f t="shared" ca="1" si="131"/>
        <v/>
      </c>
      <c r="AB3626" s="9" t="s">
        <v>8688</v>
      </c>
    </row>
    <row r="3627" spans="1:28">
      <c r="A3627" s="3" t="s">
        <v>1800</v>
      </c>
      <c r="D3627" s="3" t="s">
        <v>8136</v>
      </c>
      <c r="E3627" s="3" t="s">
        <v>8179</v>
      </c>
      <c r="J3627" s="9" t="s">
        <v>3885</v>
      </c>
      <c r="K3627" s="9">
        <v>1</v>
      </c>
      <c r="L3627" s="9">
        <v>1</v>
      </c>
      <c r="M3627" s="9" t="s">
        <v>8689</v>
      </c>
      <c r="N3627" s="9" t="s">
        <v>8730</v>
      </c>
      <c r="R3627" s="9">
        <v>10929</v>
      </c>
      <c r="T3627" s="9" t="str">
        <f t="shared" ca="1" si="130"/>
        <v/>
      </c>
      <c r="U3627" s="9" t="str">
        <f t="shared" ca="1" si="131"/>
        <v/>
      </c>
    </row>
    <row r="3628" spans="1:28">
      <c r="A3628" s="3" t="s">
        <v>1800</v>
      </c>
      <c r="D3628" s="3" t="s">
        <v>8180</v>
      </c>
      <c r="E3628" s="3" t="s">
        <v>8181</v>
      </c>
      <c r="H3628" t="s">
        <v>3884</v>
      </c>
      <c r="J3628" s="9" t="s">
        <v>8731</v>
      </c>
      <c r="T3628" s="9" t="str">
        <f t="shared" ca="1" si="130"/>
        <v/>
      </c>
      <c r="U3628" s="9" t="str">
        <f t="shared" ca="1" si="131"/>
        <v/>
      </c>
      <c r="Z3628" s="9" t="s">
        <v>8741</v>
      </c>
      <c r="AA3628" s="9" t="s">
        <v>3884</v>
      </c>
    </row>
    <row r="3629" spans="1:28">
      <c r="A3629" s="3" t="s">
        <v>1801</v>
      </c>
      <c r="D3629" s="4" t="s">
        <v>8182</v>
      </c>
      <c r="E3629" s="3" t="s">
        <v>8183</v>
      </c>
      <c r="F3629" t="s">
        <v>3883</v>
      </c>
      <c r="H3629" t="s">
        <v>3884</v>
      </c>
      <c r="T3629" s="9" t="str">
        <f t="shared" ca="1" si="130"/>
        <v/>
      </c>
      <c r="U3629" s="9" t="str">
        <f t="shared" ca="1" si="131"/>
        <v/>
      </c>
    </row>
    <row r="3630" spans="1:28">
      <c r="A3630" s="3" t="s">
        <v>1802</v>
      </c>
      <c r="D3630" s="3" t="s">
        <v>8184</v>
      </c>
      <c r="E3630" s="3" t="s">
        <v>8185</v>
      </c>
      <c r="J3630" s="9" t="s">
        <v>8731</v>
      </c>
      <c r="T3630" s="9" t="str">
        <f t="shared" ca="1" si="130"/>
        <v/>
      </c>
      <c r="U3630" s="9" t="str">
        <f t="shared" ca="1" si="131"/>
        <v/>
      </c>
    </row>
    <row r="3631" spans="1:28">
      <c r="A3631" s="3" t="s">
        <v>1802</v>
      </c>
      <c r="D3631" s="3" t="s">
        <v>8186</v>
      </c>
      <c r="E3631" s="3" t="s">
        <v>8186</v>
      </c>
      <c r="F3631" t="s">
        <v>3932</v>
      </c>
      <c r="I3631" t="s">
        <v>8187</v>
      </c>
      <c r="T3631" s="9" t="str">
        <f t="shared" ca="1" si="130"/>
        <v/>
      </c>
      <c r="U3631" s="9" t="str">
        <f t="shared" ca="1" si="131"/>
        <v/>
      </c>
    </row>
    <row r="3632" spans="1:28">
      <c r="A3632" s="3" t="s">
        <v>1802</v>
      </c>
      <c r="D3632" s="3" t="s">
        <v>8188</v>
      </c>
      <c r="E3632" s="3" t="s">
        <v>8189</v>
      </c>
      <c r="J3632" s="9" t="s">
        <v>8731</v>
      </c>
      <c r="T3632" s="9" t="str">
        <f t="shared" ca="1" si="130"/>
        <v/>
      </c>
      <c r="U3632" s="9" t="str">
        <f t="shared" ca="1" si="131"/>
        <v/>
      </c>
    </row>
    <row r="3633" spans="1:28">
      <c r="A3633" s="3" t="s">
        <v>1802</v>
      </c>
      <c r="D3633" s="3" t="s">
        <v>2395</v>
      </c>
      <c r="E3633" s="3" t="s">
        <v>3792</v>
      </c>
      <c r="F3633" t="s">
        <v>3893</v>
      </c>
      <c r="H3633" t="s">
        <v>3884</v>
      </c>
      <c r="T3633" s="9" t="str">
        <f t="shared" ca="1" si="130"/>
        <v/>
      </c>
      <c r="U3633" s="9" t="str">
        <f t="shared" ca="1" si="131"/>
        <v/>
      </c>
    </row>
    <row r="3634" spans="1:28" ht="29">
      <c r="A3634" s="3" t="s">
        <v>1803</v>
      </c>
      <c r="D3634" s="3" t="s">
        <v>8190</v>
      </c>
      <c r="E3634" s="3" t="s">
        <v>8190</v>
      </c>
      <c r="F3634" t="s">
        <v>3932</v>
      </c>
      <c r="I3634" t="s">
        <v>8191</v>
      </c>
      <c r="T3634" s="9" t="str">
        <f t="shared" ca="1" si="130"/>
        <v/>
      </c>
      <c r="U3634" s="9" t="str">
        <f t="shared" ca="1" si="131"/>
        <v/>
      </c>
    </row>
    <row r="3635" spans="1:28">
      <c r="A3635" s="3" t="s">
        <v>1803</v>
      </c>
      <c r="D3635" s="3" t="s">
        <v>8186</v>
      </c>
      <c r="E3635" s="3" t="s">
        <v>8186</v>
      </c>
      <c r="F3635" t="s">
        <v>3932</v>
      </c>
      <c r="I3635" t="s">
        <v>8187</v>
      </c>
      <c r="T3635" s="9" t="str">
        <f t="shared" ca="1" si="130"/>
        <v/>
      </c>
      <c r="U3635" s="9" t="str">
        <f t="shared" ca="1" si="131"/>
        <v/>
      </c>
    </row>
    <row r="3636" spans="1:28">
      <c r="A3636" s="3" t="s">
        <v>1804</v>
      </c>
      <c r="D3636" s="3" t="s">
        <v>8192</v>
      </c>
      <c r="E3636" s="3" t="s">
        <v>8192</v>
      </c>
      <c r="F3636" t="s">
        <v>3932</v>
      </c>
      <c r="I3636" t="s">
        <v>2227</v>
      </c>
      <c r="T3636" s="9" t="str">
        <f t="shared" ca="1" si="130"/>
        <v/>
      </c>
      <c r="U3636" s="9" t="str">
        <f t="shared" ca="1" si="131"/>
        <v/>
      </c>
    </row>
    <row r="3637" spans="1:28">
      <c r="A3637" s="3" t="s">
        <v>1804</v>
      </c>
      <c r="D3637" s="3" t="s">
        <v>8193</v>
      </c>
      <c r="E3637" s="3" t="s">
        <v>8193</v>
      </c>
      <c r="F3637" t="s">
        <v>3932</v>
      </c>
      <c r="I3637" t="s">
        <v>3791</v>
      </c>
      <c r="T3637" s="9" t="str">
        <f t="shared" ca="1" si="130"/>
        <v/>
      </c>
      <c r="U3637" s="9" t="str">
        <f t="shared" ca="1" si="131"/>
        <v/>
      </c>
    </row>
    <row r="3638" spans="1:28">
      <c r="A3638" s="3" t="s">
        <v>1805</v>
      </c>
      <c r="D3638" s="3" t="s">
        <v>3793</v>
      </c>
      <c r="E3638" s="3" t="s">
        <v>3793</v>
      </c>
      <c r="F3638" t="s">
        <v>3932</v>
      </c>
      <c r="I3638" t="s">
        <v>8194</v>
      </c>
      <c r="T3638" s="9" t="str">
        <f t="shared" ca="1" si="130"/>
        <v/>
      </c>
      <c r="U3638" s="9" t="str">
        <f t="shared" ca="1" si="131"/>
        <v/>
      </c>
    </row>
    <row r="3639" spans="1:28">
      <c r="A3639" s="3" t="s">
        <v>1805</v>
      </c>
      <c r="D3639" s="3" t="s">
        <v>3794</v>
      </c>
      <c r="E3639" s="3" t="s">
        <v>3609</v>
      </c>
      <c r="H3639" t="s">
        <v>3892</v>
      </c>
      <c r="I3639" t="s">
        <v>3797</v>
      </c>
      <c r="J3639" s="9" t="s">
        <v>8729</v>
      </c>
      <c r="S3639" s="9" t="s">
        <v>8739</v>
      </c>
      <c r="T3639" s="9" t="str">
        <f t="shared" ca="1" si="130"/>
        <v/>
      </c>
      <c r="U3639" s="9" t="str">
        <f t="shared" ca="1" si="131"/>
        <v/>
      </c>
      <c r="AB3639" s="9" t="s">
        <v>8697</v>
      </c>
    </row>
    <row r="3640" spans="1:28">
      <c r="A3640" s="3" t="s">
        <v>1806</v>
      </c>
      <c r="D3640" s="3" t="s">
        <v>8195</v>
      </c>
      <c r="E3640" s="3" t="s">
        <v>8196</v>
      </c>
      <c r="J3640" s="9" t="s">
        <v>8731</v>
      </c>
      <c r="T3640" s="9" t="str">
        <f t="shared" ca="1" si="130"/>
        <v/>
      </c>
      <c r="U3640" s="9" t="str">
        <f t="shared" ca="1" si="131"/>
        <v/>
      </c>
      <c r="Z3640" s="9" t="s">
        <v>8741</v>
      </c>
      <c r="AA3640" s="9" t="s">
        <v>3884</v>
      </c>
    </row>
    <row r="3641" spans="1:28">
      <c r="A3641" s="3" t="s">
        <v>1806</v>
      </c>
      <c r="D3641" s="3" t="s">
        <v>8197</v>
      </c>
      <c r="E3641" s="3" t="s">
        <v>8197</v>
      </c>
      <c r="F3641" t="s">
        <v>3932</v>
      </c>
      <c r="I3641" t="s">
        <v>8198</v>
      </c>
      <c r="T3641" s="9" t="str">
        <f t="shared" ca="1" si="130"/>
        <v/>
      </c>
      <c r="U3641" s="9" t="str">
        <f t="shared" ca="1" si="131"/>
        <v/>
      </c>
    </row>
    <row r="3642" spans="1:28">
      <c r="A3642" s="3" t="s">
        <v>1806</v>
      </c>
      <c r="D3642" s="3" t="s">
        <v>3795</v>
      </c>
      <c r="E3642" s="3" t="s">
        <v>3621</v>
      </c>
      <c r="H3642" t="s">
        <v>3892</v>
      </c>
      <c r="I3642" t="s">
        <v>8199</v>
      </c>
      <c r="J3642" s="9" t="s">
        <v>8729</v>
      </c>
      <c r="S3642" s="9">
        <f>4-1</f>
        <v>3</v>
      </c>
      <c r="T3642" s="9">
        <f t="shared" ca="1" si="130"/>
        <v>1</v>
      </c>
      <c r="U3642" s="9">
        <f t="shared" ca="1" si="131"/>
        <v>4</v>
      </c>
    </row>
    <row r="3643" spans="1:28">
      <c r="A3643" s="3" t="s">
        <v>1806</v>
      </c>
      <c r="D3643" s="3" t="s">
        <v>8200</v>
      </c>
      <c r="E3643" s="3" t="s">
        <v>8201</v>
      </c>
      <c r="H3643" t="s">
        <v>3884</v>
      </c>
      <c r="J3643" s="9" t="s">
        <v>8729</v>
      </c>
      <c r="S3643" s="9">
        <f>3678-1485</f>
        <v>2193</v>
      </c>
      <c r="T3643" s="9">
        <f t="shared" ca="1" si="130"/>
        <v>1485</v>
      </c>
      <c r="U3643" s="9">
        <f t="shared" ca="1" si="131"/>
        <v>3678</v>
      </c>
    </row>
    <row r="3644" spans="1:28">
      <c r="A3644" s="3" t="s">
        <v>1807</v>
      </c>
      <c r="D3644" s="4" t="s">
        <v>8202</v>
      </c>
      <c r="E3644" s="3" t="s">
        <v>8203</v>
      </c>
      <c r="F3644" t="s">
        <v>3883</v>
      </c>
      <c r="T3644" s="9" t="str">
        <f t="shared" ca="1" si="130"/>
        <v/>
      </c>
      <c r="U3644" s="9" t="str">
        <f t="shared" ca="1" si="131"/>
        <v/>
      </c>
    </row>
    <row r="3645" spans="1:28" ht="29">
      <c r="A3645" s="3" t="s">
        <v>1807</v>
      </c>
      <c r="D3645" s="4" t="s">
        <v>8204</v>
      </c>
      <c r="E3645" s="3" t="s">
        <v>8205</v>
      </c>
      <c r="F3645" t="s">
        <v>3883</v>
      </c>
      <c r="T3645" s="9" t="str">
        <f t="shared" ca="1" si="130"/>
        <v/>
      </c>
      <c r="U3645" s="9" t="str">
        <f t="shared" ca="1" si="131"/>
        <v/>
      </c>
    </row>
    <row r="3646" spans="1:28" ht="29">
      <c r="A3646" s="3" t="s">
        <v>1808</v>
      </c>
      <c r="D3646" s="4" t="s">
        <v>8206</v>
      </c>
      <c r="E3646" s="3" t="s">
        <v>8207</v>
      </c>
      <c r="F3646" t="s">
        <v>4196</v>
      </c>
      <c r="H3646" t="s">
        <v>3884</v>
      </c>
      <c r="I3646" t="s">
        <v>9169</v>
      </c>
      <c r="J3646" s="9" t="s">
        <v>8729</v>
      </c>
      <c r="S3646" s="9">
        <f>32-54</f>
        <v>-22</v>
      </c>
      <c r="T3646" s="9">
        <f t="shared" ca="1" si="130"/>
        <v>54</v>
      </c>
      <c r="U3646" s="9">
        <f t="shared" ca="1" si="131"/>
        <v>32</v>
      </c>
    </row>
    <row r="3647" spans="1:28">
      <c r="A3647" s="3" t="s">
        <v>1808</v>
      </c>
      <c r="D3647" s="3" t="s">
        <v>8208</v>
      </c>
      <c r="E3647" s="3" t="s">
        <v>8209</v>
      </c>
      <c r="J3647" s="9" t="s">
        <v>8731</v>
      </c>
      <c r="T3647" s="9" t="str">
        <f t="shared" ca="1" si="130"/>
        <v/>
      </c>
      <c r="U3647" s="9" t="str">
        <f t="shared" ca="1" si="131"/>
        <v/>
      </c>
      <c r="Z3647" s="9" t="s">
        <v>8832</v>
      </c>
      <c r="AA3647" s="9" t="s">
        <v>3884</v>
      </c>
      <c r="AB3647" s="9" t="s">
        <v>8700</v>
      </c>
    </row>
    <row r="3648" spans="1:28">
      <c r="A3648" s="3" t="s">
        <v>1808</v>
      </c>
      <c r="D3648" s="3" t="s">
        <v>8210</v>
      </c>
      <c r="E3648" s="3" t="s">
        <v>8211</v>
      </c>
      <c r="H3648" t="s">
        <v>3884</v>
      </c>
      <c r="J3648" s="9" t="s">
        <v>3885</v>
      </c>
      <c r="K3648" s="9">
        <v>1</v>
      </c>
      <c r="L3648" s="9">
        <v>6</v>
      </c>
      <c r="M3648" s="9" t="s">
        <v>8736</v>
      </c>
      <c r="N3648" s="9" t="s">
        <v>8684</v>
      </c>
      <c r="O3648" s="9" t="s">
        <v>8771</v>
      </c>
      <c r="P3648" s="10" t="s">
        <v>8778</v>
      </c>
      <c r="R3648" s="9">
        <v>58</v>
      </c>
      <c r="T3648" s="9" t="str">
        <f t="shared" ca="1" si="130"/>
        <v/>
      </c>
      <c r="U3648" s="9" t="str">
        <f t="shared" ca="1" si="131"/>
        <v/>
      </c>
    </row>
    <row r="3649" spans="1:28">
      <c r="A3649" s="3" t="s">
        <v>1809</v>
      </c>
      <c r="D3649" s="3" t="s">
        <v>3796</v>
      </c>
      <c r="E3649" s="3" t="s">
        <v>3797</v>
      </c>
      <c r="J3649" s="9" t="s">
        <v>8729</v>
      </c>
      <c r="S3649" s="9" t="s">
        <v>8730</v>
      </c>
      <c r="T3649" s="9" t="str">
        <f t="shared" ca="1" si="130"/>
        <v/>
      </c>
      <c r="U3649" s="9" t="str">
        <f t="shared" ca="1" si="131"/>
        <v/>
      </c>
      <c r="AB3649" s="9" t="s">
        <v>8697</v>
      </c>
    </row>
    <row r="3650" spans="1:28">
      <c r="A3650" s="3" t="s">
        <v>1809</v>
      </c>
      <c r="D3650" s="3" t="s">
        <v>2234</v>
      </c>
      <c r="E3650" s="3" t="s">
        <v>2234</v>
      </c>
      <c r="F3650" t="s">
        <v>3932</v>
      </c>
      <c r="I3650" t="s">
        <v>3049</v>
      </c>
      <c r="T3650" s="9" t="str">
        <f t="shared" ca="1" si="130"/>
        <v/>
      </c>
      <c r="U3650" s="9" t="str">
        <f t="shared" ca="1" si="131"/>
        <v/>
      </c>
    </row>
    <row r="3651" spans="1:28">
      <c r="A3651" s="3" t="s">
        <v>1810</v>
      </c>
      <c r="D3651" s="3" t="s">
        <v>8212</v>
      </c>
      <c r="E3651" s="3" t="s">
        <v>8213</v>
      </c>
      <c r="H3651" t="s">
        <v>3884</v>
      </c>
      <c r="J3651" s="9" t="s">
        <v>8731</v>
      </c>
      <c r="T3651" s="9" t="str">
        <f t="shared" ca="1" si="130"/>
        <v/>
      </c>
      <c r="U3651" s="9" t="str">
        <f t="shared" ca="1" si="131"/>
        <v/>
      </c>
      <c r="AB3651" s="9" t="s">
        <v>8688</v>
      </c>
    </row>
    <row r="3652" spans="1:28">
      <c r="A3652" s="3" t="s">
        <v>1811</v>
      </c>
      <c r="D3652" s="3" t="s">
        <v>3798</v>
      </c>
      <c r="E3652" s="3" t="s">
        <v>3799</v>
      </c>
      <c r="F3652" t="s">
        <v>3881</v>
      </c>
      <c r="T3652" s="9" t="str">
        <f t="shared" ref="T3652:T3715" ca="1" si="132">IF(ISNUMBER(S3652),VALUE(MID(_xlfn.FORMULATEXT(S3652),SEARCH("-",_xlfn.FORMULATEXT(S3652))+1,LEN(_xlfn.FORMULATEXT(S3652))-SEARCH("-",_xlfn.FORMULATEXT(S3652)))), "")</f>
        <v/>
      </c>
      <c r="U3652" s="9" t="str">
        <f t="shared" ref="U3652:U3715" ca="1" si="133">IF(ISNUMBER(S3652), VALUE(MID(_xlfn.FORMULATEXT(S3652), 2, SEARCH("-", _xlfn.FORMULATEXT(S3652)) - 2)), "")</f>
        <v/>
      </c>
    </row>
    <row r="3653" spans="1:28" ht="29">
      <c r="A3653" s="3" t="s">
        <v>1811</v>
      </c>
      <c r="D3653" s="3" t="s">
        <v>8214</v>
      </c>
      <c r="E3653" s="3" t="s">
        <v>8215</v>
      </c>
      <c r="H3653" t="s">
        <v>3892</v>
      </c>
      <c r="I3653" t="s">
        <v>9170</v>
      </c>
      <c r="J3653" s="9" t="s">
        <v>3889</v>
      </c>
      <c r="K3653" s="9">
        <v>1</v>
      </c>
      <c r="L3653" s="9">
        <v>4</v>
      </c>
      <c r="M3653" s="9" t="s">
        <v>8703</v>
      </c>
      <c r="N3653" s="9" t="s">
        <v>8690</v>
      </c>
      <c r="R3653" s="9">
        <v>58</v>
      </c>
      <c r="T3653" s="9" t="str">
        <f t="shared" ca="1" si="132"/>
        <v/>
      </c>
      <c r="U3653" s="9" t="str">
        <f t="shared" ca="1" si="133"/>
        <v/>
      </c>
    </row>
    <row r="3654" spans="1:28" ht="29">
      <c r="A3654" s="3" t="s">
        <v>1811</v>
      </c>
      <c r="D3654" s="3" t="s">
        <v>8216</v>
      </c>
      <c r="E3654" s="3" t="s">
        <v>8217</v>
      </c>
      <c r="F3654" t="s">
        <v>3932</v>
      </c>
      <c r="I3654" t="s">
        <v>2254</v>
      </c>
      <c r="T3654" s="9" t="str">
        <f t="shared" ca="1" si="132"/>
        <v/>
      </c>
      <c r="U3654" s="9" t="str">
        <f t="shared" ca="1" si="133"/>
        <v/>
      </c>
    </row>
    <row r="3655" spans="1:28" ht="29">
      <c r="A3655" s="3" t="s">
        <v>1811</v>
      </c>
      <c r="D3655" s="3" t="s">
        <v>8218</v>
      </c>
      <c r="E3655" s="3" t="s">
        <v>8219</v>
      </c>
      <c r="H3655" t="s">
        <v>3892</v>
      </c>
      <c r="I3655" t="s">
        <v>8220</v>
      </c>
      <c r="J3655" s="9" t="s">
        <v>8731</v>
      </c>
      <c r="T3655" s="9" t="str">
        <f t="shared" ca="1" si="132"/>
        <v/>
      </c>
      <c r="U3655" s="9" t="str">
        <f t="shared" ca="1" si="133"/>
        <v/>
      </c>
      <c r="Z3655" s="9" t="s">
        <v>8861</v>
      </c>
      <c r="AA3655" s="9" t="s">
        <v>3884</v>
      </c>
      <c r="AB3655" s="9" t="s">
        <v>8700</v>
      </c>
    </row>
    <row r="3656" spans="1:28" ht="29">
      <c r="A3656" s="3" t="s">
        <v>1811</v>
      </c>
      <c r="D3656" s="3" t="s">
        <v>8221</v>
      </c>
      <c r="E3656" s="3" t="s">
        <v>8222</v>
      </c>
      <c r="H3656" t="s">
        <v>3884</v>
      </c>
      <c r="J3656" s="9" t="s">
        <v>8729</v>
      </c>
      <c r="S3656" s="9">
        <f>108-54</f>
        <v>54</v>
      </c>
      <c r="T3656" s="9">
        <f t="shared" ca="1" si="132"/>
        <v>54</v>
      </c>
      <c r="U3656" s="9">
        <f t="shared" ca="1" si="133"/>
        <v>108</v>
      </c>
      <c r="AB3656" s="9" t="s">
        <v>8694</v>
      </c>
    </row>
    <row r="3657" spans="1:28" ht="29">
      <c r="A3657" s="3" t="s">
        <v>1811</v>
      </c>
      <c r="D3657" s="3" t="s">
        <v>8223</v>
      </c>
      <c r="E3657" s="3" t="s">
        <v>8224</v>
      </c>
      <c r="F3657" t="s">
        <v>3932</v>
      </c>
      <c r="I3657" t="s">
        <v>8225</v>
      </c>
      <c r="T3657" s="9" t="str">
        <f t="shared" ca="1" si="132"/>
        <v/>
      </c>
      <c r="U3657" s="9" t="str">
        <f t="shared" ca="1" si="133"/>
        <v/>
      </c>
    </row>
    <row r="3658" spans="1:28">
      <c r="A3658" s="3" t="s">
        <v>1812</v>
      </c>
      <c r="D3658" s="3" t="s">
        <v>8226</v>
      </c>
      <c r="E3658" s="3" t="s">
        <v>8227</v>
      </c>
      <c r="J3658" s="9" t="s">
        <v>8729</v>
      </c>
      <c r="S3658" s="9">
        <f>3-0</f>
        <v>3</v>
      </c>
      <c r="T3658" s="9">
        <f t="shared" ca="1" si="132"/>
        <v>0</v>
      </c>
      <c r="U3658" s="9">
        <f t="shared" ca="1" si="133"/>
        <v>3</v>
      </c>
    </row>
    <row r="3659" spans="1:28" ht="29">
      <c r="A3659" s="3" t="s">
        <v>1813</v>
      </c>
      <c r="D3659" s="3" t="s">
        <v>8228</v>
      </c>
      <c r="E3659" s="3" t="s">
        <v>8229</v>
      </c>
      <c r="H3659" t="s">
        <v>3884</v>
      </c>
      <c r="J3659" s="9" t="s">
        <v>8731</v>
      </c>
      <c r="T3659" s="9" t="str">
        <f t="shared" ca="1" si="132"/>
        <v/>
      </c>
      <c r="U3659" s="9" t="str">
        <f t="shared" ca="1" si="133"/>
        <v/>
      </c>
      <c r="Z3659" s="9" t="s">
        <v>8861</v>
      </c>
      <c r="AA3659" s="9" t="s">
        <v>3884</v>
      </c>
      <c r="AB3659" s="9" t="s">
        <v>8688</v>
      </c>
    </row>
    <row r="3660" spans="1:28" ht="29">
      <c r="A3660" s="3" t="s">
        <v>1813</v>
      </c>
      <c r="D3660" s="3" t="s">
        <v>8230</v>
      </c>
      <c r="E3660" s="3" t="s">
        <v>8231</v>
      </c>
      <c r="F3660" t="s">
        <v>3932</v>
      </c>
      <c r="I3660" t="s">
        <v>8234</v>
      </c>
      <c r="T3660" s="9" t="str">
        <f t="shared" ca="1" si="132"/>
        <v/>
      </c>
      <c r="U3660" s="9" t="str">
        <f t="shared" ca="1" si="133"/>
        <v/>
      </c>
    </row>
    <row r="3661" spans="1:28" ht="29">
      <c r="A3661" s="3" t="s">
        <v>1813</v>
      </c>
      <c r="D3661" s="3" t="s">
        <v>8232</v>
      </c>
      <c r="E3661" s="3" t="s">
        <v>8233</v>
      </c>
      <c r="F3661" t="s">
        <v>3932</v>
      </c>
      <c r="I3661" t="s">
        <v>8235</v>
      </c>
      <c r="T3661" s="9" t="str">
        <f t="shared" ca="1" si="132"/>
        <v/>
      </c>
      <c r="U3661" s="9" t="str">
        <f t="shared" ca="1" si="133"/>
        <v/>
      </c>
    </row>
    <row r="3662" spans="1:28" ht="29">
      <c r="A3662" s="3" t="s">
        <v>1814</v>
      </c>
      <c r="D3662" s="3" t="s">
        <v>8236</v>
      </c>
      <c r="E3662" s="3" t="s">
        <v>8237</v>
      </c>
      <c r="H3662" t="s">
        <v>3884</v>
      </c>
      <c r="J3662" s="9" t="s">
        <v>8729</v>
      </c>
      <c r="S3662" s="9">
        <f xml:space="preserve"> 22-54</f>
        <v>-32</v>
      </c>
      <c r="T3662" s="9">
        <f t="shared" ca="1" si="132"/>
        <v>54</v>
      </c>
      <c r="U3662" s="9">
        <f t="shared" ca="1" si="133"/>
        <v>22</v>
      </c>
    </row>
    <row r="3663" spans="1:28">
      <c r="A3663" s="3" t="s">
        <v>1814</v>
      </c>
      <c r="D3663" s="3" t="s">
        <v>3800</v>
      </c>
      <c r="E3663" s="3" t="s">
        <v>3800</v>
      </c>
      <c r="F3663" t="s">
        <v>3932</v>
      </c>
      <c r="I3663" t="s">
        <v>8238</v>
      </c>
      <c r="T3663" s="9" t="str">
        <f t="shared" ca="1" si="132"/>
        <v/>
      </c>
      <c r="U3663" s="9" t="str">
        <f t="shared" ca="1" si="133"/>
        <v/>
      </c>
    </row>
    <row r="3664" spans="1:28">
      <c r="A3664" s="3" t="s">
        <v>1814</v>
      </c>
      <c r="D3664" s="3" t="s">
        <v>8239</v>
      </c>
      <c r="E3664" s="3" t="s">
        <v>3801</v>
      </c>
      <c r="F3664" t="s">
        <v>3893</v>
      </c>
      <c r="H3664" t="s">
        <v>3884</v>
      </c>
      <c r="T3664" s="9" t="str">
        <f t="shared" ca="1" si="132"/>
        <v/>
      </c>
      <c r="U3664" s="9" t="str">
        <f t="shared" ca="1" si="133"/>
        <v/>
      </c>
    </row>
    <row r="3665" spans="1:28" ht="29">
      <c r="A3665" s="3" t="s">
        <v>1815</v>
      </c>
      <c r="D3665" s="3" t="s">
        <v>8240</v>
      </c>
      <c r="E3665" s="3" t="s">
        <v>8242</v>
      </c>
      <c r="H3665" t="s">
        <v>3884</v>
      </c>
      <c r="J3665" s="9" t="s">
        <v>3889</v>
      </c>
      <c r="K3665" s="9">
        <v>2</v>
      </c>
      <c r="L3665" s="9">
        <v>8</v>
      </c>
      <c r="N3665" s="9" t="s">
        <v>8690</v>
      </c>
      <c r="R3665" s="9">
        <v>340</v>
      </c>
      <c r="T3665" s="9" t="str">
        <f t="shared" ca="1" si="132"/>
        <v/>
      </c>
      <c r="U3665" s="9" t="str">
        <f t="shared" ca="1" si="133"/>
        <v/>
      </c>
      <c r="AB3665" s="9" t="s">
        <v>8694</v>
      </c>
    </row>
    <row r="3666" spans="1:28" ht="29">
      <c r="A3666" s="3" t="s">
        <v>1815</v>
      </c>
      <c r="D3666" s="3" t="s">
        <v>8241</v>
      </c>
      <c r="E3666" s="3" t="s">
        <v>8243</v>
      </c>
      <c r="F3666" t="s">
        <v>3932</v>
      </c>
      <c r="I3666" t="s">
        <v>1948</v>
      </c>
      <c r="T3666" s="9" t="str">
        <f t="shared" ca="1" si="132"/>
        <v/>
      </c>
      <c r="U3666" s="9" t="str">
        <f t="shared" ca="1" si="133"/>
        <v/>
      </c>
    </row>
    <row r="3667" spans="1:28">
      <c r="A3667" s="3" t="s">
        <v>1816</v>
      </c>
      <c r="D3667" s="3" t="s">
        <v>8244</v>
      </c>
      <c r="E3667" s="3" t="s">
        <v>3802</v>
      </c>
      <c r="H3667" t="s">
        <v>3884</v>
      </c>
      <c r="J3667" s="9" t="s">
        <v>8729</v>
      </c>
      <c r="S3667" s="9" t="s">
        <v>8730</v>
      </c>
      <c r="T3667" s="9" t="str">
        <f t="shared" ca="1" si="132"/>
        <v/>
      </c>
      <c r="U3667" s="9" t="str">
        <f t="shared" ca="1" si="133"/>
        <v/>
      </c>
      <c r="AB3667" s="9" t="s">
        <v>8688</v>
      </c>
    </row>
    <row r="3668" spans="1:28">
      <c r="A3668" s="3" t="s">
        <v>1817</v>
      </c>
      <c r="D3668" s="3" t="s">
        <v>8245</v>
      </c>
      <c r="E3668" s="3" t="s">
        <v>8245</v>
      </c>
      <c r="F3668" t="s">
        <v>3932</v>
      </c>
      <c r="I3668" t="s">
        <v>8247</v>
      </c>
      <c r="T3668" s="9" t="str">
        <f t="shared" ca="1" si="132"/>
        <v/>
      </c>
      <c r="U3668" s="9" t="str">
        <f t="shared" ca="1" si="133"/>
        <v/>
      </c>
    </row>
    <row r="3669" spans="1:28">
      <c r="A3669" s="3" t="s">
        <v>1817</v>
      </c>
      <c r="D3669" s="3" t="s">
        <v>8246</v>
      </c>
      <c r="E3669" s="3" t="s">
        <v>8246</v>
      </c>
      <c r="F3669" t="s">
        <v>3932</v>
      </c>
      <c r="I3669" t="s">
        <v>8248</v>
      </c>
      <c r="T3669" s="9" t="str">
        <f t="shared" ca="1" si="132"/>
        <v/>
      </c>
      <c r="U3669" s="9" t="str">
        <f t="shared" ca="1" si="133"/>
        <v/>
      </c>
    </row>
    <row r="3670" spans="1:28">
      <c r="A3670" s="3" t="s">
        <v>1818</v>
      </c>
      <c r="D3670" s="3" t="s">
        <v>3803</v>
      </c>
      <c r="E3670" s="3" t="s">
        <v>2341</v>
      </c>
      <c r="J3670" s="9" t="s">
        <v>8731</v>
      </c>
      <c r="T3670" s="9" t="str">
        <f t="shared" ca="1" si="132"/>
        <v/>
      </c>
      <c r="U3670" s="9" t="str">
        <f t="shared" ca="1" si="133"/>
        <v/>
      </c>
      <c r="Z3670" s="9" t="s">
        <v>8757</v>
      </c>
      <c r="AA3670" s="9" t="s">
        <v>3884</v>
      </c>
      <c r="AB3670" s="9" t="s">
        <v>8694</v>
      </c>
    </row>
    <row r="3671" spans="1:28">
      <c r="A3671" s="3" t="s">
        <v>1818</v>
      </c>
      <c r="D3671" s="3" t="s">
        <v>3804</v>
      </c>
      <c r="E3671" s="3" t="s">
        <v>3804</v>
      </c>
      <c r="F3671" t="s">
        <v>3932</v>
      </c>
      <c r="I3671" t="s">
        <v>8249</v>
      </c>
      <c r="T3671" s="9" t="str">
        <f t="shared" ca="1" si="132"/>
        <v/>
      </c>
      <c r="U3671" s="9" t="str">
        <f t="shared" ca="1" si="133"/>
        <v/>
      </c>
    </row>
    <row r="3672" spans="1:28">
      <c r="A3672" s="3" t="s">
        <v>1818</v>
      </c>
      <c r="D3672" s="3" t="s">
        <v>8250</v>
      </c>
      <c r="E3672" s="3" t="s">
        <v>8251</v>
      </c>
      <c r="J3672" s="9" t="s">
        <v>8731</v>
      </c>
      <c r="T3672" s="9" t="str">
        <f t="shared" ca="1" si="132"/>
        <v/>
      </c>
      <c r="U3672" s="9" t="str">
        <f t="shared" ca="1" si="133"/>
        <v/>
      </c>
    </row>
    <row r="3673" spans="1:28">
      <c r="A3673" s="3" t="s">
        <v>1819</v>
      </c>
      <c r="D3673" s="3" t="s">
        <v>8252</v>
      </c>
      <c r="E3673" s="3" t="s">
        <v>8253</v>
      </c>
      <c r="J3673" s="9" t="s">
        <v>8731</v>
      </c>
      <c r="T3673" s="9" t="str">
        <f t="shared" ca="1" si="132"/>
        <v/>
      </c>
      <c r="U3673" s="9" t="str">
        <f t="shared" ca="1" si="133"/>
        <v/>
      </c>
      <c r="Y3673" s="9" t="s">
        <v>9282</v>
      </c>
      <c r="AA3673" s="9" t="s">
        <v>3884</v>
      </c>
    </row>
    <row r="3674" spans="1:28">
      <c r="A3674" s="3" t="s">
        <v>1819</v>
      </c>
      <c r="D3674" s="3" t="s">
        <v>8254</v>
      </c>
      <c r="E3674" s="3" t="s">
        <v>8255</v>
      </c>
      <c r="F3674" t="s">
        <v>3893</v>
      </c>
      <c r="H3674" t="s">
        <v>3884</v>
      </c>
      <c r="T3674" s="9" t="str">
        <f t="shared" ca="1" si="132"/>
        <v/>
      </c>
      <c r="U3674" s="9" t="str">
        <f t="shared" ca="1" si="133"/>
        <v/>
      </c>
    </row>
    <row r="3675" spans="1:28">
      <c r="A3675" s="3" t="s">
        <v>1819</v>
      </c>
      <c r="D3675" s="3" t="s">
        <v>8256</v>
      </c>
      <c r="E3675" s="3" t="s">
        <v>8257</v>
      </c>
      <c r="I3675" t="s">
        <v>8258</v>
      </c>
      <c r="J3675" s="9" t="s">
        <v>8731</v>
      </c>
      <c r="T3675" s="9" t="str">
        <f t="shared" ca="1" si="132"/>
        <v/>
      </c>
      <c r="U3675" s="9" t="str">
        <f t="shared" ca="1" si="133"/>
        <v/>
      </c>
      <c r="AB3675" s="9" t="s">
        <v>8694</v>
      </c>
    </row>
    <row r="3676" spans="1:28">
      <c r="A3676" s="3" t="s">
        <v>1820</v>
      </c>
      <c r="D3676" s="3" t="s">
        <v>8017</v>
      </c>
      <c r="E3676" s="3" t="s">
        <v>8018</v>
      </c>
      <c r="H3676" t="s">
        <v>3884</v>
      </c>
      <c r="J3676" s="9" t="s">
        <v>8729</v>
      </c>
      <c r="S3676" s="9">
        <f>50-128</f>
        <v>-78</v>
      </c>
      <c r="T3676" s="9">
        <f t="shared" ca="1" si="132"/>
        <v>128</v>
      </c>
      <c r="U3676" s="9">
        <f t="shared" ca="1" si="133"/>
        <v>50</v>
      </c>
    </row>
    <row r="3677" spans="1:28">
      <c r="A3677" s="3" t="s">
        <v>1820</v>
      </c>
      <c r="D3677" s="3" t="s">
        <v>8259</v>
      </c>
      <c r="E3677" s="3" t="s">
        <v>8259</v>
      </c>
      <c r="F3677" t="s">
        <v>3932</v>
      </c>
      <c r="I3677" t="s">
        <v>8260</v>
      </c>
      <c r="T3677" s="9" t="str">
        <f t="shared" ca="1" si="132"/>
        <v/>
      </c>
      <c r="U3677" s="9" t="str">
        <f t="shared" ca="1" si="133"/>
        <v/>
      </c>
    </row>
    <row r="3678" spans="1:28">
      <c r="A3678" s="3" t="s">
        <v>1820</v>
      </c>
      <c r="D3678" s="3" t="s">
        <v>8261</v>
      </c>
      <c r="E3678" s="3" t="s">
        <v>8261</v>
      </c>
      <c r="F3678" t="s">
        <v>3932</v>
      </c>
      <c r="I3678" t="s">
        <v>8262</v>
      </c>
      <c r="T3678" s="9" t="str">
        <f t="shared" ca="1" si="132"/>
        <v/>
      </c>
      <c r="U3678" s="9" t="str">
        <f t="shared" ca="1" si="133"/>
        <v/>
      </c>
    </row>
    <row r="3679" spans="1:28">
      <c r="A3679" s="3" t="s">
        <v>1821</v>
      </c>
      <c r="D3679" s="3" t="s">
        <v>8263</v>
      </c>
      <c r="E3679" s="3" t="s">
        <v>8264</v>
      </c>
      <c r="F3679" t="s">
        <v>3932</v>
      </c>
      <c r="I3679" t="s">
        <v>8267</v>
      </c>
      <c r="T3679" s="9" t="str">
        <f t="shared" ca="1" si="132"/>
        <v/>
      </c>
      <c r="U3679" s="9" t="str">
        <f t="shared" ca="1" si="133"/>
        <v/>
      </c>
    </row>
    <row r="3680" spans="1:28">
      <c r="A3680" s="3" t="s">
        <v>1821</v>
      </c>
      <c r="D3680" s="3" t="s">
        <v>8265</v>
      </c>
      <c r="E3680" s="3" t="s">
        <v>8266</v>
      </c>
      <c r="J3680" s="9" t="s">
        <v>8729</v>
      </c>
      <c r="S3680" s="9" t="s">
        <v>8739</v>
      </c>
      <c r="T3680" s="9" t="str">
        <f t="shared" ca="1" si="132"/>
        <v/>
      </c>
      <c r="U3680" s="9" t="str">
        <f t="shared" ca="1" si="133"/>
        <v/>
      </c>
      <c r="AB3680" s="9" t="s">
        <v>8697</v>
      </c>
    </row>
    <row r="3681" spans="1:28">
      <c r="A3681" s="3" t="s">
        <v>1822</v>
      </c>
      <c r="D3681" s="3" t="s">
        <v>8268</v>
      </c>
      <c r="E3681" s="3" t="s">
        <v>8269</v>
      </c>
      <c r="H3681" t="s">
        <v>3884</v>
      </c>
      <c r="J3681" s="9" t="s">
        <v>8729</v>
      </c>
      <c r="S3681" s="9" t="s">
        <v>8739</v>
      </c>
      <c r="T3681" s="9" t="str">
        <f t="shared" ca="1" si="132"/>
        <v/>
      </c>
      <c r="U3681" s="9" t="str">
        <f t="shared" ca="1" si="133"/>
        <v/>
      </c>
      <c r="Z3681" s="9" t="s">
        <v>8742</v>
      </c>
      <c r="AA3681" s="9" t="s">
        <v>3884</v>
      </c>
    </row>
    <row r="3682" spans="1:28">
      <c r="A3682" s="3" t="s">
        <v>1822</v>
      </c>
      <c r="D3682" s="3" t="s">
        <v>9274</v>
      </c>
      <c r="E3682" s="3" t="s">
        <v>9275</v>
      </c>
      <c r="H3682" t="s">
        <v>3884</v>
      </c>
      <c r="J3682" s="9" t="s">
        <v>3889</v>
      </c>
      <c r="K3682" s="9">
        <v>1</v>
      </c>
      <c r="L3682" s="9">
        <v>2</v>
      </c>
      <c r="M3682" s="9" t="s">
        <v>8707</v>
      </c>
      <c r="N3682" s="9" t="s">
        <v>8730</v>
      </c>
      <c r="Q3682" s="9" t="s">
        <v>8685</v>
      </c>
      <c r="R3682" s="9">
        <v>1942</v>
      </c>
      <c r="T3682" s="9" t="str">
        <f t="shared" ca="1" si="132"/>
        <v/>
      </c>
      <c r="U3682" s="9" t="str">
        <f t="shared" ca="1" si="133"/>
        <v/>
      </c>
    </row>
    <row r="3683" spans="1:28" ht="29">
      <c r="A3683" s="3" t="s">
        <v>1822</v>
      </c>
      <c r="D3683" s="3" t="s">
        <v>8270</v>
      </c>
      <c r="E3683" s="3" t="s">
        <v>8271</v>
      </c>
      <c r="H3683" t="s">
        <v>3884</v>
      </c>
      <c r="J3683" s="9" t="s">
        <v>8729</v>
      </c>
      <c r="S3683" s="9" t="s">
        <v>8739</v>
      </c>
      <c r="T3683" s="9" t="str">
        <f t="shared" ca="1" si="132"/>
        <v/>
      </c>
      <c r="U3683" s="9" t="str">
        <f t="shared" ca="1" si="133"/>
        <v/>
      </c>
      <c r="Z3683" s="9" t="s">
        <v>8742</v>
      </c>
      <c r="AA3683" s="9" t="s">
        <v>3884</v>
      </c>
    </row>
    <row r="3684" spans="1:28" ht="58">
      <c r="A3684" s="3" t="s">
        <v>1822</v>
      </c>
      <c r="D3684" s="3" t="s">
        <v>8273</v>
      </c>
      <c r="E3684" s="3" t="s">
        <v>8272</v>
      </c>
      <c r="H3684" t="s">
        <v>3884</v>
      </c>
      <c r="I3684" t="s">
        <v>9276</v>
      </c>
      <c r="J3684" s="9" t="s">
        <v>3889</v>
      </c>
      <c r="K3684" s="9">
        <v>1</v>
      </c>
      <c r="L3684" s="9">
        <v>3</v>
      </c>
      <c r="M3684" s="9" t="s">
        <v>8698</v>
      </c>
      <c r="N3684" s="9" t="s">
        <v>8690</v>
      </c>
      <c r="R3684" s="9">
        <v>9418</v>
      </c>
      <c r="T3684" s="9" t="str">
        <f t="shared" ca="1" si="132"/>
        <v/>
      </c>
      <c r="U3684" s="9" t="str">
        <f t="shared" ca="1" si="133"/>
        <v/>
      </c>
      <c r="V3684" s="9" t="s">
        <v>8728</v>
      </c>
    </row>
    <row r="3685" spans="1:28" ht="43.5">
      <c r="A3685" s="3" t="s">
        <v>1822</v>
      </c>
      <c r="D3685" s="3" t="s">
        <v>8274</v>
      </c>
      <c r="E3685" s="3" t="s">
        <v>8272</v>
      </c>
      <c r="H3685" t="s">
        <v>3884</v>
      </c>
      <c r="J3685" s="9" t="s">
        <v>3889</v>
      </c>
      <c r="K3685" s="9">
        <v>1</v>
      </c>
      <c r="L3685" s="9">
        <v>5</v>
      </c>
      <c r="M3685" s="9" t="s">
        <v>8703</v>
      </c>
      <c r="N3685" s="9" t="s">
        <v>8690</v>
      </c>
      <c r="R3685" s="9">
        <v>77</v>
      </c>
      <c r="T3685" s="9" t="str">
        <f t="shared" ca="1" si="132"/>
        <v/>
      </c>
      <c r="U3685" s="9" t="str">
        <f t="shared" ca="1" si="133"/>
        <v/>
      </c>
    </row>
    <row r="3686" spans="1:28">
      <c r="A3686" s="3" t="s">
        <v>1823</v>
      </c>
      <c r="D3686" s="3" t="s">
        <v>8275</v>
      </c>
      <c r="E3686" s="3" t="s">
        <v>8275</v>
      </c>
      <c r="F3686" t="s">
        <v>3932</v>
      </c>
      <c r="I3686" t="s">
        <v>8276</v>
      </c>
      <c r="T3686" s="9" t="str">
        <f t="shared" ca="1" si="132"/>
        <v/>
      </c>
      <c r="U3686" s="9" t="str">
        <f t="shared" ca="1" si="133"/>
        <v/>
      </c>
    </row>
    <row r="3687" spans="1:28">
      <c r="A3687" s="3" t="s">
        <v>1823</v>
      </c>
      <c r="D3687" s="3" t="s">
        <v>8277</v>
      </c>
      <c r="E3687" s="3" t="s">
        <v>8278</v>
      </c>
      <c r="H3687" t="s">
        <v>3884</v>
      </c>
      <c r="J3687" s="9" t="s">
        <v>3885</v>
      </c>
      <c r="K3687" s="9">
        <v>1</v>
      </c>
      <c r="L3687" s="9">
        <v>2</v>
      </c>
      <c r="M3687" s="9" t="s">
        <v>8689</v>
      </c>
      <c r="N3687" s="9" t="s">
        <v>8730</v>
      </c>
      <c r="Q3687" s="9" t="s">
        <v>8685</v>
      </c>
      <c r="R3687" s="9">
        <v>10929</v>
      </c>
      <c r="T3687" s="9" t="str">
        <f t="shared" ca="1" si="132"/>
        <v/>
      </c>
      <c r="U3687" s="9" t="str">
        <f t="shared" ca="1" si="133"/>
        <v/>
      </c>
      <c r="AB3687" s="9" t="s">
        <v>8694</v>
      </c>
    </row>
    <row r="3688" spans="1:28">
      <c r="A3688" s="3" t="s">
        <v>1824</v>
      </c>
      <c r="D3688" s="3" t="s">
        <v>2134</v>
      </c>
      <c r="E3688" s="3" t="s">
        <v>2135</v>
      </c>
      <c r="J3688" s="9" t="s">
        <v>8731</v>
      </c>
      <c r="T3688" s="9" t="str">
        <f t="shared" ca="1" si="132"/>
        <v/>
      </c>
      <c r="U3688" s="9" t="str">
        <f t="shared" ca="1" si="133"/>
        <v/>
      </c>
      <c r="Z3688" s="9" t="s">
        <v>8757</v>
      </c>
      <c r="AA3688" s="9" t="s">
        <v>3884</v>
      </c>
      <c r="AB3688" s="9" t="s">
        <v>8700</v>
      </c>
    </row>
    <row r="3689" spans="1:28">
      <c r="A3689" s="3" t="s">
        <v>1824</v>
      </c>
      <c r="D3689" s="3" t="s">
        <v>3805</v>
      </c>
      <c r="E3689" s="3" t="s">
        <v>3805</v>
      </c>
      <c r="F3689" t="s">
        <v>3932</v>
      </c>
      <c r="I3689" t="s">
        <v>8279</v>
      </c>
      <c r="T3689" s="9" t="str">
        <f t="shared" ca="1" si="132"/>
        <v/>
      </c>
      <c r="U3689" s="9" t="str">
        <f t="shared" ca="1" si="133"/>
        <v/>
      </c>
    </row>
    <row r="3690" spans="1:28">
      <c r="A3690" s="3" t="s">
        <v>1824</v>
      </c>
      <c r="D3690" s="3" t="s">
        <v>8280</v>
      </c>
      <c r="E3690" s="3" t="s">
        <v>8280</v>
      </c>
      <c r="F3690" t="s">
        <v>3932</v>
      </c>
      <c r="I3690" t="s">
        <v>8281</v>
      </c>
      <c r="T3690" s="9" t="str">
        <f t="shared" ca="1" si="132"/>
        <v/>
      </c>
      <c r="U3690" s="9" t="str">
        <f t="shared" ca="1" si="133"/>
        <v/>
      </c>
    </row>
    <row r="3691" spans="1:28">
      <c r="A3691" s="3" t="s">
        <v>1824</v>
      </c>
      <c r="D3691" s="3" t="s">
        <v>3806</v>
      </c>
      <c r="E3691" s="3" t="s">
        <v>3658</v>
      </c>
      <c r="J3691" s="9" t="s">
        <v>8731</v>
      </c>
      <c r="T3691" s="9" t="str">
        <f t="shared" ca="1" si="132"/>
        <v/>
      </c>
      <c r="U3691" s="9" t="str">
        <f t="shared" ca="1" si="133"/>
        <v/>
      </c>
      <c r="Z3691" s="9" t="s">
        <v>8757</v>
      </c>
      <c r="AA3691" s="9" t="s">
        <v>3884</v>
      </c>
      <c r="AB3691" s="9" t="s">
        <v>8700</v>
      </c>
    </row>
    <row r="3692" spans="1:28">
      <c r="A3692" s="3" t="s">
        <v>1825</v>
      </c>
      <c r="D3692" s="3" t="s">
        <v>8282</v>
      </c>
      <c r="E3692" s="3" t="s">
        <v>8282</v>
      </c>
      <c r="F3692" t="s">
        <v>3932</v>
      </c>
      <c r="I3692" t="s">
        <v>8283</v>
      </c>
      <c r="T3692" s="9" t="str">
        <f t="shared" ca="1" si="132"/>
        <v/>
      </c>
      <c r="U3692" s="9" t="str">
        <f t="shared" ca="1" si="133"/>
        <v/>
      </c>
    </row>
    <row r="3693" spans="1:28" ht="29">
      <c r="A3693" s="3" t="s">
        <v>1825</v>
      </c>
      <c r="D3693" s="4" t="s">
        <v>8284</v>
      </c>
      <c r="E3693" s="3" t="s">
        <v>8285</v>
      </c>
      <c r="F3693" t="s">
        <v>4196</v>
      </c>
      <c r="I3693" t="s">
        <v>8288</v>
      </c>
      <c r="J3693" s="9" t="s">
        <v>3885</v>
      </c>
      <c r="K3693" s="9">
        <v>2</v>
      </c>
      <c r="L3693" s="9">
        <v>4</v>
      </c>
      <c r="N3693" s="9" t="s">
        <v>8690</v>
      </c>
      <c r="R3693" s="9">
        <v>10929</v>
      </c>
      <c r="T3693" s="9" t="str">
        <f t="shared" ca="1" si="132"/>
        <v/>
      </c>
      <c r="U3693" s="9" t="str">
        <f t="shared" ca="1" si="133"/>
        <v/>
      </c>
      <c r="AB3693" s="9" t="s">
        <v>8694</v>
      </c>
    </row>
    <row r="3694" spans="1:28" ht="29">
      <c r="A3694" s="3" t="s">
        <v>1825</v>
      </c>
      <c r="D3694" s="3" t="s">
        <v>8286</v>
      </c>
      <c r="E3694" s="3" t="s">
        <v>8287</v>
      </c>
      <c r="F3694" t="s">
        <v>3932</v>
      </c>
      <c r="I3694" t="s">
        <v>2254</v>
      </c>
      <c r="T3694" s="9" t="str">
        <f t="shared" ca="1" si="132"/>
        <v/>
      </c>
      <c r="U3694" s="9" t="str">
        <f t="shared" ca="1" si="133"/>
        <v/>
      </c>
    </row>
    <row r="3695" spans="1:28" ht="29">
      <c r="A3695" s="3" t="s">
        <v>1825</v>
      </c>
      <c r="D3695" s="3" t="s">
        <v>8289</v>
      </c>
      <c r="E3695" s="3" t="s">
        <v>8290</v>
      </c>
      <c r="I3695" t="s">
        <v>9171</v>
      </c>
      <c r="J3695" s="9" t="s">
        <v>3889</v>
      </c>
      <c r="K3695" s="9">
        <v>2</v>
      </c>
      <c r="L3695" s="9">
        <v>8</v>
      </c>
      <c r="N3695" s="9" t="s">
        <v>8690</v>
      </c>
      <c r="R3695" s="9">
        <v>54</v>
      </c>
      <c r="T3695" s="9" t="str">
        <f t="shared" ca="1" si="132"/>
        <v/>
      </c>
      <c r="U3695" s="9" t="str">
        <f t="shared" ca="1" si="133"/>
        <v/>
      </c>
    </row>
    <row r="3696" spans="1:28" ht="29">
      <c r="A3696" s="3" t="s">
        <v>1825</v>
      </c>
      <c r="D3696" s="3" t="s">
        <v>8291</v>
      </c>
      <c r="E3696" s="3" t="s">
        <v>8292</v>
      </c>
      <c r="H3696" t="s">
        <v>3884</v>
      </c>
      <c r="J3696" s="9" t="s">
        <v>3889</v>
      </c>
      <c r="K3696" s="9">
        <v>2</v>
      </c>
      <c r="L3696" s="9">
        <v>8</v>
      </c>
      <c r="N3696" s="9" t="s">
        <v>8684</v>
      </c>
      <c r="O3696" s="9" t="s">
        <v>8847</v>
      </c>
      <c r="P3696" s="10" t="s">
        <v>9172</v>
      </c>
      <c r="R3696" s="9">
        <v>886</v>
      </c>
      <c r="T3696" s="9" t="str">
        <f t="shared" ca="1" si="132"/>
        <v/>
      </c>
      <c r="U3696" s="9" t="str">
        <f t="shared" ca="1" si="133"/>
        <v/>
      </c>
    </row>
    <row r="3697" spans="1:28">
      <c r="A3697" s="3" t="s">
        <v>1826</v>
      </c>
      <c r="D3697" s="3" t="s">
        <v>8293</v>
      </c>
      <c r="E3697" s="3" t="s">
        <v>3807</v>
      </c>
      <c r="H3697" t="s">
        <v>3884</v>
      </c>
      <c r="J3697" s="9" t="s">
        <v>8731</v>
      </c>
      <c r="T3697" s="9" t="str">
        <f t="shared" ca="1" si="132"/>
        <v/>
      </c>
      <c r="U3697" s="9" t="str">
        <f t="shared" ca="1" si="133"/>
        <v/>
      </c>
    </row>
    <row r="3698" spans="1:28">
      <c r="A3698" s="3" t="s">
        <v>1826</v>
      </c>
      <c r="D3698" s="3" t="s">
        <v>8294</v>
      </c>
      <c r="E3698" s="3" t="s">
        <v>8294</v>
      </c>
      <c r="F3698" t="s">
        <v>3932</v>
      </c>
      <c r="I3698" t="s">
        <v>9714</v>
      </c>
      <c r="T3698" s="9" t="str">
        <f t="shared" ca="1" si="132"/>
        <v/>
      </c>
      <c r="U3698" s="9" t="str">
        <f t="shared" ca="1" si="133"/>
        <v/>
      </c>
    </row>
    <row r="3699" spans="1:28" ht="29">
      <c r="A3699" s="3" t="s">
        <v>1826</v>
      </c>
      <c r="D3699" s="3" t="s">
        <v>8295</v>
      </c>
      <c r="E3699" s="3" t="s">
        <v>8296</v>
      </c>
      <c r="J3699" s="9" t="s">
        <v>3889</v>
      </c>
      <c r="K3699" s="9">
        <v>2</v>
      </c>
      <c r="L3699" s="9">
        <v>10</v>
      </c>
      <c r="N3699" s="9" t="s">
        <v>8690</v>
      </c>
      <c r="R3699" s="9">
        <v>21</v>
      </c>
      <c r="T3699" s="9" t="str">
        <f t="shared" ca="1" si="132"/>
        <v/>
      </c>
      <c r="U3699" s="9" t="str">
        <f t="shared" ca="1" si="133"/>
        <v/>
      </c>
    </row>
    <row r="3700" spans="1:28" ht="29">
      <c r="A3700" s="3" t="s">
        <v>1827</v>
      </c>
      <c r="D3700" s="3" t="s">
        <v>8297</v>
      </c>
      <c r="E3700" s="3" t="s">
        <v>8298</v>
      </c>
      <c r="H3700" t="s">
        <v>3884</v>
      </c>
      <c r="J3700" s="9" t="s">
        <v>3889</v>
      </c>
      <c r="K3700" s="9">
        <v>2</v>
      </c>
      <c r="L3700" s="9">
        <v>10</v>
      </c>
      <c r="N3700" s="9" t="s">
        <v>8690</v>
      </c>
      <c r="R3700" s="9">
        <v>10</v>
      </c>
      <c r="T3700" s="9" t="str">
        <f t="shared" ca="1" si="132"/>
        <v/>
      </c>
      <c r="U3700" s="9" t="str">
        <f t="shared" ca="1" si="133"/>
        <v/>
      </c>
    </row>
    <row r="3701" spans="1:28">
      <c r="A3701" s="3" t="s">
        <v>1827</v>
      </c>
      <c r="D3701" s="3" t="s">
        <v>8299</v>
      </c>
      <c r="E3701" s="3" t="s">
        <v>3808</v>
      </c>
      <c r="H3701" t="s">
        <v>3884</v>
      </c>
      <c r="J3701" s="9" t="s">
        <v>8729</v>
      </c>
      <c r="S3701" s="9" t="s">
        <v>8730</v>
      </c>
      <c r="T3701" s="9" t="str">
        <f t="shared" ca="1" si="132"/>
        <v/>
      </c>
      <c r="U3701" s="9" t="str">
        <f t="shared" ca="1" si="133"/>
        <v/>
      </c>
      <c r="Z3701" s="9" t="s">
        <v>9280</v>
      </c>
      <c r="AA3701" s="9" t="s">
        <v>3884</v>
      </c>
      <c r="AB3701" s="9" t="s">
        <v>8688</v>
      </c>
    </row>
    <row r="3702" spans="1:28">
      <c r="A3702" s="3" t="s">
        <v>1827</v>
      </c>
      <c r="D3702" s="3" t="s">
        <v>8300</v>
      </c>
      <c r="E3702" s="3" t="s">
        <v>8301</v>
      </c>
      <c r="J3702" s="9" t="s">
        <v>8731</v>
      </c>
      <c r="T3702" s="9" t="str">
        <f t="shared" ca="1" si="132"/>
        <v/>
      </c>
      <c r="U3702" s="9" t="str">
        <f t="shared" ca="1" si="133"/>
        <v/>
      </c>
      <c r="Y3702" s="9" t="s">
        <v>9282</v>
      </c>
      <c r="AA3702" s="9" t="s">
        <v>3884</v>
      </c>
    </row>
    <row r="3703" spans="1:28" ht="58">
      <c r="A3703" s="3" t="s">
        <v>1828</v>
      </c>
      <c r="D3703" s="3" t="s">
        <v>8302</v>
      </c>
      <c r="E3703" s="3" t="s">
        <v>8303</v>
      </c>
      <c r="H3703" t="s">
        <v>3884</v>
      </c>
      <c r="I3703" t="s">
        <v>9287</v>
      </c>
      <c r="J3703" s="9" t="s">
        <v>3885</v>
      </c>
      <c r="K3703" s="9">
        <v>8</v>
      </c>
      <c r="L3703" s="9">
        <v>42</v>
      </c>
      <c r="N3703" s="9" t="s">
        <v>8684</v>
      </c>
      <c r="O3703" s="9" t="s">
        <v>9092</v>
      </c>
      <c r="P3703" s="10" t="s">
        <v>8813</v>
      </c>
      <c r="Q3703" s="9" t="s">
        <v>8691</v>
      </c>
      <c r="R3703" s="9">
        <v>36</v>
      </c>
      <c r="T3703" s="9" t="str">
        <f t="shared" ca="1" si="132"/>
        <v/>
      </c>
      <c r="U3703" s="9" t="str">
        <f t="shared" ca="1" si="133"/>
        <v/>
      </c>
      <c r="AB3703" s="9" t="s">
        <v>8694</v>
      </c>
    </row>
    <row r="3704" spans="1:28">
      <c r="A3704" s="3" t="s">
        <v>1828</v>
      </c>
      <c r="D3704" s="3" t="s">
        <v>8304</v>
      </c>
      <c r="E3704" s="3" t="s">
        <v>8305</v>
      </c>
      <c r="H3704" t="s">
        <v>3884</v>
      </c>
      <c r="J3704" s="9" t="s">
        <v>8729</v>
      </c>
      <c r="S3704" s="9">
        <f xml:space="preserve"> 205-91</f>
        <v>114</v>
      </c>
      <c r="T3704" s="9">
        <f t="shared" ca="1" si="132"/>
        <v>91</v>
      </c>
      <c r="U3704" s="9">
        <f t="shared" ca="1" si="133"/>
        <v>205</v>
      </c>
    </row>
    <row r="3705" spans="1:28">
      <c r="A3705" s="3" t="s">
        <v>1829</v>
      </c>
      <c r="D3705" s="3" t="s">
        <v>8306</v>
      </c>
      <c r="E3705" s="3" t="s">
        <v>8306</v>
      </c>
      <c r="F3705" t="s">
        <v>3932</v>
      </c>
      <c r="I3705" t="s">
        <v>8307</v>
      </c>
      <c r="T3705" s="9" t="str">
        <f t="shared" ca="1" si="132"/>
        <v/>
      </c>
      <c r="U3705" s="9" t="str">
        <f t="shared" ca="1" si="133"/>
        <v/>
      </c>
    </row>
    <row r="3706" spans="1:28">
      <c r="A3706" s="3" t="s">
        <v>1830</v>
      </c>
      <c r="D3706" s="3" t="s">
        <v>2037</v>
      </c>
      <c r="E3706" s="3" t="s">
        <v>2037</v>
      </c>
      <c r="F3706" t="s">
        <v>3932</v>
      </c>
      <c r="I3706" t="s">
        <v>4187</v>
      </c>
      <c r="T3706" s="9" t="str">
        <f t="shared" ca="1" si="132"/>
        <v/>
      </c>
      <c r="U3706" s="9" t="str">
        <f t="shared" ca="1" si="133"/>
        <v/>
      </c>
    </row>
    <row r="3707" spans="1:28">
      <c r="A3707" s="3" t="s">
        <v>1830</v>
      </c>
      <c r="D3707" s="3" t="s">
        <v>8308</v>
      </c>
      <c r="E3707" s="3" t="s">
        <v>8308</v>
      </c>
      <c r="F3707" t="s">
        <v>3932</v>
      </c>
      <c r="I3707" t="s">
        <v>8309</v>
      </c>
      <c r="T3707" s="9" t="str">
        <f t="shared" ca="1" si="132"/>
        <v/>
      </c>
      <c r="U3707" s="9" t="str">
        <f t="shared" ca="1" si="133"/>
        <v/>
      </c>
    </row>
    <row r="3708" spans="1:28">
      <c r="A3708" s="3" t="s">
        <v>1831</v>
      </c>
      <c r="D3708" s="3" t="s">
        <v>8310</v>
      </c>
      <c r="E3708" s="3" t="s">
        <v>8311</v>
      </c>
      <c r="H3708" t="s">
        <v>3884</v>
      </c>
      <c r="J3708" s="9" t="s">
        <v>3889</v>
      </c>
      <c r="K3708" s="9">
        <v>1</v>
      </c>
      <c r="L3708" s="9">
        <v>2</v>
      </c>
      <c r="M3708" s="9" t="s">
        <v>8689</v>
      </c>
      <c r="N3708" s="9" t="s">
        <v>8730</v>
      </c>
      <c r="R3708" s="9">
        <v>10929</v>
      </c>
      <c r="T3708" s="9" t="str">
        <f t="shared" ca="1" si="132"/>
        <v/>
      </c>
      <c r="U3708" s="9" t="str">
        <f t="shared" ca="1" si="133"/>
        <v/>
      </c>
    </row>
    <row r="3709" spans="1:28" ht="29">
      <c r="A3709" s="3" t="s">
        <v>1831</v>
      </c>
      <c r="D3709" s="3" t="s">
        <v>8312</v>
      </c>
      <c r="E3709" s="3" t="s">
        <v>8313</v>
      </c>
      <c r="H3709" t="s">
        <v>3884</v>
      </c>
      <c r="J3709" s="9" t="s">
        <v>3889</v>
      </c>
      <c r="K3709" s="9">
        <v>1</v>
      </c>
      <c r="L3709" s="9">
        <v>2</v>
      </c>
      <c r="M3709" s="9" t="s">
        <v>8707</v>
      </c>
      <c r="N3709" s="9" t="s">
        <v>8730</v>
      </c>
      <c r="R3709" s="9">
        <v>1942</v>
      </c>
      <c r="T3709" s="9" t="str">
        <f t="shared" ca="1" si="132"/>
        <v/>
      </c>
      <c r="U3709" s="9" t="str">
        <f t="shared" ca="1" si="133"/>
        <v/>
      </c>
    </row>
    <row r="3710" spans="1:28">
      <c r="A3710" s="3" t="s">
        <v>1831</v>
      </c>
      <c r="D3710" s="3" t="s">
        <v>3809</v>
      </c>
      <c r="E3710" s="3" t="s">
        <v>3702</v>
      </c>
      <c r="H3710" t="s">
        <v>3892</v>
      </c>
      <c r="I3710" t="s">
        <v>7736</v>
      </c>
      <c r="J3710" s="9" t="s">
        <v>8731</v>
      </c>
      <c r="T3710" s="9" t="str">
        <f t="shared" ca="1" si="132"/>
        <v/>
      </c>
      <c r="U3710" s="9" t="str">
        <f t="shared" ca="1" si="133"/>
        <v/>
      </c>
      <c r="Z3710" s="9" t="s">
        <v>8741</v>
      </c>
      <c r="AA3710" s="9" t="s">
        <v>3884</v>
      </c>
      <c r="AB3710" s="9" t="s">
        <v>8697</v>
      </c>
    </row>
    <row r="3711" spans="1:28">
      <c r="A3711" s="3" t="s">
        <v>1831</v>
      </c>
      <c r="D3711" s="3" t="s">
        <v>3810</v>
      </c>
      <c r="E3711" s="3" t="s">
        <v>3811</v>
      </c>
      <c r="J3711" s="9" t="s">
        <v>8731</v>
      </c>
      <c r="T3711" s="9" t="str">
        <f t="shared" ca="1" si="132"/>
        <v/>
      </c>
      <c r="U3711" s="9" t="str">
        <f t="shared" ca="1" si="133"/>
        <v/>
      </c>
      <c r="Z3711" s="9" t="s">
        <v>8741</v>
      </c>
      <c r="AA3711" s="9" t="s">
        <v>3884</v>
      </c>
    </row>
    <row r="3712" spans="1:28">
      <c r="A3712" s="3" t="s">
        <v>1832</v>
      </c>
      <c r="D3712" s="3" t="s">
        <v>3596</v>
      </c>
      <c r="E3712" s="3" t="s">
        <v>3600</v>
      </c>
      <c r="J3712" s="9" t="s">
        <v>8729</v>
      </c>
      <c r="S3712" s="9" t="s">
        <v>8739</v>
      </c>
      <c r="T3712" s="9" t="str">
        <f t="shared" ca="1" si="132"/>
        <v/>
      </c>
      <c r="U3712" s="9" t="str">
        <f t="shared" ca="1" si="133"/>
        <v/>
      </c>
      <c r="Z3712" s="9" t="s">
        <v>8741</v>
      </c>
      <c r="AA3712" s="9" t="s">
        <v>3884</v>
      </c>
    </row>
    <row r="3713" spans="1:28">
      <c r="A3713" s="3" t="s">
        <v>1832</v>
      </c>
      <c r="D3713" s="3" t="s">
        <v>8314</v>
      </c>
      <c r="E3713" s="3" t="s">
        <v>3812</v>
      </c>
      <c r="H3713" t="s">
        <v>3884</v>
      </c>
      <c r="J3713" s="9" t="s">
        <v>8729</v>
      </c>
      <c r="S3713" s="9" t="s">
        <v>8739</v>
      </c>
      <c r="T3713" s="9" t="str">
        <f t="shared" ca="1" si="132"/>
        <v/>
      </c>
      <c r="U3713" s="9" t="str">
        <f t="shared" ca="1" si="133"/>
        <v/>
      </c>
      <c r="Y3713" s="9" t="s">
        <v>8735</v>
      </c>
      <c r="AA3713" s="9" t="s">
        <v>3884</v>
      </c>
    </row>
    <row r="3714" spans="1:28" ht="58">
      <c r="A3714" s="3" t="s">
        <v>1833</v>
      </c>
      <c r="D3714" s="3" t="s">
        <v>8315</v>
      </c>
      <c r="E3714" s="3" t="s">
        <v>8316</v>
      </c>
      <c r="H3714" t="s">
        <v>3888</v>
      </c>
      <c r="I3714" t="s">
        <v>9174</v>
      </c>
      <c r="J3714" s="9" t="s">
        <v>3889</v>
      </c>
      <c r="K3714" s="9">
        <v>4</v>
      </c>
      <c r="L3714" s="9">
        <v>26</v>
      </c>
      <c r="N3714" s="9" t="s">
        <v>8684</v>
      </c>
      <c r="O3714" s="9" t="s">
        <v>8777</v>
      </c>
      <c r="P3714" s="10" t="s">
        <v>9173</v>
      </c>
      <c r="R3714" s="9">
        <v>20</v>
      </c>
      <c r="T3714" s="9" t="str">
        <f t="shared" ca="1" si="132"/>
        <v/>
      </c>
      <c r="U3714" s="9" t="str">
        <f t="shared" ca="1" si="133"/>
        <v/>
      </c>
    </row>
    <row r="3715" spans="1:28" ht="29">
      <c r="A3715" s="3" t="s">
        <v>1834</v>
      </c>
      <c r="D3715" s="3" t="s">
        <v>8317</v>
      </c>
      <c r="E3715" s="3" t="s">
        <v>8317</v>
      </c>
      <c r="F3715" t="s">
        <v>3932</v>
      </c>
      <c r="I3715" t="s">
        <v>8318</v>
      </c>
      <c r="T3715" s="9" t="str">
        <f t="shared" ca="1" si="132"/>
        <v/>
      </c>
      <c r="U3715" s="9" t="str">
        <f t="shared" ca="1" si="133"/>
        <v/>
      </c>
    </row>
    <row r="3716" spans="1:28">
      <c r="A3716" s="3" t="s">
        <v>1834</v>
      </c>
      <c r="D3716" s="3" t="s">
        <v>8320</v>
      </c>
      <c r="E3716" s="3" t="s">
        <v>8319</v>
      </c>
      <c r="F3716" t="s">
        <v>3932</v>
      </c>
      <c r="I3716" t="s">
        <v>8321</v>
      </c>
      <c r="T3716" s="9" t="str">
        <f t="shared" ref="T3716:T3779" ca="1" si="134">IF(ISNUMBER(S3716),VALUE(MID(_xlfn.FORMULATEXT(S3716),SEARCH("-",_xlfn.FORMULATEXT(S3716))+1,LEN(_xlfn.FORMULATEXT(S3716))-SEARCH("-",_xlfn.FORMULATEXT(S3716)))), "")</f>
        <v/>
      </c>
      <c r="U3716" s="9" t="str">
        <f t="shared" ref="U3716:U3779" ca="1" si="135">IF(ISNUMBER(S3716), VALUE(MID(_xlfn.FORMULATEXT(S3716), 2, SEARCH("-", _xlfn.FORMULATEXT(S3716)) - 2)), "")</f>
        <v/>
      </c>
    </row>
    <row r="3717" spans="1:28">
      <c r="A3717" s="3" t="s">
        <v>1835</v>
      </c>
      <c r="D3717" s="3" t="s">
        <v>3596</v>
      </c>
      <c r="E3717" s="3" t="s">
        <v>3600</v>
      </c>
      <c r="J3717" s="9" t="s">
        <v>8729</v>
      </c>
      <c r="S3717" s="9" t="s">
        <v>8739</v>
      </c>
      <c r="T3717" s="9" t="str">
        <f t="shared" ca="1" si="134"/>
        <v/>
      </c>
      <c r="U3717" s="9" t="str">
        <f t="shared" ca="1" si="135"/>
        <v/>
      </c>
      <c r="Z3717" s="9" t="s">
        <v>8741</v>
      </c>
      <c r="AA3717" s="9" t="s">
        <v>3884</v>
      </c>
    </row>
    <row r="3718" spans="1:28" ht="29">
      <c r="A3718" s="3" t="s">
        <v>1836</v>
      </c>
      <c r="D3718" s="3" t="s">
        <v>8322</v>
      </c>
      <c r="E3718" s="3" t="s">
        <v>8323</v>
      </c>
      <c r="F3718" t="s">
        <v>3893</v>
      </c>
      <c r="I3718" t="s">
        <v>8324</v>
      </c>
      <c r="T3718" s="9" t="str">
        <f t="shared" ca="1" si="134"/>
        <v/>
      </c>
      <c r="U3718" s="9" t="str">
        <f t="shared" ca="1" si="135"/>
        <v/>
      </c>
    </row>
    <row r="3719" spans="1:28" ht="29">
      <c r="A3719" s="3" t="s">
        <v>1836</v>
      </c>
      <c r="D3719" s="3" t="s">
        <v>8325</v>
      </c>
      <c r="E3719" s="3" t="s">
        <v>8326</v>
      </c>
      <c r="H3719" t="s">
        <v>3884</v>
      </c>
      <c r="J3719" s="9" t="s">
        <v>3885</v>
      </c>
      <c r="K3719" s="9">
        <v>1</v>
      </c>
      <c r="L3719" s="9">
        <v>8</v>
      </c>
      <c r="M3719" s="9" t="s">
        <v>8736</v>
      </c>
      <c r="N3719" s="9" t="s">
        <v>8684</v>
      </c>
      <c r="O3719" s="9" t="s">
        <v>8777</v>
      </c>
      <c r="P3719" s="10" t="s">
        <v>8983</v>
      </c>
      <c r="Q3719" s="9" t="s">
        <v>8685</v>
      </c>
      <c r="R3719" s="9">
        <v>79</v>
      </c>
      <c r="T3719" s="9" t="str">
        <f t="shared" ca="1" si="134"/>
        <v/>
      </c>
      <c r="U3719" s="9" t="str">
        <f t="shared" ca="1" si="135"/>
        <v/>
      </c>
    </row>
    <row r="3720" spans="1:28">
      <c r="A3720" s="3" t="s">
        <v>1837</v>
      </c>
      <c r="D3720" s="3" t="s">
        <v>3813</v>
      </c>
      <c r="E3720" s="3" t="s">
        <v>3814</v>
      </c>
      <c r="J3720" s="9" t="s">
        <v>8729</v>
      </c>
      <c r="S3720" s="9" t="s">
        <v>8730</v>
      </c>
      <c r="T3720" s="9" t="str">
        <f t="shared" ca="1" si="134"/>
        <v/>
      </c>
      <c r="U3720" s="9" t="str">
        <f t="shared" ca="1" si="135"/>
        <v/>
      </c>
      <c r="Z3720" s="9" t="s">
        <v>8741</v>
      </c>
      <c r="AA3720" s="9" t="s">
        <v>3884</v>
      </c>
      <c r="AB3720" s="9" t="s">
        <v>8697</v>
      </c>
    </row>
    <row r="3721" spans="1:28">
      <c r="A3721" s="3" t="s">
        <v>1838</v>
      </c>
      <c r="D3721" s="3" t="s">
        <v>8327</v>
      </c>
      <c r="E3721" s="3" t="s">
        <v>8328</v>
      </c>
      <c r="J3721" s="9" t="s">
        <v>8729</v>
      </c>
      <c r="S3721" s="9">
        <f>2-24</f>
        <v>-22</v>
      </c>
      <c r="T3721" s="9">
        <f t="shared" ca="1" si="134"/>
        <v>24</v>
      </c>
      <c r="U3721" s="9">
        <f t="shared" ca="1" si="135"/>
        <v>2</v>
      </c>
    </row>
    <row r="3722" spans="1:28" ht="29">
      <c r="A3722" s="3" t="s">
        <v>1838</v>
      </c>
      <c r="D3722" s="3" t="s">
        <v>8329</v>
      </c>
      <c r="E3722" s="3" t="s">
        <v>8330</v>
      </c>
      <c r="F3722" t="s">
        <v>3893</v>
      </c>
      <c r="H3722" t="s">
        <v>3884</v>
      </c>
      <c r="T3722" s="9" t="str">
        <f t="shared" ca="1" si="134"/>
        <v/>
      </c>
      <c r="U3722" s="9" t="str">
        <f t="shared" ca="1" si="135"/>
        <v/>
      </c>
    </row>
    <row r="3723" spans="1:28">
      <c r="A3723" s="3" t="s">
        <v>1838</v>
      </c>
      <c r="D3723" s="3" t="s">
        <v>8331</v>
      </c>
      <c r="E3723" s="3" t="s">
        <v>8332</v>
      </c>
      <c r="J3723" s="9" t="s">
        <v>8729</v>
      </c>
      <c r="S3723" s="9">
        <f>38-0</f>
        <v>38</v>
      </c>
      <c r="T3723" s="9">
        <f t="shared" ca="1" si="134"/>
        <v>0</v>
      </c>
      <c r="U3723" s="9">
        <f t="shared" ca="1" si="135"/>
        <v>38</v>
      </c>
      <c r="AB3723" s="9" t="s">
        <v>8700</v>
      </c>
    </row>
    <row r="3724" spans="1:28">
      <c r="A3724" s="3" t="s">
        <v>1839</v>
      </c>
      <c r="D3724" s="3" t="s">
        <v>8333</v>
      </c>
      <c r="E3724" s="3" t="s">
        <v>8334</v>
      </c>
      <c r="J3724" s="9" t="s">
        <v>8731</v>
      </c>
      <c r="T3724" s="9" t="str">
        <f t="shared" ca="1" si="134"/>
        <v/>
      </c>
      <c r="U3724" s="9" t="str">
        <f t="shared" ca="1" si="135"/>
        <v/>
      </c>
    </row>
    <row r="3725" spans="1:28">
      <c r="A3725" s="3" t="s">
        <v>1839</v>
      </c>
      <c r="D3725" s="3" t="s">
        <v>3815</v>
      </c>
      <c r="E3725" s="3" t="s">
        <v>3816</v>
      </c>
      <c r="H3725" t="s">
        <v>3884</v>
      </c>
      <c r="J3725" s="9" t="s">
        <v>8731</v>
      </c>
      <c r="T3725" s="9" t="str">
        <f t="shared" ca="1" si="134"/>
        <v/>
      </c>
      <c r="U3725" s="9" t="str">
        <f t="shared" ca="1" si="135"/>
        <v/>
      </c>
      <c r="AB3725" s="9" t="s">
        <v>8688</v>
      </c>
    </row>
    <row r="3726" spans="1:28">
      <c r="A3726" s="3" t="s">
        <v>1839</v>
      </c>
      <c r="D3726" s="3" t="s">
        <v>8335</v>
      </c>
      <c r="E3726" s="3" t="s">
        <v>8336</v>
      </c>
      <c r="H3726" t="s">
        <v>3884</v>
      </c>
      <c r="J3726" s="9" t="s">
        <v>3885</v>
      </c>
      <c r="K3726" s="9">
        <v>1</v>
      </c>
      <c r="L3726" s="9">
        <v>4</v>
      </c>
      <c r="M3726" s="9" t="s">
        <v>8689</v>
      </c>
      <c r="N3726" s="9" t="s">
        <v>8690</v>
      </c>
      <c r="R3726" s="9">
        <v>10929</v>
      </c>
      <c r="T3726" s="9" t="str">
        <f t="shared" ca="1" si="134"/>
        <v/>
      </c>
      <c r="U3726" s="9" t="str">
        <f t="shared" ca="1" si="135"/>
        <v/>
      </c>
    </row>
    <row r="3727" spans="1:28">
      <c r="A3727" s="3" t="s">
        <v>1839</v>
      </c>
      <c r="D3727" s="3" t="s">
        <v>3817</v>
      </c>
      <c r="E3727" s="3" t="s">
        <v>3818</v>
      </c>
      <c r="J3727" s="9" t="s">
        <v>8729</v>
      </c>
      <c r="S3727" s="9" t="s">
        <v>8739</v>
      </c>
      <c r="T3727" s="9" t="str">
        <f t="shared" ca="1" si="134"/>
        <v/>
      </c>
      <c r="U3727" s="9" t="str">
        <f t="shared" ca="1" si="135"/>
        <v/>
      </c>
      <c r="AB3727" s="9" t="s">
        <v>8688</v>
      </c>
    </row>
    <row r="3728" spans="1:28" ht="29">
      <c r="A3728" s="3" t="s">
        <v>1840</v>
      </c>
      <c r="D3728" s="3" t="s">
        <v>8338</v>
      </c>
      <c r="E3728" s="3" t="s">
        <v>8337</v>
      </c>
      <c r="H3728" t="s">
        <v>3884</v>
      </c>
      <c r="J3728" s="9" t="s">
        <v>3889</v>
      </c>
      <c r="K3728" s="9">
        <v>1</v>
      </c>
      <c r="L3728" s="9">
        <v>3</v>
      </c>
      <c r="M3728" s="9" t="s">
        <v>8695</v>
      </c>
      <c r="N3728" s="9" t="s">
        <v>8690</v>
      </c>
      <c r="R3728" s="9">
        <v>8</v>
      </c>
      <c r="T3728" s="9" t="str">
        <f t="shared" ca="1" si="134"/>
        <v/>
      </c>
      <c r="U3728" s="9" t="str">
        <f t="shared" ca="1" si="135"/>
        <v/>
      </c>
    </row>
    <row r="3729" spans="1:28" ht="29">
      <c r="A3729" s="3" t="s">
        <v>1840</v>
      </c>
      <c r="D3729" s="3" t="s">
        <v>8339</v>
      </c>
      <c r="E3729" s="3" t="s">
        <v>8340</v>
      </c>
      <c r="F3729" t="s">
        <v>3932</v>
      </c>
      <c r="I3729" t="s">
        <v>3154</v>
      </c>
      <c r="T3729" s="9" t="str">
        <f t="shared" ca="1" si="134"/>
        <v/>
      </c>
      <c r="U3729" s="9" t="str">
        <f t="shared" ca="1" si="135"/>
        <v/>
      </c>
    </row>
    <row r="3730" spans="1:28">
      <c r="A3730" s="3" t="s">
        <v>1840</v>
      </c>
      <c r="D3730" s="3" t="s">
        <v>3692</v>
      </c>
      <c r="E3730" s="3" t="s">
        <v>2328</v>
      </c>
      <c r="J3730" s="9" t="s">
        <v>8729</v>
      </c>
      <c r="S3730" s="9" t="s">
        <v>8739</v>
      </c>
      <c r="T3730" s="9" t="str">
        <f t="shared" ca="1" si="134"/>
        <v/>
      </c>
      <c r="U3730" s="9" t="str">
        <f t="shared" ca="1" si="135"/>
        <v/>
      </c>
      <c r="Z3730" s="9" t="s">
        <v>8741</v>
      </c>
      <c r="AA3730" s="9" t="s">
        <v>3884</v>
      </c>
      <c r="AB3730" s="9" t="s">
        <v>8697</v>
      </c>
    </row>
    <row r="3731" spans="1:28">
      <c r="A3731" s="3" t="s">
        <v>1841</v>
      </c>
      <c r="D3731" s="3" t="s">
        <v>2337</v>
      </c>
      <c r="E3731" s="3" t="s">
        <v>2337</v>
      </c>
      <c r="F3731" t="s">
        <v>3932</v>
      </c>
      <c r="I3731" t="s">
        <v>3127</v>
      </c>
      <c r="T3731" s="9" t="str">
        <f t="shared" ca="1" si="134"/>
        <v/>
      </c>
      <c r="U3731" s="9" t="str">
        <f t="shared" ca="1" si="135"/>
        <v/>
      </c>
    </row>
    <row r="3732" spans="1:28" ht="29">
      <c r="A3732" s="3" t="s">
        <v>1841</v>
      </c>
      <c r="D3732" s="3" t="s">
        <v>8341</v>
      </c>
      <c r="E3732" s="3" t="s">
        <v>8342</v>
      </c>
      <c r="J3732" s="9" t="s">
        <v>3885</v>
      </c>
      <c r="K3732" s="9">
        <v>1</v>
      </c>
      <c r="L3732" s="9">
        <v>3</v>
      </c>
      <c r="M3732" s="9" t="s">
        <v>8689</v>
      </c>
      <c r="N3732" s="9" t="s">
        <v>8690</v>
      </c>
      <c r="R3732" s="9">
        <v>10929</v>
      </c>
      <c r="T3732" s="9" t="str">
        <f t="shared" ca="1" si="134"/>
        <v/>
      </c>
      <c r="U3732" s="9" t="str">
        <f t="shared" ca="1" si="135"/>
        <v/>
      </c>
    </row>
    <row r="3733" spans="1:28" ht="29">
      <c r="A3733" s="3" t="s">
        <v>1841</v>
      </c>
      <c r="D3733" s="3" t="s">
        <v>8343</v>
      </c>
      <c r="E3733" s="3" t="s">
        <v>8344</v>
      </c>
      <c r="F3733" t="s">
        <v>3932</v>
      </c>
      <c r="I3733" t="s">
        <v>3530</v>
      </c>
      <c r="T3733" s="9" t="str">
        <f t="shared" ca="1" si="134"/>
        <v/>
      </c>
      <c r="U3733" s="9" t="str">
        <f t="shared" ca="1" si="135"/>
        <v/>
      </c>
    </row>
    <row r="3734" spans="1:28">
      <c r="A3734" s="3" t="s">
        <v>1842</v>
      </c>
      <c r="D3734" s="3" t="s">
        <v>8346</v>
      </c>
      <c r="E3734" s="3" t="s">
        <v>8347</v>
      </c>
      <c r="F3734" t="s">
        <v>3932</v>
      </c>
      <c r="I3734" t="s">
        <v>8349</v>
      </c>
      <c r="T3734" s="9" t="str">
        <f t="shared" ca="1" si="134"/>
        <v/>
      </c>
      <c r="U3734" s="9" t="str">
        <f t="shared" ca="1" si="135"/>
        <v/>
      </c>
    </row>
    <row r="3735" spans="1:28">
      <c r="A3735" s="3" t="s">
        <v>1842</v>
      </c>
      <c r="D3735" s="3" t="s">
        <v>8345</v>
      </c>
      <c r="E3735" s="3" t="s">
        <v>8348</v>
      </c>
      <c r="H3735" t="s">
        <v>3884</v>
      </c>
      <c r="J3735" s="9" t="s">
        <v>3885</v>
      </c>
      <c r="K3735" s="9">
        <v>1</v>
      </c>
      <c r="L3735" s="9">
        <v>3</v>
      </c>
      <c r="M3735" s="9" t="s">
        <v>8689</v>
      </c>
      <c r="N3735" s="9" t="s">
        <v>8690</v>
      </c>
      <c r="R3735" s="9">
        <v>10929</v>
      </c>
      <c r="T3735" s="9" t="str">
        <f t="shared" ca="1" si="134"/>
        <v/>
      </c>
      <c r="U3735" s="9" t="str">
        <f t="shared" ca="1" si="135"/>
        <v/>
      </c>
    </row>
    <row r="3736" spans="1:28">
      <c r="A3736" s="3" t="s">
        <v>1843</v>
      </c>
      <c r="D3736" s="3" t="s">
        <v>8350</v>
      </c>
      <c r="E3736" s="3" t="s">
        <v>8351</v>
      </c>
      <c r="H3736" t="s">
        <v>3884</v>
      </c>
      <c r="J3736" s="9" t="s">
        <v>3889</v>
      </c>
      <c r="K3736" s="9">
        <v>1</v>
      </c>
      <c r="L3736" s="9">
        <v>3</v>
      </c>
      <c r="M3736" s="9" t="s">
        <v>8689</v>
      </c>
      <c r="N3736" s="9" t="s">
        <v>8690</v>
      </c>
      <c r="R3736" s="9">
        <v>10929</v>
      </c>
      <c r="T3736" s="9" t="str">
        <f t="shared" ca="1" si="134"/>
        <v/>
      </c>
      <c r="U3736" s="9" t="str">
        <f t="shared" ca="1" si="135"/>
        <v/>
      </c>
    </row>
    <row r="3737" spans="1:28">
      <c r="A3737" s="3" t="s">
        <v>1843</v>
      </c>
      <c r="D3737" s="3" t="s">
        <v>3819</v>
      </c>
      <c r="E3737" s="3" t="s">
        <v>3819</v>
      </c>
      <c r="F3737" t="s">
        <v>3932</v>
      </c>
      <c r="I3737" t="s">
        <v>8352</v>
      </c>
      <c r="T3737" s="9" t="str">
        <f t="shared" ca="1" si="134"/>
        <v/>
      </c>
      <c r="U3737" s="9" t="str">
        <f t="shared" ca="1" si="135"/>
        <v/>
      </c>
    </row>
    <row r="3738" spans="1:28">
      <c r="A3738" s="3" t="s">
        <v>1844</v>
      </c>
      <c r="D3738" s="3" t="s">
        <v>8353</v>
      </c>
      <c r="E3738" s="3" t="s">
        <v>8354</v>
      </c>
      <c r="H3738" t="s">
        <v>3884</v>
      </c>
      <c r="J3738" s="9" t="s">
        <v>3885</v>
      </c>
      <c r="K3738" s="9">
        <v>1</v>
      </c>
      <c r="L3738" s="9">
        <v>1</v>
      </c>
      <c r="M3738" s="9" t="s">
        <v>8698</v>
      </c>
      <c r="N3738" s="9" t="s">
        <v>8730</v>
      </c>
      <c r="R3738" s="9">
        <v>73</v>
      </c>
      <c r="T3738" s="9" t="str">
        <f t="shared" ca="1" si="134"/>
        <v/>
      </c>
      <c r="U3738" s="9" t="str">
        <f t="shared" ca="1" si="135"/>
        <v/>
      </c>
      <c r="AB3738" s="9" t="s">
        <v>8694</v>
      </c>
    </row>
    <row r="3739" spans="1:28">
      <c r="A3739" s="3" t="s">
        <v>1844</v>
      </c>
      <c r="D3739" s="3" t="s">
        <v>8357</v>
      </c>
      <c r="E3739" s="3" t="s">
        <v>8358</v>
      </c>
      <c r="J3739" s="9" t="s">
        <v>8729</v>
      </c>
      <c r="S3739" s="9" t="s">
        <v>8739</v>
      </c>
      <c r="T3739" s="9" t="str">
        <f t="shared" ca="1" si="134"/>
        <v/>
      </c>
      <c r="U3739" s="9" t="str">
        <f t="shared" ca="1" si="135"/>
        <v/>
      </c>
      <c r="Y3739" s="9" t="s">
        <v>8735</v>
      </c>
      <c r="AA3739" s="9" t="s">
        <v>3884</v>
      </c>
    </row>
    <row r="3740" spans="1:28">
      <c r="A3740" s="3" t="s">
        <v>1844</v>
      </c>
      <c r="D3740" s="6" t="s">
        <v>8355</v>
      </c>
      <c r="E3740" s="6" t="s">
        <v>8356</v>
      </c>
      <c r="F3740" t="s">
        <v>3932</v>
      </c>
      <c r="I3740" t="s">
        <v>8359</v>
      </c>
      <c r="T3740" s="9" t="str">
        <f t="shared" ca="1" si="134"/>
        <v/>
      </c>
      <c r="U3740" s="9" t="str">
        <f t="shared" ca="1" si="135"/>
        <v/>
      </c>
    </row>
    <row r="3741" spans="1:28">
      <c r="A3741" s="3" t="s">
        <v>1844</v>
      </c>
      <c r="D3741" s="3" t="s">
        <v>9175</v>
      </c>
      <c r="E3741" s="3" t="s">
        <v>9176</v>
      </c>
      <c r="J3741" s="9" t="s">
        <v>8731</v>
      </c>
      <c r="T3741" s="9" t="str">
        <f t="shared" ca="1" si="134"/>
        <v/>
      </c>
      <c r="U3741" s="9" t="str">
        <f t="shared" ca="1" si="135"/>
        <v/>
      </c>
      <c r="Z3741" s="9" t="s">
        <v>8741</v>
      </c>
      <c r="AA3741" s="9" t="s">
        <v>3884</v>
      </c>
      <c r="AB3741" s="9" t="s">
        <v>8700</v>
      </c>
    </row>
    <row r="3742" spans="1:28">
      <c r="A3742" s="3" t="s">
        <v>1845</v>
      </c>
      <c r="D3742" s="3" t="s">
        <v>8360</v>
      </c>
      <c r="E3742" s="3" t="s">
        <v>8361</v>
      </c>
      <c r="F3742" t="s">
        <v>3932</v>
      </c>
      <c r="I3742" t="s">
        <v>8362</v>
      </c>
      <c r="T3742" s="9" t="str">
        <f t="shared" ca="1" si="134"/>
        <v/>
      </c>
      <c r="U3742" s="9" t="str">
        <f t="shared" ca="1" si="135"/>
        <v/>
      </c>
    </row>
    <row r="3743" spans="1:28">
      <c r="A3743" s="3" t="s">
        <v>1845</v>
      </c>
      <c r="D3743" s="3" t="s">
        <v>8363</v>
      </c>
      <c r="E3743" s="3" t="s">
        <v>8364</v>
      </c>
      <c r="H3743" t="s">
        <v>3884</v>
      </c>
      <c r="J3743" s="9" t="s">
        <v>3885</v>
      </c>
      <c r="K3743" s="9">
        <v>1</v>
      </c>
      <c r="L3743" s="9">
        <v>4</v>
      </c>
      <c r="M3743" s="9" t="s">
        <v>8689</v>
      </c>
      <c r="N3743" s="9" t="s">
        <v>8690</v>
      </c>
      <c r="R3743" s="9">
        <v>10929</v>
      </c>
      <c r="T3743" s="9" t="str">
        <f t="shared" ca="1" si="134"/>
        <v/>
      </c>
      <c r="U3743" s="9" t="str">
        <f t="shared" ca="1" si="135"/>
        <v/>
      </c>
      <c r="AB3743" s="9" t="s">
        <v>8694</v>
      </c>
    </row>
    <row r="3744" spans="1:28">
      <c r="A3744" s="3" t="s">
        <v>1845</v>
      </c>
      <c r="D3744" s="3" t="s">
        <v>8365</v>
      </c>
      <c r="E3744" s="3" t="s">
        <v>8366</v>
      </c>
      <c r="J3744" s="9" t="s">
        <v>8729</v>
      </c>
      <c r="S3744" s="9" t="s">
        <v>8739</v>
      </c>
      <c r="T3744" s="9" t="str">
        <f t="shared" ca="1" si="134"/>
        <v/>
      </c>
      <c r="U3744" s="9" t="str">
        <f t="shared" ca="1" si="135"/>
        <v/>
      </c>
      <c r="Y3744" s="9" t="s">
        <v>8735</v>
      </c>
      <c r="AA3744" s="9" t="s">
        <v>3884</v>
      </c>
    </row>
    <row r="3745" spans="1:27">
      <c r="A3745" s="3" t="s">
        <v>1846</v>
      </c>
      <c r="D3745" s="3" t="s">
        <v>3820</v>
      </c>
      <c r="E3745" s="3" t="s">
        <v>3821</v>
      </c>
      <c r="H3745" t="s">
        <v>3892</v>
      </c>
      <c r="I3745" t="s">
        <v>3253</v>
      </c>
      <c r="J3745" s="9" t="s">
        <v>8729</v>
      </c>
      <c r="S3745" s="9" t="s">
        <v>8739</v>
      </c>
      <c r="T3745" s="9" t="str">
        <f t="shared" ca="1" si="134"/>
        <v/>
      </c>
      <c r="U3745" s="9" t="str">
        <f t="shared" ca="1" si="135"/>
        <v/>
      </c>
      <c r="Y3745" s="9" t="s">
        <v>8735</v>
      </c>
      <c r="AA3745" s="9" t="s">
        <v>3884</v>
      </c>
    </row>
    <row r="3746" spans="1:27" ht="29">
      <c r="A3746" s="3" t="s">
        <v>1846</v>
      </c>
      <c r="D3746" s="3" t="s">
        <v>8368</v>
      </c>
      <c r="E3746" s="3" t="s">
        <v>8369</v>
      </c>
      <c r="J3746" s="9" t="s">
        <v>8729</v>
      </c>
      <c r="S3746" s="9">
        <f>329-872</f>
        <v>-543</v>
      </c>
      <c r="T3746" s="9">
        <f t="shared" ca="1" si="134"/>
        <v>872</v>
      </c>
      <c r="U3746" s="9">
        <f t="shared" ca="1" si="135"/>
        <v>329</v>
      </c>
    </row>
    <row r="3747" spans="1:27" ht="29">
      <c r="A3747" s="3" t="s">
        <v>1846</v>
      </c>
      <c r="D3747" s="3" t="s">
        <v>8370</v>
      </c>
      <c r="E3747" s="4" t="s">
        <v>8367</v>
      </c>
      <c r="F3747" t="s">
        <v>3897</v>
      </c>
      <c r="T3747" s="9" t="str">
        <f t="shared" ca="1" si="134"/>
        <v/>
      </c>
      <c r="U3747" s="9" t="str">
        <f t="shared" ca="1" si="135"/>
        <v/>
      </c>
    </row>
    <row r="3748" spans="1:27">
      <c r="A3748" s="3" t="s">
        <v>1847</v>
      </c>
      <c r="D3748" s="3" t="s">
        <v>3513</v>
      </c>
      <c r="E3748" s="3" t="s">
        <v>3822</v>
      </c>
      <c r="J3748" s="9" t="s">
        <v>8731</v>
      </c>
      <c r="T3748" s="9" t="str">
        <f t="shared" ca="1" si="134"/>
        <v/>
      </c>
      <c r="U3748" s="9" t="str">
        <f t="shared" ca="1" si="135"/>
        <v/>
      </c>
      <c r="Z3748" s="9" t="s">
        <v>8741</v>
      </c>
      <c r="AA3748" s="9" t="s">
        <v>3884</v>
      </c>
    </row>
    <row r="3749" spans="1:27">
      <c r="A3749" s="3" t="s">
        <v>1847</v>
      </c>
      <c r="D3749" s="3" t="s">
        <v>7016</v>
      </c>
      <c r="E3749" s="3" t="s">
        <v>7016</v>
      </c>
      <c r="F3749" t="s">
        <v>3932</v>
      </c>
      <c r="I3749" t="s">
        <v>8371</v>
      </c>
      <c r="T3749" s="9" t="str">
        <f t="shared" ca="1" si="134"/>
        <v/>
      </c>
      <c r="U3749" s="9" t="str">
        <f t="shared" ca="1" si="135"/>
        <v/>
      </c>
    </row>
    <row r="3750" spans="1:27">
      <c r="A3750" s="3" t="s">
        <v>1847</v>
      </c>
      <c r="D3750" s="3" t="s">
        <v>8372</v>
      </c>
      <c r="E3750" s="3" t="s">
        <v>8372</v>
      </c>
      <c r="F3750" t="s">
        <v>3932</v>
      </c>
      <c r="I3750" t="s">
        <v>8113</v>
      </c>
      <c r="T3750" s="9" t="str">
        <f t="shared" ca="1" si="134"/>
        <v/>
      </c>
      <c r="U3750" s="9" t="str">
        <f t="shared" ca="1" si="135"/>
        <v/>
      </c>
    </row>
    <row r="3751" spans="1:27">
      <c r="A3751" s="3" t="s">
        <v>1847</v>
      </c>
      <c r="D3751" s="3" t="s">
        <v>8373</v>
      </c>
      <c r="E3751" s="3" t="s">
        <v>6958</v>
      </c>
      <c r="F3751" t="s">
        <v>3893</v>
      </c>
      <c r="H3751" t="s">
        <v>3884</v>
      </c>
      <c r="T3751" s="9" t="str">
        <f t="shared" ca="1" si="134"/>
        <v/>
      </c>
      <c r="U3751" s="9" t="str">
        <f t="shared" ca="1" si="135"/>
        <v/>
      </c>
    </row>
    <row r="3752" spans="1:27" ht="29">
      <c r="A3752" s="3" t="s">
        <v>1847</v>
      </c>
      <c r="D3752" s="3" t="s">
        <v>7644</v>
      </c>
      <c r="E3752" s="3" t="s">
        <v>6948</v>
      </c>
      <c r="F3752" t="s">
        <v>3932</v>
      </c>
      <c r="I3752" t="s">
        <v>8374</v>
      </c>
      <c r="T3752" s="9" t="str">
        <f t="shared" ca="1" si="134"/>
        <v/>
      </c>
      <c r="U3752" s="9" t="str">
        <f t="shared" ca="1" si="135"/>
        <v/>
      </c>
    </row>
    <row r="3753" spans="1:27">
      <c r="A3753" s="3" t="s">
        <v>1848</v>
      </c>
      <c r="D3753" s="3" t="s">
        <v>3527</v>
      </c>
      <c r="E3753" s="3" t="s">
        <v>3529</v>
      </c>
      <c r="J3753" s="9" t="s">
        <v>8729</v>
      </c>
      <c r="S3753" s="9" t="s">
        <v>8739</v>
      </c>
      <c r="T3753" s="9" t="str">
        <f t="shared" ca="1" si="134"/>
        <v/>
      </c>
      <c r="U3753" s="9" t="str">
        <f t="shared" ca="1" si="135"/>
        <v/>
      </c>
      <c r="Y3753" s="9" t="s">
        <v>8735</v>
      </c>
      <c r="Z3753" s="9" t="s">
        <v>8741</v>
      </c>
      <c r="AA3753" s="9" t="s">
        <v>3884</v>
      </c>
    </row>
    <row r="3754" spans="1:27">
      <c r="A3754" s="3" t="s">
        <v>1849</v>
      </c>
      <c r="D3754" s="4" t="s">
        <v>8375</v>
      </c>
      <c r="E3754" s="3" t="s">
        <v>8376</v>
      </c>
      <c r="F3754" t="s">
        <v>3883</v>
      </c>
      <c r="T3754" s="9" t="str">
        <f t="shared" ca="1" si="134"/>
        <v/>
      </c>
      <c r="U3754" s="9" t="str">
        <f t="shared" ca="1" si="135"/>
        <v/>
      </c>
    </row>
    <row r="3755" spans="1:27">
      <c r="A3755" s="3" t="s">
        <v>1849</v>
      </c>
      <c r="D3755" s="3" t="s">
        <v>8377</v>
      </c>
      <c r="E3755" s="3" t="s">
        <v>8378</v>
      </c>
      <c r="F3755" t="s">
        <v>3932</v>
      </c>
      <c r="I3755" t="s">
        <v>8379</v>
      </c>
      <c r="T3755" s="9" t="str">
        <f t="shared" ca="1" si="134"/>
        <v/>
      </c>
      <c r="U3755" s="9" t="str">
        <f t="shared" ca="1" si="135"/>
        <v/>
      </c>
    </row>
    <row r="3756" spans="1:27" ht="29">
      <c r="A3756" s="3" t="s">
        <v>1849</v>
      </c>
      <c r="D3756" s="3" t="s">
        <v>8382</v>
      </c>
      <c r="E3756" s="3" t="s">
        <v>8383</v>
      </c>
      <c r="F3756" t="s">
        <v>3893</v>
      </c>
      <c r="T3756" s="9" t="str">
        <f t="shared" ca="1" si="134"/>
        <v/>
      </c>
      <c r="U3756" s="9" t="str">
        <f t="shared" ca="1" si="135"/>
        <v/>
      </c>
    </row>
    <row r="3757" spans="1:27" ht="29">
      <c r="A3757" s="3" t="s">
        <v>1849</v>
      </c>
      <c r="D3757" s="3" t="s">
        <v>8380</v>
      </c>
      <c r="E3757" s="3" t="s">
        <v>8381</v>
      </c>
      <c r="F3757" t="s">
        <v>3932</v>
      </c>
      <c r="I3757" t="s">
        <v>8384</v>
      </c>
      <c r="T3757" s="9" t="str">
        <f t="shared" ca="1" si="134"/>
        <v/>
      </c>
      <c r="U3757" s="9" t="str">
        <f t="shared" ca="1" si="135"/>
        <v/>
      </c>
    </row>
    <row r="3758" spans="1:27">
      <c r="A3758" s="3" t="s">
        <v>1850</v>
      </c>
      <c r="D3758" s="3" t="s">
        <v>2212</v>
      </c>
      <c r="E3758" s="3" t="s">
        <v>8385</v>
      </c>
      <c r="F3758" t="s">
        <v>3893</v>
      </c>
      <c r="T3758" s="9" t="str">
        <f t="shared" ca="1" si="134"/>
        <v/>
      </c>
      <c r="U3758" s="9" t="str">
        <f t="shared" ca="1" si="135"/>
        <v/>
      </c>
    </row>
    <row r="3759" spans="1:27">
      <c r="A3759" s="3" t="s">
        <v>1850</v>
      </c>
      <c r="D3759" s="3" t="s">
        <v>8386</v>
      </c>
      <c r="E3759" s="3" t="s">
        <v>8386</v>
      </c>
      <c r="F3759" t="s">
        <v>3932</v>
      </c>
      <c r="I3759" t="s">
        <v>8387</v>
      </c>
      <c r="T3759" s="9" t="str">
        <f t="shared" ca="1" si="134"/>
        <v/>
      </c>
      <c r="U3759" s="9" t="str">
        <f t="shared" ca="1" si="135"/>
        <v/>
      </c>
    </row>
    <row r="3760" spans="1:27">
      <c r="A3760" s="3" t="s">
        <v>1850</v>
      </c>
      <c r="D3760" s="3" t="s">
        <v>8388</v>
      </c>
      <c r="E3760" s="3" t="s">
        <v>8388</v>
      </c>
      <c r="F3760" t="s">
        <v>3932</v>
      </c>
      <c r="I3760" t="s">
        <v>8389</v>
      </c>
      <c r="T3760" s="9" t="str">
        <f t="shared" ca="1" si="134"/>
        <v/>
      </c>
      <c r="U3760" s="9" t="str">
        <f t="shared" ca="1" si="135"/>
        <v/>
      </c>
    </row>
    <row r="3761" spans="1:28">
      <c r="A3761" s="3" t="s">
        <v>1850</v>
      </c>
      <c r="D3761" s="3" t="s">
        <v>8390</v>
      </c>
      <c r="E3761" s="3" t="s">
        <v>8391</v>
      </c>
      <c r="F3761" t="s">
        <v>3893</v>
      </c>
      <c r="T3761" s="9" t="str">
        <f t="shared" ca="1" si="134"/>
        <v/>
      </c>
      <c r="U3761" s="9" t="str">
        <f t="shared" ca="1" si="135"/>
        <v/>
      </c>
    </row>
    <row r="3762" spans="1:28" ht="29">
      <c r="A3762" s="3" t="s">
        <v>1850</v>
      </c>
      <c r="D3762" s="3" t="s">
        <v>8392</v>
      </c>
      <c r="E3762" s="3" t="s">
        <v>8392</v>
      </c>
      <c r="F3762" t="s">
        <v>3932</v>
      </c>
      <c r="I3762" t="s">
        <v>8393</v>
      </c>
      <c r="T3762" s="9" t="str">
        <f t="shared" ca="1" si="134"/>
        <v/>
      </c>
      <c r="U3762" s="9" t="str">
        <f t="shared" ca="1" si="135"/>
        <v/>
      </c>
    </row>
    <row r="3763" spans="1:28">
      <c r="A3763" s="3" t="s">
        <v>1850</v>
      </c>
      <c r="D3763" s="3" t="s">
        <v>8394</v>
      </c>
      <c r="E3763" s="3" t="s">
        <v>8395</v>
      </c>
      <c r="J3763" s="9" t="s">
        <v>8729</v>
      </c>
      <c r="S3763" s="9">
        <f>0-1</f>
        <v>-1</v>
      </c>
      <c r="T3763" s="9">
        <f t="shared" ca="1" si="134"/>
        <v>1</v>
      </c>
      <c r="U3763" s="9">
        <f t="shared" ca="1" si="135"/>
        <v>0</v>
      </c>
    </row>
    <row r="3764" spans="1:28">
      <c r="A3764" s="3" t="s">
        <v>1850</v>
      </c>
      <c r="D3764" s="3" t="s">
        <v>8396</v>
      </c>
      <c r="E3764" s="3" t="s">
        <v>8397</v>
      </c>
      <c r="H3764" t="s">
        <v>3884</v>
      </c>
      <c r="J3764" s="9" t="s">
        <v>8731</v>
      </c>
      <c r="T3764" s="9" t="str">
        <f t="shared" ca="1" si="134"/>
        <v/>
      </c>
      <c r="U3764" s="9" t="str">
        <f t="shared" ca="1" si="135"/>
        <v/>
      </c>
      <c r="AB3764" s="9" t="s">
        <v>8694</v>
      </c>
    </row>
    <row r="3765" spans="1:28">
      <c r="A3765" s="3" t="s">
        <v>1850</v>
      </c>
      <c r="D3765" s="3" t="s">
        <v>3823</v>
      </c>
      <c r="E3765" s="3" t="s">
        <v>3824</v>
      </c>
      <c r="J3765" s="9" t="s">
        <v>8729</v>
      </c>
      <c r="S3765" s="9">
        <f>14-0</f>
        <v>14</v>
      </c>
      <c r="T3765" s="9">
        <f t="shared" ca="1" si="134"/>
        <v>0</v>
      </c>
      <c r="U3765" s="9">
        <f t="shared" ca="1" si="135"/>
        <v>14</v>
      </c>
      <c r="Z3765" s="9" t="s">
        <v>8742</v>
      </c>
      <c r="AA3765" s="9" t="s">
        <v>3884</v>
      </c>
    </row>
    <row r="3766" spans="1:28">
      <c r="A3766" s="3" t="s">
        <v>1850</v>
      </c>
      <c r="D3766" s="3" t="s">
        <v>8398</v>
      </c>
      <c r="E3766" s="3" t="s">
        <v>8398</v>
      </c>
      <c r="F3766" t="s">
        <v>3932</v>
      </c>
      <c r="I3766" t="s">
        <v>8399</v>
      </c>
      <c r="T3766" s="9" t="str">
        <f t="shared" ca="1" si="134"/>
        <v/>
      </c>
      <c r="U3766" s="9" t="str">
        <f t="shared" ca="1" si="135"/>
        <v/>
      </c>
    </row>
    <row r="3767" spans="1:28">
      <c r="A3767" s="3" t="s">
        <v>1851</v>
      </c>
      <c r="D3767" s="3" t="s">
        <v>8400</v>
      </c>
      <c r="E3767" s="3" t="s">
        <v>8401</v>
      </c>
      <c r="H3767" t="s">
        <v>3884</v>
      </c>
      <c r="J3767" s="9" t="s">
        <v>8731</v>
      </c>
      <c r="T3767" s="9" t="str">
        <f t="shared" ca="1" si="134"/>
        <v/>
      </c>
      <c r="U3767" s="9" t="str">
        <f t="shared" ca="1" si="135"/>
        <v/>
      </c>
      <c r="AB3767" s="9" t="s">
        <v>8694</v>
      </c>
    </row>
    <row r="3768" spans="1:28">
      <c r="A3768" s="3" t="s">
        <v>1851</v>
      </c>
      <c r="D3768" s="3" t="s">
        <v>3825</v>
      </c>
      <c r="E3768" s="3" t="s">
        <v>3825</v>
      </c>
      <c r="F3768" t="s">
        <v>3932</v>
      </c>
      <c r="I3768" t="s">
        <v>2513</v>
      </c>
      <c r="T3768" s="9" t="str">
        <f t="shared" ca="1" si="134"/>
        <v/>
      </c>
      <c r="U3768" s="9" t="str">
        <f t="shared" ca="1" si="135"/>
        <v/>
      </c>
    </row>
    <row r="3769" spans="1:28">
      <c r="A3769" s="3" t="s">
        <v>1851</v>
      </c>
      <c r="D3769" s="3" t="s">
        <v>8402</v>
      </c>
      <c r="E3769" s="3" t="s">
        <v>8403</v>
      </c>
      <c r="H3769" t="s">
        <v>3892</v>
      </c>
      <c r="I3769" t="s">
        <v>9715</v>
      </c>
      <c r="J3769" s="9" t="s">
        <v>8729</v>
      </c>
      <c r="S3769" s="9" t="s">
        <v>8739</v>
      </c>
      <c r="T3769" s="9" t="str">
        <f t="shared" ca="1" si="134"/>
        <v/>
      </c>
      <c r="U3769" s="9" t="str">
        <f t="shared" ca="1" si="135"/>
        <v/>
      </c>
      <c r="AB3769" s="9" t="s">
        <v>8688</v>
      </c>
    </row>
    <row r="3770" spans="1:28">
      <c r="A3770" s="3" t="s">
        <v>1852</v>
      </c>
      <c r="D3770" s="3" t="s">
        <v>3826</v>
      </c>
      <c r="E3770" s="3" t="s">
        <v>3826</v>
      </c>
      <c r="F3770" t="s">
        <v>3932</v>
      </c>
      <c r="I3770" t="s">
        <v>2117</v>
      </c>
      <c r="T3770" s="9" t="str">
        <f t="shared" ca="1" si="134"/>
        <v/>
      </c>
      <c r="U3770" s="9" t="str">
        <f t="shared" ca="1" si="135"/>
        <v/>
      </c>
    </row>
    <row r="3771" spans="1:28" ht="58">
      <c r="A3771" s="3" t="s">
        <v>1853</v>
      </c>
      <c r="D3771" s="3" t="s">
        <v>8404</v>
      </c>
      <c r="E3771" s="3" t="s">
        <v>8405</v>
      </c>
      <c r="H3771" t="s">
        <v>3884</v>
      </c>
      <c r="I3771" t="s">
        <v>9178</v>
      </c>
      <c r="J3771" s="9" t="s">
        <v>3889</v>
      </c>
      <c r="K3771" s="9">
        <v>7</v>
      </c>
      <c r="L3771" s="9">
        <v>24</v>
      </c>
      <c r="N3771" s="9" t="s">
        <v>8684</v>
      </c>
      <c r="O3771" s="9" t="s">
        <v>8740</v>
      </c>
      <c r="P3771" s="10" t="s">
        <v>9177</v>
      </c>
      <c r="R3771" s="9">
        <v>37</v>
      </c>
      <c r="T3771" s="9" t="str">
        <f t="shared" ca="1" si="134"/>
        <v/>
      </c>
      <c r="U3771" s="9" t="str">
        <f t="shared" ca="1" si="135"/>
        <v/>
      </c>
    </row>
    <row r="3772" spans="1:28" ht="29">
      <c r="A3772" s="3" t="s">
        <v>1853</v>
      </c>
      <c r="D3772" s="3" t="s">
        <v>8406</v>
      </c>
      <c r="E3772" s="3" t="s">
        <v>8406</v>
      </c>
      <c r="F3772" t="s">
        <v>3932</v>
      </c>
      <c r="I3772" t="s">
        <v>8407</v>
      </c>
      <c r="T3772" s="9" t="str">
        <f t="shared" ca="1" si="134"/>
        <v/>
      </c>
      <c r="U3772" s="9" t="str">
        <f t="shared" ca="1" si="135"/>
        <v/>
      </c>
    </row>
    <row r="3773" spans="1:28">
      <c r="A3773" s="3" t="s">
        <v>1854</v>
      </c>
      <c r="D3773" s="3" t="s">
        <v>8408</v>
      </c>
      <c r="E3773" s="3" t="s">
        <v>8409</v>
      </c>
      <c r="J3773" s="9" t="s">
        <v>3889</v>
      </c>
      <c r="K3773" s="9">
        <v>1</v>
      </c>
      <c r="L3773" s="9">
        <v>3</v>
      </c>
      <c r="M3773" s="9" t="s">
        <v>8689</v>
      </c>
      <c r="N3773" s="9" t="s">
        <v>8690</v>
      </c>
      <c r="R3773" s="9">
        <v>10929</v>
      </c>
      <c r="T3773" s="9" t="str">
        <f t="shared" ca="1" si="134"/>
        <v/>
      </c>
      <c r="U3773" s="9" t="str">
        <f t="shared" ca="1" si="135"/>
        <v/>
      </c>
    </row>
    <row r="3774" spans="1:28">
      <c r="A3774" s="3" t="s">
        <v>1854</v>
      </c>
      <c r="D3774" s="3" t="s">
        <v>2064</v>
      </c>
      <c r="E3774" s="3" t="s">
        <v>2064</v>
      </c>
      <c r="F3774" t="s">
        <v>3932</v>
      </c>
      <c r="I3774" t="s">
        <v>2053</v>
      </c>
      <c r="T3774" s="9" t="str">
        <f t="shared" ca="1" si="134"/>
        <v/>
      </c>
      <c r="U3774" s="9" t="str">
        <f t="shared" ca="1" si="135"/>
        <v/>
      </c>
    </row>
    <row r="3775" spans="1:28">
      <c r="A3775" s="3" t="s">
        <v>1854</v>
      </c>
      <c r="D3775" s="3" t="s">
        <v>8410</v>
      </c>
      <c r="E3775" s="4" t="s">
        <v>8411</v>
      </c>
      <c r="F3775" t="s">
        <v>3897</v>
      </c>
      <c r="T3775" s="9" t="str">
        <f t="shared" ca="1" si="134"/>
        <v/>
      </c>
      <c r="U3775" s="9" t="str">
        <f t="shared" ca="1" si="135"/>
        <v/>
      </c>
    </row>
    <row r="3776" spans="1:28" ht="29">
      <c r="A3776" s="3" t="s">
        <v>1855</v>
      </c>
      <c r="D3776" s="3" t="s">
        <v>8412</v>
      </c>
      <c r="E3776" s="3" t="s">
        <v>8413</v>
      </c>
      <c r="F3776" t="s">
        <v>4397</v>
      </c>
      <c r="H3776" t="s">
        <v>3884</v>
      </c>
      <c r="J3776" s="9" t="s">
        <v>3885</v>
      </c>
      <c r="K3776" s="9">
        <v>1</v>
      </c>
      <c r="L3776" s="9">
        <v>3</v>
      </c>
      <c r="M3776" s="9" t="s">
        <v>8734</v>
      </c>
      <c r="N3776" s="9" t="s">
        <v>8690</v>
      </c>
      <c r="R3776" s="9" t="s">
        <v>8730</v>
      </c>
      <c r="T3776" s="9" t="str">
        <f t="shared" ca="1" si="134"/>
        <v/>
      </c>
      <c r="U3776" s="9" t="str">
        <f t="shared" ca="1" si="135"/>
        <v/>
      </c>
      <c r="AB3776" s="9" t="s">
        <v>8688</v>
      </c>
    </row>
    <row r="3777" spans="1:28">
      <c r="A3777" s="3" t="s">
        <v>1855</v>
      </c>
      <c r="D3777" s="3" t="s">
        <v>3827</v>
      </c>
      <c r="E3777" s="3" t="s">
        <v>3228</v>
      </c>
      <c r="J3777" s="9" t="s">
        <v>8729</v>
      </c>
      <c r="S3777" s="9" t="s">
        <v>8730</v>
      </c>
      <c r="T3777" s="9" t="str">
        <f t="shared" ca="1" si="134"/>
        <v/>
      </c>
      <c r="U3777" s="9" t="str">
        <f t="shared" ca="1" si="135"/>
        <v/>
      </c>
      <c r="Y3777" s="9" t="s">
        <v>8735</v>
      </c>
      <c r="AA3777" s="9" t="s">
        <v>3884</v>
      </c>
    </row>
    <row r="3778" spans="1:28">
      <c r="A3778" s="3" t="s">
        <v>1855</v>
      </c>
      <c r="D3778" s="3" t="s">
        <v>2257</v>
      </c>
      <c r="E3778" s="3" t="s">
        <v>2257</v>
      </c>
      <c r="F3778" t="s">
        <v>3932</v>
      </c>
      <c r="I3778" t="s">
        <v>2194</v>
      </c>
      <c r="T3778" s="9" t="str">
        <f t="shared" ca="1" si="134"/>
        <v/>
      </c>
      <c r="U3778" s="9" t="str">
        <f t="shared" ca="1" si="135"/>
        <v/>
      </c>
    </row>
    <row r="3779" spans="1:28" ht="29">
      <c r="A3779" s="3" t="s">
        <v>1855</v>
      </c>
      <c r="D3779" s="3" t="s">
        <v>8414</v>
      </c>
      <c r="E3779" s="3" t="s">
        <v>8415</v>
      </c>
      <c r="H3779" t="s">
        <v>3884</v>
      </c>
      <c r="J3779" s="9" t="s">
        <v>8729</v>
      </c>
      <c r="S3779" s="9">
        <f>10929-9418</f>
        <v>1511</v>
      </c>
      <c r="T3779" s="9">
        <f t="shared" ca="1" si="134"/>
        <v>9418</v>
      </c>
      <c r="U3779" s="9">
        <f t="shared" ca="1" si="135"/>
        <v>10929</v>
      </c>
      <c r="AB3779" s="9" t="s">
        <v>8694</v>
      </c>
    </row>
    <row r="3780" spans="1:28">
      <c r="A3780" s="3" t="s">
        <v>1855</v>
      </c>
      <c r="D3780" s="3" t="s">
        <v>3828</v>
      </c>
      <c r="E3780" s="3" t="s">
        <v>3828</v>
      </c>
      <c r="F3780" t="s">
        <v>3932</v>
      </c>
      <c r="I3780" t="s">
        <v>2329</v>
      </c>
      <c r="T3780" s="9" t="str">
        <f t="shared" ref="T3780:T3843" ca="1" si="136">IF(ISNUMBER(S3780),VALUE(MID(_xlfn.FORMULATEXT(S3780),SEARCH("-",_xlfn.FORMULATEXT(S3780))+1,LEN(_xlfn.FORMULATEXT(S3780))-SEARCH("-",_xlfn.FORMULATEXT(S3780)))), "")</f>
        <v/>
      </c>
      <c r="U3780" s="9" t="str">
        <f t="shared" ref="U3780:U3843" ca="1" si="137">IF(ISNUMBER(S3780), VALUE(MID(_xlfn.FORMULATEXT(S3780), 2, SEARCH("-", _xlfn.FORMULATEXT(S3780)) - 2)), "")</f>
        <v/>
      </c>
    </row>
    <row r="3781" spans="1:28">
      <c r="A3781" s="3" t="s">
        <v>1856</v>
      </c>
      <c r="D3781" s="3" t="s">
        <v>8416</v>
      </c>
      <c r="E3781" s="3" t="s">
        <v>8417</v>
      </c>
      <c r="F3781" t="s">
        <v>3893</v>
      </c>
      <c r="H3781" t="s">
        <v>3892</v>
      </c>
      <c r="I3781" t="s">
        <v>8418</v>
      </c>
      <c r="T3781" s="9" t="str">
        <f t="shared" ca="1" si="136"/>
        <v/>
      </c>
      <c r="U3781" s="9" t="str">
        <f t="shared" ca="1" si="137"/>
        <v/>
      </c>
    </row>
    <row r="3782" spans="1:28">
      <c r="A3782" s="3" t="s">
        <v>1856</v>
      </c>
      <c r="D3782" s="3" t="s">
        <v>8419</v>
      </c>
      <c r="E3782" s="3" t="s">
        <v>8420</v>
      </c>
      <c r="H3782" t="s">
        <v>3892</v>
      </c>
      <c r="I3782" t="s">
        <v>8421</v>
      </c>
      <c r="J3782" s="9" t="s">
        <v>8731</v>
      </c>
      <c r="T3782" s="9" t="str">
        <f t="shared" ca="1" si="136"/>
        <v/>
      </c>
      <c r="U3782" s="9" t="str">
        <f t="shared" ca="1" si="137"/>
        <v/>
      </c>
    </row>
    <row r="3783" spans="1:28">
      <c r="A3783" s="3" t="s">
        <v>1857</v>
      </c>
      <c r="D3783" s="3" t="s">
        <v>8422</v>
      </c>
      <c r="E3783" s="3" t="s">
        <v>8423</v>
      </c>
      <c r="H3783" t="s">
        <v>3884</v>
      </c>
      <c r="J3783" s="9" t="s">
        <v>3889</v>
      </c>
      <c r="K3783" s="9">
        <v>1</v>
      </c>
      <c r="L3783" s="9">
        <v>2</v>
      </c>
      <c r="M3783" s="9" t="s">
        <v>8707</v>
      </c>
      <c r="N3783" s="9" t="s">
        <v>8730</v>
      </c>
      <c r="R3783" s="9">
        <v>872</v>
      </c>
      <c r="T3783" s="9" t="str">
        <f t="shared" ca="1" si="136"/>
        <v/>
      </c>
      <c r="U3783" s="9" t="str">
        <f t="shared" ca="1" si="137"/>
        <v/>
      </c>
      <c r="AB3783" s="9" t="s">
        <v>8694</v>
      </c>
    </row>
    <row r="3784" spans="1:28">
      <c r="A3784" s="3" t="s">
        <v>1857</v>
      </c>
      <c r="D3784" s="3" t="s">
        <v>8424</v>
      </c>
      <c r="E3784" s="3" t="s">
        <v>8425</v>
      </c>
      <c r="J3784" s="9" t="s">
        <v>8729</v>
      </c>
      <c r="S3784" s="9" t="s">
        <v>8739</v>
      </c>
      <c r="T3784" s="9" t="str">
        <f t="shared" ca="1" si="136"/>
        <v/>
      </c>
      <c r="U3784" s="9" t="str">
        <f t="shared" ca="1" si="137"/>
        <v/>
      </c>
      <c r="AB3784" s="9" t="s">
        <v>8697</v>
      </c>
    </row>
    <row r="3785" spans="1:28">
      <c r="A3785" s="3" t="s">
        <v>1857</v>
      </c>
      <c r="D3785" s="3" t="s">
        <v>2945</v>
      </c>
      <c r="E3785" s="3" t="s">
        <v>2945</v>
      </c>
      <c r="F3785" t="s">
        <v>3932</v>
      </c>
      <c r="I3785" t="s">
        <v>8426</v>
      </c>
      <c r="T3785" s="9" t="str">
        <f t="shared" ca="1" si="136"/>
        <v/>
      </c>
      <c r="U3785" s="9" t="str">
        <f t="shared" ca="1" si="137"/>
        <v/>
      </c>
    </row>
    <row r="3786" spans="1:28">
      <c r="A3786" s="3" t="s">
        <v>1857</v>
      </c>
      <c r="D3786" s="3" t="s">
        <v>1995</v>
      </c>
      <c r="E3786" s="3" t="s">
        <v>1995</v>
      </c>
      <c r="F3786" t="s">
        <v>3932</v>
      </c>
      <c r="I3786" t="s">
        <v>2175</v>
      </c>
      <c r="T3786" s="9" t="str">
        <f t="shared" ca="1" si="136"/>
        <v/>
      </c>
      <c r="U3786" s="9" t="str">
        <f t="shared" ca="1" si="137"/>
        <v/>
      </c>
    </row>
    <row r="3787" spans="1:28">
      <c r="A3787" s="3" t="s">
        <v>1858</v>
      </c>
      <c r="D3787" s="3" t="s">
        <v>3829</v>
      </c>
      <c r="E3787" s="3" t="s">
        <v>3830</v>
      </c>
      <c r="J3787" s="9" t="s">
        <v>8729</v>
      </c>
      <c r="S3787" s="9" t="s">
        <v>8739</v>
      </c>
      <c r="T3787" s="9" t="str">
        <f t="shared" ca="1" si="136"/>
        <v/>
      </c>
      <c r="U3787" s="9" t="str">
        <f t="shared" ca="1" si="137"/>
        <v/>
      </c>
      <c r="Y3787" s="9" t="s">
        <v>8735</v>
      </c>
      <c r="AA3787" s="9" t="s">
        <v>3884</v>
      </c>
    </row>
    <row r="3788" spans="1:28">
      <c r="A3788" s="3" t="s">
        <v>1859</v>
      </c>
      <c r="D3788" s="3" t="s">
        <v>8427</v>
      </c>
      <c r="E3788" s="3" t="s">
        <v>8428</v>
      </c>
      <c r="J3788" s="9" t="s">
        <v>8731</v>
      </c>
      <c r="T3788" s="9" t="str">
        <f t="shared" ca="1" si="136"/>
        <v/>
      </c>
      <c r="U3788" s="9" t="str">
        <f t="shared" ca="1" si="137"/>
        <v/>
      </c>
      <c r="Z3788" s="9" t="s">
        <v>8741</v>
      </c>
      <c r="AA3788" s="9" t="s">
        <v>3884</v>
      </c>
    </row>
    <row r="3789" spans="1:28">
      <c r="A3789" s="3" t="s">
        <v>1859</v>
      </c>
      <c r="D3789" s="3" t="s">
        <v>8429</v>
      </c>
      <c r="E3789" s="3" t="s">
        <v>8429</v>
      </c>
      <c r="F3789" t="s">
        <v>3932</v>
      </c>
      <c r="I3789" t="s">
        <v>7772</v>
      </c>
      <c r="T3789" s="9" t="str">
        <f t="shared" ca="1" si="136"/>
        <v/>
      </c>
      <c r="U3789" s="9" t="str">
        <f t="shared" ca="1" si="137"/>
        <v/>
      </c>
    </row>
    <row r="3790" spans="1:28">
      <c r="A3790" s="3" t="s">
        <v>1860</v>
      </c>
      <c r="D3790" s="3" t="s">
        <v>8430</v>
      </c>
      <c r="E3790" s="3" t="s">
        <v>7168</v>
      </c>
      <c r="H3790" t="s">
        <v>3884</v>
      </c>
      <c r="J3790" s="9" t="s">
        <v>3889</v>
      </c>
      <c r="K3790" s="9">
        <v>1</v>
      </c>
      <c r="L3790" s="9">
        <v>4</v>
      </c>
      <c r="M3790" s="9" t="s">
        <v>8707</v>
      </c>
      <c r="N3790" s="9" t="s">
        <v>8690</v>
      </c>
      <c r="R3790" s="9">
        <v>886</v>
      </c>
      <c r="T3790" s="9" t="str">
        <f t="shared" ca="1" si="136"/>
        <v/>
      </c>
      <c r="U3790" s="9" t="str">
        <f t="shared" ca="1" si="137"/>
        <v/>
      </c>
      <c r="AB3790" s="9" t="s">
        <v>8694</v>
      </c>
    </row>
    <row r="3791" spans="1:28" ht="29">
      <c r="A3791" s="3" t="s">
        <v>1860</v>
      </c>
      <c r="D3791" s="3" t="s">
        <v>8431</v>
      </c>
      <c r="E3791" s="3" t="s">
        <v>8431</v>
      </c>
      <c r="F3791" t="s">
        <v>3932</v>
      </c>
      <c r="I3791" t="s">
        <v>8433</v>
      </c>
      <c r="T3791" s="9" t="str">
        <f t="shared" ca="1" si="136"/>
        <v/>
      </c>
      <c r="U3791" s="9" t="str">
        <f t="shared" ca="1" si="137"/>
        <v/>
      </c>
    </row>
    <row r="3792" spans="1:28" ht="29">
      <c r="A3792" s="3" t="s">
        <v>1860</v>
      </c>
      <c r="D3792" s="3" t="s">
        <v>8432</v>
      </c>
      <c r="E3792" s="3" t="s">
        <v>8432</v>
      </c>
      <c r="F3792" t="s">
        <v>3932</v>
      </c>
      <c r="I3792" t="s">
        <v>2044</v>
      </c>
      <c r="T3792" s="9" t="str">
        <f t="shared" ca="1" si="136"/>
        <v/>
      </c>
      <c r="U3792" s="9" t="str">
        <f t="shared" ca="1" si="137"/>
        <v/>
      </c>
    </row>
    <row r="3793" spans="1:28">
      <c r="A3793" s="3" t="s">
        <v>1861</v>
      </c>
      <c r="D3793" s="3" t="s">
        <v>2991</v>
      </c>
      <c r="E3793" s="3" t="s">
        <v>2991</v>
      </c>
      <c r="F3793" t="s">
        <v>3932</v>
      </c>
      <c r="I3793" t="s">
        <v>2357</v>
      </c>
      <c r="T3793" s="9" t="str">
        <f t="shared" ca="1" si="136"/>
        <v/>
      </c>
      <c r="U3793" s="9" t="str">
        <f t="shared" ca="1" si="137"/>
        <v/>
      </c>
    </row>
    <row r="3794" spans="1:28" ht="29">
      <c r="A3794" s="3" t="s">
        <v>1862</v>
      </c>
      <c r="D3794" s="3" t="s">
        <v>8434</v>
      </c>
      <c r="E3794" s="3" t="s">
        <v>8435</v>
      </c>
      <c r="H3794" t="s">
        <v>3884</v>
      </c>
      <c r="J3794" s="9" t="s">
        <v>3889</v>
      </c>
      <c r="K3794" s="9">
        <v>1</v>
      </c>
      <c r="L3794" s="9">
        <v>8</v>
      </c>
      <c r="M3794" s="9" t="s">
        <v>8703</v>
      </c>
      <c r="N3794" s="9" t="s">
        <v>8690</v>
      </c>
      <c r="R3794" s="9">
        <v>41</v>
      </c>
      <c r="T3794" s="9" t="str">
        <f t="shared" ca="1" si="136"/>
        <v/>
      </c>
      <c r="U3794" s="9" t="str">
        <f t="shared" ca="1" si="137"/>
        <v/>
      </c>
    </row>
    <row r="3795" spans="1:28">
      <c r="A3795" s="3" t="s">
        <v>1863</v>
      </c>
      <c r="D3795" s="3" t="s">
        <v>8436</v>
      </c>
      <c r="E3795" s="3" t="s">
        <v>8437</v>
      </c>
      <c r="J3795" s="9" t="s">
        <v>8729</v>
      </c>
      <c r="S3795" s="9" t="s">
        <v>8739</v>
      </c>
      <c r="T3795" s="9" t="str">
        <f t="shared" ca="1" si="136"/>
        <v/>
      </c>
      <c r="U3795" s="9" t="str">
        <f t="shared" ca="1" si="137"/>
        <v/>
      </c>
      <c r="Y3795" s="9" t="s">
        <v>8735</v>
      </c>
      <c r="AA3795" s="9" t="s">
        <v>3884</v>
      </c>
      <c r="AB3795" s="9" t="s">
        <v>8697</v>
      </c>
    </row>
    <row r="3796" spans="1:28">
      <c r="A3796" s="3" t="s">
        <v>1863</v>
      </c>
      <c r="D3796" s="3" t="s">
        <v>3831</v>
      </c>
      <c r="E3796" s="3" t="s">
        <v>3831</v>
      </c>
      <c r="F3796" t="s">
        <v>3932</v>
      </c>
      <c r="I3796" t="s">
        <v>8438</v>
      </c>
      <c r="T3796" s="9" t="str">
        <f t="shared" ca="1" si="136"/>
        <v/>
      </c>
      <c r="U3796" s="9" t="str">
        <f t="shared" ca="1" si="137"/>
        <v/>
      </c>
    </row>
    <row r="3797" spans="1:28">
      <c r="A3797" s="3" t="s">
        <v>1864</v>
      </c>
      <c r="D3797" s="3" t="s">
        <v>3832</v>
      </c>
      <c r="E3797" s="3" t="s">
        <v>3833</v>
      </c>
      <c r="J3797" s="9" t="s">
        <v>8729</v>
      </c>
      <c r="S3797" s="9" t="s">
        <v>8739</v>
      </c>
      <c r="T3797" s="9" t="str">
        <f t="shared" ca="1" si="136"/>
        <v/>
      </c>
      <c r="U3797" s="9" t="str">
        <f t="shared" ca="1" si="137"/>
        <v/>
      </c>
      <c r="Y3797" s="9" t="s">
        <v>8735</v>
      </c>
      <c r="Z3797" s="9" t="s">
        <v>9280</v>
      </c>
      <c r="AA3797" s="9" t="s">
        <v>3884</v>
      </c>
    </row>
    <row r="3798" spans="1:28">
      <c r="A3798" s="3" t="s">
        <v>1864</v>
      </c>
      <c r="D3798" s="3" t="s">
        <v>3834</v>
      </c>
      <c r="E3798" s="3" t="s">
        <v>3834</v>
      </c>
      <c r="F3798" t="s">
        <v>3932</v>
      </c>
      <c r="I3798" t="s">
        <v>8439</v>
      </c>
      <c r="T3798" s="9" t="str">
        <f t="shared" ca="1" si="136"/>
        <v/>
      </c>
      <c r="U3798" s="9" t="str">
        <f t="shared" ca="1" si="137"/>
        <v/>
      </c>
    </row>
    <row r="3799" spans="1:28">
      <c r="A3799" s="3" t="s">
        <v>1864</v>
      </c>
      <c r="D3799" s="3" t="s">
        <v>8440</v>
      </c>
      <c r="E3799" s="3" t="s">
        <v>8441</v>
      </c>
      <c r="F3799" t="s">
        <v>3893</v>
      </c>
      <c r="H3799" t="s">
        <v>3884</v>
      </c>
      <c r="T3799" s="9" t="str">
        <f t="shared" ca="1" si="136"/>
        <v/>
      </c>
      <c r="U3799" s="9" t="str">
        <f t="shared" ca="1" si="137"/>
        <v/>
      </c>
    </row>
    <row r="3800" spans="1:28">
      <c r="A3800" s="3" t="s">
        <v>1865</v>
      </c>
      <c r="D3800" s="3" t="s">
        <v>8442</v>
      </c>
      <c r="E3800" s="3" t="s">
        <v>8443</v>
      </c>
      <c r="H3800" t="s">
        <v>3884</v>
      </c>
      <c r="J3800" s="9" t="s">
        <v>3885</v>
      </c>
      <c r="K3800" s="9">
        <v>1</v>
      </c>
      <c r="L3800" s="9">
        <v>2</v>
      </c>
      <c r="M3800" s="9" t="s">
        <v>8689</v>
      </c>
      <c r="N3800" s="9" t="s">
        <v>8730</v>
      </c>
      <c r="R3800" s="9">
        <v>10929</v>
      </c>
      <c r="T3800" s="9" t="str">
        <f t="shared" ca="1" si="136"/>
        <v/>
      </c>
      <c r="U3800" s="9" t="str">
        <f t="shared" ca="1" si="137"/>
        <v/>
      </c>
      <c r="AB3800" s="9" t="s">
        <v>8694</v>
      </c>
    </row>
    <row r="3801" spans="1:28" ht="29">
      <c r="A3801" s="3" t="s">
        <v>1866</v>
      </c>
      <c r="D3801" s="3" t="s">
        <v>8445</v>
      </c>
      <c r="E3801" s="3" t="s">
        <v>8444</v>
      </c>
      <c r="F3801" t="s">
        <v>3893</v>
      </c>
      <c r="H3801" t="s">
        <v>3892</v>
      </c>
      <c r="I3801" t="s">
        <v>8446</v>
      </c>
      <c r="T3801" s="9" t="str">
        <f t="shared" ca="1" si="136"/>
        <v/>
      </c>
      <c r="U3801" s="9" t="str">
        <f t="shared" ca="1" si="137"/>
        <v/>
      </c>
    </row>
    <row r="3802" spans="1:28">
      <c r="A3802" s="3" t="s">
        <v>1866</v>
      </c>
      <c r="D3802" s="4" t="s">
        <v>8447</v>
      </c>
      <c r="E3802" s="3" t="s">
        <v>8448</v>
      </c>
      <c r="F3802" t="s">
        <v>3883</v>
      </c>
      <c r="T3802" s="9" t="str">
        <f t="shared" ca="1" si="136"/>
        <v/>
      </c>
      <c r="U3802" s="9" t="str">
        <f t="shared" ca="1" si="137"/>
        <v/>
      </c>
    </row>
    <row r="3803" spans="1:28">
      <c r="A3803" s="3" t="s">
        <v>1866</v>
      </c>
      <c r="D3803" s="3" t="s">
        <v>8449</v>
      </c>
      <c r="E3803" s="3" t="s">
        <v>8449</v>
      </c>
      <c r="F3803" t="s">
        <v>3932</v>
      </c>
      <c r="I3803" t="s">
        <v>8450</v>
      </c>
      <c r="T3803" s="9" t="str">
        <f t="shared" ca="1" si="136"/>
        <v/>
      </c>
      <c r="U3803" s="9" t="str">
        <f t="shared" ca="1" si="137"/>
        <v/>
      </c>
    </row>
    <row r="3804" spans="1:28">
      <c r="A3804" s="3" t="s">
        <v>1867</v>
      </c>
      <c r="D3804" s="3" t="s">
        <v>8451</v>
      </c>
      <c r="E3804" s="3" t="s">
        <v>8451</v>
      </c>
      <c r="F3804" t="s">
        <v>3932</v>
      </c>
      <c r="I3804" t="s">
        <v>8452</v>
      </c>
      <c r="T3804" s="9" t="str">
        <f t="shared" ca="1" si="136"/>
        <v/>
      </c>
      <c r="U3804" s="9" t="str">
        <f t="shared" ca="1" si="137"/>
        <v/>
      </c>
    </row>
    <row r="3805" spans="1:28">
      <c r="A3805" s="3" t="s">
        <v>1867</v>
      </c>
      <c r="D3805" s="3" t="s">
        <v>3664</v>
      </c>
      <c r="E3805" s="3" t="s">
        <v>3664</v>
      </c>
      <c r="F3805" t="s">
        <v>3932</v>
      </c>
      <c r="I3805" t="s">
        <v>8453</v>
      </c>
      <c r="T3805" s="9" t="str">
        <f t="shared" ca="1" si="136"/>
        <v/>
      </c>
      <c r="U3805" s="9" t="str">
        <f t="shared" ca="1" si="137"/>
        <v/>
      </c>
    </row>
    <row r="3806" spans="1:28">
      <c r="A3806" s="3" t="s">
        <v>1868</v>
      </c>
      <c r="D3806" s="4" t="s">
        <v>8310</v>
      </c>
      <c r="E3806" s="3" t="s">
        <v>8311</v>
      </c>
      <c r="F3806" t="s">
        <v>3883</v>
      </c>
      <c r="T3806" s="9" t="str">
        <f t="shared" ca="1" si="136"/>
        <v/>
      </c>
      <c r="U3806" s="9" t="str">
        <f t="shared" ca="1" si="137"/>
        <v/>
      </c>
    </row>
    <row r="3807" spans="1:28" ht="29">
      <c r="A3807" s="3" t="s">
        <v>1868</v>
      </c>
      <c r="D3807" s="3" t="s">
        <v>8454</v>
      </c>
      <c r="E3807" s="3" t="s">
        <v>8455</v>
      </c>
      <c r="H3807" t="s">
        <v>3884</v>
      </c>
      <c r="J3807" s="9" t="s">
        <v>8729</v>
      </c>
      <c r="S3807" s="9">
        <f>11-0</f>
        <v>11</v>
      </c>
      <c r="T3807" s="9">
        <f t="shared" ca="1" si="136"/>
        <v>0</v>
      </c>
      <c r="U3807" s="9">
        <f t="shared" ca="1" si="137"/>
        <v>11</v>
      </c>
      <c r="AB3807" s="9" t="s">
        <v>8694</v>
      </c>
    </row>
    <row r="3808" spans="1:28">
      <c r="A3808" s="3" t="s">
        <v>1869</v>
      </c>
      <c r="D3808" s="3" t="s">
        <v>8456</v>
      </c>
      <c r="E3808" s="3" t="s">
        <v>8457</v>
      </c>
      <c r="H3808" t="s">
        <v>3884</v>
      </c>
      <c r="J3808" s="9" t="s">
        <v>3885</v>
      </c>
      <c r="K3808" s="9">
        <v>1</v>
      </c>
      <c r="L3808" s="9">
        <v>2</v>
      </c>
      <c r="M3808" s="9" t="s">
        <v>8734</v>
      </c>
      <c r="N3808" s="9" t="s">
        <v>8730</v>
      </c>
      <c r="Q3808" s="9" t="s">
        <v>8685</v>
      </c>
      <c r="R3808" s="9">
        <v>36</v>
      </c>
      <c r="T3808" s="9" t="str">
        <f t="shared" ca="1" si="136"/>
        <v/>
      </c>
      <c r="U3808" s="9" t="str">
        <f t="shared" ca="1" si="137"/>
        <v/>
      </c>
    </row>
    <row r="3809" spans="1:28" ht="29">
      <c r="A3809" s="3" t="s">
        <v>1869</v>
      </c>
      <c r="D3809" s="3" t="s">
        <v>8458</v>
      </c>
      <c r="E3809" s="3" t="s">
        <v>8459</v>
      </c>
      <c r="H3809" t="s">
        <v>3892</v>
      </c>
      <c r="I3809" t="s">
        <v>8460</v>
      </c>
      <c r="J3809" s="9" t="s">
        <v>3885</v>
      </c>
      <c r="K3809" s="9">
        <v>1</v>
      </c>
      <c r="L3809" s="9">
        <v>5</v>
      </c>
      <c r="M3809" s="9" t="s">
        <v>8734</v>
      </c>
      <c r="N3809" s="9" t="s">
        <v>8684</v>
      </c>
      <c r="O3809" s="9" t="s">
        <v>8771</v>
      </c>
      <c r="P3809" s="10" t="s">
        <v>8778</v>
      </c>
      <c r="R3809" s="9" t="s">
        <v>8730</v>
      </c>
      <c r="T3809" s="9" t="str">
        <f t="shared" ca="1" si="136"/>
        <v/>
      </c>
      <c r="U3809" s="9" t="str">
        <f t="shared" ca="1" si="137"/>
        <v/>
      </c>
      <c r="AB3809" s="9" t="s">
        <v>8688</v>
      </c>
    </row>
    <row r="3810" spans="1:28" ht="29">
      <c r="A3810" s="3" t="s">
        <v>1869</v>
      </c>
      <c r="D3810" s="3" t="s">
        <v>8461</v>
      </c>
      <c r="E3810" s="3" t="s">
        <v>8462</v>
      </c>
      <c r="F3810" t="s">
        <v>3932</v>
      </c>
      <c r="I3810" t="s">
        <v>8463</v>
      </c>
      <c r="T3810" s="9" t="str">
        <f t="shared" ca="1" si="136"/>
        <v/>
      </c>
      <c r="U3810" s="9" t="str">
        <f t="shared" ca="1" si="137"/>
        <v/>
      </c>
    </row>
    <row r="3811" spans="1:28" ht="29">
      <c r="A3811" s="3" t="s">
        <v>1870</v>
      </c>
      <c r="D3811" s="3" t="s">
        <v>8465</v>
      </c>
      <c r="E3811" s="3" t="s">
        <v>8464</v>
      </c>
      <c r="J3811" s="9" t="s">
        <v>3889</v>
      </c>
      <c r="K3811" s="9">
        <v>1</v>
      </c>
      <c r="L3811" s="9">
        <v>2</v>
      </c>
      <c r="M3811" s="9" t="s">
        <v>8734</v>
      </c>
      <c r="N3811" s="9" t="s">
        <v>8730</v>
      </c>
      <c r="Q3811" s="9" t="s">
        <v>8685</v>
      </c>
      <c r="R3811" s="9">
        <v>698</v>
      </c>
      <c r="T3811" s="9" t="str">
        <f t="shared" ca="1" si="136"/>
        <v/>
      </c>
      <c r="U3811" s="9" t="str">
        <f t="shared" ca="1" si="137"/>
        <v/>
      </c>
    </row>
    <row r="3812" spans="1:28" ht="29">
      <c r="A3812" s="3" t="s">
        <v>1870</v>
      </c>
      <c r="D3812" s="3" t="s">
        <v>8466</v>
      </c>
      <c r="E3812" s="3" t="s">
        <v>8467</v>
      </c>
      <c r="F3812" t="s">
        <v>3932</v>
      </c>
      <c r="I3812" t="s">
        <v>7345</v>
      </c>
      <c r="T3812" s="9" t="str">
        <f t="shared" ca="1" si="136"/>
        <v/>
      </c>
      <c r="U3812" s="9" t="str">
        <f t="shared" ca="1" si="137"/>
        <v/>
      </c>
    </row>
    <row r="3813" spans="1:28">
      <c r="A3813" s="3" t="s">
        <v>1871</v>
      </c>
      <c r="D3813" s="3" t="s">
        <v>3836</v>
      </c>
      <c r="E3813" s="3" t="s">
        <v>3835</v>
      </c>
      <c r="J3813" s="9" t="s">
        <v>8731</v>
      </c>
      <c r="T3813" s="9" t="str">
        <f t="shared" ca="1" si="136"/>
        <v/>
      </c>
      <c r="U3813" s="9" t="str">
        <f t="shared" ca="1" si="137"/>
        <v/>
      </c>
      <c r="Z3813" s="9" t="s">
        <v>8757</v>
      </c>
      <c r="AA3813" s="9" t="s">
        <v>3884</v>
      </c>
      <c r="AB3813" s="9" t="s">
        <v>8697</v>
      </c>
    </row>
    <row r="3814" spans="1:28">
      <c r="A3814" s="3" t="s">
        <v>1872</v>
      </c>
      <c r="D3814" s="3" t="s">
        <v>8468</v>
      </c>
      <c r="E3814" s="3" t="s">
        <v>8469</v>
      </c>
      <c r="H3814" t="s">
        <v>3884</v>
      </c>
      <c r="J3814" s="9" t="s">
        <v>8731</v>
      </c>
      <c r="T3814" s="9" t="str">
        <f t="shared" ca="1" si="136"/>
        <v/>
      </c>
      <c r="U3814" s="9" t="str">
        <f t="shared" ca="1" si="137"/>
        <v/>
      </c>
      <c r="AB3814" s="9" t="s">
        <v>8694</v>
      </c>
    </row>
    <row r="3815" spans="1:28">
      <c r="A3815" s="3" t="s">
        <v>1872</v>
      </c>
      <c r="D3815" s="3" t="s">
        <v>8470</v>
      </c>
      <c r="E3815" s="4" t="s">
        <v>8471</v>
      </c>
      <c r="F3815" t="s">
        <v>3897</v>
      </c>
      <c r="H3815" t="s">
        <v>3884</v>
      </c>
      <c r="T3815" s="9" t="str">
        <f t="shared" ca="1" si="136"/>
        <v/>
      </c>
      <c r="U3815" s="9" t="str">
        <f t="shared" ca="1" si="137"/>
        <v/>
      </c>
    </row>
    <row r="3816" spans="1:28">
      <c r="A3816" s="3" t="s">
        <v>1872</v>
      </c>
      <c r="D3816" s="3" t="s">
        <v>8472</v>
      </c>
      <c r="E3816" s="3" t="s">
        <v>8473</v>
      </c>
      <c r="J3816" s="9" t="s">
        <v>8729</v>
      </c>
      <c r="S3816" s="9">
        <f>83-242</f>
        <v>-159</v>
      </c>
      <c r="T3816" s="9">
        <f t="shared" ca="1" si="136"/>
        <v>242</v>
      </c>
      <c r="U3816" s="9">
        <f t="shared" ca="1" si="137"/>
        <v>83</v>
      </c>
    </row>
    <row r="3817" spans="1:28">
      <c r="A3817" s="3" t="s">
        <v>1872</v>
      </c>
      <c r="D3817" s="3" t="s">
        <v>3838</v>
      </c>
      <c r="E3817" s="3" t="s">
        <v>3837</v>
      </c>
      <c r="F3817" t="s">
        <v>3881</v>
      </c>
      <c r="T3817" s="9" t="str">
        <f t="shared" ca="1" si="136"/>
        <v/>
      </c>
      <c r="U3817" s="9" t="str">
        <f t="shared" ca="1" si="137"/>
        <v/>
      </c>
    </row>
    <row r="3818" spans="1:28" ht="29">
      <c r="A3818" s="3" t="s">
        <v>1872</v>
      </c>
      <c r="D3818" s="3" t="s">
        <v>8474</v>
      </c>
      <c r="E3818" s="3" t="s">
        <v>8475</v>
      </c>
      <c r="J3818" s="9" t="s">
        <v>3885</v>
      </c>
      <c r="K3818" s="9">
        <v>1</v>
      </c>
      <c r="L3818" s="9">
        <v>2</v>
      </c>
      <c r="M3818" s="9" t="s">
        <v>8707</v>
      </c>
      <c r="N3818" s="9" t="s">
        <v>8730</v>
      </c>
      <c r="Q3818" s="9" t="s">
        <v>8685</v>
      </c>
      <c r="R3818" s="9">
        <v>1942</v>
      </c>
      <c r="T3818" s="9" t="str">
        <f t="shared" ca="1" si="136"/>
        <v/>
      </c>
      <c r="U3818" s="9" t="str">
        <f t="shared" ca="1" si="137"/>
        <v/>
      </c>
      <c r="AB3818" s="9" t="s">
        <v>8694</v>
      </c>
    </row>
    <row r="3819" spans="1:28" ht="29">
      <c r="A3819" s="3" t="s">
        <v>1872</v>
      </c>
      <c r="D3819" s="3" t="s">
        <v>8476</v>
      </c>
      <c r="E3819" s="3" t="s">
        <v>8477</v>
      </c>
      <c r="F3819" t="s">
        <v>4397</v>
      </c>
      <c r="H3819" t="s">
        <v>3888</v>
      </c>
      <c r="I3819" t="s">
        <v>9179</v>
      </c>
      <c r="J3819" s="9" t="s">
        <v>3894</v>
      </c>
      <c r="T3819" s="9" t="str">
        <f t="shared" ca="1" si="136"/>
        <v/>
      </c>
      <c r="U3819" s="9" t="str">
        <f t="shared" ca="1" si="137"/>
        <v/>
      </c>
    </row>
    <row r="3820" spans="1:28" ht="29">
      <c r="A3820" s="3" t="s">
        <v>1873</v>
      </c>
      <c r="D3820" s="3" t="s">
        <v>8478</v>
      </c>
      <c r="E3820" s="3" t="s">
        <v>8479</v>
      </c>
      <c r="H3820" t="s">
        <v>3884</v>
      </c>
      <c r="J3820" s="9" t="s">
        <v>3885</v>
      </c>
      <c r="K3820" s="9">
        <v>1</v>
      </c>
      <c r="L3820" s="9">
        <v>3</v>
      </c>
      <c r="M3820" s="9" t="s">
        <v>8698</v>
      </c>
      <c r="N3820" s="9" t="s">
        <v>8690</v>
      </c>
      <c r="Q3820" s="9" t="s">
        <v>8691</v>
      </c>
      <c r="R3820" s="9">
        <v>653</v>
      </c>
      <c r="T3820" s="9" t="str">
        <f t="shared" ca="1" si="136"/>
        <v/>
      </c>
      <c r="U3820" s="9" t="str">
        <f t="shared" ca="1" si="137"/>
        <v/>
      </c>
      <c r="AB3820" s="9" t="s">
        <v>8694</v>
      </c>
    </row>
    <row r="3821" spans="1:28" ht="29">
      <c r="A3821" s="3" t="s">
        <v>1873</v>
      </c>
      <c r="D3821" s="3" t="s">
        <v>8480</v>
      </c>
      <c r="E3821" s="3" t="s">
        <v>8481</v>
      </c>
      <c r="H3821" t="s">
        <v>3892</v>
      </c>
      <c r="I3821" t="s">
        <v>2099</v>
      </c>
      <c r="J3821" s="9" t="s">
        <v>8731</v>
      </c>
      <c r="T3821" s="9" t="str">
        <f t="shared" ca="1" si="136"/>
        <v/>
      </c>
      <c r="U3821" s="9" t="str">
        <f t="shared" ca="1" si="137"/>
        <v/>
      </c>
      <c r="Z3821" s="9" t="s">
        <v>8741</v>
      </c>
      <c r="AA3821" s="9" t="s">
        <v>3884</v>
      </c>
    </row>
    <row r="3822" spans="1:28" ht="29">
      <c r="A3822" s="3" t="s">
        <v>1873</v>
      </c>
      <c r="D3822" s="3" t="s">
        <v>8482</v>
      </c>
      <c r="E3822" s="3" t="s">
        <v>8483</v>
      </c>
      <c r="F3822" t="s">
        <v>3932</v>
      </c>
      <c r="I3822" t="s">
        <v>8484</v>
      </c>
      <c r="T3822" s="9" t="str">
        <f t="shared" ca="1" si="136"/>
        <v/>
      </c>
      <c r="U3822" s="9" t="str">
        <f t="shared" ca="1" si="137"/>
        <v/>
      </c>
    </row>
    <row r="3823" spans="1:28">
      <c r="A3823" s="3" t="s">
        <v>1874</v>
      </c>
      <c r="D3823" s="3" t="s">
        <v>3843</v>
      </c>
      <c r="E3823" s="3" t="s">
        <v>8485</v>
      </c>
      <c r="J3823" s="9" t="s">
        <v>8729</v>
      </c>
      <c r="S3823" s="9" t="s">
        <v>8739</v>
      </c>
      <c r="T3823" s="9" t="str">
        <f t="shared" ca="1" si="136"/>
        <v/>
      </c>
      <c r="U3823" s="9" t="str">
        <f t="shared" ca="1" si="137"/>
        <v/>
      </c>
      <c r="Z3823" s="9" t="s">
        <v>8757</v>
      </c>
      <c r="AA3823" s="9" t="s">
        <v>3884</v>
      </c>
    </row>
    <row r="3824" spans="1:28">
      <c r="A3824" s="3" t="s">
        <v>1874</v>
      </c>
      <c r="D3824" s="3" t="s">
        <v>8486</v>
      </c>
      <c r="E3824" s="4" t="s">
        <v>8487</v>
      </c>
      <c r="F3824" t="s">
        <v>3897</v>
      </c>
      <c r="T3824" s="9" t="str">
        <f t="shared" ca="1" si="136"/>
        <v/>
      </c>
      <c r="U3824" s="9" t="str">
        <f t="shared" ca="1" si="137"/>
        <v/>
      </c>
    </row>
    <row r="3825" spans="1:28">
      <c r="A3825" s="3" t="s">
        <v>1874</v>
      </c>
      <c r="D3825" s="3" t="s">
        <v>3845</v>
      </c>
      <c r="E3825" s="3" t="s">
        <v>8488</v>
      </c>
      <c r="F3825" t="s">
        <v>3932</v>
      </c>
      <c r="I3825" t="s">
        <v>8489</v>
      </c>
      <c r="T3825" s="9" t="str">
        <f t="shared" ca="1" si="136"/>
        <v/>
      </c>
      <c r="U3825" s="9" t="str">
        <f t="shared" ca="1" si="137"/>
        <v/>
      </c>
    </row>
    <row r="3826" spans="1:28">
      <c r="A3826" s="3" t="s">
        <v>1874</v>
      </c>
      <c r="D3826" s="3" t="s">
        <v>3840</v>
      </c>
      <c r="E3826" s="3" t="s">
        <v>3840</v>
      </c>
      <c r="F3826" t="s">
        <v>3932</v>
      </c>
      <c r="I3826" t="s">
        <v>8490</v>
      </c>
      <c r="T3826" s="9" t="str">
        <f t="shared" ca="1" si="136"/>
        <v/>
      </c>
      <c r="U3826" s="9" t="str">
        <f t="shared" ca="1" si="137"/>
        <v/>
      </c>
    </row>
    <row r="3827" spans="1:28">
      <c r="A3827" s="3" t="s">
        <v>1874</v>
      </c>
      <c r="D3827" s="3" t="s">
        <v>8491</v>
      </c>
      <c r="E3827" s="3" t="s">
        <v>8491</v>
      </c>
      <c r="F3827" t="s">
        <v>3932</v>
      </c>
      <c r="I3827" t="s">
        <v>8492</v>
      </c>
      <c r="T3827" s="9" t="str">
        <f t="shared" ca="1" si="136"/>
        <v/>
      </c>
      <c r="U3827" s="9" t="str">
        <f t="shared" ca="1" si="137"/>
        <v/>
      </c>
    </row>
    <row r="3828" spans="1:28">
      <c r="A3828" s="3" t="s">
        <v>1875</v>
      </c>
      <c r="D3828" s="3" t="s">
        <v>3846</v>
      </c>
      <c r="E3828" s="4" t="s">
        <v>3842</v>
      </c>
      <c r="F3828" t="s">
        <v>4197</v>
      </c>
      <c r="I3828" t="s">
        <v>8493</v>
      </c>
      <c r="J3828" s="9" t="s">
        <v>8729</v>
      </c>
      <c r="S3828" s="9" t="s">
        <v>8739</v>
      </c>
      <c r="T3828" s="9" t="str">
        <f t="shared" ca="1" si="136"/>
        <v/>
      </c>
      <c r="U3828" s="9" t="str">
        <f t="shared" ca="1" si="137"/>
        <v/>
      </c>
      <c r="AB3828" s="9" t="s">
        <v>8688</v>
      </c>
    </row>
    <row r="3829" spans="1:28">
      <c r="A3829" s="3" t="s">
        <v>1875</v>
      </c>
      <c r="D3829" s="3" t="s">
        <v>3847</v>
      </c>
      <c r="E3829" s="3" t="s">
        <v>3844</v>
      </c>
      <c r="J3829" s="9" t="s">
        <v>8729</v>
      </c>
      <c r="S3829" s="9" t="s">
        <v>8739</v>
      </c>
      <c r="T3829" s="9" t="str">
        <f t="shared" ca="1" si="136"/>
        <v/>
      </c>
      <c r="U3829" s="9" t="str">
        <f t="shared" ca="1" si="137"/>
        <v/>
      </c>
      <c r="Z3829" s="9" t="s">
        <v>8742</v>
      </c>
      <c r="AA3829" s="9" t="s">
        <v>3884</v>
      </c>
      <c r="AB3829" s="9" t="s">
        <v>8697</v>
      </c>
    </row>
    <row r="3830" spans="1:28" ht="29">
      <c r="A3830" s="3" t="s">
        <v>1875</v>
      </c>
      <c r="D3830" s="3" t="s">
        <v>8494</v>
      </c>
      <c r="E3830" s="3" t="s">
        <v>8495</v>
      </c>
      <c r="H3830" t="s">
        <v>3884</v>
      </c>
      <c r="J3830" s="9" t="s">
        <v>3885</v>
      </c>
      <c r="K3830" s="9">
        <v>1</v>
      </c>
      <c r="L3830" s="9">
        <v>2</v>
      </c>
      <c r="M3830" s="9" t="s">
        <v>8734</v>
      </c>
      <c r="N3830" s="9" t="s">
        <v>8730</v>
      </c>
      <c r="R3830" s="9" t="s">
        <v>8739</v>
      </c>
      <c r="T3830" s="9" t="str">
        <f t="shared" ca="1" si="136"/>
        <v/>
      </c>
      <c r="U3830" s="9" t="str">
        <f t="shared" ca="1" si="137"/>
        <v/>
      </c>
      <c r="AB3830" s="9" t="s">
        <v>8688</v>
      </c>
    </row>
    <row r="3831" spans="1:28" ht="29">
      <c r="A3831" s="3" t="s">
        <v>1875</v>
      </c>
      <c r="D3831" s="4" t="s">
        <v>8497</v>
      </c>
      <c r="E3831" s="3" t="s">
        <v>8498</v>
      </c>
      <c r="F3831" t="s">
        <v>3883</v>
      </c>
      <c r="T3831" s="9" t="str">
        <f t="shared" ca="1" si="136"/>
        <v/>
      </c>
      <c r="U3831" s="9" t="str">
        <f t="shared" ca="1" si="137"/>
        <v/>
      </c>
    </row>
    <row r="3832" spans="1:28" ht="29">
      <c r="A3832" s="3" t="s">
        <v>1875</v>
      </c>
      <c r="D3832" s="3" t="s">
        <v>8496</v>
      </c>
      <c r="E3832" s="3" t="s">
        <v>8499</v>
      </c>
      <c r="H3832" t="s">
        <v>3884</v>
      </c>
      <c r="J3832" s="9" t="s">
        <v>3885</v>
      </c>
      <c r="K3832" s="9">
        <v>1</v>
      </c>
      <c r="L3832" s="9">
        <v>2</v>
      </c>
      <c r="M3832" s="9" t="s">
        <v>8707</v>
      </c>
      <c r="N3832" s="9" t="s">
        <v>8730</v>
      </c>
      <c r="Q3832" s="9" t="s">
        <v>8685</v>
      </c>
      <c r="R3832" s="9">
        <v>1942</v>
      </c>
      <c r="T3832" s="9" t="str">
        <f t="shared" ca="1" si="136"/>
        <v/>
      </c>
      <c r="U3832" s="9" t="str">
        <f t="shared" ca="1" si="137"/>
        <v/>
      </c>
      <c r="AB3832" s="9" t="s">
        <v>8694</v>
      </c>
    </row>
    <row r="3833" spans="1:28" ht="29">
      <c r="A3833" s="3" t="s">
        <v>1875</v>
      </c>
      <c r="D3833" s="3" t="s">
        <v>8500</v>
      </c>
      <c r="E3833" s="3" t="s">
        <v>8501</v>
      </c>
      <c r="J3833" s="9" t="s">
        <v>3885</v>
      </c>
      <c r="K3833" s="9">
        <v>2</v>
      </c>
      <c r="L3833" s="9">
        <v>6</v>
      </c>
      <c r="N3833" s="9" t="s">
        <v>8684</v>
      </c>
      <c r="O3833" s="9" t="s">
        <v>8777</v>
      </c>
      <c r="P3833" s="10" t="s">
        <v>8982</v>
      </c>
      <c r="Q3833" s="9" t="s">
        <v>8685</v>
      </c>
      <c r="R3833" s="9">
        <v>872</v>
      </c>
      <c r="T3833" s="9" t="str">
        <f t="shared" ca="1" si="136"/>
        <v/>
      </c>
      <c r="U3833" s="9" t="str">
        <f t="shared" ca="1" si="137"/>
        <v/>
      </c>
      <c r="AB3833" s="9" t="s">
        <v>8694</v>
      </c>
    </row>
    <row r="3834" spans="1:28" ht="43.5">
      <c r="A3834" s="3" t="s">
        <v>1875</v>
      </c>
      <c r="D3834" s="3" t="s">
        <v>8503</v>
      </c>
      <c r="E3834" s="3" t="s">
        <v>8502</v>
      </c>
      <c r="H3834" t="s">
        <v>3884</v>
      </c>
      <c r="J3834" s="9" t="s">
        <v>3889</v>
      </c>
      <c r="K3834" s="9">
        <v>2</v>
      </c>
      <c r="L3834" s="9">
        <v>13</v>
      </c>
      <c r="N3834" s="9" t="s">
        <v>8690</v>
      </c>
      <c r="R3834" s="9">
        <v>25</v>
      </c>
      <c r="T3834" s="9" t="str">
        <f t="shared" ca="1" si="136"/>
        <v/>
      </c>
      <c r="U3834" s="9" t="str">
        <f t="shared" ca="1" si="137"/>
        <v/>
      </c>
    </row>
    <row r="3835" spans="1:28" ht="29">
      <c r="A3835" s="3" t="s">
        <v>1876</v>
      </c>
      <c r="D3835" s="3" t="s">
        <v>8504</v>
      </c>
      <c r="E3835" s="3" t="s">
        <v>8505</v>
      </c>
      <c r="F3835" t="s">
        <v>3932</v>
      </c>
      <c r="I3835" t="s">
        <v>8506</v>
      </c>
      <c r="T3835" s="9" t="str">
        <f t="shared" ca="1" si="136"/>
        <v/>
      </c>
      <c r="U3835" s="9" t="str">
        <f t="shared" ca="1" si="137"/>
        <v/>
      </c>
    </row>
    <row r="3836" spans="1:28">
      <c r="A3836" s="3" t="s">
        <v>1877</v>
      </c>
      <c r="D3836" s="3" t="s">
        <v>3841</v>
      </c>
      <c r="E3836" s="3" t="s">
        <v>3848</v>
      </c>
      <c r="I3836" t="s">
        <v>9277</v>
      </c>
      <c r="J3836" s="9" t="s">
        <v>8731</v>
      </c>
      <c r="T3836" s="9" t="str">
        <f t="shared" ca="1" si="136"/>
        <v/>
      </c>
      <c r="U3836" s="9" t="str">
        <f t="shared" ca="1" si="137"/>
        <v/>
      </c>
      <c r="V3836" s="9" t="s">
        <v>8728</v>
      </c>
    </row>
    <row r="3837" spans="1:28">
      <c r="A3837" s="3" t="s">
        <v>1877</v>
      </c>
      <c r="D3837" s="3" t="s">
        <v>8507</v>
      </c>
      <c r="E3837" s="3" t="s">
        <v>8507</v>
      </c>
      <c r="F3837" t="s">
        <v>3932</v>
      </c>
      <c r="I3837" t="s">
        <v>8508</v>
      </c>
      <c r="T3837" s="9" t="str">
        <f t="shared" ca="1" si="136"/>
        <v/>
      </c>
      <c r="U3837" s="9" t="str">
        <f t="shared" ca="1" si="137"/>
        <v/>
      </c>
    </row>
    <row r="3838" spans="1:28">
      <c r="A3838" s="3" t="s">
        <v>1878</v>
      </c>
      <c r="D3838" s="3" t="s">
        <v>8509</v>
      </c>
      <c r="E3838" s="3" t="s">
        <v>8510</v>
      </c>
      <c r="J3838" s="9" t="s">
        <v>8731</v>
      </c>
      <c r="T3838" s="9" t="str">
        <f t="shared" ca="1" si="136"/>
        <v/>
      </c>
      <c r="U3838" s="9" t="str">
        <f t="shared" ca="1" si="137"/>
        <v/>
      </c>
    </row>
    <row r="3839" spans="1:28">
      <c r="A3839" s="3" t="s">
        <v>1878</v>
      </c>
      <c r="D3839" s="3" t="s">
        <v>3692</v>
      </c>
      <c r="E3839" s="3" t="s">
        <v>2328</v>
      </c>
      <c r="J3839" s="9" t="s">
        <v>8729</v>
      </c>
      <c r="S3839" s="9" t="s">
        <v>8739</v>
      </c>
      <c r="T3839" s="9" t="str">
        <f t="shared" ca="1" si="136"/>
        <v/>
      </c>
      <c r="U3839" s="9" t="str">
        <f t="shared" ca="1" si="137"/>
        <v/>
      </c>
      <c r="Z3839" s="9" t="s">
        <v>8741</v>
      </c>
      <c r="AA3839" s="9" t="s">
        <v>3884</v>
      </c>
      <c r="AB3839" s="9" t="s">
        <v>8697</v>
      </c>
    </row>
    <row r="3840" spans="1:28">
      <c r="A3840" s="3" t="s">
        <v>1878</v>
      </c>
      <c r="D3840" s="3" t="s">
        <v>8511</v>
      </c>
      <c r="E3840" s="3" t="s">
        <v>8511</v>
      </c>
      <c r="F3840" t="s">
        <v>3932</v>
      </c>
      <c r="I3840" t="s">
        <v>8512</v>
      </c>
      <c r="T3840" s="9" t="str">
        <f t="shared" ca="1" si="136"/>
        <v/>
      </c>
      <c r="U3840" s="9" t="str">
        <f t="shared" ca="1" si="137"/>
        <v/>
      </c>
    </row>
    <row r="3841" spans="1:28">
      <c r="A3841" s="3" t="s">
        <v>1879</v>
      </c>
      <c r="D3841" s="3" t="s">
        <v>3849</v>
      </c>
      <c r="E3841" s="4" t="s">
        <v>3850</v>
      </c>
      <c r="F3841" t="s">
        <v>3897</v>
      </c>
      <c r="T3841" s="9" t="str">
        <f t="shared" ca="1" si="136"/>
        <v/>
      </c>
      <c r="U3841" s="9" t="str">
        <f t="shared" ca="1" si="137"/>
        <v/>
      </c>
    </row>
    <row r="3842" spans="1:28">
      <c r="A3842" s="3" t="s">
        <v>1880</v>
      </c>
      <c r="D3842" s="3" t="s">
        <v>8513</v>
      </c>
      <c r="E3842" s="3" t="s">
        <v>8514</v>
      </c>
      <c r="H3842" t="s">
        <v>3884</v>
      </c>
      <c r="J3842" s="9" t="s">
        <v>8729</v>
      </c>
      <c r="S3842" s="9" t="s">
        <v>8739</v>
      </c>
      <c r="T3842" s="9" t="str">
        <f t="shared" ca="1" si="136"/>
        <v/>
      </c>
      <c r="U3842" s="9" t="str">
        <f t="shared" ca="1" si="137"/>
        <v/>
      </c>
      <c r="Y3842" s="9" t="s">
        <v>8735</v>
      </c>
      <c r="AA3842" s="9" t="s">
        <v>3884</v>
      </c>
    </row>
    <row r="3843" spans="1:28">
      <c r="A3843" s="3" t="s">
        <v>1880</v>
      </c>
      <c r="D3843" s="3" t="s">
        <v>8515</v>
      </c>
      <c r="E3843" s="3" t="s">
        <v>8516</v>
      </c>
      <c r="J3843" s="9" t="s">
        <v>3885</v>
      </c>
      <c r="K3843" s="9">
        <v>1</v>
      </c>
      <c r="L3843" s="9">
        <v>3</v>
      </c>
      <c r="M3843" s="9" t="s">
        <v>8689</v>
      </c>
      <c r="N3843" s="9" t="s">
        <v>8690</v>
      </c>
      <c r="R3843" s="9">
        <v>10929</v>
      </c>
      <c r="T3843" s="9" t="str">
        <f t="shared" ca="1" si="136"/>
        <v/>
      </c>
      <c r="U3843" s="9" t="str">
        <f t="shared" ca="1" si="137"/>
        <v/>
      </c>
    </row>
    <row r="3844" spans="1:28" ht="29">
      <c r="A3844" s="3" t="s">
        <v>1881</v>
      </c>
      <c r="D3844" s="3" t="s">
        <v>8517</v>
      </c>
      <c r="E3844" s="3" t="s">
        <v>8518</v>
      </c>
      <c r="F3844" t="s">
        <v>3932</v>
      </c>
      <c r="I3844" t="s">
        <v>5560</v>
      </c>
      <c r="T3844" s="9" t="str">
        <f t="shared" ref="T3844:T3907" ca="1" si="138">IF(ISNUMBER(S3844),VALUE(MID(_xlfn.FORMULATEXT(S3844),SEARCH("-",_xlfn.FORMULATEXT(S3844))+1,LEN(_xlfn.FORMULATEXT(S3844))-SEARCH("-",_xlfn.FORMULATEXT(S3844)))), "")</f>
        <v/>
      </c>
      <c r="U3844" s="9" t="str">
        <f t="shared" ref="U3844:U3907" ca="1" si="139">IF(ISNUMBER(S3844), VALUE(MID(_xlfn.FORMULATEXT(S3844), 2, SEARCH("-", _xlfn.FORMULATEXT(S3844)) - 2)), "")</f>
        <v/>
      </c>
    </row>
    <row r="3845" spans="1:28" ht="29">
      <c r="A3845" s="3" t="s">
        <v>1881</v>
      </c>
      <c r="D3845" s="3" t="s">
        <v>8519</v>
      </c>
      <c r="E3845" s="3" t="s">
        <v>8520</v>
      </c>
      <c r="H3845" t="s">
        <v>3884</v>
      </c>
      <c r="J3845" s="9" t="s">
        <v>8731</v>
      </c>
      <c r="T3845" s="9" t="str">
        <f t="shared" ca="1" si="138"/>
        <v/>
      </c>
      <c r="U3845" s="9" t="str">
        <f t="shared" ca="1" si="139"/>
        <v/>
      </c>
    </row>
    <row r="3846" spans="1:28">
      <c r="A3846" s="3" t="s">
        <v>1881</v>
      </c>
      <c r="D3846" s="3" t="s">
        <v>3839</v>
      </c>
      <c r="E3846" s="3" t="s">
        <v>3604</v>
      </c>
      <c r="H3846" t="s">
        <v>3892</v>
      </c>
      <c r="I3846" t="s">
        <v>2825</v>
      </c>
      <c r="J3846" s="9" t="s">
        <v>8729</v>
      </c>
      <c r="S3846" s="9">
        <f>58-0</f>
        <v>58</v>
      </c>
      <c r="T3846" s="9">
        <f t="shared" ca="1" si="138"/>
        <v>0</v>
      </c>
      <c r="U3846" s="9">
        <f t="shared" ca="1" si="139"/>
        <v>58</v>
      </c>
      <c r="AB3846" s="9" t="s">
        <v>8700</v>
      </c>
    </row>
    <row r="3847" spans="1:28">
      <c r="A3847" s="3" t="s">
        <v>1881</v>
      </c>
      <c r="D3847" s="3" t="s">
        <v>9547</v>
      </c>
      <c r="E3847" s="3" t="s">
        <v>9548</v>
      </c>
      <c r="H3847" t="s">
        <v>3884</v>
      </c>
      <c r="J3847" s="9" t="s">
        <v>8731</v>
      </c>
      <c r="T3847" s="9" t="str">
        <f t="shared" ca="1" si="138"/>
        <v/>
      </c>
      <c r="U3847" s="9" t="str">
        <f t="shared" ca="1" si="139"/>
        <v/>
      </c>
    </row>
    <row r="3848" spans="1:28">
      <c r="A3848" s="3" t="s">
        <v>1881</v>
      </c>
      <c r="D3848" s="3" t="s">
        <v>8521</v>
      </c>
      <c r="E3848" s="3" t="s">
        <v>2975</v>
      </c>
      <c r="F3848" t="s">
        <v>3893</v>
      </c>
      <c r="T3848" s="9" t="str">
        <f t="shared" ca="1" si="138"/>
        <v/>
      </c>
      <c r="U3848" s="9" t="str">
        <f t="shared" ca="1" si="139"/>
        <v/>
      </c>
    </row>
    <row r="3849" spans="1:28">
      <c r="A3849" s="3" t="s">
        <v>1882</v>
      </c>
      <c r="D3849" s="3" t="s">
        <v>6638</v>
      </c>
      <c r="E3849" s="3" t="s">
        <v>6639</v>
      </c>
      <c r="J3849" s="9" t="s">
        <v>8731</v>
      </c>
      <c r="T3849" s="9" t="str">
        <f t="shared" ca="1" si="138"/>
        <v/>
      </c>
      <c r="U3849" s="9" t="str">
        <f t="shared" ca="1" si="139"/>
        <v/>
      </c>
      <c r="Y3849" s="9" t="s">
        <v>9282</v>
      </c>
      <c r="AA3849" s="9" t="s">
        <v>3884</v>
      </c>
    </row>
    <row r="3850" spans="1:28" ht="29">
      <c r="A3850" s="3" t="s">
        <v>1882</v>
      </c>
      <c r="D3850" s="3" t="s">
        <v>6892</v>
      </c>
      <c r="E3850" s="3" t="s">
        <v>6892</v>
      </c>
      <c r="F3850" t="s">
        <v>3932</v>
      </c>
      <c r="I3850" t="s">
        <v>6925</v>
      </c>
      <c r="T3850" s="9" t="str">
        <f t="shared" ca="1" si="138"/>
        <v/>
      </c>
      <c r="U3850" s="9" t="str">
        <f t="shared" ca="1" si="139"/>
        <v/>
      </c>
    </row>
    <row r="3851" spans="1:28" ht="29">
      <c r="A3851" s="3" t="s">
        <v>1883</v>
      </c>
      <c r="D3851" s="3" t="s">
        <v>8522</v>
      </c>
      <c r="E3851" s="3" t="s">
        <v>8522</v>
      </c>
      <c r="F3851" t="s">
        <v>3932</v>
      </c>
      <c r="I3851" t="s">
        <v>8523</v>
      </c>
      <c r="T3851" s="9" t="str">
        <f t="shared" ca="1" si="138"/>
        <v/>
      </c>
      <c r="U3851" s="9" t="str">
        <f t="shared" ca="1" si="139"/>
        <v/>
      </c>
    </row>
    <row r="3852" spans="1:28" ht="29">
      <c r="A3852" s="3" t="s">
        <v>1883</v>
      </c>
      <c r="D3852" s="3" t="s">
        <v>8524</v>
      </c>
      <c r="E3852" s="3" t="s">
        <v>8525</v>
      </c>
      <c r="H3852" t="s">
        <v>3884</v>
      </c>
      <c r="J3852" s="9" t="s">
        <v>8729</v>
      </c>
      <c r="S3852" s="9" t="s">
        <v>8739</v>
      </c>
      <c r="T3852" s="9" t="str">
        <f t="shared" ca="1" si="138"/>
        <v/>
      </c>
      <c r="U3852" s="9" t="str">
        <f t="shared" ca="1" si="139"/>
        <v/>
      </c>
      <c r="Y3852" s="9" t="s">
        <v>8735</v>
      </c>
      <c r="AA3852" s="9" t="s">
        <v>3884</v>
      </c>
    </row>
    <row r="3853" spans="1:28" ht="29">
      <c r="A3853" s="3" t="s">
        <v>1883</v>
      </c>
      <c r="D3853" s="3" t="s">
        <v>8526</v>
      </c>
      <c r="E3853" s="3" t="s">
        <v>8527</v>
      </c>
      <c r="F3853" t="s">
        <v>3932</v>
      </c>
      <c r="I3853" t="s">
        <v>8528</v>
      </c>
      <c r="T3853" s="9" t="str">
        <f t="shared" ca="1" si="138"/>
        <v/>
      </c>
      <c r="U3853" s="9" t="str">
        <f t="shared" ca="1" si="139"/>
        <v/>
      </c>
    </row>
    <row r="3854" spans="1:28" ht="29">
      <c r="A3854" s="3" t="s">
        <v>1884</v>
      </c>
      <c r="D3854" s="3" t="s">
        <v>8529</v>
      </c>
      <c r="E3854" s="3" t="s">
        <v>8530</v>
      </c>
      <c r="H3854" t="s">
        <v>3892</v>
      </c>
      <c r="I3854" t="s">
        <v>8531</v>
      </c>
      <c r="J3854" s="9" t="s">
        <v>8729</v>
      </c>
      <c r="S3854" s="9">
        <f>519-203</f>
        <v>316</v>
      </c>
      <c r="T3854" s="9">
        <f t="shared" ca="1" si="138"/>
        <v>203</v>
      </c>
      <c r="U3854" s="9">
        <f t="shared" ca="1" si="139"/>
        <v>519</v>
      </c>
      <c r="AB3854" s="9" t="s">
        <v>8694</v>
      </c>
    </row>
    <row r="3855" spans="1:28">
      <c r="A3855" s="3" t="s">
        <v>1885</v>
      </c>
      <c r="D3855" s="3" t="s">
        <v>3527</v>
      </c>
      <c r="E3855" s="3" t="s">
        <v>3529</v>
      </c>
      <c r="J3855" s="9" t="s">
        <v>8729</v>
      </c>
      <c r="S3855" s="9" t="s">
        <v>8739</v>
      </c>
      <c r="T3855" s="9" t="str">
        <f t="shared" ca="1" si="138"/>
        <v/>
      </c>
      <c r="U3855" s="9" t="str">
        <f t="shared" ca="1" si="139"/>
        <v/>
      </c>
      <c r="Y3855" s="9" t="s">
        <v>8735</v>
      </c>
      <c r="Z3855" s="9" t="s">
        <v>8741</v>
      </c>
      <c r="AA3855" s="9" t="s">
        <v>3884</v>
      </c>
    </row>
    <row r="3856" spans="1:28">
      <c r="A3856" s="3" t="s">
        <v>1886</v>
      </c>
      <c r="D3856" s="3" t="s">
        <v>3852</v>
      </c>
      <c r="E3856" s="3" t="s">
        <v>3458</v>
      </c>
      <c r="G3856" t="s">
        <v>3884</v>
      </c>
      <c r="J3856" s="9" t="s">
        <v>8729</v>
      </c>
      <c r="S3856" s="9" t="s">
        <v>8739</v>
      </c>
      <c r="T3856" s="9" t="str">
        <f t="shared" ca="1" si="138"/>
        <v/>
      </c>
      <c r="U3856" s="9" t="str">
        <f t="shared" ca="1" si="139"/>
        <v/>
      </c>
      <c r="AB3856" s="9" t="s">
        <v>8697</v>
      </c>
    </row>
    <row r="3857" spans="1:28">
      <c r="A3857" s="3" t="s">
        <v>1887</v>
      </c>
      <c r="D3857" s="3" t="s">
        <v>8532</v>
      </c>
      <c r="E3857" s="3" t="s">
        <v>8533</v>
      </c>
      <c r="H3857" t="s">
        <v>3884</v>
      </c>
      <c r="J3857" s="9" t="s">
        <v>8729</v>
      </c>
      <c r="S3857" s="9">
        <f>627-21</f>
        <v>606</v>
      </c>
      <c r="T3857" s="9">
        <f t="shared" ca="1" si="138"/>
        <v>21</v>
      </c>
      <c r="U3857" s="9">
        <f t="shared" ca="1" si="139"/>
        <v>627</v>
      </c>
      <c r="AB3857" s="9" t="s">
        <v>8694</v>
      </c>
    </row>
    <row r="3858" spans="1:28">
      <c r="A3858" s="3" t="s">
        <v>1888</v>
      </c>
      <c r="D3858" s="3" t="s">
        <v>3853</v>
      </c>
      <c r="E3858" s="3" t="s">
        <v>3853</v>
      </c>
      <c r="F3858" t="s">
        <v>3932</v>
      </c>
      <c r="I3858" t="s">
        <v>2351</v>
      </c>
      <c r="T3858" s="9" t="str">
        <f t="shared" ca="1" si="138"/>
        <v/>
      </c>
      <c r="U3858" s="9" t="str">
        <f t="shared" ca="1" si="139"/>
        <v/>
      </c>
    </row>
    <row r="3859" spans="1:28">
      <c r="A3859" s="3" t="s">
        <v>1889</v>
      </c>
      <c r="D3859" s="3" t="s">
        <v>8534</v>
      </c>
      <c r="E3859" s="3" t="s">
        <v>8534</v>
      </c>
      <c r="F3859" t="s">
        <v>3932</v>
      </c>
      <c r="I3859" t="s">
        <v>8535</v>
      </c>
      <c r="T3859" s="9" t="str">
        <f t="shared" ca="1" si="138"/>
        <v/>
      </c>
      <c r="U3859" s="9" t="str">
        <f t="shared" ca="1" si="139"/>
        <v/>
      </c>
    </row>
    <row r="3860" spans="1:28">
      <c r="A3860" s="3" t="s">
        <v>1889</v>
      </c>
      <c r="D3860" s="4" t="s">
        <v>8536</v>
      </c>
      <c r="E3860" s="3" t="s">
        <v>8537</v>
      </c>
      <c r="F3860" t="s">
        <v>3883</v>
      </c>
      <c r="H3860" t="s">
        <v>3884</v>
      </c>
      <c r="J3860" s="9" t="s">
        <v>3885</v>
      </c>
      <c r="K3860" s="9">
        <v>1</v>
      </c>
      <c r="L3860" s="9">
        <v>1</v>
      </c>
      <c r="M3860" s="9" t="s">
        <v>8705</v>
      </c>
      <c r="N3860" s="9" t="s">
        <v>8730</v>
      </c>
      <c r="R3860" s="9">
        <v>615</v>
      </c>
      <c r="T3860" s="9" t="str">
        <f t="shared" ca="1" si="138"/>
        <v/>
      </c>
      <c r="U3860" s="9" t="str">
        <f t="shared" ca="1" si="139"/>
        <v/>
      </c>
    </row>
    <row r="3861" spans="1:28">
      <c r="A3861" s="3" t="s">
        <v>1889</v>
      </c>
      <c r="D3861" s="3" t="s">
        <v>8538</v>
      </c>
      <c r="E3861" s="3" t="s">
        <v>8539</v>
      </c>
      <c r="F3861" t="s">
        <v>3932</v>
      </c>
      <c r="I3861" t="s">
        <v>8540</v>
      </c>
      <c r="T3861" s="9" t="str">
        <f t="shared" ca="1" si="138"/>
        <v/>
      </c>
      <c r="U3861" s="9" t="str">
        <f t="shared" ca="1" si="139"/>
        <v/>
      </c>
    </row>
    <row r="3862" spans="1:28">
      <c r="A3862" s="3" t="s">
        <v>1890</v>
      </c>
      <c r="D3862" s="3" t="s">
        <v>3854</v>
      </c>
      <c r="E3862" s="3" t="s">
        <v>3855</v>
      </c>
      <c r="J3862" s="9" t="s">
        <v>8731</v>
      </c>
      <c r="T3862" s="9" t="str">
        <f t="shared" ca="1" si="138"/>
        <v/>
      </c>
      <c r="U3862" s="9" t="str">
        <f t="shared" ca="1" si="139"/>
        <v/>
      </c>
      <c r="Z3862" s="9" t="s">
        <v>8741</v>
      </c>
      <c r="AA3862" s="9" t="s">
        <v>3884</v>
      </c>
    </row>
    <row r="3863" spans="1:28">
      <c r="A3863" s="3" t="s">
        <v>1890</v>
      </c>
      <c r="D3863" s="3" t="s">
        <v>6165</v>
      </c>
      <c r="E3863" s="3" t="s">
        <v>6165</v>
      </c>
      <c r="F3863" t="s">
        <v>3932</v>
      </c>
      <c r="I3863" t="s">
        <v>6166</v>
      </c>
      <c r="T3863" s="9" t="str">
        <f t="shared" ca="1" si="138"/>
        <v/>
      </c>
      <c r="U3863" s="9" t="str">
        <f t="shared" ca="1" si="139"/>
        <v/>
      </c>
    </row>
    <row r="3864" spans="1:28">
      <c r="A3864" s="3" t="s">
        <v>1890</v>
      </c>
      <c r="D3864" s="3" t="s">
        <v>2212</v>
      </c>
      <c r="E3864" s="3" t="s">
        <v>2212</v>
      </c>
      <c r="F3864" t="s">
        <v>3932</v>
      </c>
      <c r="I3864" t="s">
        <v>2216</v>
      </c>
      <c r="T3864" s="9" t="str">
        <f t="shared" ca="1" si="138"/>
        <v/>
      </c>
      <c r="U3864" s="9" t="str">
        <f t="shared" ca="1" si="139"/>
        <v/>
      </c>
    </row>
    <row r="3865" spans="1:28">
      <c r="A3865" s="3" t="s">
        <v>1891</v>
      </c>
      <c r="D3865" s="3" t="s">
        <v>3525</v>
      </c>
      <c r="E3865" s="3" t="s">
        <v>3526</v>
      </c>
      <c r="J3865" s="9" t="s">
        <v>8731</v>
      </c>
      <c r="T3865" s="9" t="str">
        <f t="shared" ca="1" si="138"/>
        <v/>
      </c>
      <c r="U3865" s="9" t="str">
        <f t="shared" ca="1" si="139"/>
        <v/>
      </c>
      <c r="Z3865" s="9" t="s">
        <v>8741</v>
      </c>
      <c r="AA3865" s="9" t="s">
        <v>3884</v>
      </c>
    </row>
    <row r="3866" spans="1:28">
      <c r="A3866" s="3" t="s">
        <v>1891</v>
      </c>
      <c r="D3866" s="3" t="s">
        <v>6638</v>
      </c>
      <c r="E3866" s="3" t="s">
        <v>6638</v>
      </c>
      <c r="F3866" t="s">
        <v>3932</v>
      </c>
      <c r="I3866" t="s">
        <v>6639</v>
      </c>
      <c r="T3866" s="9" t="str">
        <f t="shared" ca="1" si="138"/>
        <v/>
      </c>
      <c r="U3866" s="9" t="str">
        <f t="shared" ca="1" si="139"/>
        <v/>
      </c>
    </row>
    <row r="3867" spans="1:28" ht="29">
      <c r="A3867" s="3" t="s">
        <v>1891</v>
      </c>
      <c r="D3867" s="3" t="s">
        <v>8541</v>
      </c>
      <c r="E3867" s="3" t="s">
        <v>6948</v>
      </c>
      <c r="H3867" t="s">
        <v>3892</v>
      </c>
      <c r="I3867" t="s">
        <v>6949</v>
      </c>
      <c r="J3867" s="9" t="s">
        <v>8731</v>
      </c>
      <c r="T3867" s="9" t="str">
        <f t="shared" ca="1" si="138"/>
        <v/>
      </c>
      <c r="U3867" s="9" t="str">
        <f t="shared" ca="1" si="139"/>
        <v/>
      </c>
      <c r="Y3867" s="9" t="s">
        <v>8693</v>
      </c>
      <c r="AA3867" s="9" t="s">
        <v>3884</v>
      </c>
    </row>
    <row r="3868" spans="1:28" ht="43.5">
      <c r="A3868" s="3" t="s">
        <v>1892</v>
      </c>
      <c r="D3868" s="3" t="s">
        <v>8542</v>
      </c>
      <c r="E3868" s="3" t="s">
        <v>8542</v>
      </c>
      <c r="F3868" t="s">
        <v>3932</v>
      </c>
      <c r="I3868" t="s">
        <v>8543</v>
      </c>
      <c r="T3868" s="9" t="str">
        <f t="shared" ca="1" si="138"/>
        <v/>
      </c>
      <c r="U3868" s="9" t="str">
        <f t="shared" ca="1" si="139"/>
        <v/>
      </c>
    </row>
    <row r="3869" spans="1:28" ht="29">
      <c r="A3869" s="3" t="s">
        <v>1893</v>
      </c>
      <c r="D3869" s="3" t="s">
        <v>8544</v>
      </c>
      <c r="E3869" s="4" t="s">
        <v>8545</v>
      </c>
      <c r="F3869" t="s">
        <v>3897</v>
      </c>
      <c r="T3869" s="9" t="str">
        <f t="shared" ca="1" si="138"/>
        <v/>
      </c>
      <c r="U3869" s="9" t="str">
        <f t="shared" ca="1" si="139"/>
        <v/>
      </c>
    </row>
    <row r="3870" spans="1:28" ht="29">
      <c r="A3870" s="3" t="s">
        <v>1893</v>
      </c>
      <c r="D3870" s="3" t="s">
        <v>8546</v>
      </c>
      <c r="E3870" s="3" t="s">
        <v>8547</v>
      </c>
      <c r="F3870" t="s">
        <v>3932</v>
      </c>
      <c r="I3870" t="s">
        <v>8548</v>
      </c>
      <c r="T3870" s="9" t="str">
        <f t="shared" ca="1" si="138"/>
        <v/>
      </c>
      <c r="U3870" s="9" t="str">
        <f t="shared" ca="1" si="139"/>
        <v/>
      </c>
    </row>
    <row r="3871" spans="1:28">
      <c r="A3871" s="3" t="s">
        <v>1893</v>
      </c>
      <c r="D3871" s="3" t="s">
        <v>8551</v>
      </c>
      <c r="E3871" s="3" t="s">
        <v>8552</v>
      </c>
      <c r="F3871" t="s">
        <v>3932</v>
      </c>
      <c r="I3871" t="s">
        <v>8553</v>
      </c>
      <c r="T3871" s="9" t="str">
        <f t="shared" ca="1" si="138"/>
        <v/>
      </c>
      <c r="U3871" s="9" t="str">
        <f t="shared" ca="1" si="139"/>
        <v/>
      </c>
    </row>
    <row r="3872" spans="1:28">
      <c r="A3872" s="3" t="s">
        <v>1893</v>
      </c>
      <c r="D3872" s="3" t="s">
        <v>8549</v>
      </c>
      <c r="E3872" s="3" t="s">
        <v>8550</v>
      </c>
      <c r="J3872" s="9" t="s">
        <v>8729</v>
      </c>
      <c r="S3872" s="9" t="s">
        <v>8739</v>
      </c>
      <c r="T3872" s="9" t="str">
        <f t="shared" ca="1" si="138"/>
        <v/>
      </c>
      <c r="U3872" s="9" t="str">
        <f t="shared" ca="1" si="139"/>
        <v/>
      </c>
      <c r="Y3872" s="9" t="s">
        <v>8735</v>
      </c>
      <c r="Z3872" s="9" t="s">
        <v>8741</v>
      </c>
      <c r="AA3872" s="9" t="s">
        <v>3884</v>
      </c>
    </row>
    <row r="3873" spans="1:28" ht="43.5">
      <c r="A3873" s="3" t="s">
        <v>1894</v>
      </c>
      <c r="D3873" s="3" t="s">
        <v>8555</v>
      </c>
      <c r="E3873" s="3" t="s">
        <v>8556</v>
      </c>
      <c r="F3873" t="s">
        <v>3932</v>
      </c>
      <c r="I3873" t="s">
        <v>8557</v>
      </c>
      <c r="T3873" s="9" t="str">
        <f t="shared" ca="1" si="138"/>
        <v/>
      </c>
      <c r="U3873" s="9" t="str">
        <f t="shared" ca="1" si="139"/>
        <v/>
      </c>
    </row>
    <row r="3874" spans="1:28" ht="43.5">
      <c r="A3874" s="3" t="s">
        <v>1894</v>
      </c>
      <c r="D3874" s="3" t="s">
        <v>8554</v>
      </c>
      <c r="E3874" s="3" t="s">
        <v>8558</v>
      </c>
      <c r="H3874" t="s">
        <v>3884</v>
      </c>
      <c r="J3874" s="9" t="s">
        <v>3885</v>
      </c>
      <c r="K3874" s="9">
        <v>1</v>
      </c>
      <c r="L3874" s="9">
        <v>4</v>
      </c>
      <c r="M3874" s="9" t="s">
        <v>8703</v>
      </c>
      <c r="N3874" s="9" t="s">
        <v>8690</v>
      </c>
      <c r="R3874" s="9">
        <v>797</v>
      </c>
      <c r="T3874" s="9" t="str">
        <f t="shared" ca="1" si="138"/>
        <v/>
      </c>
      <c r="U3874" s="9" t="str">
        <f t="shared" ca="1" si="139"/>
        <v/>
      </c>
    </row>
    <row r="3875" spans="1:28">
      <c r="A3875" s="3" t="s">
        <v>1895</v>
      </c>
      <c r="D3875" s="3" t="s">
        <v>8559</v>
      </c>
      <c r="E3875" s="3" t="s">
        <v>8560</v>
      </c>
      <c r="J3875" s="9" t="s">
        <v>8731</v>
      </c>
      <c r="T3875" s="9" t="str">
        <f t="shared" ca="1" si="138"/>
        <v/>
      </c>
      <c r="U3875" s="9" t="str">
        <f t="shared" ca="1" si="139"/>
        <v/>
      </c>
      <c r="AB3875" s="9" t="s">
        <v>8700</v>
      </c>
    </row>
    <row r="3876" spans="1:28" ht="29">
      <c r="A3876" s="3" t="s">
        <v>1895</v>
      </c>
      <c r="D3876" s="3" t="s">
        <v>8561</v>
      </c>
      <c r="E3876" s="3" t="s">
        <v>6948</v>
      </c>
      <c r="F3876" t="s">
        <v>3932</v>
      </c>
      <c r="I3876" t="s">
        <v>8562</v>
      </c>
      <c r="T3876" s="9" t="str">
        <f t="shared" ca="1" si="138"/>
        <v/>
      </c>
      <c r="U3876" s="9" t="str">
        <f t="shared" ca="1" si="139"/>
        <v/>
      </c>
    </row>
    <row r="3877" spans="1:28">
      <c r="A3877" s="3" t="s">
        <v>1896</v>
      </c>
      <c r="D3877" s="3" t="s">
        <v>8564</v>
      </c>
      <c r="E3877" s="3" t="s">
        <v>8563</v>
      </c>
      <c r="H3877" t="s">
        <v>3884</v>
      </c>
      <c r="J3877" s="9" t="s">
        <v>8731</v>
      </c>
      <c r="T3877" s="9" t="str">
        <f t="shared" ca="1" si="138"/>
        <v/>
      </c>
      <c r="U3877" s="9" t="str">
        <f t="shared" ca="1" si="139"/>
        <v/>
      </c>
      <c r="AB3877" s="9" t="s">
        <v>8694</v>
      </c>
    </row>
    <row r="3878" spans="1:28" ht="29">
      <c r="A3878" s="3" t="s">
        <v>1896</v>
      </c>
      <c r="D3878" s="3" t="s">
        <v>8566</v>
      </c>
      <c r="E3878" s="3" t="s">
        <v>8565</v>
      </c>
      <c r="F3878" t="s">
        <v>3932</v>
      </c>
      <c r="I3878" t="s">
        <v>2129</v>
      </c>
      <c r="T3878" s="9" t="str">
        <f t="shared" ca="1" si="138"/>
        <v/>
      </c>
      <c r="U3878" s="9" t="str">
        <f t="shared" ca="1" si="139"/>
        <v/>
      </c>
    </row>
    <row r="3879" spans="1:28" ht="29">
      <c r="A3879" s="3" t="s">
        <v>1896</v>
      </c>
      <c r="D3879" s="3" t="s">
        <v>8567</v>
      </c>
      <c r="E3879" s="3" t="s">
        <v>8568</v>
      </c>
      <c r="J3879" s="9" t="s">
        <v>8731</v>
      </c>
      <c r="T3879" s="9" t="str">
        <f t="shared" ca="1" si="138"/>
        <v/>
      </c>
      <c r="U3879" s="9" t="str">
        <f t="shared" ca="1" si="139"/>
        <v/>
      </c>
      <c r="AB3879" s="9" t="s">
        <v>8694</v>
      </c>
    </row>
    <row r="3880" spans="1:28">
      <c r="A3880" s="3" t="s">
        <v>1897</v>
      </c>
      <c r="D3880" s="3" t="s">
        <v>8569</v>
      </c>
      <c r="E3880" s="3" t="s">
        <v>8570</v>
      </c>
      <c r="F3880" t="s">
        <v>3893</v>
      </c>
      <c r="H3880" t="s">
        <v>3884</v>
      </c>
      <c r="T3880" s="9" t="str">
        <f t="shared" ca="1" si="138"/>
        <v/>
      </c>
      <c r="U3880" s="9" t="str">
        <f t="shared" ca="1" si="139"/>
        <v/>
      </c>
    </row>
    <row r="3881" spans="1:28" ht="29">
      <c r="A3881" s="3" t="s">
        <v>1898</v>
      </c>
      <c r="D3881" s="3" t="s">
        <v>8571</v>
      </c>
      <c r="E3881" s="3" t="s">
        <v>9665</v>
      </c>
      <c r="I3881" t="s">
        <v>9716</v>
      </c>
      <c r="J3881" s="9" t="s">
        <v>3894</v>
      </c>
      <c r="T3881" s="9" t="str">
        <f t="shared" ca="1" si="138"/>
        <v/>
      </c>
      <c r="U3881" s="9" t="str">
        <f t="shared" ca="1" si="139"/>
        <v/>
      </c>
    </row>
    <row r="3882" spans="1:28" ht="29">
      <c r="A3882" s="3" t="s">
        <v>1898</v>
      </c>
      <c r="D3882" s="3" t="s">
        <v>8572</v>
      </c>
      <c r="E3882" s="3" t="s">
        <v>9666</v>
      </c>
      <c r="J3882" s="9" t="s">
        <v>3889</v>
      </c>
      <c r="K3882" s="9">
        <v>1</v>
      </c>
      <c r="L3882" s="9">
        <v>3</v>
      </c>
      <c r="M3882" s="9" t="s">
        <v>8689</v>
      </c>
      <c r="N3882" s="9" t="s">
        <v>8690</v>
      </c>
      <c r="R3882" s="9">
        <v>10929</v>
      </c>
      <c r="T3882" s="9" t="str">
        <f t="shared" ca="1" si="138"/>
        <v/>
      </c>
      <c r="U3882" s="9" t="str">
        <f t="shared" ca="1" si="139"/>
        <v/>
      </c>
    </row>
    <row r="3883" spans="1:28">
      <c r="A3883" s="3" t="s">
        <v>1899</v>
      </c>
      <c r="D3883" s="3" t="s">
        <v>8573</v>
      </c>
      <c r="E3883" s="3" t="s">
        <v>6784</v>
      </c>
      <c r="J3883" s="9" t="s">
        <v>3889</v>
      </c>
      <c r="K3883" s="9">
        <v>1</v>
      </c>
      <c r="L3883" s="9">
        <v>4</v>
      </c>
      <c r="M3883" s="9" t="s">
        <v>8710</v>
      </c>
      <c r="N3883" s="9" t="s">
        <v>8684</v>
      </c>
      <c r="O3883" s="9" t="s">
        <v>8771</v>
      </c>
      <c r="P3883" s="10" t="s">
        <v>8778</v>
      </c>
      <c r="R3883" s="9">
        <v>266</v>
      </c>
      <c r="T3883" s="9" t="str">
        <f t="shared" ca="1" si="138"/>
        <v/>
      </c>
      <c r="U3883" s="9" t="str">
        <f t="shared" ca="1" si="139"/>
        <v/>
      </c>
    </row>
    <row r="3884" spans="1:28">
      <c r="A3884" s="3" t="s">
        <v>1900</v>
      </c>
      <c r="D3884" s="3" t="s">
        <v>3856</v>
      </c>
      <c r="E3884" s="3" t="s">
        <v>3856</v>
      </c>
      <c r="F3884" t="s">
        <v>3932</v>
      </c>
      <c r="I3884" t="s">
        <v>8574</v>
      </c>
      <c r="T3884" s="9" t="str">
        <f t="shared" ca="1" si="138"/>
        <v/>
      </c>
      <c r="U3884" s="9" t="str">
        <f t="shared" ca="1" si="139"/>
        <v/>
      </c>
    </row>
    <row r="3885" spans="1:28" ht="43.5">
      <c r="A3885" s="3" t="s">
        <v>1900</v>
      </c>
      <c r="D3885" s="3" t="s">
        <v>8575</v>
      </c>
      <c r="E3885" s="3" t="s">
        <v>8576</v>
      </c>
      <c r="I3885" t="s">
        <v>9717</v>
      </c>
      <c r="J3885" s="9" t="s">
        <v>3885</v>
      </c>
      <c r="K3885" s="9">
        <v>3</v>
      </c>
      <c r="L3885" s="9">
        <v>9</v>
      </c>
      <c r="N3885" s="9" t="s">
        <v>8690</v>
      </c>
      <c r="R3885" s="9">
        <v>131</v>
      </c>
      <c r="T3885" s="9" t="str">
        <f t="shared" ca="1" si="138"/>
        <v/>
      </c>
      <c r="U3885" s="9" t="str">
        <f t="shared" ca="1" si="139"/>
        <v/>
      </c>
    </row>
    <row r="3886" spans="1:28">
      <c r="A3886" s="3" t="s">
        <v>1901</v>
      </c>
      <c r="D3886" s="3" t="s">
        <v>3857</v>
      </c>
      <c r="E3886" s="3" t="s">
        <v>3605</v>
      </c>
      <c r="H3886" t="s">
        <v>3892</v>
      </c>
      <c r="I3886" t="s">
        <v>3858</v>
      </c>
      <c r="J3886" s="9" t="s">
        <v>8729</v>
      </c>
      <c r="S3886" s="9">
        <f>34-0</f>
        <v>34</v>
      </c>
      <c r="T3886" s="9">
        <f t="shared" ca="1" si="138"/>
        <v>0</v>
      </c>
      <c r="U3886" s="9">
        <f t="shared" ca="1" si="139"/>
        <v>34</v>
      </c>
      <c r="Y3886" s="9" t="s">
        <v>8735</v>
      </c>
      <c r="AA3886" s="9" t="s">
        <v>3884</v>
      </c>
    </row>
    <row r="3887" spans="1:28" ht="43.5">
      <c r="A3887" s="3" t="s">
        <v>1902</v>
      </c>
      <c r="D3887" s="3" t="s">
        <v>8577</v>
      </c>
      <c r="E3887" s="3" t="s">
        <v>8578</v>
      </c>
      <c r="F3887" t="s">
        <v>3932</v>
      </c>
      <c r="I3887" t="s">
        <v>8579</v>
      </c>
      <c r="T3887" s="9" t="str">
        <f t="shared" ca="1" si="138"/>
        <v/>
      </c>
      <c r="U3887" s="9" t="str">
        <f t="shared" ca="1" si="139"/>
        <v/>
      </c>
    </row>
    <row r="3888" spans="1:28" ht="43.5">
      <c r="A3888" s="3" t="s">
        <v>1902</v>
      </c>
      <c r="D3888" s="3" t="s">
        <v>8580</v>
      </c>
      <c r="E3888" s="3" t="s">
        <v>8581</v>
      </c>
      <c r="H3888" t="s">
        <v>3884</v>
      </c>
      <c r="J3888" s="9" t="s">
        <v>8729</v>
      </c>
      <c r="S3888" s="9" t="s">
        <v>8739</v>
      </c>
      <c r="T3888" s="9" t="str">
        <f t="shared" ca="1" si="138"/>
        <v/>
      </c>
      <c r="U3888" s="9" t="str">
        <f t="shared" ca="1" si="139"/>
        <v/>
      </c>
      <c r="Y3888" s="9" t="s">
        <v>8735</v>
      </c>
      <c r="AA3888" s="9" t="s">
        <v>3884</v>
      </c>
    </row>
    <row r="3889" spans="1:28" ht="43.5">
      <c r="A3889" s="3" t="s">
        <v>1902</v>
      </c>
      <c r="D3889" s="3" t="s">
        <v>8582</v>
      </c>
      <c r="E3889" s="3" t="s">
        <v>8583</v>
      </c>
      <c r="H3889" t="s">
        <v>3884</v>
      </c>
      <c r="J3889" s="9" t="s">
        <v>8729</v>
      </c>
      <c r="S3889" s="9" t="s">
        <v>8739</v>
      </c>
      <c r="T3889" s="9" t="str">
        <f t="shared" ca="1" si="138"/>
        <v/>
      </c>
      <c r="U3889" s="9" t="str">
        <f t="shared" ca="1" si="139"/>
        <v/>
      </c>
      <c r="Y3889" s="9" t="s">
        <v>8735</v>
      </c>
      <c r="AA3889" s="9" t="s">
        <v>3884</v>
      </c>
    </row>
    <row r="3890" spans="1:28">
      <c r="A3890" s="3" t="s">
        <v>1902</v>
      </c>
      <c r="D3890" s="3" t="s">
        <v>8584</v>
      </c>
      <c r="E3890" s="4" t="s">
        <v>8585</v>
      </c>
      <c r="F3890" t="s">
        <v>3897</v>
      </c>
      <c r="T3890" s="9" t="str">
        <f t="shared" ca="1" si="138"/>
        <v/>
      </c>
      <c r="U3890" s="9" t="str">
        <f t="shared" ca="1" si="139"/>
        <v/>
      </c>
    </row>
    <row r="3891" spans="1:28">
      <c r="A3891" s="3" t="s">
        <v>1903</v>
      </c>
      <c r="D3891" s="4" t="s">
        <v>8586</v>
      </c>
      <c r="E3891" s="3" t="s">
        <v>8587</v>
      </c>
      <c r="F3891" t="s">
        <v>3883</v>
      </c>
      <c r="T3891" s="9" t="str">
        <f t="shared" ca="1" si="138"/>
        <v/>
      </c>
      <c r="U3891" s="9" t="str">
        <f t="shared" ca="1" si="139"/>
        <v/>
      </c>
    </row>
    <row r="3892" spans="1:28">
      <c r="A3892" s="3" t="s">
        <v>1904</v>
      </c>
      <c r="D3892" s="3" t="s">
        <v>8588</v>
      </c>
      <c r="E3892" s="3" t="s">
        <v>8589</v>
      </c>
      <c r="J3892" s="9" t="s">
        <v>8729</v>
      </c>
      <c r="S3892" s="9" t="s">
        <v>8739</v>
      </c>
      <c r="T3892" s="9" t="str">
        <f t="shared" ca="1" si="138"/>
        <v/>
      </c>
      <c r="U3892" s="9" t="str">
        <f t="shared" ca="1" si="139"/>
        <v/>
      </c>
      <c r="AB3892" s="9" t="s">
        <v>8697</v>
      </c>
    </row>
    <row r="3893" spans="1:28">
      <c r="A3893" s="3" t="s">
        <v>1904</v>
      </c>
      <c r="D3893" s="3" t="s">
        <v>8590</v>
      </c>
      <c r="E3893" s="4" t="s">
        <v>8591</v>
      </c>
      <c r="F3893" t="s">
        <v>3897</v>
      </c>
      <c r="J3893" s="9" t="s">
        <v>3885</v>
      </c>
      <c r="K3893" s="9">
        <v>1</v>
      </c>
      <c r="L3893" s="9">
        <v>3</v>
      </c>
      <c r="M3893" s="9" t="s">
        <v>8698</v>
      </c>
      <c r="N3893" s="9" t="s">
        <v>8690</v>
      </c>
      <c r="R3893" s="9">
        <v>9418</v>
      </c>
      <c r="T3893" s="9" t="str">
        <f t="shared" ca="1" si="138"/>
        <v/>
      </c>
      <c r="U3893" s="9" t="str">
        <f t="shared" ca="1" si="139"/>
        <v/>
      </c>
    </row>
    <row r="3894" spans="1:28">
      <c r="A3894" s="3" t="s">
        <v>1905</v>
      </c>
      <c r="D3894" s="3" t="s">
        <v>8592</v>
      </c>
      <c r="E3894" s="3" t="s">
        <v>8593</v>
      </c>
      <c r="H3894" t="s">
        <v>3884</v>
      </c>
      <c r="J3894" s="9" t="s">
        <v>8731</v>
      </c>
      <c r="T3894" s="9" t="str">
        <f t="shared" ca="1" si="138"/>
        <v/>
      </c>
      <c r="U3894" s="9" t="str">
        <f t="shared" ca="1" si="139"/>
        <v/>
      </c>
      <c r="AB3894" s="9" t="s">
        <v>8688</v>
      </c>
    </row>
    <row r="3895" spans="1:28">
      <c r="A3895" s="3" t="s">
        <v>1905</v>
      </c>
      <c r="D3895" s="3" t="s">
        <v>8594</v>
      </c>
      <c r="E3895" s="3" t="s">
        <v>8595</v>
      </c>
      <c r="F3895" t="s">
        <v>3932</v>
      </c>
      <c r="I3895" t="s">
        <v>8596</v>
      </c>
      <c r="T3895" s="9" t="str">
        <f t="shared" ca="1" si="138"/>
        <v/>
      </c>
      <c r="U3895" s="9" t="str">
        <f t="shared" ca="1" si="139"/>
        <v/>
      </c>
    </row>
    <row r="3896" spans="1:28">
      <c r="A3896" s="3" t="s">
        <v>1906</v>
      </c>
      <c r="D3896" s="3" t="s">
        <v>3664</v>
      </c>
      <c r="E3896" s="3" t="s">
        <v>3664</v>
      </c>
      <c r="F3896" t="s">
        <v>3932</v>
      </c>
      <c r="I3896" t="s">
        <v>8453</v>
      </c>
      <c r="T3896" s="9" t="str">
        <f t="shared" ca="1" si="138"/>
        <v/>
      </c>
      <c r="U3896" s="9" t="str">
        <f t="shared" ca="1" si="139"/>
        <v/>
      </c>
    </row>
    <row r="3897" spans="1:28">
      <c r="A3897" s="3" t="s">
        <v>1907</v>
      </c>
      <c r="D3897" s="3" t="s">
        <v>8597</v>
      </c>
      <c r="E3897" s="3" t="s">
        <v>8598</v>
      </c>
      <c r="J3897" s="9" t="s">
        <v>8729</v>
      </c>
      <c r="S3897" s="9">
        <f>65-0</f>
        <v>65</v>
      </c>
      <c r="T3897" s="9">
        <f t="shared" ca="1" si="138"/>
        <v>0</v>
      </c>
      <c r="U3897" s="9">
        <f t="shared" ca="1" si="139"/>
        <v>65</v>
      </c>
    </row>
    <row r="3898" spans="1:28">
      <c r="A3898" s="3" t="s">
        <v>1907</v>
      </c>
      <c r="D3898" s="3" t="s">
        <v>8599</v>
      </c>
      <c r="E3898" s="3" t="s">
        <v>8600</v>
      </c>
      <c r="J3898" s="9" t="s">
        <v>8731</v>
      </c>
      <c r="T3898" s="9" t="str">
        <f t="shared" ca="1" si="138"/>
        <v/>
      </c>
      <c r="U3898" s="9" t="str">
        <f t="shared" ca="1" si="139"/>
        <v/>
      </c>
    </row>
    <row r="3899" spans="1:28">
      <c r="A3899" s="3" t="s">
        <v>1908</v>
      </c>
      <c r="D3899" s="3" t="s">
        <v>8601</v>
      </c>
      <c r="E3899" s="3" t="s">
        <v>8602</v>
      </c>
      <c r="F3899" t="s">
        <v>3893</v>
      </c>
      <c r="H3899" t="s">
        <v>3884</v>
      </c>
      <c r="T3899" s="9" t="str">
        <f t="shared" ca="1" si="138"/>
        <v/>
      </c>
      <c r="U3899" s="9" t="str">
        <f t="shared" ca="1" si="139"/>
        <v/>
      </c>
    </row>
    <row r="3900" spans="1:28">
      <c r="A3900" s="3" t="s">
        <v>1908</v>
      </c>
      <c r="D3900" s="3" t="s">
        <v>8603</v>
      </c>
      <c r="E3900" s="3" t="s">
        <v>8604</v>
      </c>
      <c r="H3900" t="s">
        <v>3884</v>
      </c>
      <c r="J3900" s="9" t="s">
        <v>8729</v>
      </c>
      <c r="S3900" s="9" t="s">
        <v>8739</v>
      </c>
      <c r="T3900" s="9" t="str">
        <f t="shared" ca="1" si="138"/>
        <v/>
      </c>
      <c r="U3900" s="9" t="str">
        <f t="shared" ca="1" si="139"/>
        <v/>
      </c>
      <c r="Y3900" s="9" t="s">
        <v>8735</v>
      </c>
      <c r="AA3900" s="9" t="s">
        <v>3884</v>
      </c>
    </row>
    <row r="3901" spans="1:28" ht="29">
      <c r="A3901" s="3" t="s">
        <v>1909</v>
      </c>
      <c r="D3901" s="3" t="s">
        <v>8605</v>
      </c>
      <c r="E3901" s="3" t="s">
        <v>8606</v>
      </c>
      <c r="H3901" t="s">
        <v>3884</v>
      </c>
      <c r="J3901" s="9" t="s">
        <v>3885</v>
      </c>
      <c r="K3901" s="9">
        <v>1</v>
      </c>
      <c r="L3901" s="9">
        <v>8</v>
      </c>
      <c r="M3901" s="9" t="s">
        <v>8703</v>
      </c>
      <c r="N3901" s="9" t="s">
        <v>8684</v>
      </c>
      <c r="O3901" s="9" t="s">
        <v>8777</v>
      </c>
      <c r="P3901" s="10" t="s">
        <v>8778</v>
      </c>
      <c r="Q3901" s="9" t="s">
        <v>8691</v>
      </c>
      <c r="R3901" s="9">
        <v>62</v>
      </c>
      <c r="T3901" s="9" t="str">
        <f t="shared" ca="1" si="138"/>
        <v/>
      </c>
      <c r="U3901" s="9" t="str">
        <f t="shared" ca="1" si="139"/>
        <v/>
      </c>
      <c r="AB3901" s="9" t="s">
        <v>8694</v>
      </c>
    </row>
    <row r="3902" spans="1:28">
      <c r="A3902" s="3" t="s">
        <v>1909</v>
      </c>
      <c r="D3902" s="3" t="s">
        <v>8607</v>
      </c>
      <c r="E3902" s="3" t="s">
        <v>8608</v>
      </c>
      <c r="H3902" t="s">
        <v>3892</v>
      </c>
      <c r="I3902" t="s">
        <v>8609</v>
      </c>
      <c r="J3902" s="9" t="s">
        <v>8729</v>
      </c>
      <c r="S3902" s="9" t="s">
        <v>8739</v>
      </c>
      <c r="T3902" s="9" t="str">
        <f t="shared" ca="1" si="138"/>
        <v/>
      </c>
      <c r="U3902" s="9" t="str">
        <f t="shared" ca="1" si="139"/>
        <v/>
      </c>
      <c r="Y3902" s="9" t="s">
        <v>8735</v>
      </c>
      <c r="AA3902" s="9" t="s">
        <v>3884</v>
      </c>
    </row>
    <row r="3903" spans="1:28" ht="29">
      <c r="A3903" s="3" t="s">
        <v>1910</v>
      </c>
      <c r="D3903" s="3" t="s">
        <v>9180</v>
      </c>
      <c r="E3903" s="3" t="s">
        <v>9181</v>
      </c>
      <c r="J3903" s="9" t="s">
        <v>8729</v>
      </c>
      <c r="S3903" s="9">
        <f>0-2</f>
        <v>-2</v>
      </c>
      <c r="T3903" s="9">
        <f t="shared" ca="1" si="138"/>
        <v>2</v>
      </c>
      <c r="U3903" s="9">
        <f t="shared" ca="1" si="139"/>
        <v>0</v>
      </c>
    </row>
    <row r="3904" spans="1:28">
      <c r="A3904" s="3" t="s">
        <v>1910</v>
      </c>
      <c r="D3904" s="3" t="s">
        <v>9182</v>
      </c>
      <c r="E3904" s="3" t="s">
        <v>8610</v>
      </c>
      <c r="H3904" t="s">
        <v>3884</v>
      </c>
      <c r="J3904" s="9" t="s">
        <v>3889</v>
      </c>
      <c r="K3904" s="9">
        <v>1</v>
      </c>
      <c r="L3904" s="9">
        <v>1</v>
      </c>
      <c r="M3904" s="9" t="s">
        <v>8689</v>
      </c>
      <c r="N3904" s="9" t="s">
        <v>8730</v>
      </c>
      <c r="R3904" s="9">
        <v>10929</v>
      </c>
      <c r="T3904" s="9" t="str">
        <f t="shared" ca="1" si="138"/>
        <v/>
      </c>
      <c r="U3904" s="9" t="str">
        <f t="shared" ca="1" si="139"/>
        <v/>
      </c>
    </row>
    <row r="3905" spans="1:28">
      <c r="A3905" s="3" t="s">
        <v>1910</v>
      </c>
      <c r="D3905" s="4" t="s">
        <v>8611</v>
      </c>
      <c r="E3905" s="3" t="s">
        <v>8612</v>
      </c>
      <c r="F3905" t="s">
        <v>3883</v>
      </c>
      <c r="T3905" s="9" t="str">
        <f t="shared" ca="1" si="138"/>
        <v/>
      </c>
      <c r="U3905" s="9" t="str">
        <f t="shared" ca="1" si="139"/>
        <v/>
      </c>
    </row>
    <row r="3906" spans="1:28" ht="29">
      <c r="A3906" s="3" t="s">
        <v>1910</v>
      </c>
      <c r="D3906" s="3" t="s">
        <v>8613</v>
      </c>
      <c r="E3906" s="3" t="s">
        <v>8615</v>
      </c>
      <c r="J3906" s="9" t="s">
        <v>8729</v>
      </c>
      <c r="S3906" s="9">
        <f>141-4</f>
        <v>137</v>
      </c>
      <c r="T3906" s="9">
        <f t="shared" ca="1" si="138"/>
        <v>4</v>
      </c>
      <c r="U3906" s="9">
        <f t="shared" ca="1" si="139"/>
        <v>141</v>
      </c>
    </row>
    <row r="3907" spans="1:28" ht="29">
      <c r="A3907" s="3" t="s">
        <v>1910</v>
      </c>
      <c r="D3907" s="3" t="s">
        <v>8614</v>
      </c>
      <c r="E3907" s="3" t="s">
        <v>8616</v>
      </c>
      <c r="F3907" t="s">
        <v>3932</v>
      </c>
      <c r="I3907" t="s">
        <v>8619</v>
      </c>
      <c r="T3907" s="9" t="str">
        <f t="shared" ca="1" si="138"/>
        <v/>
      </c>
      <c r="U3907" s="9" t="str">
        <f t="shared" ca="1" si="139"/>
        <v/>
      </c>
    </row>
    <row r="3908" spans="1:28" ht="29">
      <c r="A3908" s="3" t="s">
        <v>1910</v>
      </c>
      <c r="D3908" s="3" t="s">
        <v>8617</v>
      </c>
      <c r="E3908" s="3" t="s">
        <v>8618</v>
      </c>
      <c r="J3908" s="9" t="s">
        <v>8731</v>
      </c>
      <c r="T3908" s="9" t="str">
        <f t="shared" ref="T3908:T3950" ca="1" si="140">IF(ISNUMBER(S3908),VALUE(MID(_xlfn.FORMULATEXT(S3908),SEARCH("-",_xlfn.FORMULATEXT(S3908))+1,LEN(_xlfn.FORMULATEXT(S3908))-SEARCH("-",_xlfn.FORMULATEXT(S3908)))), "")</f>
        <v/>
      </c>
      <c r="U3908" s="9" t="str">
        <f t="shared" ref="U3908:U3950" ca="1" si="141">IF(ISNUMBER(S3908), VALUE(MID(_xlfn.FORMULATEXT(S3908), 2, SEARCH("-", _xlfn.FORMULATEXT(S3908)) - 2)), "")</f>
        <v/>
      </c>
      <c r="AB3908" s="9" t="s">
        <v>8697</v>
      </c>
    </row>
    <row r="3909" spans="1:28">
      <c r="A3909" s="3" t="s">
        <v>1911</v>
      </c>
      <c r="D3909" s="3" t="s">
        <v>8620</v>
      </c>
      <c r="E3909" s="4" t="s">
        <v>8621</v>
      </c>
      <c r="F3909" t="s">
        <v>3897</v>
      </c>
      <c r="T3909" s="9" t="str">
        <f t="shared" ca="1" si="140"/>
        <v/>
      </c>
      <c r="U3909" s="9" t="str">
        <f t="shared" ca="1" si="141"/>
        <v/>
      </c>
    </row>
    <row r="3910" spans="1:28">
      <c r="A3910" s="3" t="s">
        <v>1911</v>
      </c>
      <c r="D3910" s="3" t="s">
        <v>8622</v>
      </c>
      <c r="E3910" s="3" t="s">
        <v>8623</v>
      </c>
      <c r="J3910" s="9" t="s">
        <v>8731</v>
      </c>
      <c r="T3910" s="9" t="str">
        <f t="shared" ca="1" si="140"/>
        <v/>
      </c>
      <c r="U3910" s="9" t="str">
        <f t="shared" ca="1" si="141"/>
        <v/>
      </c>
      <c r="AB3910" s="9" t="s">
        <v>8694</v>
      </c>
    </row>
    <row r="3911" spans="1:28">
      <c r="A3911" s="3" t="s">
        <v>1911</v>
      </c>
      <c r="D3911" s="3" t="s">
        <v>8624</v>
      </c>
      <c r="E3911" s="3" t="s">
        <v>8625</v>
      </c>
      <c r="F3911" t="s">
        <v>3932</v>
      </c>
      <c r="I3911" t="s">
        <v>1947</v>
      </c>
      <c r="T3911" s="9" t="str">
        <f t="shared" ca="1" si="140"/>
        <v/>
      </c>
      <c r="U3911" s="9" t="str">
        <f t="shared" ca="1" si="141"/>
        <v/>
      </c>
    </row>
    <row r="3912" spans="1:28">
      <c r="A3912" s="3" t="s">
        <v>1912</v>
      </c>
      <c r="D3912" s="3" t="s">
        <v>3851</v>
      </c>
      <c r="E3912" s="3" t="s">
        <v>3851</v>
      </c>
      <c r="F3912" t="s">
        <v>3932</v>
      </c>
      <c r="I3912" t="s">
        <v>8626</v>
      </c>
      <c r="T3912" s="9" t="str">
        <f t="shared" ca="1" si="140"/>
        <v/>
      </c>
      <c r="U3912" s="9" t="str">
        <f t="shared" ca="1" si="141"/>
        <v/>
      </c>
    </row>
    <row r="3913" spans="1:28">
      <c r="A3913" s="3" t="s">
        <v>1912</v>
      </c>
      <c r="D3913" s="3" t="s">
        <v>3859</v>
      </c>
      <c r="E3913" s="3" t="s">
        <v>3859</v>
      </c>
      <c r="F3913" t="s">
        <v>3932</v>
      </c>
      <c r="I3913" t="s">
        <v>2136</v>
      </c>
      <c r="T3913" s="9" t="str">
        <f t="shared" ca="1" si="140"/>
        <v/>
      </c>
      <c r="U3913" s="9" t="str">
        <f t="shared" ca="1" si="141"/>
        <v/>
      </c>
    </row>
    <row r="3914" spans="1:28">
      <c r="A3914" s="3" t="s">
        <v>1913</v>
      </c>
      <c r="D3914" s="3" t="s">
        <v>2047</v>
      </c>
      <c r="E3914" s="3" t="s">
        <v>2048</v>
      </c>
      <c r="J3914" s="9" t="s">
        <v>8729</v>
      </c>
      <c r="S3914" s="9" t="s">
        <v>8739</v>
      </c>
      <c r="T3914" s="9" t="str">
        <f t="shared" ca="1" si="140"/>
        <v/>
      </c>
      <c r="U3914" s="9" t="str">
        <f t="shared" ca="1" si="141"/>
        <v/>
      </c>
      <c r="Z3914" s="9" t="s">
        <v>8747</v>
      </c>
      <c r="AA3914" s="9" t="s">
        <v>3884</v>
      </c>
    </row>
    <row r="3915" spans="1:28">
      <c r="A3915" s="3" t="s">
        <v>1914</v>
      </c>
      <c r="D3915" s="3" t="s">
        <v>3860</v>
      </c>
      <c r="E3915" s="3" t="s">
        <v>3861</v>
      </c>
      <c r="J3915" s="9" t="s">
        <v>8729</v>
      </c>
      <c r="S3915" s="9" t="s">
        <v>8739</v>
      </c>
      <c r="T3915" s="9" t="str">
        <f t="shared" ca="1" si="140"/>
        <v/>
      </c>
      <c r="U3915" s="9" t="str">
        <f t="shared" ca="1" si="141"/>
        <v/>
      </c>
      <c r="Y3915" s="9" t="s">
        <v>8735</v>
      </c>
      <c r="AA3915" s="9" t="s">
        <v>3884</v>
      </c>
    </row>
    <row r="3916" spans="1:28">
      <c r="A3916" s="3" t="s">
        <v>1914</v>
      </c>
      <c r="D3916" s="4" t="s">
        <v>8627</v>
      </c>
      <c r="E3916" s="3" t="s">
        <v>8628</v>
      </c>
      <c r="F3916" t="s">
        <v>3883</v>
      </c>
      <c r="T3916" s="9" t="str">
        <f t="shared" ca="1" si="140"/>
        <v/>
      </c>
      <c r="U3916" s="9" t="str">
        <f t="shared" ca="1" si="141"/>
        <v/>
      </c>
    </row>
    <row r="3917" spans="1:28">
      <c r="A3917" s="3" t="s">
        <v>1914</v>
      </c>
      <c r="D3917" s="3" t="s">
        <v>8629</v>
      </c>
      <c r="E3917" s="3" t="s">
        <v>8629</v>
      </c>
      <c r="F3917" t="s">
        <v>3932</v>
      </c>
      <c r="I3917" t="s">
        <v>8630</v>
      </c>
      <c r="T3917" s="9" t="str">
        <f t="shared" ca="1" si="140"/>
        <v/>
      </c>
      <c r="U3917" s="9" t="str">
        <f t="shared" ca="1" si="141"/>
        <v/>
      </c>
    </row>
    <row r="3918" spans="1:28">
      <c r="A3918" s="3" t="s">
        <v>1915</v>
      </c>
      <c r="D3918" s="3" t="s">
        <v>8631</v>
      </c>
      <c r="E3918" s="3" t="s">
        <v>8631</v>
      </c>
      <c r="F3918" t="s">
        <v>3932</v>
      </c>
      <c r="I3918" t="s">
        <v>8113</v>
      </c>
      <c r="T3918" s="9" t="str">
        <f t="shared" ca="1" si="140"/>
        <v/>
      </c>
      <c r="U3918" s="9" t="str">
        <f t="shared" ca="1" si="141"/>
        <v/>
      </c>
    </row>
    <row r="3919" spans="1:28" ht="29">
      <c r="A3919" s="3" t="s">
        <v>1915</v>
      </c>
      <c r="D3919" s="3" t="s">
        <v>7644</v>
      </c>
      <c r="E3919" s="3" t="s">
        <v>6948</v>
      </c>
      <c r="F3919" t="s">
        <v>3932</v>
      </c>
      <c r="I3919" t="s">
        <v>6949</v>
      </c>
      <c r="T3919" s="9" t="str">
        <f t="shared" ca="1" si="140"/>
        <v/>
      </c>
      <c r="U3919" s="9" t="str">
        <f t="shared" ca="1" si="141"/>
        <v/>
      </c>
    </row>
    <row r="3920" spans="1:28">
      <c r="A3920" s="3" t="s">
        <v>1916</v>
      </c>
      <c r="D3920" s="3" t="s">
        <v>8632</v>
      </c>
      <c r="E3920" s="3" t="s">
        <v>8632</v>
      </c>
      <c r="F3920" t="s">
        <v>3932</v>
      </c>
      <c r="I3920" t="s">
        <v>8633</v>
      </c>
      <c r="T3920" s="9" t="str">
        <f t="shared" ca="1" si="140"/>
        <v/>
      </c>
      <c r="U3920" s="9" t="str">
        <f t="shared" ca="1" si="141"/>
        <v/>
      </c>
    </row>
    <row r="3921" spans="1:28">
      <c r="A3921" s="3" t="s">
        <v>1917</v>
      </c>
      <c r="D3921" s="3" t="s">
        <v>6958</v>
      </c>
      <c r="E3921" s="3" t="s">
        <v>6958</v>
      </c>
      <c r="F3921" t="s">
        <v>3932</v>
      </c>
      <c r="I3921" t="s">
        <v>8634</v>
      </c>
      <c r="T3921" s="9" t="str">
        <f t="shared" ca="1" si="140"/>
        <v/>
      </c>
      <c r="U3921" s="9" t="str">
        <f t="shared" ca="1" si="141"/>
        <v/>
      </c>
    </row>
    <row r="3922" spans="1:28" ht="43.5">
      <c r="A3922" s="3" t="s">
        <v>1917</v>
      </c>
      <c r="D3922" s="3" t="s">
        <v>8635</v>
      </c>
      <c r="E3922" s="3" t="s">
        <v>8637</v>
      </c>
      <c r="F3922" t="s">
        <v>3932</v>
      </c>
      <c r="I3922" t="s">
        <v>6881</v>
      </c>
      <c r="T3922" s="9" t="str">
        <f t="shared" ca="1" si="140"/>
        <v/>
      </c>
      <c r="U3922" s="9" t="str">
        <f t="shared" ca="1" si="141"/>
        <v/>
      </c>
    </row>
    <row r="3923" spans="1:28" ht="43.5">
      <c r="A3923" s="3" t="s">
        <v>1917</v>
      </c>
      <c r="D3923" s="3" t="s">
        <v>6892</v>
      </c>
      <c r="E3923" s="3" t="s">
        <v>8636</v>
      </c>
      <c r="H3923" t="s">
        <v>3884</v>
      </c>
      <c r="J3923" s="9" t="s">
        <v>3885</v>
      </c>
      <c r="K3923" s="9">
        <v>1</v>
      </c>
      <c r="L3923" s="9">
        <v>6</v>
      </c>
      <c r="M3923" s="9" t="s">
        <v>8703</v>
      </c>
      <c r="N3923" s="9" t="s">
        <v>8690</v>
      </c>
      <c r="R3923" s="9">
        <v>627</v>
      </c>
      <c r="T3923" s="9" t="str">
        <f t="shared" ca="1" si="140"/>
        <v/>
      </c>
      <c r="U3923" s="9" t="str">
        <f t="shared" ca="1" si="141"/>
        <v/>
      </c>
      <c r="AB3923" s="9" t="s">
        <v>8694</v>
      </c>
    </row>
    <row r="3924" spans="1:28">
      <c r="A3924" s="3" t="s">
        <v>1918</v>
      </c>
      <c r="D3924" s="3" t="s">
        <v>3862</v>
      </c>
      <c r="E3924" s="3" t="s">
        <v>3862</v>
      </c>
      <c r="F3924" t="s">
        <v>3932</v>
      </c>
      <c r="I3924" t="s">
        <v>8638</v>
      </c>
      <c r="T3924" s="9" t="str">
        <f t="shared" ca="1" si="140"/>
        <v/>
      </c>
      <c r="U3924" s="9" t="str">
        <f t="shared" ca="1" si="141"/>
        <v/>
      </c>
    </row>
    <row r="3925" spans="1:28">
      <c r="A3925" s="3" t="s">
        <v>1919</v>
      </c>
      <c r="D3925" s="3" t="s">
        <v>8639</v>
      </c>
      <c r="E3925" s="3" t="s">
        <v>8640</v>
      </c>
      <c r="H3925" t="s">
        <v>3884</v>
      </c>
      <c r="I3925" t="s">
        <v>9183</v>
      </c>
      <c r="J3925" s="9" t="s">
        <v>3885</v>
      </c>
      <c r="K3925" s="9">
        <v>1</v>
      </c>
      <c r="L3925" s="9">
        <v>3</v>
      </c>
      <c r="M3925" s="9" t="s">
        <v>8703</v>
      </c>
      <c r="N3925" s="9" t="s">
        <v>8684</v>
      </c>
      <c r="O3925" s="9" t="s">
        <v>8771</v>
      </c>
      <c r="P3925" s="10" t="s">
        <v>8778</v>
      </c>
      <c r="Q3925" s="9" t="s">
        <v>8685</v>
      </c>
      <c r="R3925" s="9">
        <v>0</v>
      </c>
      <c r="T3925" s="9" t="str">
        <f t="shared" ca="1" si="140"/>
        <v/>
      </c>
      <c r="U3925" s="9" t="str">
        <f t="shared" ca="1" si="141"/>
        <v/>
      </c>
      <c r="AB3925" s="9" t="s">
        <v>8694</v>
      </c>
    </row>
    <row r="3926" spans="1:28" ht="29">
      <c r="A3926" s="3" t="s">
        <v>1920</v>
      </c>
      <c r="D3926" s="4" t="s">
        <v>8641</v>
      </c>
      <c r="E3926" s="3" t="s">
        <v>8642</v>
      </c>
      <c r="F3926" t="s">
        <v>3883</v>
      </c>
      <c r="H3926" t="s">
        <v>3884</v>
      </c>
      <c r="J3926" s="9" t="s">
        <v>8731</v>
      </c>
      <c r="T3926" s="9" t="str">
        <f t="shared" ca="1" si="140"/>
        <v/>
      </c>
      <c r="U3926" s="9" t="str">
        <f t="shared" ca="1" si="141"/>
        <v/>
      </c>
      <c r="AB3926" s="9" t="s">
        <v>8700</v>
      </c>
    </row>
    <row r="3927" spans="1:28" ht="29">
      <c r="A3927" s="3" t="s">
        <v>1920</v>
      </c>
      <c r="D3927" s="3" t="s">
        <v>8643</v>
      </c>
      <c r="E3927" s="3" t="s">
        <v>8644</v>
      </c>
      <c r="F3927" t="s">
        <v>3932</v>
      </c>
      <c r="I3927" t="s">
        <v>2178</v>
      </c>
      <c r="T3927" s="9" t="str">
        <f t="shared" ca="1" si="140"/>
        <v/>
      </c>
      <c r="U3927" s="9" t="str">
        <f t="shared" ca="1" si="141"/>
        <v/>
      </c>
    </row>
    <row r="3928" spans="1:28">
      <c r="A3928" s="3" t="s">
        <v>1921</v>
      </c>
      <c r="D3928" s="3" t="s">
        <v>2674</v>
      </c>
      <c r="E3928" s="3" t="s">
        <v>2674</v>
      </c>
      <c r="F3928" t="s">
        <v>3932</v>
      </c>
      <c r="I3928" t="s">
        <v>2359</v>
      </c>
      <c r="T3928" s="9" t="str">
        <f t="shared" ca="1" si="140"/>
        <v/>
      </c>
      <c r="U3928" s="9" t="str">
        <f t="shared" ca="1" si="141"/>
        <v/>
      </c>
    </row>
    <row r="3929" spans="1:28" ht="29">
      <c r="A3929" s="3" t="s">
        <v>1922</v>
      </c>
      <c r="D3929" s="3" t="s">
        <v>8645</v>
      </c>
      <c r="E3929" s="3" t="s">
        <v>8646</v>
      </c>
      <c r="J3929" s="9" t="s">
        <v>3889</v>
      </c>
      <c r="K3929" s="9">
        <v>1</v>
      </c>
      <c r="L3929" s="9">
        <v>3</v>
      </c>
      <c r="M3929" s="9" t="s">
        <v>8689</v>
      </c>
      <c r="N3929" s="9" t="s">
        <v>8690</v>
      </c>
      <c r="R3929" s="9">
        <v>10929</v>
      </c>
      <c r="T3929" s="9" t="str">
        <f t="shared" ca="1" si="140"/>
        <v/>
      </c>
      <c r="U3929" s="9" t="str">
        <f t="shared" ca="1" si="141"/>
        <v/>
      </c>
    </row>
    <row r="3930" spans="1:28">
      <c r="A3930" s="3" t="s">
        <v>1923</v>
      </c>
      <c r="D3930" s="3" t="s">
        <v>8647</v>
      </c>
      <c r="E3930" s="3" t="s">
        <v>8648</v>
      </c>
      <c r="H3930" t="s">
        <v>3892</v>
      </c>
      <c r="I3930" t="s">
        <v>8649</v>
      </c>
      <c r="J3930" s="9" t="s">
        <v>8731</v>
      </c>
      <c r="T3930" s="9" t="str">
        <f t="shared" ca="1" si="140"/>
        <v/>
      </c>
      <c r="U3930" s="9" t="str">
        <f t="shared" ca="1" si="141"/>
        <v/>
      </c>
      <c r="AB3930" s="9" t="s">
        <v>8694</v>
      </c>
    </row>
    <row r="3931" spans="1:28">
      <c r="A3931" s="3" t="s">
        <v>1923</v>
      </c>
      <c r="D3931" s="4" t="s">
        <v>3863</v>
      </c>
      <c r="E3931" s="3" t="s">
        <v>3864</v>
      </c>
      <c r="F3931" t="s">
        <v>4196</v>
      </c>
      <c r="H3931" t="s">
        <v>3884</v>
      </c>
      <c r="I3931" t="s">
        <v>8650</v>
      </c>
      <c r="J3931" s="9" t="s">
        <v>8729</v>
      </c>
      <c r="S3931" s="9" t="s">
        <v>8739</v>
      </c>
      <c r="T3931" s="9" t="str">
        <f t="shared" ca="1" si="140"/>
        <v/>
      </c>
      <c r="U3931" s="9" t="str">
        <f t="shared" ca="1" si="141"/>
        <v/>
      </c>
      <c r="Y3931" s="9" t="s">
        <v>8735</v>
      </c>
      <c r="AA3931" s="9" t="s">
        <v>3884</v>
      </c>
    </row>
    <row r="3932" spans="1:28">
      <c r="A3932" s="3" t="s">
        <v>1924</v>
      </c>
      <c r="D3932" s="3" t="s">
        <v>3865</v>
      </c>
      <c r="E3932" s="4" t="s">
        <v>3866</v>
      </c>
      <c r="F3932" t="s">
        <v>3897</v>
      </c>
      <c r="T3932" s="9" t="str">
        <f t="shared" ca="1" si="140"/>
        <v/>
      </c>
      <c r="U3932" s="9" t="str">
        <f t="shared" ca="1" si="141"/>
        <v/>
      </c>
    </row>
    <row r="3933" spans="1:28">
      <c r="A3933" s="3" t="s">
        <v>1924</v>
      </c>
      <c r="D3933" s="3" t="s">
        <v>3867</v>
      </c>
      <c r="E3933" s="3" t="s">
        <v>3868</v>
      </c>
      <c r="J3933" s="9" t="s">
        <v>8731</v>
      </c>
      <c r="T3933" s="9" t="str">
        <f t="shared" ca="1" si="140"/>
        <v/>
      </c>
      <c r="U3933" s="9" t="str">
        <f t="shared" ca="1" si="141"/>
        <v/>
      </c>
      <c r="Z3933" s="9" t="s">
        <v>8741</v>
      </c>
      <c r="AA3933" s="9" t="s">
        <v>3884</v>
      </c>
    </row>
    <row r="3934" spans="1:28">
      <c r="A3934" s="3" t="s">
        <v>1924</v>
      </c>
      <c r="D3934" s="3" t="s">
        <v>8651</v>
      </c>
      <c r="E3934" s="3" t="s">
        <v>8652</v>
      </c>
      <c r="H3934" t="s">
        <v>3884</v>
      </c>
      <c r="J3934" s="9" t="s">
        <v>3889</v>
      </c>
      <c r="K3934" s="9">
        <v>1</v>
      </c>
      <c r="L3934" s="9">
        <v>2</v>
      </c>
      <c r="M3934" s="9" t="s">
        <v>8736</v>
      </c>
      <c r="N3934" s="9" t="s">
        <v>8730</v>
      </c>
      <c r="R3934" s="9">
        <v>645</v>
      </c>
      <c r="T3934" s="9" t="str">
        <f t="shared" ca="1" si="140"/>
        <v/>
      </c>
      <c r="U3934" s="9" t="str">
        <f t="shared" ca="1" si="141"/>
        <v/>
      </c>
    </row>
    <row r="3935" spans="1:28" ht="29">
      <c r="A3935" s="3" t="s">
        <v>1925</v>
      </c>
      <c r="D3935" s="3" t="s">
        <v>8653</v>
      </c>
      <c r="E3935" s="3" t="s">
        <v>8653</v>
      </c>
      <c r="F3935" t="s">
        <v>3932</v>
      </c>
      <c r="I3935" t="s">
        <v>8654</v>
      </c>
      <c r="T3935" s="9" t="str">
        <f t="shared" ca="1" si="140"/>
        <v/>
      </c>
      <c r="U3935" s="9" t="str">
        <f t="shared" ca="1" si="141"/>
        <v/>
      </c>
    </row>
    <row r="3936" spans="1:28">
      <c r="A3936" s="3" t="s">
        <v>1926</v>
      </c>
      <c r="D3936" s="3" t="s">
        <v>3525</v>
      </c>
      <c r="E3936" s="3" t="s">
        <v>3526</v>
      </c>
      <c r="J3936" s="9" t="s">
        <v>8731</v>
      </c>
      <c r="T3936" s="9" t="str">
        <f t="shared" ca="1" si="140"/>
        <v/>
      </c>
      <c r="U3936" s="9" t="str">
        <f t="shared" ca="1" si="141"/>
        <v/>
      </c>
      <c r="Z3936" s="9" t="s">
        <v>8741</v>
      </c>
      <c r="AA3936" s="9" t="s">
        <v>3884</v>
      </c>
    </row>
    <row r="3937" spans="1:28">
      <c r="A3937" s="3" t="s">
        <v>1926</v>
      </c>
      <c r="D3937" s="3" t="s">
        <v>8655</v>
      </c>
      <c r="E3937" s="3" t="s">
        <v>8656</v>
      </c>
      <c r="H3937" t="s">
        <v>3884</v>
      </c>
      <c r="J3937" s="9" t="s">
        <v>8729</v>
      </c>
      <c r="S3937" s="9">
        <f>1942-872</f>
        <v>1070</v>
      </c>
      <c r="T3937" s="9">
        <f t="shared" ca="1" si="140"/>
        <v>872</v>
      </c>
      <c r="U3937" s="9">
        <f t="shared" ca="1" si="141"/>
        <v>1942</v>
      </c>
    </row>
    <row r="3938" spans="1:28">
      <c r="A3938" s="3" t="s">
        <v>1926</v>
      </c>
      <c r="D3938" s="3" t="s">
        <v>8657</v>
      </c>
      <c r="E3938" s="3" t="s">
        <v>8658</v>
      </c>
      <c r="F3938" t="s">
        <v>3932</v>
      </c>
      <c r="I3938" t="s">
        <v>3663</v>
      </c>
      <c r="T3938" s="9" t="str">
        <f t="shared" ca="1" si="140"/>
        <v/>
      </c>
      <c r="U3938" s="9" t="str">
        <f t="shared" ca="1" si="141"/>
        <v/>
      </c>
    </row>
    <row r="3939" spans="1:28">
      <c r="A3939" s="3" t="s">
        <v>1927</v>
      </c>
      <c r="D3939" s="3" t="s">
        <v>8659</v>
      </c>
      <c r="E3939" s="3" t="s">
        <v>8660</v>
      </c>
      <c r="H3939" t="s">
        <v>3884</v>
      </c>
      <c r="J3939" s="9" t="s">
        <v>3889</v>
      </c>
      <c r="K3939" s="9">
        <v>1</v>
      </c>
      <c r="L3939" s="9">
        <v>2</v>
      </c>
      <c r="M3939" s="9" t="s">
        <v>8689</v>
      </c>
      <c r="N3939" s="9" t="s">
        <v>8730</v>
      </c>
      <c r="R3939" s="9">
        <v>10929</v>
      </c>
      <c r="T3939" s="9" t="str">
        <f t="shared" ca="1" si="140"/>
        <v/>
      </c>
      <c r="U3939" s="9" t="str">
        <f t="shared" ca="1" si="141"/>
        <v/>
      </c>
    </row>
    <row r="3940" spans="1:28">
      <c r="A3940" s="3" t="s">
        <v>1928</v>
      </c>
      <c r="D3940" s="3" t="s">
        <v>8661</v>
      </c>
      <c r="E3940" s="3" t="s">
        <v>8662</v>
      </c>
      <c r="J3940" s="9" t="s">
        <v>3885</v>
      </c>
      <c r="K3940" s="9">
        <v>1</v>
      </c>
      <c r="L3940" s="9">
        <v>2</v>
      </c>
      <c r="M3940" s="9" t="s">
        <v>8689</v>
      </c>
      <c r="N3940" s="9" t="s">
        <v>8730</v>
      </c>
      <c r="R3940" s="9">
        <v>10929</v>
      </c>
      <c r="T3940" s="9" t="str">
        <f t="shared" ca="1" si="140"/>
        <v/>
      </c>
      <c r="U3940" s="9" t="str">
        <f t="shared" ca="1" si="141"/>
        <v/>
      </c>
    </row>
    <row r="3941" spans="1:28">
      <c r="A3941" s="3" t="s">
        <v>1928</v>
      </c>
      <c r="D3941" s="3" t="s">
        <v>3869</v>
      </c>
      <c r="E3941" s="3" t="s">
        <v>3870</v>
      </c>
      <c r="H3941" t="s">
        <v>3892</v>
      </c>
      <c r="I3941" t="s">
        <v>8663</v>
      </c>
      <c r="J3941" s="9" t="s">
        <v>8729</v>
      </c>
      <c r="S3941" s="9" t="s">
        <v>8739</v>
      </c>
      <c r="T3941" s="9" t="str">
        <f t="shared" ca="1" si="140"/>
        <v/>
      </c>
      <c r="U3941" s="9" t="str">
        <f t="shared" ca="1" si="141"/>
        <v/>
      </c>
      <c r="Y3941" s="9" t="s">
        <v>8735</v>
      </c>
      <c r="AA3941" s="9" t="s">
        <v>3884</v>
      </c>
    </row>
    <row r="3942" spans="1:28">
      <c r="A3942" s="3" t="s">
        <v>1929</v>
      </c>
      <c r="D3942" s="3" t="s">
        <v>8664</v>
      </c>
      <c r="E3942" s="3" t="s">
        <v>8664</v>
      </c>
      <c r="F3942" t="s">
        <v>3932</v>
      </c>
      <c r="I3942" t="s">
        <v>8665</v>
      </c>
      <c r="T3942" s="9" t="str">
        <f t="shared" ca="1" si="140"/>
        <v/>
      </c>
      <c r="U3942" s="9" t="str">
        <f t="shared" ca="1" si="141"/>
        <v/>
      </c>
    </row>
    <row r="3943" spans="1:28">
      <c r="A3943" s="3" t="s">
        <v>1929</v>
      </c>
      <c r="D3943" s="3" t="s">
        <v>8666</v>
      </c>
      <c r="E3943" s="3" t="s">
        <v>8666</v>
      </c>
      <c r="F3943" t="s">
        <v>3932</v>
      </c>
      <c r="I3943" t="s">
        <v>1962</v>
      </c>
      <c r="T3943" s="9" t="str">
        <f t="shared" ca="1" si="140"/>
        <v/>
      </c>
      <c r="U3943" s="9" t="str">
        <f t="shared" ca="1" si="141"/>
        <v/>
      </c>
    </row>
    <row r="3944" spans="1:28">
      <c r="A3944" s="3" t="s">
        <v>1929</v>
      </c>
      <c r="D3944" s="3" t="s">
        <v>8667</v>
      </c>
      <c r="E3944" s="3" t="s">
        <v>8667</v>
      </c>
      <c r="F3944" t="s">
        <v>3932</v>
      </c>
      <c r="I3944" t="s">
        <v>8453</v>
      </c>
      <c r="T3944" s="9" t="str">
        <f t="shared" ca="1" si="140"/>
        <v/>
      </c>
      <c r="U3944" s="9" t="str">
        <f t="shared" ca="1" si="141"/>
        <v/>
      </c>
    </row>
    <row r="3945" spans="1:28">
      <c r="A3945" s="3" t="s">
        <v>1930</v>
      </c>
      <c r="D3945" s="3" t="s">
        <v>8668</v>
      </c>
      <c r="E3945" s="3" t="s">
        <v>8669</v>
      </c>
      <c r="H3945" t="s">
        <v>3884</v>
      </c>
      <c r="J3945" s="9" t="s">
        <v>8731</v>
      </c>
      <c r="T3945" s="9" t="str">
        <f t="shared" ca="1" si="140"/>
        <v/>
      </c>
      <c r="U3945" s="9" t="str">
        <f t="shared" ca="1" si="141"/>
        <v/>
      </c>
    </row>
    <row r="3946" spans="1:28">
      <c r="A3946" s="3" t="s">
        <v>1930</v>
      </c>
      <c r="D3946" s="3" t="s">
        <v>3900</v>
      </c>
      <c r="E3946" s="3" t="s">
        <v>3901</v>
      </c>
      <c r="G3946" t="s">
        <v>3884</v>
      </c>
      <c r="J3946" s="9" t="s">
        <v>8731</v>
      </c>
      <c r="T3946" s="9" t="str">
        <f t="shared" ca="1" si="140"/>
        <v/>
      </c>
      <c r="U3946" s="9" t="str">
        <f t="shared" ca="1" si="141"/>
        <v/>
      </c>
      <c r="AB3946" s="9" t="s">
        <v>8700</v>
      </c>
    </row>
    <row r="3947" spans="1:28">
      <c r="A3947" s="3" t="s">
        <v>1930</v>
      </c>
      <c r="D3947" s="4" t="s">
        <v>8670</v>
      </c>
      <c r="E3947" s="3" t="s">
        <v>8671</v>
      </c>
      <c r="F3947" t="s">
        <v>3883</v>
      </c>
      <c r="H3947" t="s">
        <v>3884</v>
      </c>
      <c r="J3947" s="9" t="s">
        <v>8731</v>
      </c>
      <c r="T3947" s="9" t="str">
        <f t="shared" ca="1" si="140"/>
        <v/>
      </c>
      <c r="U3947" s="9" t="str">
        <f t="shared" ca="1" si="141"/>
        <v/>
      </c>
      <c r="AB3947" s="9" t="s">
        <v>8694</v>
      </c>
    </row>
    <row r="3948" spans="1:28">
      <c r="A3948" s="3" t="s">
        <v>1930</v>
      </c>
      <c r="D3948" s="3" t="s">
        <v>3871</v>
      </c>
      <c r="E3948" s="3" t="s">
        <v>3871</v>
      </c>
      <c r="F3948" t="s">
        <v>3932</v>
      </c>
      <c r="I3948" t="s">
        <v>3872</v>
      </c>
      <c r="T3948" s="9" t="str">
        <f t="shared" ca="1" si="140"/>
        <v/>
      </c>
      <c r="U3948" s="9" t="str">
        <f t="shared" ca="1" si="141"/>
        <v/>
      </c>
    </row>
    <row r="3949" spans="1:28">
      <c r="A3949" s="3" t="s">
        <v>1930</v>
      </c>
      <c r="D3949" s="3" t="s">
        <v>3873</v>
      </c>
      <c r="E3949" s="3" t="s">
        <v>3873</v>
      </c>
      <c r="F3949" t="s">
        <v>3932</v>
      </c>
      <c r="I3949" t="s">
        <v>8672</v>
      </c>
      <c r="T3949" s="9" t="str">
        <f t="shared" ca="1" si="140"/>
        <v/>
      </c>
      <c r="U3949" s="9" t="str">
        <f t="shared" ca="1" si="141"/>
        <v/>
      </c>
    </row>
    <row r="3950" spans="1:28" ht="116">
      <c r="A3950" s="3" t="s">
        <v>1930</v>
      </c>
      <c r="D3950" s="3" t="s">
        <v>8673</v>
      </c>
      <c r="E3950" s="3" t="s">
        <v>8674</v>
      </c>
      <c r="H3950" t="s">
        <v>3884</v>
      </c>
      <c r="I3950" t="s">
        <v>9718</v>
      </c>
      <c r="J3950" s="9" t="s">
        <v>3885</v>
      </c>
      <c r="K3950" s="9">
        <v>17</v>
      </c>
      <c r="L3950" s="9">
        <v>86</v>
      </c>
      <c r="N3950" s="9" t="s">
        <v>8684</v>
      </c>
      <c r="O3950" s="9" t="s">
        <v>8847</v>
      </c>
      <c r="P3950" s="10" t="s">
        <v>8813</v>
      </c>
      <c r="Q3950" s="9" t="s">
        <v>8691</v>
      </c>
      <c r="R3950" s="9">
        <v>7</v>
      </c>
      <c r="T3950" s="9" t="str">
        <f t="shared" ca="1" si="140"/>
        <v/>
      </c>
      <c r="U3950" s="9" t="str">
        <f t="shared" ca="1" si="141"/>
        <v/>
      </c>
    </row>
    <row r="3952" spans="1:28">
      <c r="D3952" t="s">
        <v>8737</v>
      </c>
      <c r="E3952">
        <f>SUBTOTAL(3,A1:A3950)</f>
        <v>3950</v>
      </c>
    </row>
    <row r="3953" spans="4:5">
      <c r="D3953" t="s">
        <v>8738</v>
      </c>
      <c r="E3953">
        <f>COUNTA(A1:A3950)</f>
        <v>3950</v>
      </c>
    </row>
  </sheetData>
  <conditionalFormatting sqref="J2:J1048576">
    <cfRule type="expression" dxfId="181" priority="7">
      <formula>$J2&lt;&gt;""</formula>
    </cfRule>
    <cfRule type="expression" dxfId="180" priority="8">
      <formula>$J2=""</formula>
    </cfRule>
  </conditionalFormatting>
  <conditionalFormatting sqref="K2:N1048576 Q2:R1048576">
    <cfRule type="expression" dxfId="179" priority="16">
      <formula>AND(OR($J2="Addition",$J2="Omission"), K2="")</formula>
    </cfRule>
    <cfRule type="expression" dxfId="178" priority="17">
      <formula>AND($J2&lt;&gt;"Addition",$J2&lt;&gt;"Omission",$J2&lt;&gt;"Substitution - Word")</formula>
    </cfRule>
  </conditionalFormatting>
  <conditionalFormatting sqref="K2:R1048576">
    <cfRule type="expression" dxfId="177" priority="15">
      <formula>AND(OR($J2="Addition",$J2="Omission"), K2&lt;&gt;"")</formula>
    </cfRule>
  </conditionalFormatting>
  <conditionalFormatting sqref="M2:M1048576">
    <cfRule type="expression" dxfId="176" priority="13">
      <formula>AND($K2&lt;&gt;"",$K2&gt;1)</formula>
    </cfRule>
  </conditionalFormatting>
  <conditionalFormatting sqref="O2:P1048576">
    <cfRule type="expression" dxfId="175" priority="100">
      <formula>$N2="Absent"</formula>
    </cfRule>
    <cfRule type="expression" dxfId="174" priority="101">
      <formula>$N2="NA"</formula>
    </cfRule>
    <cfRule type="expression" dxfId="173" priority="102">
      <formula>AND(OR($J2="Addition",$J2="Omission"), O2="")</formula>
    </cfRule>
    <cfRule type="expression" dxfId="172" priority="103">
      <formula>AND($J2&lt;&gt;"Addition",$J2&lt;&gt;"Omission")</formula>
    </cfRule>
  </conditionalFormatting>
  <conditionalFormatting sqref="Q2:Q1048576">
    <cfRule type="expression" dxfId="171" priority="14">
      <formula>OR($J2="Addition",$J2="Omission",$J2 = "Substitution - Word")</formula>
    </cfRule>
  </conditionalFormatting>
  <conditionalFormatting sqref="S2:U1048576">
    <cfRule type="expression" dxfId="170" priority="104">
      <formula>AND(AND(LEFT($J2,3)="Sub", RIGHT($J2,4)&lt;&gt;"Form"),$S2&lt;&gt;"")</formula>
    </cfRule>
    <cfRule type="expression" dxfId="169" priority="105">
      <formula>AND(AND(LEFT($J2,3)="Sub", RIGHT($J2,4)&lt;&gt;"Form"),$S2="")</formula>
    </cfRule>
    <cfRule type="expression" dxfId="168" priority="106">
      <formula>"&lt;&gt;AND(LEFT($J2,3)=""Sub"", RIGHT($J2,4)&lt;&gt;""Form"")"</formula>
    </cfRule>
  </conditionalFormatting>
  <conditionalFormatting sqref="V2:V16 V18:V1048576">
    <cfRule type="expression" dxfId="167" priority="60">
      <formula>AND($AA2&lt;&gt;"Yes",$AB2="")</formula>
    </cfRule>
  </conditionalFormatting>
  <conditionalFormatting sqref="V2:V1048576">
    <cfRule type="expression" dxfId="166" priority="113">
      <formula>AND($V2&lt;&gt;"",OR($AA2="Yes",$AB2&lt;&gt;""))</formula>
    </cfRule>
    <cfRule type="expression" dxfId="165" priority="114">
      <formula>OR($AA2="Yes",$AB2&lt;&gt;"")</formula>
    </cfRule>
  </conditionalFormatting>
  <conditionalFormatting sqref="V17">
    <cfRule type="expression" dxfId="164" priority="134">
      <formula>AND($J17&lt;&gt;"",$J17&lt;&gt;"Unclear due to correction")</formula>
    </cfRule>
    <cfRule type="expression" dxfId="163" priority="135">
      <formula>OR($J17="",$J17="Unclear due to correction")</formula>
    </cfRule>
    <cfRule type="expression" dxfId="162" priority="136">
      <formula>AND($AA17&lt;&gt;"Yes",$AB17="")</formula>
    </cfRule>
  </conditionalFormatting>
  <conditionalFormatting sqref="V2:AC16 V18:AC1264 V1265:Y1266 AA1265:AC1266 V1267:AC1048576">
    <cfRule type="expression" dxfId="161" priority="59">
      <formula>OR($J2="",$J2="Unclear due to correction")</formula>
    </cfRule>
  </conditionalFormatting>
  <conditionalFormatting sqref="V2:AC16 V18:AC1264 V1267:AC1048576 V1265:Y1266 AA1265:AC1266">
    <cfRule type="expression" dxfId="160" priority="56">
      <formula>AND($J2&lt;&gt;"",$J2&lt;&gt;"Unclear due to correction")</formula>
    </cfRule>
  </conditionalFormatting>
  <conditionalFormatting sqref="W17:AC17">
    <cfRule type="expression" dxfId="159" priority="51">
      <formula>AND($J17&lt;&gt;"",$J17&lt;&gt;"Unclear due to correction")</formula>
    </cfRule>
    <cfRule type="expression" dxfId="158" priority="52">
      <formula>OR($J17="",$J17="Unclear due to correction")</formula>
    </cfRule>
  </conditionalFormatting>
  <conditionalFormatting sqref="Z1265">
    <cfRule type="expression" dxfId="157" priority="82">
      <formula>AND($J1266&lt;&gt;"",$J1266&lt;&gt;"Unclear due to correction")</formula>
    </cfRule>
    <cfRule type="expression" dxfId="156" priority="83">
      <formula>OR($J1266="",$J1266="Unclear due to correction")</formula>
    </cfRule>
  </conditionalFormatting>
  <conditionalFormatting sqref="AA2:AA1264 AA1267:AA1048576">
    <cfRule type="expression" dxfId="155" priority="36">
      <formula>AND(OR($Y2&lt;&gt;"",$Z2&lt;&gt;""),$AA2="")</formula>
    </cfRule>
  </conditionalFormatting>
  <conditionalFormatting sqref="AA1265">
    <cfRule type="expression" dxfId="154" priority="89">
      <formula>AND(OR($Y1265&lt;&gt;"",#REF!&lt;&gt;""),$AA1265="")</formula>
    </cfRule>
  </conditionalFormatting>
  <conditionalFormatting sqref="AA1266">
    <cfRule type="expression" dxfId="153" priority="88">
      <formula>AND(OR($Y1266&lt;&gt;"",$Z1265&lt;&gt;""),$AA1266="")</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4">
        <x14:dataValidation type="list" allowBlank="1" showInputMessage="1" xr:uid="{C9699ED0-8E3A-4A1F-9876-0D8569EA11F6}">
          <x14:formula1>
            <xm:f>'Data Regularization'!$A$2:$A$1048576</xm:f>
          </x14:formula1>
          <xm:sqref>F2:F3950</xm:sqref>
        </x14:dataValidation>
        <x14:dataValidation type="list" allowBlank="1" showInputMessage="1" showErrorMessage="1" xr:uid="{BD8774B7-3081-4AE1-8540-BE919DB978A6}">
          <x14:formula1>
            <xm:f>'Data Regularization'!$C$2:$C$1048576</xm:f>
          </x14:formula1>
          <xm:sqref>H2:H3950</xm:sqref>
        </x14:dataValidation>
        <x14:dataValidation type="list" allowBlank="1" showInputMessage="1" showErrorMessage="1" xr:uid="{53297220-31AF-40BC-8652-1098DCF03539}">
          <x14:formula1>
            <xm:f>'Data Regularization'!$B$2:$B$1048576</xm:f>
          </x14:formula1>
          <xm:sqref>G2:G3950</xm:sqref>
        </x14:dataValidation>
        <x14:dataValidation type="list" allowBlank="1" showInputMessage="1" showErrorMessage="1" xr:uid="{F5D69C49-2494-42D3-9810-362F42A2F4C6}">
          <x14:formula1>
            <xm:f>'Data Regularization'!$D$2:$D$1048576</xm:f>
          </x14:formula1>
          <xm:sqref>J2:J1048576</xm:sqref>
        </x14:dataValidation>
        <x14:dataValidation type="list" allowBlank="1" showInputMessage="1" showErrorMessage="1" xr:uid="{0421AF19-4B99-4865-A53B-B1340F411C86}">
          <x14:formula1>
            <xm:f>'Data Regularization'!$E$2:$E$1048576</xm:f>
          </x14:formula1>
          <xm:sqref>M2:M1048576</xm:sqref>
        </x14:dataValidation>
        <x14:dataValidation type="list" allowBlank="1" showInputMessage="1" showErrorMessage="1" xr:uid="{62E1A2E0-5CEB-41DD-A053-2804B0DC4ECE}">
          <x14:formula1>
            <xm:f>'Data Regularization'!$F$2:$F$1048576</xm:f>
          </x14:formula1>
          <xm:sqref>N2:N1048576</xm:sqref>
        </x14:dataValidation>
        <x14:dataValidation type="list" allowBlank="1" showInputMessage="1" showErrorMessage="1" xr:uid="{6E8F4569-B367-4DD6-BADE-B07BF26A43F8}">
          <x14:formula1>
            <xm:f>'Data Regularization'!$G$2:$G$1048576</xm:f>
          </x14:formula1>
          <xm:sqref>Q2:Q1048576</xm:sqref>
        </x14:dataValidation>
        <x14:dataValidation type="list" allowBlank="1" showInputMessage="1" showErrorMessage="1" xr:uid="{86558D7A-0079-4183-BEBD-EAC07C0B3396}">
          <x14:formula1>
            <xm:f>'Data Regularization'!$K$2:$K$1048576</xm:f>
          </x14:formula1>
          <xm:sqref>W2:W1048576</xm:sqref>
        </x14:dataValidation>
        <x14:dataValidation type="list" allowBlank="1" showInputMessage="1" showErrorMessage="1" xr:uid="{1E18B083-969A-4C72-8333-825D16438F2D}">
          <x14:formula1>
            <xm:f>'Data Regularization'!$L$2:$L$1048576</xm:f>
          </x14:formula1>
          <xm:sqref>X2:X1048576</xm:sqref>
        </x14:dataValidation>
        <x14:dataValidation type="list" allowBlank="1" showInputMessage="1" showErrorMessage="1" xr:uid="{CCE3C97A-CC8E-4E7A-83D1-60C59A5C6F5E}">
          <x14:formula1>
            <xm:f>'Data Regularization'!$M$2:$M$1048576</xm:f>
          </x14:formula1>
          <xm:sqref>Y2:Y1048576</xm:sqref>
        </x14:dataValidation>
        <x14:dataValidation type="list" allowBlank="1" showInputMessage="1" showErrorMessage="1" xr:uid="{4BFBF9CE-E7E2-4E15-BB49-97EF2D8683FC}">
          <x14:formula1>
            <xm:f>'Data Regularization'!$N$2:$N$1048576</xm:f>
          </x14:formula1>
          <xm:sqref>AA2:AA1048576</xm:sqref>
        </x14:dataValidation>
        <x14:dataValidation type="list" allowBlank="1" showInputMessage="1" showErrorMessage="1" xr:uid="{8FB8C1AC-F008-4C8D-80B6-1E37F0F2E67D}">
          <x14:formula1>
            <xm:f>'Data Regularization'!$O$2:$O$1048576</xm:f>
          </x14:formula1>
          <xm:sqref>AB2:AB1048576</xm:sqref>
        </x14:dataValidation>
        <x14:dataValidation type="list" allowBlank="1" showInputMessage="1" showErrorMessage="1" xr:uid="{E7616F2D-BA4F-4260-A287-D7E3CE2302D7}">
          <x14:formula1>
            <xm:f>'Data Regularization'!$H$2:$H$1048576</xm:f>
          </x14:formula1>
          <xm:sqref>V2:V1048576</xm:sqref>
        </x14:dataValidation>
        <x14:dataValidation type="list" allowBlank="1" showInputMessage="1" showErrorMessage="1" xr:uid="{551ECDE9-28E9-43BB-9EFF-3B7CC6890FCF}">
          <x14:formula1>
            <xm:f>'Data Regularization'!$P$2:$P$1048576</xm:f>
          </x14:formula1>
          <xm:sqref>AC2:AC1048576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9ECE1-1013-4BF6-9D88-6BB3573996F8}">
  <dimension ref="A1:B6"/>
  <sheetViews>
    <sheetView workbookViewId="0">
      <selection activeCell="B2" sqref="B2"/>
    </sheetView>
  </sheetViews>
  <sheetFormatPr defaultRowHeight="14.5"/>
  <cols>
    <col min="1" max="1" width="12.90625" bestFit="1" customWidth="1"/>
  </cols>
  <sheetData>
    <row r="1" spans="1:2">
      <c r="A1" t="s">
        <v>9349</v>
      </c>
      <c r="B1">
        <v>71085</v>
      </c>
    </row>
    <row r="2" spans="1:2">
      <c r="A2" t="s">
        <v>9350</v>
      </c>
      <c r="B2">
        <f>COUNTA('Unfiltered Data'!A:A) - 1</f>
        <v>3949</v>
      </c>
    </row>
    <row r="3" spans="1:2">
      <c r="A3" t="s">
        <v>9351</v>
      </c>
      <c r="B3">
        <f>COUNTA('Gen-filters'!A:A) - 1</f>
        <v>1016</v>
      </c>
    </row>
    <row r="5" spans="1:2">
      <c r="A5" t="s">
        <v>9352</v>
      </c>
      <c r="B5">
        <f>(B2/B1)*1000</f>
        <v>55.553210944643737</v>
      </c>
    </row>
    <row r="6" spans="1:2">
      <c r="A6" t="s">
        <v>9353</v>
      </c>
      <c r="B6">
        <f>(B3/B1)*1000</f>
        <v>14.292748118449744</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1969-6A12-49D0-A79D-583AA41CD538}">
  <dimension ref="A2:D12"/>
  <sheetViews>
    <sheetView workbookViewId="0">
      <selection activeCell="C10" sqref="C10"/>
    </sheetView>
  </sheetViews>
  <sheetFormatPr defaultRowHeight="14.5"/>
  <sheetData>
    <row r="2" spans="1:4">
      <c r="A2" t="s">
        <v>9355</v>
      </c>
    </row>
    <row r="3" spans="1:4">
      <c r="A3" t="s">
        <v>3884</v>
      </c>
      <c r="B3">
        <f>COUNTIF('Unfiltered Data'!G:G, "Yes")</f>
        <v>32</v>
      </c>
    </row>
    <row r="4" spans="1:4">
      <c r="A4" t="s">
        <v>3891</v>
      </c>
      <c r="B4">
        <f>COUNTIF('Unfiltered Data'!G:G, "No")</f>
        <v>2</v>
      </c>
    </row>
    <row r="5" spans="1:4">
      <c r="A5" t="s">
        <v>9356</v>
      </c>
      <c r="B5">
        <f>B3/SUM(B3:B4)</f>
        <v>0.94117647058823528</v>
      </c>
    </row>
    <row r="8" spans="1:4">
      <c r="A8" t="s">
        <v>9357</v>
      </c>
    </row>
    <row r="9" spans="1:4">
      <c r="B9" t="s">
        <v>9358</v>
      </c>
      <c r="C9" t="s">
        <v>9359</v>
      </c>
      <c r="D9" t="s">
        <v>9360</v>
      </c>
    </row>
    <row r="10" spans="1:4">
      <c r="A10" t="s">
        <v>3884</v>
      </c>
      <c r="B10">
        <f>COUNTIF('Unfiltered Data'!H:H, "Yes")</f>
        <v>858</v>
      </c>
      <c r="C10">
        <f>B10/'Gen-Error-Rates'!$B$2</f>
        <v>0.21727019498607242</v>
      </c>
      <c r="D10">
        <f>B10/SUM($B$10:$B$12)</f>
        <v>0.8101983002832861</v>
      </c>
    </row>
    <row r="11" spans="1:4">
      <c r="A11" t="s">
        <v>9361</v>
      </c>
      <c r="B11">
        <f>COUNTIF('Unfiltered Data'!H:H, "Yes, partially")</f>
        <v>33</v>
      </c>
      <c r="C11">
        <f>B11/'Gen-Error-Rates'!$B$2</f>
        <v>8.356545961002786E-3</v>
      </c>
      <c r="D11">
        <f t="shared" ref="D11:D12" si="0">B11/SUM($B$10:$B$12)</f>
        <v>3.1161473087818695E-2</v>
      </c>
    </row>
    <row r="12" spans="1:4">
      <c r="A12" t="s">
        <v>9362</v>
      </c>
      <c r="B12">
        <f>COUNTIF('Unfiltered Data'!H:H, "Yes, to another error")</f>
        <v>168</v>
      </c>
      <c r="C12">
        <f>B12/'Gen-Error-Rates'!$B$2</f>
        <v>4.2542415801468725E-2</v>
      </c>
      <c r="D12">
        <f t="shared" si="0"/>
        <v>0.15864022662889518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DA8F-F5EE-4CC3-9266-3537A650885B}">
  <dimension ref="A1:P21"/>
  <sheetViews>
    <sheetView workbookViewId="0">
      <pane ySplit="1" topLeftCell="A2" activePane="bottomLeft" state="frozen"/>
      <selection pane="bottomLeft" activeCell="K25" sqref="K25"/>
    </sheetView>
  </sheetViews>
  <sheetFormatPr defaultRowHeight="14.5"/>
  <sheetData>
    <row r="1" spans="1:16">
      <c r="A1" s="1" t="s">
        <v>8</v>
      </c>
      <c r="B1" s="1" t="s">
        <v>9</v>
      </c>
      <c r="C1" s="1" t="s">
        <v>10</v>
      </c>
      <c r="D1" s="1" t="s">
        <v>3</v>
      </c>
      <c r="E1" s="1" t="s">
        <v>8676</v>
      </c>
      <c r="F1" s="1" t="s">
        <v>8677</v>
      </c>
      <c r="G1" s="1" t="s">
        <v>8678</v>
      </c>
      <c r="H1" s="1" t="s">
        <v>8723</v>
      </c>
      <c r="I1" s="1" t="s">
        <v>8724</v>
      </c>
      <c r="J1" s="1" t="s">
        <v>8725</v>
      </c>
      <c r="K1" s="1" t="s">
        <v>8679</v>
      </c>
      <c r="L1" s="1" t="s">
        <v>8680</v>
      </c>
      <c r="M1" s="1" t="s">
        <v>8681</v>
      </c>
      <c r="N1" s="1" t="s">
        <v>8726</v>
      </c>
      <c r="O1" s="1" t="s">
        <v>8682</v>
      </c>
      <c r="P1" s="1" t="s">
        <v>8727</v>
      </c>
    </row>
    <row r="2" spans="1:16">
      <c r="A2" s="1"/>
    </row>
    <row r="3" spans="1:16">
      <c r="A3" t="s">
        <v>3881</v>
      </c>
      <c r="B3" t="s">
        <v>3884</v>
      </c>
      <c r="C3" t="s">
        <v>3884</v>
      </c>
      <c r="D3" t="s">
        <v>3885</v>
      </c>
      <c r="E3" t="s">
        <v>8683</v>
      </c>
      <c r="F3" t="s">
        <v>8684</v>
      </c>
      <c r="G3" t="s">
        <v>8685</v>
      </c>
      <c r="H3" t="s">
        <v>4</v>
      </c>
      <c r="I3" t="s">
        <v>3884</v>
      </c>
      <c r="J3" t="s">
        <v>4</v>
      </c>
      <c r="K3" t="s">
        <v>8686</v>
      </c>
      <c r="L3" t="s">
        <v>3884</v>
      </c>
      <c r="M3" t="s">
        <v>8687</v>
      </c>
      <c r="N3" t="s">
        <v>3884</v>
      </c>
      <c r="O3" t="s">
        <v>8688</v>
      </c>
      <c r="P3" t="s">
        <v>3884</v>
      </c>
    </row>
    <row r="4" spans="1:16">
      <c r="A4" t="s">
        <v>3886</v>
      </c>
      <c r="B4" t="s">
        <v>3887</v>
      </c>
      <c r="C4" t="s">
        <v>3888</v>
      </c>
      <c r="D4" t="s">
        <v>3889</v>
      </c>
      <c r="E4" t="s">
        <v>8689</v>
      </c>
      <c r="F4" t="s">
        <v>8690</v>
      </c>
      <c r="G4" t="s">
        <v>8691</v>
      </c>
      <c r="H4" t="s">
        <v>8728</v>
      </c>
      <c r="I4" t="s">
        <v>3891</v>
      </c>
      <c r="J4" t="s">
        <v>8728</v>
      </c>
      <c r="K4" t="s">
        <v>9354</v>
      </c>
      <c r="L4" t="s">
        <v>3891</v>
      </c>
      <c r="M4" t="s">
        <v>8693</v>
      </c>
      <c r="N4" t="s">
        <v>3891</v>
      </c>
      <c r="O4" t="s">
        <v>8694</v>
      </c>
      <c r="P4" t="s">
        <v>3891</v>
      </c>
    </row>
    <row r="5" spans="1:16">
      <c r="A5" t="s">
        <v>3890</v>
      </c>
      <c r="B5" t="s">
        <v>3891</v>
      </c>
      <c r="C5" t="s">
        <v>3892</v>
      </c>
      <c r="D5" t="s">
        <v>8729</v>
      </c>
      <c r="E5" t="s">
        <v>8695</v>
      </c>
      <c r="F5" t="s">
        <v>8730</v>
      </c>
      <c r="K5" t="s">
        <v>8692</v>
      </c>
      <c r="M5" t="s">
        <v>8696</v>
      </c>
      <c r="O5" t="s">
        <v>8697</v>
      </c>
    </row>
    <row r="6" spans="1:16">
      <c r="A6" t="s">
        <v>3893</v>
      </c>
      <c r="C6" t="s">
        <v>3891</v>
      </c>
      <c r="D6" t="s">
        <v>8731</v>
      </c>
      <c r="E6" t="s">
        <v>8698</v>
      </c>
      <c r="M6" t="s">
        <v>8699</v>
      </c>
      <c r="O6" t="s">
        <v>8700</v>
      </c>
    </row>
    <row r="7" spans="1:16">
      <c r="A7" t="s">
        <v>4397</v>
      </c>
      <c r="D7" t="s">
        <v>8732</v>
      </c>
      <c r="E7" t="s">
        <v>8701</v>
      </c>
      <c r="M7" t="s">
        <v>8735</v>
      </c>
    </row>
    <row r="8" spans="1:16">
      <c r="A8" t="s">
        <v>4986</v>
      </c>
      <c r="D8" t="s">
        <v>3894</v>
      </c>
      <c r="E8" t="s">
        <v>8703</v>
      </c>
      <c r="M8" t="s">
        <v>8702</v>
      </c>
    </row>
    <row r="9" spans="1:16">
      <c r="A9" t="s">
        <v>10</v>
      </c>
      <c r="D9" t="s">
        <v>3896</v>
      </c>
      <c r="E9" t="s">
        <v>8705</v>
      </c>
      <c r="M9" t="s">
        <v>8704</v>
      </c>
    </row>
    <row r="10" spans="1:16">
      <c r="A10" t="s">
        <v>3895</v>
      </c>
      <c r="D10" t="s">
        <v>3910</v>
      </c>
      <c r="E10" t="s">
        <v>8707</v>
      </c>
      <c r="M10" t="s">
        <v>8706</v>
      </c>
    </row>
    <row r="11" spans="1:16">
      <c r="A11" t="s">
        <v>3882</v>
      </c>
      <c r="E11" t="s">
        <v>8709</v>
      </c>
      <c r="M11" t="s">
        <v>8708</v>
      </c>
    </row>
    <row r="12" spans="1:16">
      <c r="A12" t="s">
        <v>8733</v>
      </c>
      <c r="E12" t="s">
        <v>8734</v>
      </c>
      <c r="M12" t="s">
        <v>9281</v>
      </c>
    </row>
    <row r="13" spans="1:16">
      <c r="A13" t="s">
        <v>4196</v>
      </c>
      <c r="E13" t="s">
        <v>8736</v>
      </c>
      <c r="M13" t="s">
        <v>9282</v>
      </c>
    </row>
    <row r="14" spans="1:16">
      <c r="A14" t="s">
        <v>4197</v>
      </c>
      <c r="E14" t="s">
        <v>8710</v>
      </c>
    </row>
    <row r="15" spans="1:16">
      <c r="A15" t="s">
        <v>6069</v>
      </c>
    </row>
    <row r="16" spans="1:16">
      <c r="A16" t="s">
        <v>3883</v>
      </c>
    </row>
    <row r="17" spans="1:1">
      <c r="A17" t="s">
        <v>3897</v>
      </c>
    </row>
    <row r="18" spans="1:1">
      <c r="A18" t="s">
        <v>6070</v>
      </c>
    </row>
    <row r="19" spans="1:1">
      <c r="A19" t="s">
        <v>3932</v>
      </c>
    </row>
    <row r="20" spans="1:1">
      <c r="A20" t="s">
        <v>9288</v>
      </c>
    </row>
    <row r="21" spans="1:1">
      <c r="A21" t="s">
        <v>8675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04BBC-5BEF-42DC-8EC2-432864A8DA65}">
  <dimension ref="A1:AC1023"/>
  <sheetViews>
    <sheetView workbookViewId="0">
      <pane xSplit="3" ySplit="1" topLeftCell="G2" activePane="bottomRight" state="frozen"/>
      <selection pane="topRight" activeCell="D1" sqref="D1"/>
      <selection pane="bottomLeft" activeCell="A2" sqref="A2"/>
      <selection pane="bottomRight" activeCell="G2" sqref="G2"/>
    </sheetView>
  </sheetViews>
  <sheetFormatPr defaultRowHeight="14.5"/>
  <cols>
    <col min="2" max="3" width="20.81640625" style="12" customWidth="1"/>
    <col min="4" max="6" width="8.90625" hidden="1" customWidth="1"/>
  </cols>
  <sheetData>
    <row r="1" spans="1:29">
      <c r="A1" s="1" t="s">
        <v>0</v>
      </c>
      <c r="B1" s="15" t="s">
        <v>5</v>
      </c>
      <c r="C1" s="15" t="s">
        <v>6</v>
      </c>
      <c r="D1" s="1" t="s">
        <v>8711</v>
      </c>
      <c r="E1" s="1" t="s">
        <v>8712</v>
      </c>
      <c r="F1" s="1" t="s">
        <v>8713</v>
      </c>
      <c r="G1" s="1" t="s">
        <v>3</v>
      </c>
      <c r="H1" s="1" t="s">
        <v>8714</v>
      </c>
      <c r="I1" s="1" t="s">
        <v>8715</v>
      </c>
      <c r="J1" s="1" t="s">
        <v>8716</v>
      </c>
      <c r="K1" s="1" t="s">
        <v>8717</v>
      </c>
      <c r="L1" s="1" t="s">
        <v>8677</v>
      </c>
      <c r="M1" s="1" t="s">
        <v>8718</v>
      </c>
      <c r="N1" s="8" t="s">
        <v>8719</v>
      </c>
      <c r="O1" s="1" t="s">
        <v>8678</v>
      </c>
      <c r="P1" s="1" t="s">
        <v>8720</v>
      </c>
      <c r="Q1" s="1" t="s">
        <v>8721</v>
      </c>
      <c r="R1" s="1" t="s">
        <v>9319</v>
      </c>
      <c r="S1" s="1" t="s">
        <v>9320</v>
      </c>
      <c r="T1" s="1" t="s">
        <v>8723</v>
      </c>
      <c r="U1" s="1" t="s">
        <v>8724</v>
      </c>
      <c r="V1" s="1" t="s">
        <v>8725</v>
      </c>
      <c r="W1" s="1" t="s">
        <v>8679</v>
      </c>
      <c r="X1" s="1" t="s">
        <v>8680</v>
      </c>
      <c r="Y1" s="1" t="s">
        <v>8681</v>
      </c>
      <c r="Z1" s="1" t="s">
        <v>8722</v>
      </c>
      <c r="AA1" s="1" t="s">
        <v>8726</v>
      </c>
      <c r="AB1" s="1" t="s">
        <v>8682</v>
      </c>
      <c r="AC1" s="1" t="s">
        <v>8727</v>
      </c>
    </row>
    <row r="2" spans="1:29">
      <c r="A2" s="3" t="s">
        <v>15</v>
      </c>
      <c r="B2" s="3" t="s">
        <v>1939</v>
      </c>
      <c r="C2" s="3" t="s">
        <v>1940</v>
      </c>
      <c r="F2" t="s">
        <v>3880</v>
      </c>
      <c r="G2" s="9" t="s">
        <v>8729</v>
      </c>
      <c r="H2" s="9"/>
      <c r="I2" s="9"/>
      <c r="J2" s="9"/>
      <c r="K2" s="9"/>
      <c r="L2" s="9"/>
      <c r="M2" s="9"/>
      <c r="N2" s="10"/>
      <c r="O2" s="9"/>
      <c r="P2" s="9"/>
      <c r="Q2" s="9">
        <v>-3599</v>
      </c>
      <c r="R2" s="9">
        <v>3678</v>
      </c>
      <c r="S2" s="9">
        <v>79</v>
      </c>
      <c r="T2" s="9"/>
      <c r="U2" s="9"/>
      <c r="V2" s="9"/>
      <c r="W2" s="9"/>
      <c r="X2" s="9"/>
      <c r="Y2" s="9"/>
      <c r="Z2" s="9"/>
      <c r="AA2" s="9"/>
      <c r="AB2" s="9"/>
      <c r="AC2" s="9"/>
    </row>
    <row r="3" spans="1:29">
      <c r="A3" s="3" t="s">
        <v>17</v>
      </c>
      <c r="B3" t="s">
        <v>8744</v>
      </c>
      <c r="C3" t="s">
        <v>8743</v>
      </c>
      <c r="G3" s="9" t="s">
        <v>8729</v>
      </c>
      <c r="H3" s="9"/>
      <c r="I3" s="9"/>
      <c r="J3" s="9"/>
      <c r="K3" s="9"/>
      <c r="L3" s="9"/>
      <c r="M3" s="9"/>
      <c r="N3" s="10"/>
      <c r="O3" s="9"/>
      <c r="P3" s="9"/>
      <c r="Q3" s="9">
        <v>18</v>
      </c>
      <c r="R3" s="9">
        <v>70</v>
      </c>
      <c r="S3" s="9">
        <v>88</v>
      </c>
      <c r="T3" s="9" t="s">
        <v>8728</v>
      </c>
      <c r="U3" s="9"/>
      <c r="V3" s="9"/>
      <c r="W3" s="9"/>
      <c r="X3" s="9"/>
      <c r="Y3" s="9"/>
      <c r="Z3" s="9"/>
      <c r="AA3" s="9"/>
      <c r="AB3" s="9"/>
      <c r="AC3" s="9"/>
    </row>
    <row r="4" spans="1:29">
      <c r="A4" s="3" t="s">
        <v>19</v>
      </c>
      <c r="B4" s="3" t="s">
        <v>3349</v>
      </c>
      <c r="C4" s="3" t="s">
        <v>1951</v>
      </c>
      <c r="G4" s="9" t="s">
        <v>8729</v>
      </c>
      <c r="H4" s="9"/>
      <c r="I4" s="9"/>
      <c r="J4" s="9"/>
      <c r="K4" s="9"/>
      <c r="L4" s="9"/>
      <c r="M4" s="9"/>
      <c r="N4" s="10"/>
      <c r="O4" s="9"/>
      <c r="P4" s="9"/>
      <c r="Q4" s="9">
        <v>481</v>
      </c>
      <c r="R4" s="9">
        <v>13</v>
      </c>
      <c r="S4" s="9">
        <v>494</v>
      </c>
      <c r="T4" s="9"/>
      <c r="U4" s="9"/>
      <c r="V4" s="9"/>
      <c r="W4" s="9"/>
      <c r="X4" s="9"/>
      <c r="Y4" s="9"/>
      <c r="Z4" s="9"/>
      <c r="AA4" s="9"/>
      <c r="AB4" s="9"/>
      <c r="AC4" s="9"/>
    </row>
    <row r="5" spans="1:29" ht="29">
      <c r="A5" s="3" t="s">
        <v>25</v>
      </c>
      <c r="B5" s="3" t="s">
        <v>8750</v>
      </c>
      <c r="C5" s="3" t="s">
        <v>8751</v>
      </c>
      <c r="F5" t="s">
        <v>3891</v>
      </c>
      <c r="G5" s="9" t="s">
        <v>3889</v>
      </c>
      <c r="H5" s="9"/>
      <c r="I5" s="9">
        <v>1</v>
      </c>
      <c r="J5" s="9">
        <v>3</v>
      </c>
      <c r="K5" s="9" t="s">
        <v>8695</v>
      </c>
      <c r="L5" s="9" t="s">
        <v>8690</v>
      </c>
      <c r="M5" s="9"/>
      <c r="N5" s="10"/>
      <c r="O5" s="9"/>
      <c r="P5" s="9">
        <v>78</v>
      </c>
      <c r="Q5" s="9"/>
      <c r="R5" s="9" t="s">
        <v>9321</v>
      </c>
      <c r="S5" s="9" t="s">
        <v>9321</v>
      </c>
      <c r="T5" s="9"/>
      <c r="U5" s="9"/>
      <c r="V5" s="9"/>
      <c r="W5" s="9"/>
      <c r="X5" s="9"/>
      <c r="Y5" s="9"/>
      <c r="Z5" s="9"/>
      <c r="AA5" s="9"/>
      <c r="AB5" s="9"/>
      <c r="AC5" s="9"/>
    </row>
    <row r="6" spans="1:29" ht="29">
      <c r="A6" s="3" t="s">
        <v>27</v>
      </c>
      <c r="B6" s="3" t="s">
        <v>3902</v>
      </c>
      <c r="C6" s="3" t="s">
        <v>3903</v>
      </c>
      <c r="G6" s="9" t="s">
        <v>3885</v>
      </c>
      <c r="H6" s="9"/>
      <c r="I6" s="9">
        <v>1</v>
      </c>
      <c r="J6" s="9">
        <v>2</v>
      </c>
      <c r="K6" s="9" t="s">
        <v>8707</v>
      </c>
      <c r="L6" s="9" t="s">
        <v>8730</v>
      </c>
      <c r="M6" s="9"/>
      <c r="N6" s="10"/>
      <c r="O6" s="9"/>
      <c r="P6" s="9">
        <v>519</v>
      </c>
      <c r="Q6" s="9"/>
      <c r="R6" s="9" t="s">
        <v>9321</v>
      </c>
      <c r="S6" s="9" t="s">
        <v>9321</v>
      </c>
      <c r="T6" s="9"/>
      <c r="U6" s="9"/>
      <c r="V6" s="9"/>
      <c r="W6" s="9"/>
      <c r="X6" s="9"/>
      <c r="Y6" s="9"/>
      <c r="Z6" s="9"/>
      <c r="AA6" s="9"/>
      <c r="AB6" s="9"/>
      <c r="AC6" s="9"/>
    </row>
    <row r="7" spans="1:29" ht="29">
      <c r="A7" s="3" t="s">
        <v>29</v>
      </c>
      <c r="B7" s="3" t="s">
        <v>3906</v>
      </c>
      <c r="C7" s="3" t="s">
        <v>3907</v>
      </c>
      <c r="F7" t="s">
        <v>3892</v>
      </c>
      <c r="G7" s="9" t="s">
        <v>8731</v>
      </c>
      <c r="H7" s="9"/>
      <c r="I7" s="9"/>
      <c r="J7" s="9"/>
      <c r="K7" s="9"/>
      <c r="L7" s="9"/>
      <c r="M7" s="9"/>
      <c r="N7" s="10"/>
      <c r="O7" s="9"/>
      <c r="P7" s="9"/>
      <c r="Q7" s="9"/>
      <c r="R7" s="9" t="s">
        <v>9321</v>
      </c>
      <c r="S7" s="9" t="s">
        <v>9321</v>
      </c>
      <c r="T7" s="9"/>
      <c r="U7" s="9"/>
      <c r="V7" s="9"/>
      <c r="W7" s="9"/>
      <c r="X7" s="9"/>
      <c r="Y7" s="9"/>
      <c r="Z7" s="9"/>
      <c r="AA7" s="9"/>
      <c r="AB7" s="9"/>
      <c r="AC7" s="9"/>
    </row>
    <row r="8" spans="1:29" ht="29">
      <c r="A8" s="3" t="s">
        <v>33</v>
      </c>
      <c r="B8" s="3" t="s">
        <v>8759</v>
      </c>
      <c r="C8" s="3" t="s">
        <v>8760</v>
      </c>
      <c r="F8" t="s">
        <v>3884</v>
      </c>
      <c r="G8" s="9" t="s">
        <v>3885</v>
      </c>
      <c r="H8" s="9"/>
      <c r="I8" s="9">
        <v>1</v>
      </c>
      <c r="J8" s="9">
        <v>3</v>
      </c>
      <c r="K8" s="9" t="s">
        <v>8689</v>
      </c>
      <c r="L8" s="9" t="s">
        <v>8690</v>
      </c>
      <c r="M8" s="9"/>
      <c r="N8" s="10"/>
      <c r="O8" s="9"/>
      <c r="P8" s="9">
        <v>10929</v>
      </c>
      <c r="Q8" s="9"/>
      <c r="R8" s="9" t="s">
        <v>9321</v>
      </c>
      <c r="S8" s="9" t="s">
        <v>9321</v>
      </c>
      <c r="T8" s="9"/>
      <c r="U8" s="9"/>
      <c r="V8" s="9"/>
      <c r="W8" s="9"/>
      <c r="X8" s="9"/>
      <c r="Y8" s="9"/>
      <c r="Z8" s="9"/>
      <c r="AA8" s="9"/>
      <c r="AB8" s="9"/>
      <c r="AC8" s="9"/>
    </row>
    <row r="9" spans="1:29" ht="29">
      <c r="A9" s="3" t="s">
        <v>38</v>
      </c>
      <c r="B9" t="s">
        <v>8761</v>
      </c>
      <c r="C9" t="s">
        <v>8762</v>
      </c>
      <c r="G9" s="9" t="s">
        <v>3889</v>
      </c>
      <c r="H9" s="9"/>
      <c r="I9" s="9">
        <v>1</v>
      </c>
      <c r="J9" s="9">
        <v>1</v>
      </c>
      <c r="K9" s="9" t="s">
        <v>8689</v>
      </c>
      <c r="L9" s="9" t="s">
        <v>8730</v>
      </c>
      <c r="M9" s="9"/>
      <c r="N9" s="10"/>
      <c r="O9" s="9"/>
      <c r="P9" s="9">
        <v>10929</v>
      </c>
      <c r="Q9" s="9"/>
      <c r="R9" s="9" t="s">
        <v>9321</v>
      </c>
      <c r="S9" s="9" t="s">
        <v>9321</v>
      </c>
      <c r="T9" s="9" t="s">
        <v>8728</v>
      </c>
      <c r="U9" s="9"/>
      <c r="V9" s="9"/>
      <c r="W9" s="9"/>
      <c r="X9" s="9"/>
      <c r="Y9" s="9"/>
      <c r="Z9" s="9"/>
      <c r="AA9" s="9"/>
      <c r="AB9" s="9"/>
      <c r="AC9" s="9"/>
    </row>
    <row r="10" spans="1:29" ht="29">
      <c r="A10" s="3" t="s">
        <v>38</v>
      </c>
      <c r="B10" t="s">
        <v>8763</v>
      </c>
      <c r="C10" t="s">
        <v>8764</v>
      </c>
      <c r="G10" s="9" t="s">
        <v>3889</v>
      </c>
      <c r="H10" s="9"/>
      <c r="I10" s="9">
        <v>1</v>
      </c>
      <c r="J10" s="9">
        <v>1</v>
      </c>
      <c r="K10" s="9" t="s">
        <v>8689</v>
      </c>
      <c r="L10" s="9" t="s">
        <v>8730</v>
      </c>
      <c r="M10" s="9"/>
      <c r="N10" s="10"/>
      <c r="O10" s="9"/>
      <c r="P10" s="9">
        <v>10929</v>
      </c>
      <c r="Q10" s="9"/>
      <c r="R10" s="9" t="s">
        <v>9321</v>
      </c>
      <c r="S10" s="9" t="s">
        <v>9321</v>
      </c>
      <c r="T10" s="9" t="s">
        <v>8728</v>
      </c>
      <c r="U10" s="9"/>
      <c r="V10" s="9"/>
      <c r="W10" s="9"/>
      <c r="X10" s="9"/>
      <c r="Y10" s="9"/>
      <c r="Z10" s="9"/>
      <c r="AA10" s="9"/>
      <c r="AB10" s="9"/>
      <c r="AC10" s="9"/>
    </row>
    <row r="11" spans="1:29" ht="29">
      <c r="A11" s="3" t="s">
        <v>39</v>
      </c>
      <c r="B11" t="s">
        <v>8765</v>
      </c>
      <c r="C11" s="3" t="s">
        <v>8766</v>
      </c>
      <c r="F11" t="s">
        <v>3884</v>
      </c>
      <c r="G11" s="9" t="s">
        <v>3885</v>
      </c>
      <c r="H11" s="9"/>
      <c r="I11" s="9">
        <v>1</v>
      </c>
      <c r="J11" s="9">
        <v>3</v>
      </c>
      <c r="K11" s="9" t="s">
        <v>8689</v>
      </c>
      <c r="L11" s="9" t="s">
        <v>8690</v>
      </c>
      <c r="M11" s="9"/>
      <c r="N11" s="10"/>
      <c r="O11" s="9"/>
      <c r="P11" s="9">
        <v>10929</v>
      </c>
      <c r="Q11" s="9"/>
      <c r="R11" s="9" t="s">
        <v>9321</v>
      </c>
      <c r="S11" s="9" t="s">
        <v>9321</v>
      </c>
      <c r="T11" s="9"/>
      <c r="U11" s="9"/>
      <c r="V11" s="9"/>
      <c r="W11" s="9"/>
      <c r="X11" s="9"/>
      <c r="Y11" s="9"/>
      <c r="Z11" s="9"/>
      <c r="AA11" s="9"/>
      <c r="AB11" s="9"/>
      <c r="AC11" s="9"/>
    </row>
    <row r="12" spans="1:29" ht="29">
      <c r="A12" s="3" t="s">
        <v>40</v>
      </c>
      <c r="B12" t="s">
        <v>8767</v>
      </c>
      <c r="C12" t="s">
        <v>8768</v>
      </c>
      <c r="G12" s="9" t="s">
        <v>3889</v>
      </c>
      <c r="H12" s="9"/>
      <c r="I12" s="9">
        <v>1</v>
      </c>
      <c r="J12" s="9">
        <v>2</v>
      </c>
      <c r="K12" s="9" t="s">
        <v>8689</v>
      </c>
      <c r="L12" s="9" t="s">
        <v>8730</v>
      </c>
      <c r="M12" s="9"/>
      <c r="N12" s="10"/>
      <c r="O12" s="9"/>
      <c r="P12" s="9">
        <v>10929</v>
      </c>
      <c r="Q12" s="9"/>
      <c r="R12" s="9" t="s">
        <v>9321</v>
      </c>
      <c r="S12" s="9" t="s">
        <v>9321</v>
      </c>
      <c r="T12" s="9"/>
      <c r="U12" s="9"/>
      <c r="V12" s="9"/>
      <c r="W12" s="9"/>
      <c r="X12" s="9"/>
      <c r="Y12" s="9"/>
      <c r="Z12" s="9"/>
      <c r="AA12" s="9"/>
      <c r="AB12" s="9"/>
      <c r="AC12" s="9"/>
    </row>
    <row r="13" spans="1:29" ht="29">
      <c r="A13" s="3" t="s">
        <v>42</v>
      </c>
      <c r="B13" s="3" t="s">
        <v>1988</v>
      </c>
      <c r="C13" s="3" t="s">
        <v>1989</v>
      </c>
      <c r="G13" s="9" t="s">
        <v>8729</v>
      </c>
      <c r="H13" s="9"/>
      <c r="I13" s="9"/>
      <c r="J13" s="9"/>
      <c r="K13" s="9"/>
      <c r="L13" s="9"/>
      <c r="M13" s="9"/>
      <c r="N13" s="10"/>
      <c r="O13" s="9"/>
      <c r="P13" s="9"/>
      <c r="Q13" s="9">
        <v>3599</v>
      </c>
      <c r="R13" s="9">
        <v>79</v>
      </c>
      <c r="S13" s="9">
        <v>3678</v>
      </c>
      <c r="T13" s="9"/>
      <c r="U13" s="9"/>
      <c r="V13" s="9"/>
      <c r="W13" s="9"/>
      <c r="X13" s="9"/>
      <c r="Y13" s="9"/>
      <c r="Z13" s="9"/>
      <c r="AA13" s="9"/>
      <c r="AB13" s="9"/>
      <c r="AC13" s="9"/>
    </row>
    <row r="14" spans="1:29" ht="29">
      <c r="A14" s="3" t="s">
        <v>42</v>
      </c>
      <c r="B14" s="3" t="s">
        <v>3911</v>
      </c>
      <c r="C14" s="3" t="s">
        <v>1990</v>
      </c>
      <c r="G14" s="9" t="s">
        <v>8729</v>
      </c>
      <c r="H14" s="9"/>
      <c r="I14" s="9"/>
      <c r="J14" s="9"/>
      <c r="K14" s="9"/>
      <c r="L14" s="9"/>
      <c r="M14" s="9"/>
      <c r="N14" s="10"/>
      <c r="O14" s="9"/>
      <c r="P14" s="9"/>
      <c r="Q14" s="9">
        <v>-890</v>
      </c>
      <c r="R14" s="9">
        <v>1225</v>
      </c>
      <c r="S14" s="9">
        <v>335</v>
      </c>
      <c r="T14" s="9"/>
      <c r="U14" s="9"/>
      <c r="V14" s="9"/>
      <c r="W14" s="9"/>
      <c r="X14" s="9"/>
      <c r="Y14" s="9"/>
      <c r="Z14" s="9"/>
      <c r="AA14" s="9"/>
      <c r="AB14" s="9"/>
      <c r="AC14" s="9"/>
    </row>
    <row r="15" spans="1:29" ht="29">
      <c r="A15" s="3" t="s">
        <v>45</v>
      </c>
      <c r="B15" s="3" t="s">
        <v>8775</v>
      </c>
      <c r="C15" s="3" t="s">
        <v>8776</v>
      </c>
      <c r="G15" s="9" t="s">
        <v>3889</v>
      </c>
      <c r="H15" s="9"/>
      <c r="I15" s="9">
        <v>1</v>
      </c>
      <c r="J15" s="9">
        <v>3</v>
      </c>
      <c r="K15" s="9" t="s">
        <v>8689</v>
      </c>
      <c r="L15" s="9" t="s">
        <v>8690</v>
      </c>
      <c r="M15" s="9"/>
      <c r="N15" s="10"/>
      <c r="O15" s="9"/>
      <c r="P15" s="9">
        <v>10929</v>
      </c>
      <c r="Q15" s="9"/>
      <c r="R15" s="9" t="s">
        <v>9321</v>
      </c>
      <c r="S15" s="9" t="s">
        <v>9321</v>
      </c>
      <c r="T15" s="9"/>
      <c r="U15" s="9"/>
      <c r="V15" s="9"/>
      <c r="W15" s="9"/>
      <c r="X15" s="9"/>
      <c r="Y15" s="9"/>
      <c r="Z15" s="9"/>
      <c r="AA15" s="9"/>
      <c r="AB15" s="9"/>
      <c r="AC15" s="9"/>
    </row>
    <row r="16" spans="1:29" ht="29">
      <c r="A16" s="3" t="s">
        <v>46</v>
      </c>
      <c r="B16" s="3" t="s">
        <v>3920</v>
      </c>
      <c r="C16" s="3" t="s">
        <v>3921</v>
      </c>
      <c r="F16" t="s">
        <v>3884</v>
      </c>
      <c r="G16" s="9" t="s">
        <v>8731</v>
      </c>
      <c r="H16" s="9"/>
      <c r="I16" s="9"/>
      <c r="J16" s="9"/>
      <c r="K16" s="9"/>
      <c r="L16" s="9"/>
      <c r="M16" s="9"/>
      <c r="N16" s="10"/>
      <c r="O16" s="9"/>
      <c r="P16" s="9"/>
      <c r="Q16" s="9"/>
      <c r="R16" s="9" t="s">
        <v>9321</v>
      </c>
      <c r="S16" s="9" t="s">
        <v>9321</v>
      </c>
      <c r="T16" s="9"/>
      <c r="U16" s="9"/>
      <c r="V16" s="9"/>
      <c r="W16" s="9"/>
      <c r="X16" s="9"/>
      <c r="Y16" s="9"/>
      <c r="Z16" s="9"/>
      <c r="AA16" s="9"/>
      <c r="AB16" s="9"/>
      <c r="AC16" s="9"/>
    </row>
    <row r="17" spans="1:29" ht="29">
      <c r="A17" s="3" t="s">
        <v>47</v>
      </c>
      <c r="B17" s="3" t="s">
        <v>3922</v>
      </c>
      <c r="C17" s="3" t="s">
        <v>3923</v>
      </c>
      <c r="F17" t="s">
        <v>3884</v>
      </c>
      <c r="G17" s="9" t="s">
        <v>3889</v>
      </c>
      <c r="H17" s="9"/>
      <c r="I17" s="9">
        <v>1</v>
      </c>
      <c r="J17" s="9">
        <v>2</v>
      </c>
      <c r="K17" s="9" t="s">
        <v>8703</v>
      </c>
      <c r="L17" s="9" t="s">
        <v>8730</v>
      </c>
      <c r="M17" s="9"/>
      <c r="N17" s="10"/>
      <c r="O17" s="9"/>
      <c r="P17" s="9">
        <v>1225</v>
      </c>
      <c r="Q17" s="9"/>
      <c r="R17" s="9" t="s">
        <v>9321</v>
      </c>
      <c r="S17" s="9" t="s">
        <v>9321</v>
      </c>
      <c r="T17" s="9"/>
      <c r="U17" s="9"/>
      <c r="V17" s="9"/>
      <c r="W17" s="9"/>
      <c r="X17" s="9"/>
      <c r="Y17" s="9"/>
      <c r="Z17" s="9"/>
      <c r="AA17" s="9"/>
      <c r="AB17" s="9"/>
      <c r="AC17" s="9"/>
    </row>
    <row r="18" spans="1:29" ht="29">
      <c r="A18" s="3" t="s">
        <v>48</v>
      </c>
      <c r="B18" s="3" t="s">
        <v>2000</v>
      </c>
      <c r="C18" s="3" t="s">
        <v>2001</v>
      </c>
      <c r="G18" s="9" t="s">
        <v>8729</v>
      </c>
      <c r="H18" s="9"/>
      <c r="I18" s="9"/>
      <c r="J18" s="9"/>
      <c r="K18" s="9"/>
      <c r="L18" s="9"/>
      <c r="M18" s="9"/>
      <c r="N18" s="10"/>
      <c r="O18" s="9"/>
      <c r="P18" s="9"/>
      <c r="Q18" s="9">
        <v>-28</v>
      </c>
      <c r="R18" s="9">
        <v>28</v>
      </c>
      <c r="S18" s="9">
        <v>0</v>
      </c>
      <c r="T18" s="9"/>
      <c r="U18" s="9"/>
      <c r="V18" s="9"/>
      <c r="W18" s="9"/>
      <c r="X18" s="9"/>
      <c r="Y18" s="9"/>
      <c r="Z18" s="9"/>
      <c r="AA18" s="9"/>
      <c r="AB18" s="9"/>
      <c r="AC18" s="9"/>
    </row>
    <row r="19" spans="1:29" ht="29">
      <c r="A19" s="3" t="s">
        <v>49</v>
      </c>
      <c r="B19" s="3" t="s">
        <v>2009</v>
      </c>
      <c r="C19" s="3" t="s">
        <v>2010</v>
      </c>
      <c r="G19" s="9" t="s">
        <v>8729</v>
      </c>
      <c r="H19" s="9"/>
      <c r="I19" s="9"/>
      <c r="J19" s="9"/>
      <c r="K19" s="9"/>
      <c r="L19" s="9"/>
      <c r="M19" s="9"/>
      <c r="N19" s="10"/>
      <c r="O19" s="9"/>
      <c r="P19" s="9"/>
      <c r="Q19" s="9">
        <v>-9</v>
      </c>
      <c r="R19" s="9">
        <v>15</v>
      </c>
      <c r="S19" s="9">
        <v>6</v>
      </c>
      <c r="T19" s="9"/>
      <c r="U19" s="9"/>
      <c r="V19" s="9"/>
      <c r="W19" s="9"/>
      <c r="X19" s="9"/>
      <c r="Y19" s="9"/>
      <c r="Z19" s="9"/>
      <c r="AA19" s="9"/>
      <c r="AB19" s="9"/>
      <c r="AC19" s="9"/>
    </row>
    <row r="20" spans="1:29" ht="29">
      <c r="A20" s="3" t="s">
        <v>51</v>
      </c>
      <c r="B20" s="3" t="s">
        <v>3928</v>
      </c>
      <c r="C20" s="3" t="s">
        <v>3929</v>
      </c>
      <c r="G20" s="9" t="s">
        <v>8731</v>
      </c>
      <c r="H20" s="9"/>
      <c r="I20" s="9"/>
      <c r="J20" s="9"/>
      <c r="K20" s="9"/>
      <c r="L20" s="9"/>
      <c r="M20" s="9"/>
      <c r="N20" s="10"/>
      <c r="O20" s="9"/>
      <c r="P20" s="9"/>
      <c r="Q20" s="9"/>
      <c r="R20" s="9" t="s">
        <v>9321</v>
      </c>
      <c r="S20" s="9" t="s">
        <v>9321</v>
      </c>
      <c r="T20" s="9"/>
      <c r="U20" s="9"/>
      <c r="V20" s="9"/>
      <c r="W20" s="9"/>
      <c r="X20" s="9"/>
      <c r="Y20" s="9"/>
      <c r="Z20" s="9"/>
      <c r="AA20" s="9"/>
      <c r="AB20" s="9"/>
      <c r="AC20" s="9"/>
    </row>
    <row r="21" spans="1:29" ht="29">
      <c r="A21" s="3" t="s">
        <v>52</v>
      </c>
      <c r="B21" s="3" t="s">
        <v>8779</v>
      </c>
      <c r="C21" s="3" t="s">
        <v>8780</v>
      </c>
      <c r="F21" t="s">
        <v>3892</v>
      </c>
      <c r="G21" s="9" t="s">
        <v>3885</v>
      </c>
      <c r="H21" s="9"/>
      <c r="I21" s="9">
        <v>1</v>
      </c>
      <c r="J21" s="9">
        <v>3</v>
      </c>
      <c r="K21" s="9" t="s">
        <v>8707</v>
      </c>
      <c r="L21" s="9" t="s">
        <v>8690</v>
      </c>
      <c r="M21" s="9"/>
      <c r="N21" s="10"/>
      <c r="O21" s="9"/>
      <c r="P21" s="9">
        <v>991</v>
      </c>
      <c r="Q21" s="9"/>
      <c r="R21" s="9" t="s">
        <v>9321</v>
      </c>
      <c r="S21" s="9" t="s">
        <v>9321</v>
      </c>
      <c r="T21" s="9"/>
      <c r="U21" s="9"/>
      <c r="V21" s="9"/>
      <c r="W21" s="9"/>
      <c r="X21" s="9"/>
      <c r="Y21" s="9"/>
      <c r="Z21" s="9"/>
      <c r="AA21" s="9"/>
      <c r="AB21" s="9"/>
      <c r="AC21" s="9"/>
    </row>
    <row r="22" spans="1:29" ht="29">
      <c r="A22" s="3" t="s">
        <v>54</v>
      </c>
      <c r="B22" s="3" t="s">
        <v>3936</v>
      </c>
      <c r="C22" s="3" t="s">
        <v>3937</v>
      </c>
      <c r="F22" t="s">
        <v>3884</v>
      </c>
      <c r="G22" s="9" t="s">
        <v>8729</v>
      </c>
      <c r="H22" s="9"/>
      <c r="I22" s="9"/>
      <c r="J22" s="9"/>
      <c r="K22" s="9"/>
      <c r="L22" s="9"/>
      <c r="M22" s="9"/>
      <c r="N22" s="10"/>
      <c r="O22" s="9"/>
      <c r="P22" s="9"/>
      <c r="Q22" s="9">
        <v>10435</v>
      </c>
      <c r="R22" s="9">
        <v>494</v>
      </c>
      <c r="S22" s="9">
        <v>10929</v>
      </c>
      <c r="T22" s="9"/>
      <c r="U22" s="9"/>
      <c r="V22" s="9"/>
      <c r="W22" s="9"/>
      <c r="X22" s="9"/>
      <c r="Y22" s="9"/>
      <c r="Z22" s="9"/>
      <c r="AA22" s="9"/>
      <c r="AB22" s="9"/>
      <c r="AC22" s="9"/>
    </row>
    <row r="23" spans="1:29" ht="29">
      <c r="A23" s="3" t="s">
        <v>55</v>
      </c>
      <c r="B23" t="s">
        <v>9402</v>
      </c>
      <c r="C23" t="s">
        <v>8781</v>
      </c>
      <c r="G23" s="9" t="s">
        <v>3889</v>
      </c>
      <c r="H23" s="9"/>
      <c r="I23" s="9">
        <v>1</v>
      </c>
      <c r="J23" s="9">
        <v>5</v>
      </c>
      <c r="K23" s="9" t="s">
        <v>8705</v>
      </c>
      <c r="L23" s="9" t="s">
        <v>8684</v>
      </c>
      <c r="M23" s="9" t="s">
        <v>8777</v>
      </c>
      <c r="N23" s="10" t="s">
        <v>8778</v>
      </c>
      <c r="O23" s="9"/>
      <c r="P23" s="9">
        <v>3678</v>
      </c>
      <c r="Q23" s="9"/>
      <c r="R23" s="9" t="s">
        <v>9321</v>
      </c>
      <c r="S23" s="9" t="s">
        <v>9321</v>
      </c>
      <c r="T23" s="9"/>
      <c r="U23" s="9"/>
      <c r="V23" s="9"/>
      <c r="W23" s="9"/>
      <c r="X23" s="9"/>
      <c r="Y23" s="9"/>
      <c r="Z23" s="9"/>
      <c r="AA23" s="9"/>
      <c r="AB23" s="9"/>
      <c r="AC23" s="9"/>
    </row>
    <row r="24" spans="1:29" ht="29">
      <c r="A24" s="3" t="s">
        <v>55</v>
      </c>
      <c r="B24" s="3" t="s">
        <v>8782</v>
      </c>
      <c r="C24" s="3" t="s">
        <v>8783</v>
      </c>
      <c r="F24" t="s">
        <v>3884</v>
      </c>
      <c r="G24" s="9" t="s">
        <v>3885</v>
      </c>
      <c r="H24" s="9"/>
      <c r="I24" s="9">
        <v>1</v>
      </c>
      <c r="J24" s="9">
        <v>3</v>
      </c>
      <c r="K24" s="9" t="s">
        <v>8689</v>
      </c>
      <c r="L24" s="9" t="s">
        <v>8690</v>
      </c>
      <c r="M24" s="9"/>
      <c r="N24" s="10"/>
      <c r="O24" s="9"/>
      <c r="P24" s="9">
        <v>10929</v>
      </c>
      <c r="Q24" s="9"/>
      <c r="R24" s="9" t="s">
        <v>9321</v>
      </c>
      <c r="S24" s="9" t="s">
        <v>9321</v>
      </c>
      <c r="T24" s="9"/>
      <c r="U24" s="9"/>
      <c r="V24" s="9"/>
      <c r="W24" s="9"/>
      <c r="X24" s="9"/>
      <c r="Y24" s="9"/>
      <c r="Z24" s="9"/>
      <c r="AA24" s="9"/>
      <c r="AB24" s="9"/>
      <c r="AC24" s="9"/>
    </row>
    <row r="25" spans="1:29" ht="29">
      <c r="A25" s="3" t="s">
        <v>57</v>
      </c>
      <c r="B25" s="3" t="s">
        <v>3939</v>
      </c>
      <c r="C25" s="3" t="s">
        <v>3938</v>
      </c>
      <c r="F25" t="s">
        <v>3884</v>
      </c>
      <c r="G25" s="9" t="s">
        <v>3885</v>
      </c>
      <c r="H25" s="9"/>
      <c r="I25" s="9">
        <v>1</v>
      </c>
      <c r="J25" s="9">
        <v>5</v>
      </c>
      <c r="K25" s="9" t="s">
        <v>8705</v>
      </c>
      <c r="L25" s="9" t="s">
        <v>8690</v>
      </c>
      <c r="M25" s="9"/>
      <c r="N25" s="10"/>
      <c r="O25" s="9"/>
      <c r="P25" s="9">
        <v>3678</v>
      </c>
      <c r="Q25" s="9"/>
      <c r="R25" s="9" t="s">
        <v>9321</v>
      </c>
      <c r="S25" s="9" t="s">
        <v>9321</v>
      </c>
      <c r="T25" s="9"/>
      <c r="U25" s="9"/>
      <c r="V25" s="9"/>
      <c r="W25" s="9"/>
      <c r="X25" s="9"/>
      <c r="Y25" s="9"/>
      <c r="Z25" s="9"/>
      <c r="AA25" s="9"/>
      <c r="AB25" s="9"/>
      <c r="AC25" s="9"/>
    </row>
    <row r="26" spans="1:29">
      <c r="A26" s="3" t="s">
        <v>61</v>
      </c>
      <c r="B26" s="3" t="s">
        <v>2028</v>
      </c>
      <c r="C26" s="3" t="s">
        <v>2029</v>
      </c>
      <c r="G26" s="9" t="s">
        <v>8731</v>
      </c>
      <c r="H26" s="9"/>
      <c r="I26" s="9"/>
      <c r="J26" s="9"/>
      <c r="K26" s="9"/>
      <c r="L26" s="9"/>
      <c r="M26" s="9"/>
      <c r="N26" s="10"/>
      <c r="O26" s="9"/>
      <c r="P26" s="9"/>
      <c r="Q26" s="9"/>
      <c r="R26" s="9" t="s">
        <v>9321</v>
      </c>
      <c r="S26" s="9" t="s">
        <v>9321</v>
      </c>
      <c r="T26" s="9"/>
      <c r="U26" s="9"/>
      <c r="V26" s="9"/>
      <c r="W26" s="9"/>
      <c r="X26" s="9"/>
      <c r="Y26" s="9"/>
      <c r="Z26" s="9"/>
      <c r="AA26" s="9"/>
      <c r="AB26" s="9"/>
      <c r="AC26" s="9"/>
    </row>
    <row r="27" spans="1:29">
      <c r="A27" s="3" t="s">
        <v>62</v>
      </c>
      <c r="B27" s="3" t="s">
        <v>8784</v>
      </c>
      <c r="C27" s="3" t="s">
        <v>8785</v>
      </c>
      <c r="F27" t="s">
        <v>3884</v>
      </c>
      <c r="G27" s="9" t="s">
        <v>3885</v>
      </c>
      <c r="H27" s="9"/>
      <c r="I27" s="9">
        <v>1</v>
      </c>
      <c r="J27" s="9">
        <v>1</v>
      </c>
      <c r="K27" s="9" t="s">
        <v>8689</v>
      </c>
      <c r="L27" s="9" t="s">
        <v>8730</v>
      </c>
      <c r="M27" s="9"/>
      <c r="N27" s="10"/>
      <c r="O27" s="9"/>
      <c r="P27" s="9">
        <v>10929</v>
      </c>
      <c r="Q27" s="9"/>
      <c r="R27" s="9" t="s">
        <v>9321</v>
      </c>
      <c r="S27" s="9" t="s">
        <v>9321</v>
      </c>
      <c r="T27" s="9"/>
      <c r="U27" s="9"/>
      <c r="V27" s="9"/>
      <c r="W27" s="9"/>
      <c r="X27" s="9"/>
      <c r="Y27" s="9"/>
      <c r="Z27" s="9"/>
      <c r="AA27" s="9"/>
      <c r="AB27" s="9"/>
      <c r="AC27" s="9"/>
    </row>
    <row r="28" spans="1:29" ht="29">
      <c r="A28" s="3" t="s">
        <v>65</v>
      </c>
      <c r="B28" s="3" t="s">
        <v>2033</v>
      </c>
      <c r="C28" s="3" t="s">
        <v>2034</v>
      </c>
      <c r="G28" s="9" t="s">
        <v>8729</v>
      </c>
      <c r="H28" s="9"/>
      <c r="I28" s="9"/>
      <c r="J28" s="9"/>
      <c r="K28" s="9"/>
      <c r="L28" s="9"/>
      <c r="M28" s="9"/>
      <c r="N28" s="10"/>
      <c r="O28" s="9"/>
      <c r="P28" s="9"/>
      <c r="Q28" s="9">
        <v>23</v>
      </c>
      <c r="R28" s="9">
        <v>16</v>
      </c>
      <c r="S28" s="9">
        <v>39</v>
      </c>
      <c r="T28" s="9"/>
      <c r="U28" s="9"/>
      <c r="V28" s="9"/>
      <c r="W28" s="9"/>
      <c r="X28" s="9"/>
      <c r="Y28" s="9"/>
      <c r="Z28" s="9"/>
      <c r="AA28" s="9"/>
      <c r="AB28" s="9"/>
      <c r="AC28" s="9"/>
    </row>
    <row r="29" spans="1:29" ht="29">
      <c r="A29" s="3" t="s">
        <v>66</v>
      </c>
      <c r="B29" t="s">
        <v>8786</v>
      </c>
      <c r="C29" t="s">
        <v>8787</v>
      </c>
      <c r="F29" t="s">
        <v>3884</v>
      </c>
      <c r="G29" s="9" t="s">
        <v>3885</v>
      </c>
      <c r="H29" s="9"/>
      <c r="I29" s="9">
        <v>1</v>
      </c>
      <c r="J29" s="9">
        <v>3</v>
      </c>
      <c r="K29" s="9" t="s">
        <v>8705</v>
      </c>
      <c r="L29" s="9" t="s">
        <v>8690</v>
      </c>
      <c r="M29" s="9"/>
      <c r="N29" s="10"/>
      <c r="O29" s="9"/>
      <c r="P29" s="9">
        <v>1443</v>
      </c>
      <c r="Q29" s="9"/>
      <c r="R29" s="9" t="s">
        <v>9321</v>
      </c>
      <c r="S29" s="9" t="s">
        <v>9321</v>
      </c>
      <c r="T29" s="9"/>
      <c r="U29" s="9"/>
      <c r="V29" s="9"/>
      <c r="W29" s="9"/>
      <c r="X29" s="9"/>
      <c r="Y29" s="9"/>
      <c r="Z29" s="9"/>
      <c r="AA29" s="9"/>
      <c r="AB29" s="9"/>
      <c r="AC29" s="9"/>
    </row>
    <row r="30" spans="1:29" ht="29">
      <c r="A30" s="3" t="s">
        <v>68</v>
      </c>
      <c r="B30" s="3" t="s">
        <v>3940</v>
      </c>
      <c r="C30" s="3" t="s">
        <v>9553</v>
      </c>
      <c r="F30" t="s">
        <v>3884</v>
      </c>
      <c r="G30" s="9" t="s">
        <v>3889</v>
      </c>
      <c r="H30" s="9"/>
      <c r="I30" s="9">
        <v>2</v>
      </c>
      <c r="J30" s="9">
        <v>6</v>
      </c>
      <c r="K30" s="9"/>
      <c r="L30" s="9" t="s">
        <v>8690</v>
      </c>
      <c r="M30" s="9"/>
      <c r="N30" s="10"/>
      <c r="O30" s="9"/>
      <c r="P30" s="9">
        <v>13</v>
      </c>
      <c r="Q30" s="9"/>
      <c r="R30" s="9" t="s">
        <v>9321</v>
      </c>
      <c r="S30" s="9" t="s">
        <v>9321</v>
      </c>
      <c r="T30" s="9"/>
      <c r="U30" s="9"/>
      <c r="V30" s="9"/>
      <c r="W30" s="9"/>
      <c r="X30" s="9"/>
      <c r="Y30" s="9"/>
      <c r="Z30" s="9"/>
      <c r="AA30" s="9"/>
      <c r="AB30" s="9"/>
      <c r="AC30" s="9"/>
    </row>
    <row r="31" spans="1:29" ht="29">
      <c r="A31" s="3" t="s">
        <v>69</v>
      </c>
      <c r="B31" s="3" t="s">
        <v>9404</v>
      </c>
      <c r="C31" s="3" t="s">
        <v>9405</v>
      </c>
      <c r="G31" s="9" t="s">
        <v>3889</v>
      </c>
      <c r="H31" s="9"/>
      <c r="I31" s="9">
        <v>2</v>
      </c>
      <c r="J31" s="9">
        <v>10</v>
      </c>
      <c r="K31" s="9"/>
      <c r="L31" s="9" t="s">
        <v>8690</v>
      </c>
      <c r="M31" s="9"/>
      <c r="N31" s="10"/>
      <c r="O31" s="9"/>
      <c r="P31" s="9">
        <v>84</v>
      </c>
      <c r="Q31" s="9"/>
      <c r="R31" s="9" t="s">
        <v>9321</v>
      </c>
      <c r="S31" s="9" t="s">
        <v>9321</v>
      </c>
      <c r="T31" s="9"/>
      <c r="U31" s="9"/>
      <c r="V31" s="9"/>
      <c r="W31" s="9"/>
      <c r="X31" s="9"/>
      <c r="Y31" s="9"/>
      <c r="Z31" s="9"/>
      <c r="AA31" s="9"/>
      <c r="AB31" s="9"/>
      <c r="AC31" s="9"/>
    </row>
    <row r="32" spans="1:29" ht="29">
      <c r="A32" s="3" t="s">
        <v>70</v>
      </c>
      <c r="B32" s="3" t="s">
        <v>3943</v>
      </c>
      <c r="C32" s="3" t="s">
        <v>3944</v>
      </c>
      <c r="F32" t="s">
        <v>3884</v>
      </c>
      <c r="G32" s="9" t="s">
        <v>3885</v>
      </c>
      <c r="H32" s="9"/>
      <c r="I32" s="9">
        <v>1</v>
      </c>
      <c r="J32" s="9">
        <v>3</v>
      </c>
      <c r="K32" s="9" t="s">
        <v>8689</v>
      </c>
      <c r="L32" s="9" t="s">
        <v>8690</v>
      </c>
      <c r="M32" s="9"/>
      <c r="N32" s="10"/>
      <c r="O32" s="9"/>
      <c r="P32" s="9">
        <v>10929</v>
      </c>
      <c r="Q32" s="9"/>
      <c r="R32" s="9" t="s">
        <v>9321</v>
      </c>
      <c r="S32" s="9" t="s">
        <v>9321</v>
      </c>
      <c r="T32" s="9"/>
      <c r="U32" s="9"/>
      <c r="V32" s="9"/>
      <c r="W32" s="9"/>
      <c r="X32" s="9"/>
      <c r="Y32" s="9"/>
      <c r="Z32" s="9"/>
      <c r="AA32" s="9"/>
      <c r="AB32" s="9"/>
      <c r="AC32" s="9"/>
    </row>
    <row r="33" spans="1:29" ht="29">
      <c r="A33" s="3" t="s">
        <v>72</v>
      </c>
      <c r="B33" s="3" t="s">
        <v>8790</v>
      </c>
      <c r="C33" s="3" t="s">
        <v>8792</v>
      </c>
      <c r="G33" s="9" t="s">
        <v>3885</v>
      </c>
      <c r="H33" s="9"/>
      <c r="I33" s="9">
        <v>1</v>
      </c>
      <c r="J33" s="9">
        <v>1</v>
      </c>
      <c r="K33" s="9" t="s">
        <v>8689</v>
      </c>
      <c r="L33" s="9" t="s">
        <v>8730</v>
      </c>
      <c r="M33" s="9"/>
      <c r="N33" s="10"/>
      <c r="O33" s="9"/>
      <c r="P33" s="9">
        <v>10929</v>
      </c>
      <c r="Q33" s="9"/>
      <c r="R33" s="9" t="s">
        <v>9321</v>
      </c>
      <c r="S33" s="9" t="s">
        <v>9321</v>
      </c>
      <c r="T33" s="9"/>
      <c r="U33" s="9"/>
      <c r="V33" s="9"/>
      <c r="W33" s="9"/>
      <c r="X33" s="9"/>
      <c r="Y33" s="9"/>
      <c r="Z33" s="9"/>
      <c r="AA33" s="9"/>
      <c r="AB33" s="9"/>
      <c r="AC33" s="9"/>
    </row>
    <row r="34" spans="1:29" ht="29">
      <c r="A34" s="3" t="s">
        <v>72</v>
      </c>
      <c r="B34" s="3" t="s">
        <v>8790</v>
      </c>
      <c r="C34" s="3" t="s">
        <v>8794</v>
      </c>
      <c r="G34" s="9" t="s">
        <v>3885</v>
      </c>
      <c r="H34" s="9"/>
      <c r="I34" s="9">
        <v>1</v>
      </c>
      <c r="J34" s="9">
        <v>3</v>
      </c>
      <c r="K34" s="9" t="s">
        <v>8689</v>
      </c>
      <c r="L34" s="9" t="s">
        <v>8690</v>
      </c>
      <c r="M34" s="9"/>
      <c r="N34" s="10"/>
      <c r="O34" s="9"/>
      <c r="P34" s="9">
        <v>10929</v>
      </c>
      <c r="Q34" s="9"/>
      <c r="R34" s="9" t="s">
        <v>9321</v>
      </c>
      <c r="S34" s="9" t="s">
        <v>9321</v>
      </c>
      <c r="T34" s="9"/>
      <c r="U34" s="9"/>
      <c r="V34" s="9"/>
      <c r="W34" s="9"/>
      <c r="X34" s="9"/>
      <c r="Y34" s="9"/>
      <c r="Z34" s="9"/>
      <c r="AA34" s="9"/>
      <c r="AB34" s="9"/>
      <c r="AC34" s="9"/>
    </row>
    <row r="35" spans="1:29">
      <c r="A35" s="3" t="s">
        <v>73</v>
      </c>
      <c r="B35" t="s">
        <v>8795</v>
      </c>
      <c r="C35" t="s">
        <v>8796</v>
      </c>
      <c r="G35" s="9" t="s">
        <v>3885</v>
      </c>
      <c r="H35" s="9"/>
      <c r="I35" s="9">
        <v>1</v>
      </c>
      <c r="J35" s="9">
        <v>1</v>
      </c>
      <c r="K35" s="9" t="s">
        <v>8689</v>
      </c>
      <c r="L35" s="9" t="s">
        <v>8730</v>
      </c>
      <c r="M35" s="9"/>
      <c r="N35" s="10"/>
      <c r="O35" s="9"/>
      <c r="P35" s="9">
        <v>10929</v>
      </c>
      <c r="Q35" s="9"/>
      <c r="R35" s="9" t="s">
        <v>9321</v>
      </c>
      <c r="S35" s="9" t="s">
        <v>9321</v>
      </c>
      <c r="T35" s="9"/>
      <c r="U35" s="9"/>
      <c r="V35" s="9"/>
      <c r="W35" s="9"/>
      <c r="X35" s="9"/>
      <c r="Y35" s="9"/>
      <c r="Z35" s="9"/>
      <c r="AA35" s="9"/>
      <c r="AB35" s="9"/>
      <c r="AC35" s="9"/>
    </row>
    <row r="36" spans="1:29">
      <c r="A36" s="3" t="s">
        <v>75</v>
      </c>
      <c r="B36" s="3" t="s">
        <v>2331</v>
      </c>
      <c r="C36" s="3" t="s">
        <v>3949</v>
      </c>
      <c r="G36" s="9" t="s">
        <v>3885</v>
      </c>
      <c r="H36" s="9"/>
      <c r="I36" s="9">
        <v>1</v>
      </c>
      <c r="J36" s="9">
        <v>2</v>
      </c>
      <c r="K36" s="9" t="s">
        <v>8689</v>
      </c>
      <c r="L36" s="9" t="s">
        <v>8730</v>
      </c>
      <c r="M36" s="9"/>
      <c r="N36" s="10"/>
      <c r="O36" s="9"/>
      <c r="P36" s="9">
        <v>10929</v>
      </c>
      <c r="Q36" s="9"/>
      <c r="R36" s="9" t="s">
        <v>9321</v>
      </c>
      <c r="S36" s="9" t="s">
        <v>9321</v>
      </c>
      <c r="T36" s="9"/>
      <c r="U36" s="9"/>
      <c r="V36" s="9"/>
      <c r="W36" s="9"/>
      <c r="X36" s="9"/>
      <c r="Y36" s="9"/>
      <c r="Z36" s="9"/>
      <c r="AA36" s="9"/>
      <c r="AB36" s="9"/>
      <c r="AC36" s="9"/>
    </row>
    <row r="37" spans="1:29" ht="29">
      <c r="A37" s="3" t="s">
        <v>76</v>
      </c>
      <c r="B37" s="3" t="s">
        <v>8801</v>
      </c>
      <c r="C37" s="3" t="s">
        <v>8802</v>
      </c>
      <c r="F37" t="s">
        <v>3884</v>
      </c>
      <c r="G37" s="9" t="s">
        <v>3885</v>
      </c>
      <c r="H37" s="9"/>
      <c r="I37" s="9">
        <v>1</v>
      </c>
      <c r="J37" s="9">
        <v>1</v>
      </c>
      <c r="K37" s="9" t="s">
        <v>8683</v>
      </c>
      <c r="L37" s="9" t="s">
        <v>8730</v>
      </c>
      <c r="M37" s="9"/>
      <c r="N37" s="10"/>
      <c r="O37" s="9"/>
      <c r="P37" s="9">
        <v>10</v>
      </c>
      <c r="Q37" s="9"/>
      <c r="R37" s="9" t="s">
        <v>9321</v>
      </c>
      <c r="S37" s="9" t="s">
        <v>9321</v>
      </c>
      <c r="T37" s="9"/>
      <c r="U37" s="9"/>
      <c r="V37" s="9"/>
      <c r="W37" s="9"/>
      <c r="X37" s="9"/>
      <c r="Y37" s="9"/>
      <c r="Z37" s="9"/>
      <c r="AA37" s="9"/>
      <c r="AB37" s="9"/>
      <c r="AC37" s="9"/>
    </row>
    <row r="38" spans="1:29" ht="29">
      <c r="A38" s="3" t="s">
        <v>79</v>
      </c>
      <c r="B38" s="3" t="s">
        <v>3955</v>
      </c>
      <c r="C38" s="3" t="s">
        <v>3956</v>
      </c>
      <c r="F38" t="s">
        <v>3884</v>
      </c>
      <c r="G38" s="9" t="s">
        <v>3894</v>
      </c>
      <c r="H38" s="9"/>
      <c r="I38" s="9"/>
      <c r="J38" s="9"/>
      <c r="K38" s="9"/>
      <c r="L38" s="9"/>
      <c r="M38" s="9"/>
      <c r="N38" s="10"/>
      <c r="O38" s="9"/>
      <c r="P38" s="9"/>
      <c r="Q38" s="9"/>
      <c r="R38" s="9" t="s">
        <v>9321</v>
      </c>
      <c r="S38" s="9" t="s">
        <v>9321</v>
      </c>
      <c r="T38" s="9"/>
      <c r="U38" s="9"/>
      <c r="V38" s="9"/>
      <c r="W38" s="9"/>
      <c r="X38" s="9"/>
      <c r="Y38" s="9"/>
      <c r="Z38" s="9"/>
      <c r="AA38" s="9"/>
      <c r="AB38" s="9"/>
      <c r="AC38" s="9"/>
    </row>
    <row r="39" spans="1:29" ht="29">
      <c r="A39" s="3" t="s">
        <v>81</v>
      </c>
      <c r="B39" s="3" t="s">
        <v>8806</v>
      </c>
      <c r="C39" s="3" t="s">
        <v>8807</v>
      </c>
      <c r="G39" s="9" t="s">
        <v>3885</v>
      </c>
      <c r="H39" s="9"/>
      <c r="I39" s="9">
        <v>1</v>
      </c>
      <c r="J39" s="9">
        <v>1</v>
      </c>
      <c r="K39" s="9" t="s">
        <v>8689</v>
      </c>
      <c r="L39" s="9" t="s">
        <v>8730</v>
      </c>
      <c r="M39" s="9"/>
      <c r="N39" s="10"/>
      <c r="O39" s="9"/>
      <c r="P39" s="9">
        <v>10929</v>
      </c>
      <c r="Q39" s="9"/>
      <c r="R39" s="9" t="s">
        <v>9321</v>
      </c>
      <c r="S39" s="9" t="s">
        <v>9321</v>
      </c>
      <c r="T39" s="9"/>
      <c r="U39" s="9"/>
      <c r="V39" s="9"/>
      <c r="W39" s="9"/>
      <c r="X39" s="9"/>
      <c r="Y39" s="9"/>
      <c r="Z39" s="9"/>
      <c r="AA39" s="9"/>
      <c r="AB39" s="9"/>
      <c r="AC39" s="9"/>
    </row>
    <row r="40" spans="1:29" ht="29">
      <c r="A40" s="3" t="s">
        <v>81</v>
      </c>
      <c r="B40" s="3" t="s">
        <v>8809</v>
      </c>
      <c r="C40" s="3" t="s">
        <v>8808</v>
      </c>
      <c r="G40" s="9" t="s">
        <v>8731</v>
      </c>
      <c r="H40" s="9"/>
      <c r="I40" s="9"/>
      <c r="J40" s="9"/>
      <c r="K40" s="9"/>
      <c r="L40" s="9"/>
      <c r="M40" s="9"/>
      <c r="N40" s="10"/>
      <c r="O40" s="9"/>
      <c r="P40" s="9"/>
      <c r="Q40" s="9"/>
      <c r="R40" s="9" t="s">
        <v>9321</v>
      </c>
      <c r="S40" s="9" t="s">
        <v>9321</v>
      </c>
      <c r="T40" s="9"/>
      <c r="U40" s="9"/>
      <c r="V40" s="9"/>
      <c r="W40" s="9"/>
      <c r="X40" s="9"/>
      <c r="Y40" s="9"/>
      <c r="Z40" s="9"/>
      <c r="AA40" s="9"/>
      <c r="AB40" s="9"/>
      <c r="AC40" s="9"/>
    </row>
    <row r="41" spans="1:29" ht="29">
      <c r="A41" s="3" t="s">
        <v>81</v>
      </c>
      <c r="B41" s="3" t="s">
        <v>3957</v>
      </c>
      <c r="C41" s="3" t="s">
        <v>3958</v>
      </c>
      <c r="G41" s="9" t="s">
        <v>8731</v>
      </c>
      <c r="H41" s="9"/>
      <c r="I41" s="9"/>
      <c r="J41" s="9"/>
      <c r="K41" s="9"/>
      <c r="L41" s="9"/>
      <c r="M41" s="9"/>
      <c r="N41" s="10"/>
      <c r="O41" s="9"/>
      <c r="P41" s="9"/>
      <c r="Q41" s="9"/>
      <c r="R41" s="9" t="s">
        <v>9321</v>
      </c>
      <c r="S41" s="9" t="s">
        <v>9321</v>
      </c>
      <c r="T41" s="9"/>
      <c r="U41" s="9"/>
      <c r="V41" s="9"/>
      <c r="W41" s="9"/>
      <c r="X41" s="9"/>
      <c r="Y41" s="9"/>
      <c r="Z41" s="9"/>
      <c r="AA41" s="9"/>
      <c r="AB41" s="9"/>
      <c r="AC41" s="9"/>
    </row>
    <row r="42" spans="1:29" ht="29">
      <c r="A42" s="3" t="s">
        <v>84</v>
      </c>
      <c r="B42" s="3" t="s">
        <v>3959</v>
      </c>
      <c r="C42" s="3" t="s">
        <v>3960</v>
      </c>
      <c r="G42" s="9" t="s">
        <v>3889</v>
      </c>
      <c r="H42" s="9"/>
      <c r="I42" s="9">
        <v>1</v>
      </c>
      <c r="J42" s="9">
        <v>2</v>
      </c>
      <c r="K42" s="9" t="s">
        <v>8689</v>
      </c>
      <c r="L42" s="9" t="s">
        <v>8730</v>
      </c>
      <c r="M42" s="9"/>
      <c r="N42" s="10"/>
      <c r="O42" s="9"/>
      <c r="P42" s="9">
        <v>10929</v>
      </c>
      <c r="Q42" s="9"/>
      <c r="R42" s="9" t="s">
        <v>9321</v>
      </c>
      <c r="S42" s="9" t="s">
        <v>9321</v>
      </c>
      <c r="T42" s="9"/>
      <c r="U42" s="9"/>
      <c r="V42" s="9"/>
      <c r="W42" s="9"/>
      <c r="X42" s="9"/>
      <c r="Y42" s="9"/>
      <c r="Z42" s="9"/>
      <c r="AA42" s="9"/>
      <c r="AB42" s="9"/>
      <c r="AC42" s="9"/>
    </row>
    <row r="43" spans="1:29" ht="29">
      <c r="A43" s="3" t="s">
        <v>84</v>
      </c>
      <c r="B43" s="3" t="s">
        <v>2057</v>
      </c>
      <c r="C43" s="3" t="s">
        <v>2058</v>
      </c>
      <c r="G43" s="9" t="s">
        <v>8731</v>
      </c>
      <c r="H43" s="9"/>
      <c r="I43" s="9"/>
      <c r="J43" s="9"/>
      <c r="K43" s="9"/>
      <c r="L43" s="9"/>
      <c r="M43" s="9"/>
      <c r="N43" s="10"/>
      <c r="O43" s="9"/>
      <c r="P43" s="9"/>
      <c r="Q43" s="9"/>
      <c r="R43" s="9" t="s">
        <v>9321</v>
      </c>
      <c r="S43" s="9" t="s">
        <v>9321</v>
      </c>
      <c r="T43" s="9"/>
      <c r="U43" s="9"/>
      <c r="V43" s="9"/>
      <c r="W43" s="9"/>
      <c r="X43" s="9"/>
      <c r="Y43" s="9"/>
      <c r="Z43" s="9"/>
      <c r="AA43" s="9"/>
      <c r="AB43" s="9"/>
      <c r="AC43" s="9"/>
    </row>
    <row r="44" spans="1:29">
      <c r="A44" s="3" t="s">
        <v>85</v>
      </c>
      <c r="B44" s="3" t="s">
        <v>3961</v>
      </c>
      <c r="C44" s="3" t="s">
        <v>3962</v>
      </c>
      <c r="F44" t="s">
        <v>3884</v>
      </c>
      <c r="G44" s="9" t="s">
        <v>3889</v>
      </c>
      <c r="H44" s="9"/>
      <c r="I44" s="9">
        <v>1</v>
      </c>
      <c r="J44" s="9">
        <v>3</v>
      </c>
      <c r="K44" s="9" t="s">
        <v>8689</v>
      </c>
      <c r="L44" s="9" t="s">
        <v>8690</v>
      </c>
      <c r="M44" s="9"/>
      <c r="N44" s="10"/>
      <c r="O44" s="9"/>
      <c r="P44" s="9">
        <v>10929</v>
      </c>
      <c r="Q44" s="9"/>
      <c r="R44" s="9" t="s">
        <v>9321</v>
      </c>
      <c r="S44" s="9" t="s">
        <v>9321</v>
      </c>
      <c r="T44" s="9"/>
      <c r="U44" s="9"/>
      <c r="V44" s="9"/>
      <c r="W44" s="9"/>
      <c r="X44" s="9"/>
      <c r="Y44" s="9"/>
      <c r="Z44" s="9"/>
      <c r="AA44" s="9"/>
      <c r="AB44" s="9"/>
      <c r="AC44" s="9"/>
    </row>
    <row r="45" spans="1:29">
      <c r="A45" s="3" t="s">
        <v>86</v>
      </c>
      <c r="B45" s="3" t="s">
        <v>2083</v>
      </c>
      <c r="C45" s="3" t="s">
        <v>2084</v>
      </c>
      <c r="G45" s="9" t="s">
        <v>8731</v>
      </c>
      <c r="H45" s="9"/>
      <c r="I45" s="9"/>
      <c r="J45" s="9"/>
      <c r="K45" s="9"/>
      <c r="L45" s="9"/>
      <c r="M45" s="9"/>
      <c r="N45" s="10"/>
      <c r="O45" s="9"/>
      <c r="P45" s="9"/>
      <c r="Q45" s="9"/>
      <c r="R45" s="9" t="s">
        <v>9321</v>
      </c>
      <c r="S45" s="9" t="s">
        <v>9321</v>
      </c>
      <c r="T45" s="9" t="s">
        <v>8728</v>
      </c>
      <c r="U45" s="9"/>
      <c r="V45" s="9"/>
      <c r="W45" s="9"/>
      <c r="X45" s="9"/>
      <c r="Y45" s="9"/>
      <c r="Z45" s="9"/>
      <c r="AA45" s="9"/>
      <c r="AB45" s="9"/>
      <c r="AC45" s="9"/>
    </row>
    <row r="46" spans="1:29">
      <c r="A46" s="3" t="s">
        <v>87</v>
      </c>
      <c r="B46" s="3" t="s">
        <v>2085</v>
      </c>
      <c r="C46" s="3" t="s">
        <v>2086</v>
      </c>
      <c r="G46" s="9" t="s">
        <v>8731</v>
      </c>
      <c r="H46" s="9"/>
      <c r="I46" s="9"/>
      <c r="J46" s="9"/>
      <c r="K46" s="9"/>
      <c r="L46" s="9"/>
      <c r="M46" s="9"/>
      <c r="N46" s="10"/>
      <c r="O46" s="9"/>
      <c r="P46" s="9"/>
      <c r="Q46" s="9"/>
      <c r="R46" s="9" t="s">
        <v>9321</v>
      </c>
      <c r="S46" s="9" t="s">
        <v>9321</v>
      </c>
      <c r="T46" s="9"/>
      <c r="U46" s="9"/>
      <c r="V46" s="9"/>
      <c r="W46" s="9"/>
      <c r="X46" s="9"/>
      <c r="Y46" s="9"/>
      <c r="Z46" s="9"/>
      <c r="AA46" s="9"/>
      <c r="AB46" s="9"/>
      <c r="AC46" s="9"/>
    </row>
    <row r="47" spans="1:29">
      <c r="A47" s="3" t="s">
        <v>88</v>
      </c>
      <c r="B47" s="3" t="s">
        <v>8810</v>
      </c>
      <c r="C47" s="3" t="s">
        <v>8811</v>
      </c>
      <c r="G47" s="9" t="s">
        <v>8731</v>
      </c>
      <c r="H47" s="9"/>
      <c r="I47" s="9"/>
      <c r="J47" s="9"/>
      <c r="K47" s="9"/>
      <c r="L47" s="9"/>
      <c r="M47" s="9"/>
      <c r="N47" s="10"/>
      <c r="O47" s="9"/>
      <c r="P47" s="9"/>
      <c r="Q47" s="9"/>
      <c r="R47" s="9" t="s">
        <v>9321</v>
      </c>
      <c r="S47" s="9" t="s">
        <v>9321</v>
      </c>
      <c r="T47" s="9"/>
      <c r="U47" s="9"/>
      <c r="V47" s="9"/>
      <c r="W47" s="9"/>
      <c r="X47" s="9"/>
      <c r="Y47" s="9"/>
      <c r="Z47" s="9"/>
      <c r="AA47" s="9"/>
      <c r="AB47" s="9"/>
      <c r="AC47" s="9"/>
    </row>
    <row r="48" spans="1:29">
      <c r="A48" s="3" t="s">
        <v>90</v>
      </c>
      <c r="B48" s="3" t="s">
        <v>3967</v>
      </c>
      <c r="C48" s="3" t="s">
        <v>3968</v>
      </c>
      <c r="G48" s="9" t="s">
        <v>3885</v>
      </c>
      <c r="H48" s="9"/>
      <c r="I48" s="9">
        <v>1</v>
      </c>
      <c r="J48" s="9">
        <v>2</v>
      </c>
      <c r="K48" s="9" t="s">
        <v>8707</v>
      </c>
      <c r="L48" s="9" t="s">
        <v>8730</v>
      </c>
      <c r="M48" s="9"/>
      <c r="N48" s="10"/>
      <c r="O48" s="9"/>
      <c r="P48" s="9">
        <v>1942</v>
      </c>
      <c r="Q48" s="9"/>
      <c r="R48" s="9" t="s">
        <v>9321</v>
      </c>
      <c r="S48" s="9" t="s">
        <v>9321</v>
      </c>
      <c r="T48" s="9"/>
      <c r="U48" s="9"/>
      <c r="V48" s="9"/>
      <c r="W48" s="9"/>
      <c r="X48" s="9"/>
      <c r="Y48" s="9"/>
      <c r="Z48" s="9"/>
      <c r="AA48" s="9"/>
      <c r="AB48" s="9"/>
      <c r="AC48" s="9"/>
    </row>
    <row r="49" spans="1:29">
      <c r="A49" s="3" t="s">
        <v>90</v>
      </c>
      <c r="B49" s="3" t="s">
        <v>3971</v>
      </c>
      <c r="C49" s="3" t="s">
        <v>3973</v>
      </c>
      <c r="F49" t="s">
        <v>3884</v>
      </c>
      <c r="G49" s="9" t="s">
        <v>3885</v>
      </c>
      <c r="H49" s="9"/>
      <c r="I49" s="9">
        <v>1</v>
      </c>
      <c r="J49" s="9">
        <v>3</v>
      </c>
      <c r="K49" s="9" t="s">
        <v>8698</v>
      </c>
      <c r="L49" s="9" t="s">
        <v>8690</v>
      </c>
      <c r="M49" s="9"/>
      <c r="N49" s="10"/>
      <c r="O49" s="9"/>
      <c r="P49" s="9">
        <v>9418</v>
      </c>
      <c r="Q49" s="9"/>
      <c r="R49" s="9" t="s">
        <v>9321</v>
      </c>
      <c r="S49" s="9" t="s">
        <v>9321</v>
      </c>
      <c r="T49" s="9"/>
      <c r="U49" s="9"/>
      <c r="V49" s="9"/>
      <c r="W49" s="9"/>
      <c r="X49" s="9"/>
      <c r="Y49" s="9"/>
      <c r="Z49" s="9"/>
      <c r="AA49" s="9"/>
      <c r="AB49" s="9"/>
      <c r="AC49" s="9"/>
    </row>
    <row r="50" spans="1:29">
      <c r="A50" s="3" t="s">
        <v>91</v>
      </c>
      <c r="B50" s="3" t="s">
        <v>3979</v>
      </c>
      <c r="C50" s="3" t="s">
        <v>3980</v>
      </c>
      <c r="G50" s="9" t="s">
        <v>3889</v>
      </c>
      <c r="H50" s="9"/>
      <c r="I50" s="9">
        <v>1</v>
      </c>
      <c r="J50" s="9">
        <v>7</v>
      </c>
      <c r="K50" s="9" t="s">
        <v>8705</v>
      </c>
      <c r="L50" s="9" t="s">
        <v>8684</v>
      </c>
      <c r="M50" s="9" t="s">
        <v>8777</v>
      </c>
      <c r="N50" s="10" t="s">
        <v>8772</v>
      </c>
      <c r="O50" s="9"/>
      <c r="P50" s="9">
        <v>79</v>
      </c>
      <c r="Q50" s="9"/>
      <c r="R50" s="9" t="s">
        <v>9321</v>
      </c>
      <c r="S50" s="9" t="s">
        <v>9321</v>
      </c>
      <c r="T50" s="9"/>
      <c r="U50" s="9"/>
      <c r="V50" s="9"/>
      <c r="W50" s="9"/>
      <c r="X50" s="9"/>
      <c r="Y50" s="9"/>
      <c r="Z50" s="9"/>
      <c r="AA50" s="9"/>
      <c r="AB50" s="9"/>
      <c r="AC50" s="9"/>
    </row>
    <row r="51" spans="1:29" ht="29">
      <c r="A51" s="3" t="s">
        <v>92</v>
      </c>
      <c r="B51" s="3" t="s">
        <v>3983</v>
      </c>
      <c r="C51" s="3" t="s">
        <v>3984</v>
      </c>
      <c r="G51" s="9" t="s">
        <v>3889</v>
      </c>
      <c r="H51" s="9"/>
      <c r="I51" s="9">
        <v>1</v>
      </c>
      <c r="J51" s="9">
        <v>3</v>
      </c>
      <c r="K51" s="9" t="s">
        <v>8689</v>
      </c>
      <c r="L51" s="9" t="s">
        <v>8684</v>
      </c>
      <c r="M51" s="9" t="s">
        <v>8771</v>
      </c>
      <c r="N51" s="10" t="s">
        <v>8778</v>
      </c>
      <c r="O51" s="9"/>
      <c r="P51" s="9">
        <v>10929</v>
      </c>
      <c r="Q51" s="9"/>
      <c r="R51" s="9" t="s">
        <v>9321</v>
      </c>
      <c r="S51" s="9" t="s">
        <v>9321</v>
      </c>
      <c r="T51" s="9" t="s">
        <v>8728</v>
      </c>
      <c r="U51" s="9"/>
      <c r="V51" s="9"/>
      <c r="W51" s="9"/>
      <c r="X51" s="9"/>
      <c r="Y51" s="9"/>
      <c r="Z51" s="9"/>
      <c r="AA51" s="9"/>
      <c r="AB51" s="9"/>
      <c r="AC51" s="9"/>
    </row>
    <row r="52" spans="1:29" ht="29">
      <c r="A52" s="3" t="s">
        <v>92</v>
      </c>
      <c r="B52" s="3" t="s">
        <v>3985</v>
      </c>
      <c r="C52" s="3" t="s">
        <v>3986</v>
      </c>
      <c r="F52" t="s">
        <v>3884</v>
      </c>
      <c r="G52" s="9" t="s">
        <v>3885</v>
      </c>
      <c r="H52" s="9"/>
      <c r="I52" s="9">
        <v>1</v>
      </c>
      <c r="J52" s="9">
        <v>3</v>
      </c>
      <c r="K52" s="9" t="s">
        <v>8689</v>
      </c>
      <c r="L52" s="9" t="s">
        <v>8684</v>
      </c>
      <c r="M52" s="9" t="s">
        <v>8771</v>
      </c>
      <c r="N52" s="10" t="s">
        <v>8778</v>
      </c>
      <c r="O52" s="9"/>
      <c r="P52" s="9">
        <v>10929</v>
      </c>
      <c r="Q52" s="9"/>
      <c r="R52" s="9" t="s">
        <v>9321</v>
      </c>
      <c r="S52" s="9" t="s">
        <v>9321</v>
      </c>
      <c r="T52" s="9"/>
      <c r="U52" s="9"/>
      <c r="V52" s="9"/>
      <c r="W52" s="9"/>
      <c r="X52" s="9"/>
      <c r="Y52" s="9"/>
      <c r="Z52" s="9"/>
      <c r="AA52" s="9"/>
      <c r="AB52" s="9"/>
      <c r="AC52" s="9"/>
    </row>
    <row r="53" spans="1:29" ht="29">
      <c r="A53" s="3" t="s">
        <v>92</v>
      </c>
      <c r="B53" t="s">
        <v>8817</v>
      </c>
      <c r="C53" t="s">
        <v>9554</v>
      </c>
      <c r="G53" s="9" t="s">
        <v>3885</v>
      </c>
      <c r="H53" s="9"/>
      <c r="I53" s="9">
        <v>1</v>
      </c>
      <c r="J53" s="9">
        <v>1</v>
      </c>
      <c r="K53" s="9" t="s">
        <v>8689</v>
      </c>
      <c r="L53" s="9" t="s">
        <v>8730</v>
      </c>
      <c r="M53" s="9"/>
      <c r="N53" s="10"/>
      <c r="O53" s="9"/>
      <c r="P53" s="9">
        <v>10929</v>
      </c>
      <c r="Q53" s="9"/>
      <c r="R53" s="9" t="s">
        <v>9321</v>
      </c>
      <c r="S53" s="9" t="s">
        <v>9321</v>
      </c>
      <c r="T53" s="9"/>
      <c r="U53" s="9"/>
      <c r="V53" s="9"/>
      <c r="W53" s="9"/>
      <c r="X53" s="9"/>
      <c r="Y53" s="9"/>
      <c r="Z53" s="9"/>
      <c r="AA53" s="9"/>
      <c r="AB53" s="9"/>
      <c r="AC53" s="9"/>
    </row>
    <row r="54" spans="1:29">
      <c r="A54" s="3" t="s">
        <v>96</v>
      </c>
      <c r="B54" s="3" t="s">
        <v>3990</v>
      </c>
      <c r="C54" s="3" t="s">
        <v>3991</v>
      </c>
      <c r="F54" t="s">
        <v>3884</v>
      </c>
      <c r="G54" s="9" t="s">
        <v>3889</v>
      </c>
      <c r="H54" s="9"/>
      <c r="I54" s="9">
        <v>1</v>
      </c>
      <c r="J54" s="9">
        <v>2</v>
      </c>
      <c r="K54" s="9" t="s">
        <v>8703</v>
      </c>
      <c r="L54" s="9" t="s">
        <v>8730</v>
      </c>
      <c r="M54" s="9"/>
      <c r="N54" s="10"/>
      <c r="O54" s="9"/>
      <c r="P54" s="9">
        <v>335</v>
      </c>
      <c r="Q54" s="9"/>
      <c r="R54" s="9" t="s">
        <v>9321</v>
      </c>
      <c r="S54" s="9" t="s">
        <v>9321</v>
      </c>
      <c r="T54" s="9"/>
      <c r="U54" s="9"/>
      <c r="V54" s="9"/>
      <c r="W54" s="9"/>
      <c r="X54" s="9"/>
      <c r="Y54" s="9"/>
      <c r="Z54" s="9"/>
      <c r="AA54" s="9"/>
      <c r="AB54" s="9"/>
      <c r="AC54" s="9"/>
    </row>
    <row r="55" spans="1:29">
      <c r="A55" s="3" t="s">
        <v>98</v>
      </c>
      <c r="B55" s="3" t="s">
        <v>2122</v>
      </c>
      <c r="C55" s="3" t="s">
        <v>2123</v>
      </c>
      <c r="G55" s="9" t="s">
        <v>8731</v>
      </c>
      <c r="H55" s="9"/>
      <c r="I55" s="9"/>
      <c r="J55" s="9"/>
      <c r="K55" s="9"/>
      <c r="L55" s="9"/>
      <c r="M55" s="9"/>
      <c r="N55" s="10"/>
      <c r="O55" s="9"/>
      <c r="P55" s="9"/>
      <c r="Q55" s="9"/>
      <c r="R55" s="9" t="s">
        <v>9321</v>
      </c>
      <c r="S55" s="9" t="s">
        <v>9321</v>
      </c>
      <c r="T55" s="9"/>
      <c r="U55" s="9"/>
      <c r="V55" s="9"/>
      <c r="W55" s="9"/>
      <c r="X55" s="9"/>
      <c r="Y55" s="9"/>
      <c r="Z55" s="9"/>
      <c r="AA55" s="9"/>
      <c r="AB55" s="9"/>
      <c r="AC55" s="9"/>
    </row>
    <row r="56" spans="1:29">
      <c r="A56" s="3" t="s">
        <v>99</v>
      </c>
      <c r="B56" s="3" t="s">
        <v>9408</v>
      </c>
      <c r="C56" s="3" t="s">
        <v>9409</v>
      </c>
      <c r="G56" s="9" t="s">
        <v>8729</v>
      </c>
      <c r="H56" s="9"/>
      <c r="I56" s="9"/>
      <c r="J56" s="9"/>
      <c r="K56" s="9"/>
      <c r="L56" s="9"/>
      <c r="M56" s="9"/>
      <c r="N56" s="10"/>
      <c r="O56" s="9"/>
      <c r="P56" s="9"/>
      <c r="Q56" s="9">
        <v>-134</v>
      </c>
      <c r="R56" s="9">
        <v>203</v>
      </c>
      <c r="S56" s="9">
        <v>69</v>
      </c>
      <c r="T56" s="9"/>
      <c r="U56" s="9"/>
      <c r="V56" s="9"/>
      <c r="W56" s="9"/>
      <c r="X56" s="9"/>
      <c r="Y56" s="9"/>
      <c r="Z56" s="9"/>
      <c r="AA56" s="9"/>
      <c r="AB56" s="9"/>
      <c r="AC56" s="9"/>
    </row>
    <row r="57" spans="1:29">
      <c r="A57" s="3" t="s">
        <v>99</v>
      </c>
      <c r="B57" s="3" t="s">
        <v>3996</v>
      </c>
      <c r="C57" s="3" t="s">
        <v>3997</v>
      </c>
      <c r="G57" s="9" t="s">
        <v>3894</v>
      </c>
      <c r="H57" s="9"/>
      <c r="I57" s="9"/>
      <c r="J57" s="9"/>
      <c r="K57" s="9"/>
      <c r="L57" s="9"/>
      <c r="M57" s="9"/>
      <c r="N57" s="10"/>
      <c r="O57" s="9"/>
      <c r="P57" s="9"/>
      <c r="Q57" s="9"/>
      <c r="R57" s="9" t="s">
        <v>9321</v>
      </c>
      <c r="S57" s="9" t="s">
        <v>9321</v>
      </c>
      <c r="T57" s="9"/>
      <c r="U57" s="9"/>
      <c r="V57" s="9"/>
      <c r="W57" s="9"/>
      <c r="X57" s="9"/>
      <c r="Y57" s="9"/>
      <c r="Z57" s="9"/>
      <c r="AA57" s="9"/>
      <c r="AB57" s="9"/>
      <c r="AC57" s="9"/>
    </row>
    <row r="58" spans="1:29" ht="43.5">
      <c r="A58" s="3" t="s">
        <v>99</v>
      </c>
      <c r="B58" s="12" t="s">
        <v>8821</v>
      </c>
      <c r="C58" s="12" t="s">
        <v>8822</v>
      </c>
      <c r="G58" s="9" t="s">
        <v>8729</v>
      </c>
      <c r="H58" s="9"/>
      <c r="I58" s="9"/>
      <c r="J58" s="9"/>
      <c r="K58" s="9"/>
      <c r="L58" s="9"/>
      <c r="M58" s="9"/>
      <c r="N58" s="10"/>
      <c r="O58" s="9"/>
      <c r="P58" s="9"/>
      <c r="Q58" s="9">
        <v>643</v>
      </c>
      <c r="R58" s="9">
        <v>10</v>
      </c>
      <c r="S58" s="9">
        <v>653</v>
      </c>
      <c r="T58" s="9"/>
      <c r="U58" s="9"/>
      <c r="V58" s="9"/>
      <c r="W58" s="9"/>
      <c r="X58" s="9"/>
      <c r="Y58" s="9"/>
      <c r="Z58" s="9"/>
      <c r="AA58" s="9"/>
      <c r="AB58" s="9"/>
      <c r="AC58" s="9"/>
    </row>
    <row r="59" spans="1:29">
      <c r="A59" s="3" t="s">
        <v>100</v>
      </c>
      <c r="B59" s="3" t="s">
        <v>4000</v>
      </c>
      <c r="C59" s="3" t="s">
        <v>4001</v>
      </c>
      <c r="G59" s="9" t="s">
        <v>8731</v>
      </c>
      <c r="H59" s="9"/>
      <c r="I59" s="9"/>
      <c r="J59" s="9"/>
      <c r="K59" s="9"/>
      <c r="L59" s="9"/>
      <c r="M59" s="9"/>
      <c r="N59" s="10"/>
      <c r="O59" s="9"/>
      <c r="P59" s="9"/>
      <c r="Q59" s="9"/>
      <c r="R59" s="9" t="s">
        <v>9321</v>
      </c>
      <c r="S59" s="9" t="s">
        <v>9321</v>
      </c>
      <c r="T59" s="9"/>
      <c r="U59" s="9"/>
      <c r="V59" s="9"/>
      <c r="W59" s="9"/>
      <c r="X59" s="9"/>
      <c r="Y59" s="9"/>
      <c r="Z59" s="9"/>
      <c r="AA59" s="9"/>
      <c r="AB59" s="9"/>
      <c r="AC59" s="9"/>
    </row>
    <row r="60" spans="1:29" ht="29">
      <c r="A60" s="3" t="s">
        <v>105</v>
      </c>
      <c r="B60" s="3" t="s">
        <v>4004</v>
      </c>
      <c r="C60" s="3" t="s">
        <v>4005</v>
      </c>
      <c r="F60" t="s">
        <v>3884</v>
      </c>
      <c r="G60" s="9" t="s">
        <v>3889</v>
      </c>
      <c r="H60" s="9"/>
      <c r="I60" s="9">
        <v>1</v>
      </c>
      <c r="J60" s="9">
        <v>2</v>
      </c>
      <c r="K60" s="9" t="s">
        <v>8689</v>
      </c>
      <c r="L60" s="9" t="s">
        <v>8730</v>
      </c>
      <c r="M60" s="9"/>
      <c r="N60" s="10"/>
      <c r="O60" s="9"/>
      <c r="P60" s="9">
        <v>10929</v>
      </c>
      <c r="Q60" s="9"/>
      <c r="R60" s="9" t="s">
        <v>9321</v>
      </c>
      <c r="S60" s="9" t="s">
        <v>9321</v>
      </c>
      <c r="T60" s="9"/>
      <c r="U60" s="9"/>
      <c r="V60" s="9"/>
      <c r="W60" s="9"/>
      <c r="X60" s="9"/>
      <c r="Y60" s="9"/>
      <c r="Z60" s="9"/>
      <c r="AA60" s="9"/>
      <c r="AB60" s="9"/>
      <c r="AC60" s="9"/>
    </row>
    <row r="61" spans="1:29" ht="29">
      <c r="A61" s="3" t="s">
        <v>107</v>
      </c>
      <c r="B61" s="3" t="s">
        <v>2144</v>
      </c>
      <c r="C61" s="3" t="s">
        <v>2145</v>
      </c>
      <c r="G61" s="9" t="s">
        <v>8729</v>
      </c>
      <c r="H61" s="9"/>
      <c r="I61" s="9"/>
      <c r="J61" s="9"/>
      <c r="K61" s="9"/>
      <c r="L61" s="9"/>
      <c r="M61" s="9"/>
      <c r="N61" s="10"/>
      <c r="O61" s="9"/>
      <c r="P61" s="9"/>
      <c r="Q61" s="9">
        <v>24</v>
      </c>
      <c r="R61" s="9">
        <v>0</v>
      </c>
      <c r="S61" s="9">
        <v>24</v>
      </c>
      <c r="T61" s="9"/>
      <c r="U61" s="9"/>
      <c r="V61" s="9"/>
      <c r="W61" s="9"/>
      <c r="X61" s="9"/>
      <c r="Y61" s="9"/>
      <c r="Z61" s="9"/>
      <c r="AA61" s="9"/>
      <c r="AB61" s="9"/>
      <c r="AC61" s="9"/>
    </row>
    <row r="62" spans="1:29">
      <c r="A62" s="3" t="s">
        <v>117</v>
      </c>
      <c r="B62" s="3" t="s">
        <v>4025</v>
      </c>
      <c r="C62" s="3" t="s">
        <v>4026</v>
      </c>
      <c r="F62" t="s">
        <v>3884</v>
      </c>
      <c r="G62" s="9" t="s">
        <v>8729</v>
      </c>
      <c r="H62" s="9"/>
      <c r="I62" s="9"/>
      <c r="J62" s="9"/>
      <c r="K62" s="9"/>
      <c r="L62" s="9"/>
      <c r="M62" s="9"/>
      <c r="N62" s="10"/>
      <c r="O62" s="9"/>
      <c r="P62" s="9"/>
      <c r="Q62" s="9">
        <v>-3599</v>
      </c>
      <c r="R62" s="9">
        <v>3678</v>
      </c>
      <c r="S62" s="9">
        <v>79</v>
      </c>
      <c r="T62" s="9"/>
      <c r="U62" s="9"/>
      <c r="V62" s="9"/>
      <c r="W62" s="9"/>
      <c r="X62" s="9"/>
      <c r="Y62" s="9"/>
      <c r="Z62" s="9"/>
      <c r="AA62" s="9"/>
      <c r="AB62" s="9"/>
      <c r="AC62" s="9"/>
    </row>
    <row r="63" spans="1:29">
      <c r="A63" s="3" t="s">
        <v>121</v>
      </c>
      <c r="B63" s="3" t="s">
        <v>2354</v>
      </c>
      <c r="C63" s="3" t="s">
        <v>4027</v>
      </c>
      <c r="G63" s="9" t="s">
        <v>8731</v>
      </c>
      <c r="H63" s="9"/>
      <c r="I63" s="9"/>
      <c r="J63" s="9"/>
      <c r="K63" s="9"/>
      <c r="L63" s="9"/>
      <c r="M63" s="9"/>
      <c r="N63" s="10"/>
      <c r="O63" s="9"/>
      <c r="P63" s="9"/>
      <c r="Q63" s="9"/>
      <c r="R63" s="9" t="s">
        <v>9321</v>
      </c>
      <c r="S63" s="9" t="s">
        <v>9321</v>
      </c>
      <c r="T63" s="9"/>
      <c r="U63" s="9"/>
      <c r="V63" s="9"/>
      <c r="W63" s="9"/>
      <c r="X63" s="9"/>
      <c r="Y63" s="9"/>
      <c r="Z63" s="9"/>
      <c r="AA63" s="9"/>
      <c r="AB63" s="9"/>
      <c r="AC63" s="9"/>
    </row>
    <row r="64" spans="1:29">
      <c r="A64" s="3" t="s">
        <v>121</v>
      </c>
      <c r="B64" s="3" t="s">
        <v>2331</v>
      </c>
      <c r="C64" s="3" t="s">
        <v>3949</v>
      </c>
      <c r="G64" s="9" t="s">
        <v>3885</v>
      </c>
      <c r="H64" s="9"/>
      <c r="I64" s="9">
        <v>1</v>
      </c>
      <c r="J64" s="9">
        <v>2</v>
      </c>
      <c r="K64" s="9" t="s">
        <v>8689</v>
      </c>
      <c r="L64" s="9" t="s">
        <v>8730</v>
      </c>
      <c r="M64" s="9"/>
      <c r="N64" s="10"/>
      <c r="O64" s="9"/>
      <c r="P64" s="9">
        <v>10929</v>
      </c>
      <c r="Q64" s="9"/>
      <c r="R64" s="9" t="s">
        <v>9321</v>
      </c>
      <c r="S64" s="9" t="s">
        <v>9321</v>
      </c>
      <c r="T64" s="9"/>
      <c r="U64" s="9"/>
      <c r="V64" s="9"/>
      <c r="W64" s="9"/>
      <c r="X64" s="9"/>
      <c r="Y64" s="9"/>
      <c r="Z64" s="9"/>
      <c r="AA64" s="9"/>
      <c r="AB64" s="9"/>
      <c r="AC64" s="9"/>
    </row>
    <row r="65" spans="1:29" ht="43.5">
      <c r="A65" s="3" t="s">
        <v>121</v>
      </c>
      <c r="B65" s="3" t="s">
        <v>9189</v>
      </c>
      <c r="C65" s="3" t="s">
        <v>9190</v>
      </c>
      <c r="G65" s="9" t="s">
        <v>3885</v>
      </c>
      <c r="H65" s="9"/>
      <c r="I65" s="9">
        <v>1</v>
      </c>
      <c r="J65" s="9">
        <v>2</v>
      </c>
      <c r="K65" s="9" t="s">
        <v>8689</v>
      </c>
      <c r="L65" s="9" t="s">
        <v>8730</v>
      </c>
      <c r="M65" s="9"/>
      <c r="N65" s="10"/>
      <c r="O65" s="9"/>
      <c r="P65" s="9">
        <v>10929</v>
      </c>
      <c r="Q65" s="9"/>
      <c r="R65" s="9" t="s">
        <v>9321</v>
      </c>
      <c r="S65" s="9" t="s">
        <v>9321</v>
      </c>
      <c r="T65" s="9" t="s">
        <v>4</v>
      </c>
      <c r="U65" s="9"/>
      <c r="V65" s="9"/>
      <c r="W65" s="9"/>
      <c r="X65" s="9"/>
      <c r="Y65" s="9"/>
      <c r="Z65" s="9"/>
      <c r="AA65" s="9"/>
      <c r="AB65" s="9"/>
      <c r="AC65" s="9"/>
    </row>
    <row r="66" spans="1:29" ht="43.5">
      <c r="A66" s="3" t="s">
        <v>121</v>
      </c>
      <c r="B66" s="3" t="s">
        <v>9189</v>
      </c>
      <c r="C66" s="3" t="s">
        <v>9191</v>
      </c>
      <c r="F66" t="s">
        <v>3884</v>
      </c>
      <c r="G66" s="9" t="s">
        <v>3885</v>
      </c>
      <c r="H66" s="9"/>
      <c r="I66" s="9">
        <v>1</v>
      </c>
      <c r="J66" s="9">
        <v>3</v>
      </c>
      <c r="K66" s="9" t="s">
        <v>8689</v>
      </c>
      <c r="L66" s="9" t="s">
        <v>8690</v>
      </c>
      <c r="M66" s="9"/>
      <c r="N66" s="10"/>
      <c r="O66" s="9"/>
      <c r="P66" s="9">
        <v>10929</v>
      </c>
      <c r="Q66" s="9"/>
      <c r="R66" s="9" t="s">
        <v>9321</v>
      </c>
      <c r="S66" s="9" t="s">
        <v>9321</v>
      </c>
      <c r="T66" s="9" t="s">
        <v>4</v>
      </c>
      <c r="U66" s="9"/>
      <c r="V66" s="9"/>
      <c r="W66" s="9"/>
      <c r="X66" s="9"/>
      <c r="Y66" s="9"/>
      <c r="Z66" s="9"/>
      <c r="AA66" s="9"/>
      <c r="AB66" s="9"/>
      <c r="AC66" s="9"/>
    </row>
    <row r="67" spans="1:29" ht="43.5">
      <c r="A67" s="3" t="s">
        <v>121</v>
      </c>
      <c r="B67" s="3" t="s">
        <v>9189</v>
      </c>
      <c r="C67" s="3" t="s">
        <v>9192</v>
      </c>
      <c r="F67" t="s">
        <v>3884</v>
      </c>
      <c r="G67" s="9" t="s">
        <v>3885</v>
      </c>
      <c r="H67" s="9"/>
      <c r="I67" s="9">
        <v>2</v>
      </c>
      <c r="J67" s="9">
        <v>10</v>
      </c>
      <c r="K67" s="9"/>
      <c r="L67" s="9" t="s">
        <v>8690</v>
      </c>
      <c r="M67" s="9"/>
      <c r="N67" s="10"/>
      <c r="O67" s="9" t="s">
        <v>8691</v>
      </c>
      <c r="P67" s="9">
        <v>9</v>
      </c>
      <c r="Q67" s="9"/>
      <c r="R67" s="9" t="s">
        <v>9321</v>
      </c>
      <c r="S67" s="9" t="s">
        <v>9321</v>
      </c>
      <c r="T67" s="9"/>
      <c r="U67" s="9"/>
      <c r="V67" s="9"/>
      <c r="W67" s="9"/>
      <c r="X67" s="9"/>
      <c r="Y67" s="9"/>
      <c r="Z67" s="9"/>
      <c r="AA67" s="9"/>
      <c r="AB67" s="9"/>
      <c r="AC67" s="9"/>
    </row>
    <row r="68" spans="1:29" ht="29">
      <c r="A68" s="3" t="s">
        <v>125</v>
      </c>
      <c r="B68" s="3" t="s">
        <v>9194</v>
      </c>
      <c r="C68" s="3" t="s">
        <v>9195</v>
      </c>
      <c r="F68" t="s">
        <v>3884</v>
      </c>
      <c r="G68" s="9" t="s">
        <v>3885</v>
      </c>
      <c r="H68" s="9"/>
      <c r="I68" s="9">
        <v>1</v>
      </c>
      <c r="J68" s="9">
        <v>1</v>
      </c>
      <c r="K68" s="9" t="s">
        <v>8689</v>
      </c>
      <c r="L68" s="9" t="s">
        <v>8730</v>
      </c>
      <c r="M68" s="9"/>
      <c r="N68" s="10"/>
      <c r="O68" s="9"/>
      <c r="P68" s="9">
        <v>10929</v>
      </c>
      <c r="Q68" s="9"/>
      <c r="R68" s="9" t="s">
        <v>9321</v>
      </c>
      <c r="S68" s="9" t="s">
        <v>9321</v>
      </c>
      <c r="T68" s="9"/>
      <c r="U68" s="9"/>
      <c r="V68" s="9"/>
      <c r="W68" s="9"/>
      <c r="X68" s="9"/>
      <c r="Y68" s="9"/>
      <c r="Z68" s="9"/>
      <c r="AA68" s="9"/>
      <c r="AB68" s="9"/>
      <c r="AC68" s="9"/>
    </row>
    <row r="69" spans="1:29" ht="29">
      <c r="A69" s="3" t="s">
        <v>125</v>
      </c>
      <c r="B69" s="3" t="s">
        <v>4030</v>
      </c>
      <c r="C69" s="3" t="s">
        <v>4031</v>
      </c>
      <c r="F69" t="s">
        <v>3884</v>
      </c>
      <c r="G69" s="9" t="s">
        <v>8729</v>
      </c>
      <c r="H69" s="9"/>
      <c r="I69" s="9"/>
      <c r="J69" s="9"/>
      <c r="K69" s="9"/>
      <c r="L69" s="9"/>
      <c r="M69" s="9"/>
      <c r="N69" s="10"/>
      <c r="O69" s="9"/>
      <c r="P69" s="9"/>
      <c r="Q69" s="9">
        <v>-25</v>
      </c>
      <c r="R69" s="9">
        <v>51</v>
      </c>
      <c r="S69" s="9">
        <v>26</v>
      </c>
      <c r="T69" s="9"/>
      <c r="U69" s="9"/>
      <c r="V69" s="9"/>
      <c r="W69" s="9"/>
      <c r="X69" s="9"/>
      <c r="Y69" s="9"/>
      <c r="Z69" s="9"/>
      <c r="AA69" s="9"/>
      <c r="AB69" s="9"/>
      <c r="AC69" s="9"/>
    </row>
    <row r="70" spans="1:29" ht="29">
      <c r="A70" s="3" t="s">
        <v>126</v>
      </c>
      <c r="B70" s="3" t="s">
        <v>9420</v>
      </c>
      <c r="C70" s="3" t="s">
        <v>9561</v>
      </c>
      <c r="G70" s="9" t="s">
        <v>8732</v>
      </c>
      <c r="H70" s="9"/>
      <c r="I70" s="9"/>
      <c r="J70" s="9"/>
      <c r="K70" s="9"/>
      <c r="L70" s="9"/>
      <c r="M70" s="9"/>
      <c r="N70" s="10"/>
      <c r="O70" s="9"/>
      <c r="P70" s="9"/>
      <c r="Q70" s="9">
        <v>-10043</v>
      </c>
      <c r="R70" s="9">
        <v>10929</v>
      </c>
      <c r="S70" s="9">
        <v>886</v>
      </c>
      <c r="T70" s="9"/>
      <c r="U70" s="9"/>
      <c r="V70" s="9"/>
      <c r="W70" s="9"/>
      <c r="X70" s="9"/>
      <c r="Y70" s="9"/>
      <c r="Z70" s="9"/>
      <c r="AA70" s="9"/>
      <c r="AB70" s="9"/>
      <c r="AC70" s="9"/>
    </row>
    <row r="71" spans="1:29" ht="29">
      <c r="A71" s="3" t="s">
        <v>128</v>
      </c>
      <c r="B71" s="3" t="s">
        <v>2184</v>
      </c>
      <c r="C71" s="3" t="s">
        <v>2185</v>
      </c>
      <c r="G71" s="9" t="s">
        <v>8731</v>
      </c>
      <c r="H71" s="9"/>
      <c r="I71" s="9"/>
      <c r="J71" s="9"/>
      <c r="K71" s="9"/>
      <c r="L71" s="9"/>
      <c r="M71" s="9"/>
      <c r="N71" s="10"/>
      <c r="O71" s="9"/>
      <c r="P71" s="9"/>
      <c r="Q71" s="9"/>
      <c r="R71" s="9" t="s">
        <v>9321</v>
      </c>
      <c r="S71" s="9" t="s">
        <v>9321</v>
      </c>
      <c r="T71" s="9"/>
      <c r="U71" s="9"/>
      <c r="V71" s="9"/>
      <c r="W71" s="9"/>
      <c r="X71" s="9"/>
      <c r="Y71" s="9"/>
      <c r="Z71" s="9"/>
      <c r="AA71" s="9"/>
      <c r="AB71" s="9"/>
      <c r="AC71" s="9"/>
    </row>
    <row r="72" spans="1:29" ht="29">
      <c r="A72" s="3" t="s">
        <v>128</v>
      </c>
      <c r="B72" s="3" t="s">
        <v>2188</v>
      </c>
      <c r="C72" s="3" t="s">
        <v>2189</v>
      </c>
      <c r="G72" s="9" t="s">
        <v>8729</v>
      </c>
      <c r="H72" s="9"/>
      <c r="I72" s="9"/>
      <c r="J72" s="9"/>
      <c r="K72" s="9"/>
      <c r="L72" s="9"/>
      <c r="M72" s="9"/>
      <c r="N72" s="10"/>
      <c r="O72" s="9"/>
      <c r="P72" s="9"/>
      <c r="Q72" s="9">
        <v>3</v>
      </c>
      <c r="R72" s="9">
        <v>18</v>
      </c>
      <c r="S72" s="9">
        <v>21</v>
      </c>
      <c r="T72" s="9"/>
      <c r="U72" s="9"/>
      <c r="V72" s="9"/>
      <c r="W72" s="9"/>
      <c r="X72" s="9"/>
      <c r="Y72" s="9"/>
      <c r="Z72" s="9"/>
      <c r="AA72" s="9"/>
      <c r="AB72" s="9"/>
      <c r="AC72" s="9"/>
    </row>
    <row r="73" spans="1:29" ht="29">
      <c r="A73" s="3" t="s">
        <v>128</v>
      </c>
      <c r="B73" s="3" t="s">
        <v>2190</v>
      </c>
      <c r="C73" s="3" t="s">
        <v>2191</v>
      </c>
      <c r="G73" s="9" t="s">
        <v>8729</v>
      </c>
      <c r="H73" s="9"/>
      <c r="I73" s="9"/>
      <c r="J73" s="9"/>
      <c r="K73" s="9"/>
      <c r="L73" s="9"/>
      <c r="M73" s="9"/>
      <c r="N73" s="10"/>
      <c r="O73" s="9"/>
      <c r="P73" s="9"/>
      <c r="Q73" s="9">
        <v>-777</v>
      </c>
      <c r="R73" s="9">
        <v>781</v>
      </c>
      <c r="S73" s="9">
        <v>4</v>
      </c>
      <c r="T73" s="9"/>
      <c r="U73" s="9"/>
      <c r="V73" s="9"/>
      <c r="W73" s="9"/>
      <c r="X73" s="9"/>
      <c r="Y73" s="9"/>
      <c r="Z73" s="9"/>
      <c r="AA73" s="9"/>
      <c r="AB73" s="9"/>
      <c r="AC73" s="9"/>
    </row>
    <row r="74" spans="1:29" ht="29">
      <c r="A74" s="3" t="s">
        <v>129</v>
      </c>
      <c r="B74" s="3" t="s">
        <v>9422</v>
      </c>
      <c r="C74" s="3" t="s">
        <v>9421</v>
      </c>
      <c r="G74" s="9" t="s">
        <v>3889</v>
      </c>
      <c r="H74" s="9"/>
      <c r="I74" s="9">
        <v>1</v>
      </c>
      <c r="J74" s="9">
        <v>5</v>
      </c>
      <c r="K74" s="9" t="s">
        <v>8705</v>
      </c>
      <c r="L74" s="9" t="s">
        <v>8684</v>
      </c>
      <c r="M74" s="9" t="s">
        <v>8777</v>
      </c>
      <c r="N74" s="10" t="s">
        <v>8778</v>
      </c>
      <c r="O74" s="9"/>
      <c r="P74" s="9">
        <v>3678</v>
      </c>
      <c r="Q74" s="9"/>
      <c r="R74" s="9" t="s">
        <v>9321</v>
      </c>
      <c r="S74" s="9" t="s">
        <v>9321</v>
      </c>
      <c r="T74" s="9"/>
      <c r="U74" s="9"/>
      <c r="V74" s="9"/>
      <c r="W74" s="9"/>
      <c r="X74" s="9"/>
      <c r="Y74" s="9"/>
      <c r="Z74" s="9"/>
      <c r="AA74" s="9"/>
      <c r="AB74" s="9"/>
      <c r="AC74" s="9"/>
    </row>
    <row r="75" spans="1:29">
      <c r="A75" s="3" t="s">
        <v>134</v>
      </c>
      <c r="B75" s="3" t="s">
        <v>4037</v>
      </c>
      <c r="C75" s="3" t="s">
        <v>4038</v>
      </c>
      <c r="G75" s="9" t="s">
        <v>3889</v>
      </c>
      <c r="H75" s="9"/>
      <c r="I75" s="9">
        <v>1</v>
      </c>
      <c r="J75" s="9">
        <v>1</v>
      </c>
      <c r="K75" s="9" t="s">
        <v>8698</v>
      </c>
      <c r="L75" s="9" t="s">
        <v>8730</v>
      </c>
      <c r="M75" s="9"/>
      <c r="N75" s="10"/>
      <c r="O75" s="9"/>
      <c r="P75" s="9">
        <v>73</v>
      </c>
      <c r="Q75" s="9"/>
      <c r="R75" s="9" t="s">
        <v>9321</v>
      </c>
      <c r="S75" s="9" t="s">
        <v>9321</v>
      </c>
      <c r="T75" s="9"/>
      <c r="U75" s="9"/>
      <c r="V75" s="9"/>
      <c r="W75" s="9"/>
      <c r="X75" s="9"/>
      <c r="Y75" s="9"/>
      <c r="Z75" s="9"/>
      <c r="AA75" s="9"/>
      <c r="AB75" s="9"/>
      <c r="AC75" s="9"/>
    </row>
    <row r="76" spans="1:29">
      <c r="A76" s="3" t="s">
        <v>135</v>
      </c>
      <c r="B76" s="3" t="s">
        <v>2195</v>
      </c>
      <c r="C76" s="3" t="s">
        <v>2196</v>
      </c>
      <c r="G76" s="9" t="s">
        <v>8729</v>
      </c>
      <c r="H76" s="9"/>
      <c r="I76" s="9"/>
      <c r="J76" s="9"/>
      <c r="K76" s="9"/>
      <c r="L76" s="9"/>
      <c r="M76" s="9"/>
      <c r="N76" s="10"/>
      <c r="O76" s="9"/>
      <c r="P76" s="9"/>
      <c r="Q76" s="9">
        <v>-3</v>
      </c>
      <c r="R76" s="9">
        <v>23</v>
      </c>
      <c r="S76" s="9">
        <v>20</v>
      </c>
      <c r="T76" s="9"/>
      <c r="U76" s="9"/>
      <c r="V76" s="9"/>
      <c r="W76" s="9"/>
      <c r="X76" s="9"/>
      <c r="Y76" s="9"/>
      <c r="Z76" s="9"/>
      <c r="AA76" s="9"/>
      <c r="AB76" s="9"/>
      <c r="AC76" s="9"/>
    </row>
    <row r="77" spans="1:29" ht="29">
      <c r="A77" s="3" t="s">
        <v>136</v>
      </c>
      <c r="B77" s="3" t="s">
        <v>4041</v>
      </c>
      <c r="C77" s="3" t="s">
        <v>4042</v>
      </c>
      <c r="G77" s="9" t="s">
        <v>3889</v>
      </c>
      <c r="H77" s="9"/>
      <c r="I77" s="9">
        <v>1</v>
      </c>
      <c r="J77" s="9">
        <v>6</v>
      </c>
      <c r="K77" s="9" t="s">
        <v>8705</v>
      </c>
      <c r="L77" s="9" t="s">
        <v>8684</v>
      </c>
      <c r="M77" s="9" t="s">
        <v>8777</v>
      </c>
      <c r="N77" s="10" t="s">
        <v>8778</v>
      </c>
      <c r="O77" s="9"/>
      <c r="P77" s="9">
        <v>3678</v>
      </c>
      <c r="Q77" s="9"/>
      <c r="R77" s="9" t="s">
        <v>9321</v>
      </c>
      <c r="S77" s="9" t="s">
        <v>9321</v>
      </c>
      <c r="T77" s="9"/>
      <c r="U77" s="9"/>
      <c r="V77" s="9"/>
      <c r="W77" s="9"/>
      <c r="X77" s="9"/>
      <c r="Y77" s="9"/>
      <c r="Z77" s="9"/>
      <c r="AA77" s="9"/>
      <c r="AB77" s="9"/>
      <c r="AC77" s="9"/>
    </row>
    <row r="78" spans="1:29">
      <c r="A78" s="3" t="s">
        <v>136</v>
      </c>
      <c r="B78" s="4" t="s">
        <v>2200</v>
      </c>
      <c r="C78" s="3" t="s">
        <v>2200</v>
      </c>
      <c r="D78" t="s">
        <v>4197</v>
      </c>
      <c r="G78" s="9" t="s">
        <v>8731</v>
      </c>
      <c r="H78" s="9"/>
      <c r="I78" s="9"/>
      <c r="J78" s="9"/>
      <c r="K78" s="9"/>
      <c r="L78" s="9"/>
      <c r="M78" s="9"/>
      <c r="N78" s="10"/>
      <c r="O78" s="9"/>
      <c r="P78" s="9"/>
      <c r="Q78" s="9"/>
      <c r="R78" s="9" t="s">
        <v>9321</v>
      </c>
      <c r="S78" s="9" t="s">
        <v>9321</v>
      </c>
      <c r="T78" s="9" t="s">
        <v>8728</v>
      </c>
      <c r="U78" s="9"/>
      <c r="V78" s="9"/>
      <c r="W78" s="9"/>
      <c r="X78" s="9"/>
      <c r="Y78" s="9"/>
      <c r="Z78" s="9"/>
      <c r="AA78" s="9"/>
      <c r="AB78" s="9"/>
      <c r="AC78" s="9"/>
    </row>
    <row r="79" spans="1:29" ht="29">
      <c r="A79" s="3" t="s">
        <v>140</v>
      </c>
      <c r="B79" s="3" t="s">
        <v>4045</v>
      </c>
      <c r="C79" s="3" t="s">
        <v>4046</v>
      </c>
      <c r="G79" s="9" t="s">
        <v>8731</v>
      </c>
      <c r="H79" s="9"/>
      <c r="I79" s="9"/>
      <c r="J79" s="9"/>
      <c r="K79" s="9"/>
      <c r="L79" s="9"/>
      <c r="M79" s="9"/>
      <c r="N79" s="10"/>
      <c r="O79" s="9"/>
      <c r="P79" s="9"/>
      <c r="Q79" s="9"/>
      <c r="R79" s="9" t="s">
        <v>9321</v>
      </c>
      <c r="S79" s="9" t="s">
        <v>9321</v>
      </c>
      <c r="T79" s="9"/>
      <c r="U79" s="9"/>
      <c r="V79" s="9"/>
      <c r="W79" s="9"/>
      <c r="X79" s="9"/>
      <c r="Y79" s="9"/>
      <c r="Z79" s="9"/>
      <c r="AA79" s="9"/>
      <c r="AB79" s="9"/>
      <c r="AC79" s="9"/>
    </row>
    <row r="80" spans="1:29" ht="29">
      <c r="A80" s="3" t="s">
        <v>141</v>
      </c>
      <c r="B80" s="3" t="s">
        <v>9563</v>
      </c>
      <c r="C80" s="3" t="s">
        <v>9564</v>
      </c>
      <c r="F80" t="s">
        <v>3884</v>
      </c>
      <c r="G80" s="9" t="s">
        <v>8729</v>
      </c>
      <c r="H80" s="9"/>
      <c r="I80" s="9"/>
      <c r="J80" s="9"/>
      <c r="K80" s="9"/>
      <c r="L80" s="9"/>
      <c r="M80" s="9"/>
      <c r="N80" s="10"/>
      <c r="O80" s="9"/>
      <c r="P80" s="9"/>
      <c r="Q80" s="9">
        <v>-3599</v>
      </c>
      <c r="R80" s="9">
        <v>3678</v>
      </c>
      <c r="S80" s="9">
        <v>79</v>
      </c>
      <c r="T80" s="9"/>
      <c r="U80" s="9"/>
      <c r="V80" s="9"/>
      <c r="W80" s="9"/>
      <c r="X80" s="9"/>
      <c r="Y80" s="9"/>
      <c r="Z80" s="9"/>
      <c r="AA80" s="9"/>
      <c r="AB80" s="9"/>
      <c r="AC80" s="9"/>
    </row>
    <row r="81" spans="1:29" ht="29">
      <c r="A81" s="3" t="s">
        <v>142</v>
      </c>
      <c r="B81" s="3" t="s">
        <v>4054</v>
      </c>
      <c r="C81" s="3" t="s">
        <v>4055</v>
      </c>
      <c r="G81" s="9" t="s">
        <v>3889</v>
      </c>
      <c r="H81" s="9"/>
      <c r="I81" s="9">
        <v>1</v>
      </c>
      <c r="J81" s="9">
        <v>3</v>
      </c>
      <c r="K81" s="9" t="s">
        <v>8689</v>
      </c>
      <c r="L81" s="9" t="s">
        <v>8684</v>
      </c>
      <c r="M81" s="9" t="s">
        <v>8771</v>
      </c>
      <c r="N81" s="10" t="s">
        <v>8778</v>
      </c>
      <c r="O81" s="9"/>
      <c r="P81" s="9">
        <v>10929</v>
      </c>
      <c r="Q81" s="9"/>
      <c r="R81" s="9" t="s">
        <v>9321</v>
      </c>
      <c r="S81" s="9" t="s">
        <v>9321</v>
      </c>
      <c r="T81" s="9"/>
      <c r="U81" s="9"/>
      <c r="V81" s="9"/>
      <c r="W81" s="9"/>
      <c r="X81" s="9"/>
      <c r="Y81" s="9"/>
      <c r="Z81" s="9"/>
      <c r="AA81" s="9"/>
      <c r="AB81" s="9"/>
      <c r="AC81" s="9"/>
    </row>
    <row r="82" spans="1:29" ht="29">
      <c r="A82" s="3" t="s">
        <v>143</v>
      </c>
      <c r="B82" s="3" t="s">
        <v>4056</v>
      </c>
      <c r="C82" s="3" t="s">
        <v>4057</v>
      </c>
      <c r="F82" t="s">
        <v>3884</v>
      </c>
      <c r="G82" s="9" t="s">
        <v>3889</v>
      </c>
      <c r="H82" s="9"/>
      <c r="I82" s="9">
        <v>1</v>
      </c>
      <c r="J82" s="9">
        <v>3</v>
      </c>
      <c r="K82" s="9" t="s">
        <v>8689</v>
      </c>
      <c r="L82" s="9" t="s">
        <v>8690</v>
      </c>
      <c r="M82" s="9"/>
      <c r="N82" s="10"/>
      <c r="O82" s="9"/>
      <c r="P82" s="9">
        <v>10929</v>
      </c>
      <c r="Q82" s="9"/>
      <c r="R82" s="9" t="s">
        <v>9321</v>
      </c>
      <c r="S82" s="9" t="s">
        <v>9321</v>
      </c>
      <c r="T82" s="9"/>
      <c r="U82" s="9"/>
      <c r="V82" s="9"/>
      <c r="W82" s="9"/>
      <c r="X82" s="9"/>
      <c r="Y82" s="9"/>
      <c r="Z82" s="9"/>
      <c r="AA82" s="9"/>
      <c r="AB82" s="9"/>
      <c r="AC82" s="9"/>
    </row>
    <row r="83" spans="1:29" ht="29">
      <c r="A83" s="3" t="s">
        <v>146</v>
      </c>
      <c r="B83" s="3" t="s">
        <v>4061</v>
      </c>
      <c r="C83" s="3" t="s">
        <v>4062</v>
      </c>
      <c r="G83" s="9" t="s">
        <v>8731</v>
      </c>
      <c r="H83" s="9"/>
      <c r="I83" s="9"/>
      <c r="J83" s="9"/>
      <c r="K83" s="9"/>
      <c r="L83" s="9"/>
      <c r="M83" s="9"/>
      <c r="N83" s="10"/>
      <c r="O83" s="9"/>
      <c r="P83" s="9"/>
      <c r="Q83" s="9"/>
      <c r="R83" s="9" t="s">
        <v>9321</v>
      </c>
      <c r="S83" s="9" t="s">
        <v>9321</v>
      </c>
      <c r="T83" s="9"/>
      <c r="U83" s="9"/>
      <c r="V83" s="9"/>
      <c r="W83" s="9"/>
      <c r="X83" s="9"/>
      <c r="Y83" s="9"/>
      <c r="Z83" s="9"/>
      <c r="AA83" s="9"/>
      <c r="AB83" s="9"/>
      <c r="AC83" s="9"/>
    </row>
    <row r="84" spans="1:29" ht="29">
      <c r="A84" s="3" t="s">
        <v>147</v>
      </c>
      <c r="B84" s="3" t="s">
        <v>2246</v>
      </c>
      <c r="C84" s="3" t="s">
        <v>2247</v>
      </c>
      <c r="G84" s="9" t="s">
        <v>8731</v>
      </c>
      <c r="H84" s="9"/>
      <c r="I84" s="9"/>
      <c r="J84" s="9"/>
      <c r="K84" s="9"/>
      <c r="L84" s="9"/>
      <c r="M84" s="9"/>
      <c r="N84" s="10"/>
      <c r="O84" s="9"/>
      <c r="P84" s="9"/>
      <c r="Q84" s="9"/>
      <c r="R84" s="9" t="s">
        <v>9321</v>
      </c>
      <c r="S84" s="9" t="s">
        <v>9321</v>
      </c>
      <c r="T84" s="9"/>
      <c r="U84" s="9"/>
      <c r="V84" s="9"/>
      <c r="W84" s="9"/>
      <c r="X84" s="9"/>
      <c r="Y84" s="9"/>
      <c r="Z84" s="9"/>
      <c r="AA84" s="9"/>
      <c r="AB84" s="9"/>
      <c r="AC84" s="9"/>
    </row>
    <row r="85" spans="1:29" ht="29">
      <c r="A85" s="3" t="s">
        <v>147</v>
      </c>
      <c r="B85" s="3" t="s">
        <v>4063</v>
      </c>
      <c r="C85" s="3" t="s">
        <v>4064</v>
      </c>
      <c r="F85" t="s">
        <v>3884</v>
      </c>
      <c r="G85" s="9" t="s">
        <v>3885</v>
      </c>
      <c r="H85" s="9"/>
      <c r="I85" s="9">
        <v>1</v>
      </c>
      <c r="J85" s="9">
        <v>1</v>
      </c>
      <c r="K85" s="9" t="s">
        <v>8689</v>
      </c>
      <c r="L85" s="9" t="s">
        <v>8730</v>
      </c>
      <c r="M85" s="9"/>
      <c r="N85" s="10"/>
      <c r="O85" s="9"/>
      <c r="P85" s="9">
        <v>10929</v>
      </c>
      <c r="Q85" s="9"/>
      <c r="R85" s="9" t="s">
        <v>9321</v>
      </c>
      <c r="S85" s="9" t="s">
        <v>9321</v>
      </c>
      <c r="T85" s="9"/>
      <c r="U85" s="9"/>
      <c r="V85" s="9"/>
      <c r="W85" s="9"/>
      <c r="X85" s="9"/>
      <c r="Y85" s="9"/>
      <c r="Z85" s="9"/>
      <c r="AA85" s="9"/>
      <c r="AB85" s="9"/>
      <c r="AC85" s="9"/>
    </row>
    <row r="86" spans="1:29" ht="29">
      <c r="A86" s="3" t="s">
        <v>150</v>
      </c>
      <c r="B86" t="s">
        <v>8837</v>
      </c>
      <c r="C86" t="s">
        <v>8836</v>
      </c>
      <c r="G86" s="9" t="s">
        <v>3889</v>
      </c>
      <c r="H86" s="9"/>
      <c r="I86" s="9">
        <v>1</v>
      </c>
      <c r="J86" s="9">
        <v>4</v>
      </c>
      <c r="K86" s="9" t="s">
        <v>8710</v>
      </c>
      <c r="L86" s="9" t="s">
        <v>8690</v>
      </c>
      <c r="M86" s="9"/>
      <c r="N86" s="10"/>
      <c r="O86" s="9"/>
      <c r="P86" s="9">
        <v>266</v>
      </c>
      <c r="Q86" s="9"/>
      <c r="R86" s="9" t="s">
        <v>9321</v>
      </c>
      <c r="S86" s="9" t="s">
        <v>9321</v>
      </c>
      <c r="T86" s="9"/>
      <c r="U86" s="9"/>
      <c r="V86" s="9"/>
      <c r="W86" s="9"/>
      <c r="X86" s="9"/>
      <c r="Y86" s="9"/>
      <c r="Z86" s="9"/>
      <c r="AA86" s="9"/>
      <c r="AB86" s="9"/>
      <c r="AC86" s="9"/>
    </row>
    <row r="87" spans="1:29" ht="29">
      <c r="A87" s="3" t="s">
        <v>151</v>
      </c>
      <c r="B87" s="3" t="s">
        <v>4067</v>
      </c>
      <c r="C87" s="3" t="s">
        <v>4068</v>
      </c>
      <c r="G87" s="9" t="s">
        <v>3889</v>
      </c>
      <c r="H87" s="9"/>
      <c r="I87" s="9">
        <v>2</v>
      </c>
      <c r="J87" s="9">
        <v>10</v>
      </c>
      <c r="K87" s="9"/>
      <c r="L87" s="9" t="s">
        <v>8684</v>
      </c>
      <c r="M87" s="9" t="s">
        <v>8740</v>
      </c>
      <c r="N87" s="10" t="s">
        <v>8813</v>
      </c>
      <c r="O87" s="9"/>
      <c r="P87" s="9"/>
      <c r="Q87" s="9"/>
      <c r="R87" s="9" t="s">
        <v>9321</v>
      </c>
      <c r="S87" s="9" t="s">
        <v>9321</v>
      </c>
      <c r="T87" s="9"/>
      <c r="U87" s="9"/>
      <c r="V87" s="9"/>
      <c r="W87" s="9"/>
      <c r="X87" s="9"/>
      <c r="Y87" s="9"/>
      <c r="Z87" s="9"/>
      <c r="AA87" s="9"/>
      <c r="AB87" s="9"/>
      <c r="AC87" s="9"/>
    </row>
    <row r="88" spans="1:29" ht="29">
      <c r="A88" s="3" t="s">
        <v>152</v>
      </c>
      <c r="B88" s="3" t="s">
        <v>4072</v>
      </c>
      <c r="C88" s="3" t="s">
        <v>4073</v>
      </c>
      <c r="F88" t="s">
        <v>3884</v>
      </c>
      <c r="G88" s="9" t="s">
        <v>3889</v>
      </c>
      <c r="H88" s="9"/>
      <c r="I88" s="9">
        <v>1</v>
      </c>
      <c r="J88" s="9">
        <v>6</v>
      </c>
      <c r="K88" s="9" t="s">
        <v>8703</v>
      </c>
      <c r="L88" s="9" t="s">
        <v>8684</v>
      </c>
      <c r="M88" s="9" t="s">
        <v>8777</v>
      </c>
      <c r="N88" s="10" t="s">
        <v>8813</v>
      </c>
      <c r="O88" s="9"/>
      <c r="P88" s="9">
        <v>50</v>
      </c>
      <c r="Q88" s="9"/>
      <c r="R88" s="9" t="s">
        <v>9321</v>
      </c>
      <c r="S88" s="9" t="s">
        <v>9321</v>
      </c>
      <c r="T88" s="9"/>
      <c r="U88" s="9"/>
      <c r="V88" s="9"/>
      <c r="W88" s="9"/>
      <c r="X88" s="9"/>
      <c r="Y88" s="9"/>
      <c r="Z88" s="9"/>
      <c r="AA88" s="9"/>
      <c r="AB88" s="9"/>
      <c r="AC88" s="9"/>
    </row>
    <row r="89" spans="1:29" ht="29">
      <c r="A89" s="3" t="s">
        <v>152</v>
      </c>
      <c r="B89" s="3" t="s">
        <v>8841</v>
      </c>
      <c r="C89" s="3" t="s">
        <v>8842</v>
      </c>
      <c r="F89" t="s">
        <v>3884</v>
      </c>
      <c r="G89" s="9" t="s">
        <v>8732</v>
      </c>
      <c r="H89" s="9"/>
      <c r="I89" s="9"/>
      <c r="J89" s="9"/>
      <c r="K89" s="9"/>
      <c r="L89" s="9"/>
      <c r="M89" s="9"/>
      <c r="N89" s="10"/>
      <c r="O89" s="9"/>
      <c r="P89" s="9"/>
      <c r="Q89" s="9">
        <v>-491</v>
      </c>
      <c r="R89" s="9">
        <v>520</v>
      </c>
      <c r="S89" s="9">
        <v>29</v>
      </c>
      <c r="T89" s="9"/>
      <c r="U89" s="9"/>
      <c r="V89" s="9"/>
      <c r="W89" s="9"/>
      <c r="X89" s="9"/>
      <c r="Y89" s="9"/>
      <c r="Z89" s="9"/>
      <c r="AA89" s="9"/>
      <c r="AB89" s="9"/>
      <c r="AC89" s="9"/>
    </row>
    <row r="90" spans="1:29" ht="29">
      <c r="A90" s="3" t="s">
        <v>152</v>
      </c>
      <c r="B90" s="3" t="s">
        <v>8843</v>
      </c>
      <c r="C90" s="3" t="s">
        <v>4074</v>
      </c>
      <c r="G90" s="9" t="s">
        <v>3889</v>
      </c>
      <c r="H90" s="9"/>
      <c r="I90" s="9">
        <v>1</v>
      </c>
      <c r="J90" s="9">
        <v>3</v>
      </c>
      <c r="K90" s="9" t="s">
        <v>8705</v>
      </c>
      <c r="L90" s="9" t="s">
        <v>8690</v>
      </c>
      <c r="M90" s="9"/>
      <c r="N90" s="10"/>
      <c r="O90" s="9"/>
      <c r="P90" s="9">
        <v>1485</v>
      </c>
      <c r="Q90" s="9"/>
      <c r="R90" s="9" t="s">
        <v>9321</v>
      </c>
      <c r="S90" s="9" t="s">
        <v>9321</v>
      </c>
      <c r="T90" s="9"/>
      <c r="U90" s="9"/>
      <c r="V90" s="9"/>
      <c r="W90" s="9"/>
      <c r="X90" s="9"/>
      <c r="Y90" s="9"/>
      <c r="Z90" s="9"/>
      <c r="AA90" s="9"/>
      <c r="AB90" s="9"/>
      <c r="AC90" s="9"/>
    </row>
    <row r="91" spans="1:29" ht="29">
      <c r="A91" s="3" t="s">
        <v>152</v>
      </c>
      <c r="B91" s="3" t="s">
        <v>4075</v>
      </c>
      <c r="C91" s="3" t="s">
        <v>4076</v>
      </c>
      <c r="F91" t="s">
        <v>3884</v>
      </c>
      <c r="G91" s="9" t="s">
        <v>3885</v>
      </c>
      <c r="H91" s="9"/>
      <c r="I91" s="9">
        <v>2</v>
      </c>
      <c r="J91" s="9">
        <v>9</v>
      </c>
      <c r="K91" s="9"/>
      <c r="L91" s="9" t="s">
        <v>8690</v>
      </c>
      <c r="M91" s="9"/>
      <c r="N91" s="10"/>
      <c r="O91" s="9"/>
      <c r="P91" s="9">
        <v>627</v>
      </c>
      <c r="Q91" s="9"/>
      <c r="R91" s="9" t="s">
        <v>9321</v>
      </c>
      <c r="S91" s="9" t="s">
        <v>9321</v>
      </c>
      <c r="T91" s="9"/>
      <c r="U91" s="9"/>
      <c r="V91" s="9"/>
      <c r="W91" s="9"/>
      <c r="X91" s="9"/>
      <c r="Y91" s="9"/>
      <c r="Z91" s="9"/>
      <c r="AA91" s="9"/>
      <c r="AB91" s="9"/>
      <c r="AC91" s="9"/>
    </row>
    <row r="92" spans="1:29" ht="29">
      <c r="A92" s="3" t="s">
        <v>153</v>
      </c>
      <c r="B92" s="3" t="s">
        <v>4079</v>
      </c>
      <c r="C92" s="3" t="s">
        <v>4080</v>
      </c>
      <c r="F92" t="s">
        <v>3892</v>
      </c>
      <c r="G92" s="9" t="s">
        <v>3889</v>
      </c>
      <c r="H92" s="9"/>
      <c r="I92" s="9">
        <v>1</v>
      </c>
      <c r="J92" s="9">
        <v>2</v>
      </c>
      <c r="K92" s="9" t="s">
        <v>8689</v>
      </c>
      <c r="L92" s="9" t="s">
        <v>8730</v>
      </c>
      <c r="M92" s="9"/>
      <c r="N92" s="10"/>
      <c r="O92" s="9"/>
      <c r="P92" s="9">
        <v>10929</v>
      </c>
      <c r="Q92" s="9"/>
      <c r="R92" s="9" t="s">
        <v>9321</v>
      </c>
      <c r="S92" s="9" t="s">
        <v>9321</v>
      </c>
      <c r="T92" s="9"/>
      <c r="U92" s="9"/>
      <c r="V92" s="9"/>
      <c r="W92" s="9"/>
      <c r="X92" s="9"/>
      <c r="Y92" s="9"/>
      <c r="Z92" s="9"/>
      <c r="AA92" s="9"/>
      <c r="AB92" s="9"/>
      <c r="AC92" s="9"/>
    </row>
    <row r="93" spans="1:29" ht="29">
      <c r="A93" s="3" t="s">
        <v>153</v>
      </c>
      <c r="B93" s="3" t="s">
        <v>8845</v>
      </c>
      <c r="C93" s="3" t="s">
        <v>8846</v>
      </c>
      <c r="G93" s="9" t="s">
        <v>8729</v>
      </c>
      <c r="H93" s="9"/>
      <c r="I93" s="9"/>
      <c r="J93" s="9"/>
      <c r="K93" s="9"/>
      <c r="L93" s="9"/>
      <c r="M93" s="9"/>
      <c r="N93" s="10"/>
      <c r="O93" s="9"/>
      <c r="P93" s="9"/>
      <c r="Q93" s="9">
        <v>-76</v>
      </c>
      <c r="R93" s="9">
        <v>146</v>
      </c>
      <c r="S93" s="9">
        <v>70</v>
      </c>
      <c r="T93" s="9"/>
      <c r="U93" s="9"/>
      <c r="V93" s="9"/>
      <c r="W93" s="9"/>
      <c r="X93" s="9"/>
      <c r="Y93" s="9"/>
      <c r="Z93" s="9"/>
      <c r="AA93" s="9"/>
      <c r="AB93" s="9"/>
      <c r="AC93" s="9"/>
    </row>
    <row r="94" spans="1:29" ht="29">
      <c r="A94" s="3" t="s">
        <v>153</v>
      </c>
      <c r="B94" s="3" t="s">
        <v>4082</v>
      </c>
      <c r="C94" s="3" t="s">
        <v>4083</v>
      </c>
      <c r="F94" t="s">
        <v>3892</v>
      </c>
      <c r="G94" s="9" t="s">
        <v>8729</v>
      </c>
      <c r="H94" s="9"/>
      <c r="I94" s="9"/>
      <c r="J94" s="9"/>
      <c r="K94" s="9"/>
      <c r="L94" s="9"/>
      <c r="M94" s="9"/>
      <c r="N94" s="10"/>
      <c r="O94" s="9"/>
      <c r="P94" s="9"/>
      <c r="Q94" s="9">
        <v>-18</v>
      </c>
      <c r="R94" s="9">
        <v>88</v>
      </c>
      <c r="S94" s="9">
        <v>70</v>
      </c>
      <c r="T94" s="9"/>
      <c r="U94" s="9"/>
      <c r="V94" s="9"/>
      <c r="W94" s="9"/>
      <c r="X94" s="9"/>
      <c r="Y94" s="9"/>
      <c r="Z94" s="9"/>
      <c r="AA94" s="9"/>
      <c r="AB94" s="9"/>
      <c r="AC94" s="9"/>
    </row>
    <row r="95" spans="1:29" ht="29">
      <c r="A95" s="3" t="s">
        <v>154</v>
      </c>
      <c r="B95" s="3" t="s">
        <v>4088</v>
      </c>
      <c r="C95" s="3" t="s">
        <v>4086</v>
      </c>
      <c r="F95" t="s">
        <v>3884</v>
      </c>
      <c r="G95" s="9" t="s">
        <v>3889</v>
      </c>
      <c r="H95" s="9"/>
      <c r="I95" s="9">
        <v>1</v>
      </c>
      <c r="J95" s="9">
        <v>3</v>
      </c>
      <c r="K95" s="9" t="s">
        <v>8689</v>
      </c>
      <c r="L95" s="9" t="s">
        <v>8690</v>
      </c>
      <c r="M95" s="9"/>
      <c r="N95" s="10"/>
      <c r="O95" s="9"/>
      <c r="P95" s="9">
        <v>10929</v>
      </c>
      <c r="Q95" s="9"/>
      <c r="R95" s="9" t="s">
        <v>9321</v>
      </c>
      <c r="S95" s="9" t="s">
        <v>9321</v>
      </c>
      <c r="T95" s="9"/>
      <c r="U95" s="9"/>
      <c r="V95" s="9"/>
      <c r="W95" s="9"/>
      <c r="X95" s="9"/>
      <c r="Y95" s="9"/>
      <c r="Z95" s="9"/>
      <c r="AA95" s="9"/>
      <c r="AB95" s="9"/>
      <c r="AC95" s="9"/>
    </row>
    <row r="96" spans="1:29" ht="29">
      <c r="A96" s="3" t="s">
        <v>156</v>
      </c>
      <c r="B96" s="3" t="s">
        <v>2269</v>
      </c>
      <c r="C96" s="3" t="s">
        <v>2270</v>
      </c>
      <c r="F96" t="s">
        <v>3892</v>
      </c>
      <c r="G96" s="9" t="s">
        <v>8731</v>
      </c>
      <c r="H96" s="9"/>
      <c r="I96" s="9"/>
      <c r="J96" s="9"/>
      <c r="K96" s="9"/>
      <c r="L96" s="9"/>
      <c r="M96" s="9"/>
      <c r="N96" s="10"/>
      <c r="O96" s="9"/>
      <c r="P96" s="9"/>
      <c r="Q96" s="9"/>
      <c r="R96" s="9" t="s">
        <v>9321</v>
      </c>
      <c r="S96" s="9" t="s">
        <v>9321</v>
      </c>
      <c r="T96" s="9"/>
      <c r="U96" s="9"/>
      <c r="V96" s="9"/>
      <c r="W96" s="9"/>
      <c r="X96" s="9"/>
      <c r="Y96" s="9"/>
      <c r="Z96" s="9"/>
      <c r="AA96" s="9"/>
      <c r="AB96" s="9"/>
      <c r="AC96" s="9"/>
    </row>
    <row r="97" spans="1:29" ht="29">
      <c r="A97" s="3" t="s">
        <v>159</v>
      </c>
      <c r="B97" s="3" t="s">
        <v>4094</v>
      </c>
      <c r="C97" s="3" t="s">
        <v>4095</v>
      </c>
      <c r="F97" t="s">
        <v>3884</v>
      </c>
      <c r="G97" s="9" t="s">
        <v>3889</v>
      </c>
      <c r="H97" s="9"/>
      <c r="I97" s="9">
        <v>1</v>
      </c>
      <c r="J97" s="9">
        <v>2</v>
      </c>
      <c r="K97" s="9" t="s">
        <v>8689</v>
      </c>
      <c r="L97" s="9" t="s">
        <v>8730</v>
      </c>
      <c r="M97" s="9"/>
      <c r="N97" s="10"/>
      <c r="O97" s="9"/>
      <c r="P97" s="9">
        <v>10929</v>
      </c>
      <c r="Q97" s="9"/>
      <c r="R97" s="9" t="s">
        <v>9321</v>
      </c>
      <c r="S97" s="9" t="s">
        <v>9321</v>
      </c>
      <c r="T97" s="9"/>
      <c r="U97" s="9"/>
      <c r="V97" s="9"/>
      <c r="W97" s="9"/>
      <c r="X97" s="9"/>
      <c r="Y97" s="9"/>
      <c r="Z97" s="9"/>
      <c r="AA97" s="9"/>
      <c r="AB97" s="9"/>
      <c r="AC97" s="9"/>
    </row>
    <row r="98" spans="1:29" ht="29">
      <c r="A98" s="3" t="s">
        <v>163</v>
      </c>
      <c r="B98" s="3" t="s">
        <v>4098</v>
      </c>
      <c r="C98" s="3" t="s">
        <v>4099</v>
      </c>
      <c r="F98" t="s">
        <v>3884</v>
      </c>
      <c r="G98" s="9" t="s">
        <v>3885</v>
      </c>
      <c r="H98" s="9"/>
      <c r="I98" s="9">
        <v>1</v>
      </c>
      <c r="J98" s="9">
        <v>5</v>
      </c>
      <c r="K98" s="9" t="s">
        <v>8736</v>
      </c>
      <c r="L98" s="9" t="s">
        <v>8690</v>
      </c>
      <c r="M98" s="9"/>
      <c r="N98" s="10"/>
      <c r="O98" s="9"/>
      <c r="P98" s="9">
        <v>340</v>
      </c>
      <c r="Q98" s="9"/>
      <c r="R98" s="9" t="s">
        <v>9321</v>
      </c>
      <c r="S98" s="9" t="s">
        <v>9321</v>
      </c>
      <c r="T98" s="9"/>
      <c r="U98" s="9"/>
      <c r="V98" s="9"/>
      <c r="W98" s="9"/>
      <c r="X98" s="9"/>
      <c r="Y98" s="9"/>
      <c r="Z98" s="9"/>
      <c r="AA98" s="9"/>
      <c r="AB98" s="9"/>
      <c r="AC98" s="9"/>
    </row>
    <row r="99" spans="1:29" ht="29">
      <c r="A99" s="3" t="s">
        <v>166</v>
      </c>
      <c r="B99" s="3" t="s">
        <v>4102</v>
      </c>
      <c r="C99" s="3" t="s">
        <v>4103</v>
      </c>
      <c r="G99" s="9" t="s">
        <v>8729</v>
      </c>
      <c r="H99" s="9"/>
      <c r="I99" s="9"/>
      <c r="J99" s="9"/>
      <c r="K99" s="9"/>
      <c r="L99" s="9"/>
      <c r="M99" s="9"/>
      <c r="N99" s="10"/>
      <c r="O99" s="9"/>
      <c r="P99" s="9"/>
      <c r="Q99" s="9">
        <v>-575</v>
      </c>
      <c r="R99" s="9">
        <v>653</v>
      </c>
      <c r="S99" s="9">
        <v>78</v>
      </c>
      <c r="T99" s="9"/>
      <c r="U99" s="9"/>
      <c r="V99" s="9"/>
      <c r="W99" s="9"/>
      <c r="X99" s="9"/>
      <c r="Y99" s="9"/>
      <c r="Z99" s="9"/>
      <c r="AA99" s="9"/>
      <c r="AB99" s="9"/>
      <c r="AC99" s="9"/>
    </row>
    <row r="100" spans="1:29" ht="29">
      <c r="A100" s="3" t="s">
        <v>168</v>
      </c>
      <c r="B100" s="3" t="s">
        <v>4105</v>
      </c>
      <c r="C100" s="3" t="s">
        <v>4106</v>
      </c>
      <c r="F100" t="s">
        <v>3884</v>
      </c>
      <c r="G100" s="9" t="s">
        <v>8729</v>
      </c>
      <c r="H100" s="9"/>
      <c r="I100" s="9"/>
      <c r="J100" s="9"/>
      <c r="K100" s="9"/>
      <c r="L100" s="9"/>
      <c r="M100" s="9"/>
      <c r="N100" s="10"/>
      <c r="O100" s="9"/>
      <c r="P100" s="9"/>
      <c r="Q100" s="9">
        <v>-881</v>
      </c>
      <c r="R100" s="9">
        <v>886</v>
      </c>
      <c r="S100" s="9">
        <v>5</v>
      </c>
      <c r="T100" s="9" t="s">
        <v>8728</v>
      </c>
      <c r="U100" s="9"/>
      <c r="V100" s="9"/>
      <c r="W100" s="9"/>
      <c r="X100" s="9"/>
      <c r="Y100" s="9"/>
      <c r="Z100" s="9"/>
      <c r="AA100" s="9"/>
      <c r="AB100" s="9"/>
      <c r="AC100" s="9"/>
    </row>
    <row r="101" spans="1:29" ht="29">
      <c r="A101" s="3" t="s">
        <v>169</v>
      </c>
      <c r="B101" s="3" t="s">
        <v>4107</v>
      </c>
      <c r="C101" s="3" t="s">
        <v>4108</v>
      </c>
      <c r="F101" t="s">
        <v>3884</v>
      </c>
      <c r="G101" s="9" t="s">
        <v>3889</v>
      </c>
      <c r="H101" s="9"/>
      <c r="I101" s="9">
        <v>1</v>
      </c>
      <c r="J101" s="9">
        <v>3</v>
      </c>
      <c r="K101" s="9" t="s">
        <v>8709</v>
      </c>
      <c r="L101" s="9" t="s">
        <v>8690</v>
      </c>
      <c r="M101" s="9"/>
      <c r="N101" s="10"/>
      <c r="O101" s="9"/>
      <c r="P101" s="9">
        <v>698</v>
      </c>
      <c r="Q101" s="9"/>
      <c r="R101" s="9" t="s">
        <v>9321</v>
      </c>
      <c r="S101" s="9" t="s">
        <v>9321</v>
      </c>
      <c r="T101" s="9"/>
      <c r="U101" s="9"/>
      <c r="V101" s="9"/>
      <c r="W101" s="9"/>
      <c r="X101" s="9"/>
      <c r="Y101" s="9"/>
      <c r="Z101" s="9"/>
      <c r="AA101" s="9"/>
      <c r="AB101" s="9"/>
      <c r="AC101" s="9"/>
    </row>
    <row r="102" spans="1:29" ht="58">
      <c r="A102" s="3" t="s">
        <v>169</v>
      </c>
      <c r="B102" s="3" t="s">
        <v>8850</v>
      </c>
      <c r="C102" s="3" t="s">
        <v>8851</v>
      </c>
      <c r="G102" s="9" t="s">
        <v>3885</v>
      </c>
      <c r="H102" s="9"/>
      <c r="I102" s="9">
        <v>4</v>
      </c>
      <c r="J102" s="9">
        <v>19</v>
      </c>
      <c r="K102" s="9"/>
      <c r="L102" s="9" t="s">
        <v>8684</v>
      </c>
      <c r="M102" s="9" t="s">
        <v>8847</v>
      </c>
      <c r="N102" s="10" t="s">
        <v>8852</v>
      </c>
      <c r="O102" s="9"/>
      <c r="P102" s="9">
        <v>3</v>
      </c>
      <c r="Q102" s="9"/>
      <c r="R102" s="9" t="s">
        <v>9321</v>
      </c>
      <c r="S102" s="9" t="s">
        <v>9321</v>
      </c>
      <c r="T102" s="9"/>
      <c r="U102" s="9"/>
      <c r="V102" s="9"/>
      <c r="W102" s="9"/>
      <c r="X102" s="9"/>
      <c r="Y102" s="9"/>
      <c r="Z102" s="9"/>
      <c r="AA102" s="9"/>
      <c r="AB102" s="9"/>
      <c r="AC102" s="9"/>
    </row>
    <row r="103" spans="1:29" ht="29">
      <c r="A103" s="3" t="s">
        <v>171</v>
      </c>
      <c r="B103" s="3" t="s">
        <v>4111</v>
      </c>
      <c r="C103" s="3" t="s">
        <v>4112</v>
      </c>
      <c r="G103" s="9" t="s">
        <v>3889</v>
      </c>
      <c r="H103" s="9"/>
      <c r="I103" s="9">
        <v>1</v>
      </c>
      <c r="J103" s="9">
        <v>2</v>
      </c>
      <c r="K103" s="9" t="s">
        <v>8689</v>
      </c>
      <c r="L103" s="9" t="s">
        <v>8690</v>
      </c>
      <c r="M103" s="9"/>
      <c r="N103" s="10"/>
      <c r="O103" s="9" t="s">
        <v>8685</v>
      </c>
      <c r="P103" s="9">
        <v>10929</v>
      </c>
      <c r="Q103" s="9"/>
      <c r="R103" s="9" t="s">
        <v>9321</v>
      </c>
      <c r="S103" s="9" t="s">
        <v>9321</v>
      </c>
      <c r="T103" s="9"/>
      <c r="U103" s="9"/>
      <c r="V103" s="9"/>
      <c r="W103" s="9"/>
      <c r="X103" s="9"/>
      <c r="Y103" s="9"/>
      <c r="Z103" s="9"/>
      <c r="AA103" s="9"/>
      <c r="AB103" s="9"/>
      <c r="AC103" s="9"/>
    </row>
    <row r="104" spans="1:29" ht="29">
      <c r="A104" s="3" t="s">
        <v>172</v>
      </c>
      <c r="B104" s="3" t="s">
        <v>4113</v>
      </c>
      <c r="C104" s="3" t="s">
        <v>4114</v>
      </c>
      <c r="G104" s="9" t="s">
        <v>8729</v>
      </c>
      <c r="H104" s="9"/>
      <c r="I104" s="9"/>
      <c r="J104" s="9"/>
      <c r="K104" s="9"/>
      <c r="L104" s="9"/>
      <c r="M104" s="9"/>
      <c r="N104" s="10"/>
      <c r="O104" s="9"/>
      <c r="P104" s="9"/>
      <c r="Q104" s="9">
        <v>-119</v>
      </c>
      <c r="R104" s="9">
        <v>991</v>
      </c>
      <c r="S104" s="9">
        <v>872</v>
      </c>
      <c r="T104" s="9"/>
      <c r="U104" s="9"/>
      <c r="V104" s="9"/>
      <c r="W104" s="9"/>
      <c r="X104" s="9"/>
      <c r="Y104" s="9"/>
      <c r="Z104" s="9"/>
      <c r="AA104" s="9"/>
      <c r="AB104" s="9"/>
      <c r="AC104" s="9"/>
    </row>
    <row r="105" spans="1:29" ht="29">
      <c r="A105" s="3" t="s">
        <v>174</v>
      </c>
      <c r="B105" s="3" t="s">
        <v>8853</v>
      </c>
      <c r="C105" s="3" t="s">
        <v>8854</v>
      </c>
      <c r="G105" s="9" t="s">
        <v>3889</v>
      </c>
      <c r="H105" s="9"/>
      <c r="I105" s="9">
        <v>1</v>
      </c>
      <c r="J105" s="9">
        <v>1</v>
      </c>
      <c r="K105" s="9" t="s">
        <v>8689</v>
      </c>
      <c r="L105" s="9" t="s">
        <v>8730</v>
      </c>
      <c r="M105" s="9"/>
      <c r="N105" s="10"/>
      <c r="O105" s="9"/>
      <c r="P105" s="9">
        <v>10929</v>
      </c>
      <c r="Q105" s="9"/>
      <c r="R105" s="9" t="s">
        <v>9321</v>
      </c>
      <c r="S105" s="9" t="s">
        <v>9321</v>
      </c>
      <c r="T105" s="9"/>
      <c r="U105" s="9"/>
      <c r="V105" s="9"/>
      <c r="W105" s="9"/>
      <c r="X105" s="9"/>
      <c r="Y105" s="9"/>
      <c r="Z105" s="9"/>
      <c r="AA105" s="9"/>
      <c r="AB105" s="9"/>
      <c r="AC105" s="9"/>
    </row>
    <row r="106" spans="1:29" ht="29">
      <c r="A106" s="3" t="s">
        <v>175</v>
      </c>
      <c r="B106" s="3" t="s">
        <v>2159</v>
      </c>
      <c r="C106" s="3" t="s">
        <v>2175</v>
      </c>
      <c r="G106" s="9" t="s">
        <v>8731</v>
      </c>
      <c r="H106" s="9"/>
      <c r="I106" s="9"/>
      <c r="J106" s="9"/>
      <c r="K106" s="9"/>
      <c r="L106" s="9"/>
      <c r="M106" s="9"/>
      <c r="N106" s="10"/>
      <c r="O106" s="9"/>
      <c r="P106" s="9"/>
      <c r="Q106" s="9"/>
      <c r="R106" s="9" t="s">
        <v>9321</v>
      </c>
      <c r="S106" s="9" t="s">
        <v>9321</v>
      </c>
      <c r="T106" s="9" t="s">
        <v>8728</v>
      </c>
      <c r="U106" s="9"/>
      <c r="V106" s="9"/>
      <c r="W106" s="9"/>
      <c r="X106" s="9"/>
      <c r="Y106" s="9"/>
      <c r="Z106" s="9"/>
      <c r="AA106" s="9"/>
      <c r="AB106" s="9"/>
      <c r="AC106" s="9"/>
    </row>
    <row r="107" spans="1:29" ht="29">
      <c r="A107" s="3" t="s">
        <v>177</v>
      </c>
      <c r="B107" s="3" t="s">
        <v>2304</v>
      </c>
      <c r="C107" s="3" t="s">
        <v>2305</v>
      </c>
      <c r="F107" t="s">
        <v>3888</v>
      </c>
      <c r="G107" s="9" t="s">
        <v>8731</v>
      </c>
      <c r="H107" s="9"/>
      <c r="I107" s="9"/>
      <c r="J107" s="9"/>
      <c r="K107" s="9"/>
      <c r="L107" s="9"/>
      <c r="M107" s="9"/>
      <c r="N107" s="10"/>
      <c r="O107" s="9"/>
      <c r="P107" s="9"/>
      <c r="Q107" s="9"/>
      <c r="R107" s="9" t="s">
        <v>9321</v>
      </c>
      <c r="S107" s="9" t="s">
        <v>9321</v>
      </c>
      <c r="T107" s="9"/>
      <c r="U107" s="9"/>
      <c r="V107" s="9"/>
      <c r="W107" s="9"/>
      <c r="X107" s="9"/>
      <c r="Y107" s="9"/>
      <c r="Z107" s="9"/>
      <c r="AA107" s="9"/>
      <c r="AB107" s="9"/>
      <c r="AC107" s="9"/>
    </row>
    <row r="108" spans="1:29" ht="29">
      <c r="A108" s="3" t="s">
        <v>177</v>
      </c>
      <c r="B108" s="3" t="s">
        <v>2188</v>
      </c>
      <c r="C108" s="3" t="s">
        <v>2189</v>
      </c>
      <c r="F108" t="s">
        <v>3884</v>
      </c>
      <c r="G108" s="9" t="s">
        <v>8729</v>
      </c>
      <c r="H108" s="9"/>
      <c r="I108" s="9"/>
      <c r="J108" s="9"/>
      <c r="K108" s="9"/>
      <c r="L108" s="9"/>
      <c r="M108" s="9"/>
      <c r="N108" s="10"/>
      <c r="O108" s="9"/>
      <c r="P108" s="9"/>
      <c r="Q108" s="9">
        <v>3</v>
      </c>
      <c r="R108" s="9">
        <v>18</v>
      </c>
      <c r="S108" s="9">
        <v>21</v>
      </c>
      <c r="T108" s="9"/>
      <c r="U108" s="9"/>
      <c r="V108" s="9"/>
      <c r="W108" s="9"/>
      <c r="X108" s="9"/>
      <c r="Y108" s="9"/>
      <c r="Z108" s="9"/>
      <c r="AA108" s="9"/>
      <c r="AB108" s="9"/>
      <c r="AC108" s="9"/>
    </row>
    <row r="109" spans="1:29" ht="29">
      <c r="A109" s="3" t="s">
        <v>178</v>
      </c>
      <c r="B109" s="3" t="s">
        <v>2188</v>
      </c>
      <c r="C109" s="3" t="s">
        <v>2189</v>
      </c>
      <c r="F109" t="s">
        <v>3884</v>
      </c>
      <c r="G109" s="9" t="s">
        <v>8729</v>
      </c>
      <c r="H109" s="9"/>
      <c r="I109" s="9"/>
      <c r="J109" s="9"/>
      <c r="K109" s="9"/>
      <c r="L109" s="9"/>
      <c r="M109" s="9"/>
      <c r="N109" s="10"/>
      <c r="O109" s="9"/>
      <c r="P109" s="9"/>
      <c r="Q109" s="9">
        <v>3</v>
      </c>
      <c r="R109" s="9">
        <v>18</v>
      </c>
      <c r="S109" s="9">
        <v>21</v>
      </c>
      <c r="T109" s="9"/>
      <c r="U109" s="9"/>
      <c r="V109" s="9"/>
      <c r="W109" s="9"/>
      <c r="X109" s="9"/>
      <c r="Y109" s="9"/>
      <c r="Z109" s="9"/>
      <c r="AA109" s="9"/>
      <c r="AB109" s="9"/>
      <c r="AC109" s="9"/>
    </row>
    <row r="110" spans="1:29" ht="29">
      <c r="A110" s="3" t="s">
        <v>183</v>
      </c>
      <c r="B110" s="3" t="s">
        <v>4122</v>
      </c>
      <c r="C110" s="3" t="s">
        <v>4123</v>
      </c>
      <c r="G110" s="9" t="s">
        <v>3885</v>
      </c>
      <c r="H110" s="9"/>
      <c r="I110" s="9">
        <v>1</v>
      </c>
      <c r="J110" s="9">
        <v>2</v>
      </c>
      <c r="K110" s="9" t="s">
        <v>8707</v>
      </c>
      <c r="L110" s="9" t="s">
        <v>8730</v>
      </c>
      <c r="M110" s="9"/>
      <c r="N110" s="10"/>
      <c r="O110" s="9"/>
      <c r="P110" s="9">
        <v>1942</v>
      </c>
      <c r="Q110" s="9"/>
      <c r="R110" s="9" t="s">
        <v>9321</v>
      </c>
      <c r="S110" s="9" t="s">
        <v>9321</v>
      </c>
      <c r="T110" s="9"/>
      <c r="U110" s="9"/>
      <c r="V110" s="9"/>
      <c r="W110" s="9"/>
      <c r="X110" s="9"/>
      <c r="Y110" s="9"/>
      <c r="Z110" s="9"/>
      <c r="AA110" s="9"/>
      <c r="AB110" s="9"/>
      <c r="AC110" s="9"/>
    </row>
    <row r="111" spans="1:29" ht="29">
      <c r="A111" s="3" t="s">
        <v>184</v>
      </c>
      <c r="B111" s="3" t="s">
        <v>3729</v>
      </c>
      <c r="C111" s="3" t="s">
        <v>2318</v>
      </c>
      <c r="F111" t="s">
        <v>3884</v>
      </c>
      <c r="G111" s="9" t="s">
        <v>8731</v>
      </c>
      <c r="H111" s="9"/>
      <c r="I111" s="9"/>
      <c r="J111" s="9"/>
      <c r="K111" s="9"/>
      <c r="L111" s="9"/>
      <c r="M111" s="9"/>
      <c r="N111" s="10"/>
      <c r="O111" s="9"/>
      <c r="P111" s="9"/>
      <c r="Q111" s="9"/>
      <c r="R111" s="9" t="s">
        <v>9321</v>
      </c>
      <c r="S111" s="9" t="s">
        <v>9321</v>
      </c>
      <c r="T111" s="9"/>
      <c r="U111" s="9"/>
      <c r="V111" s="9"/>
      <c r="W111" s="9"/>
      <c r="X111" s="9"/>
      <c r="Y111" s="9"/>
      <c r="Z111" s="9"/>
      <c r="AA111" s="9"/>
      <c r="AB111" s="9"/>
      <c r="AC111" s="9"/>
    </row>
    <row r="112" spans="1:29" ht="29">
      <c r="A112" s="3" t="s">
        <v>185</v>
      </c>
      <c r="B112" s="3" t="s">
        <v>4124</v>
      </c>
      <c r="C112" s="3" t="s">
        <v>4125</v>
      </c>
      <c r="G112" s="9" t="s">
        <v>3889</v>
      </c>
      <c r="H112" s="9"/>
      <c r="I112" s="9">
        <v>1</v>
      </c>
      <c r="J112" s="9">
        <v>7</v>
      </c>
      <c r="K112" s="9" t="s">
        <v>8703</v>
      </c>
      <c r="L112" s="9" t="s">
        <v>8684</v>
      </c>
      <c r="M112" s="9" t="s">
        <v>8771</v>
      </c>
      <c r="N112" s="10" t="s">
        <v>8778</v>
      </c>
      <c r="O112" s="9"/>
      <c r="P112" s="9">
        <v>16</v>
      </c>
      <c r="Q112" s="9"/>
      <c r="R112" s="9" t="s">
        <v>9321</v>
      </c>
      <c r="S112" s="9" t="s">
        <v>9321</v>
      </c>
      <c r="T112" s="9"/>
      <c r="U112" s="9"/>
      <c r="V112" s="9"/>
      <c r="W112" s="9"/>
      <c r="X112" s="9"/>
      <c r="Y112" s="9"/>
      <c r="Z112" s="9"/>
      <c r="AA112" s="9"/>
      <c r="AB112" s="9"/>
      <c r="AC112" s="9"/>
    </row>
    <row r="113" spans="1:29" ht="29">
      <c r="A113" s="3" t="s">
        <v>186</v>
      </c>
      <c r="B113" s="3" t="s">
        <v>3729</v>
      </c>
      <c r="C113" s="3" t="s">
        <v>2318</v>
      </c>
      <c r="F113" t="s">
        <v>3884</v>
      </c>
      <c r="G113" s="9" t="s">
        <v>8731</v>
      </c>
      <c r="H113" s="9"/>
      <c r="I113" s="9"/>
      <c r="J113" s="9"/>
      <c r="K113" s="9"/>
      <c r="L113" s="9"/>
      <c r="M113" s="9"/>
      <c r="N113" s="10"/>
      <c r="O113" s="9"/>
      <c r="P113" s="9"/>
      <c r="Q113" s="9"/>
      <c r="R113" s="9" t="s">
        <v>9321</v>
      </c>
      <c r="S113" s="9" t="s">
        <v>9321</v>
      </c>
      <c r="T113" s="9"/>
      <c r="U113" s="9"/>
      <c r="V113" s="9"/>
      <c r="W113" s="9"/>
      <c r="X113" s="9"/>
      <c r="Y113" s="9"/>
      <c r="Z113" s="9"/>
      <c r="AA113" s="9"/>
      <c r="AB113" s="9"/>
      <c r="AC113" s="9"/>
    </row>
    <row r="114" spans="1:29" ht="29">
      <c r="A114" s="3" t="s">
        <v>189</v>
      </c>
      <c r="B114" s="3" t="s">
        <v>4126</v>
      </c>
      <c r="C114" s="3" t="s">
        <v>4127</v>
      </c>
      <c r="G114" s="9" t="s">
        <v>8729</v>
      </c>
      <c r="H114" s="9"/>
      <c r="I114" s="9"/>
      <c r="J114" s="9"/>
      <c r="K114" s="9"/>
      <c r="L114" s="9"/>
      <c r="M114" s="9"/>
      <c r="N114" s="10"/>
      <c r="O114" s="9"/>
      <c r="P114" s="9"/>
      <c r="Q114" s="9">
        <v>-119</v>
      </c>
      <c r="R114" s="9">
        <v>991</v>
      </c>
      <c r="S114" s="9">
        <v>872</v>
      </c>
      <c r="T114" s="9"/>
      <c r="U114" s="9"/>
      <c r="V114" s="9"/>
      <c r="W114" s="9"/>
      <c r="X114" s="9"/>
      <c r="Y114" s="9"/>
      <c r="Z114" s="9"/>
      <c r="AA114" s="9"/>
      <c r="AB114" s="9"/>
      <c r="AC114" s="9"/>
    </row>
    <row r="115" spans="1:29" ht="29">
      <c r="A115" s="3" t="s">
        <v>192</v>
      </c>
      <c r="B115" s="3" t="s">
        <v>4130</v>
      </c>
      <c r="C115" s="3" t="s">
        <v>8863</v>
      </c>
      <c r="F115" t="s">
        <v>3888</v>
      </c>
      <c r="G115" s="9" t="s">
        <v>3885</v>
      </c>
      <c r="H115" s="9"/>
      <c r="I115" s="9">
        <v>1</v>
      </c>
      <c r="J115" s="9">
        <v>1</v>
      </c>
      <c r="K115" s="9" t="s">
        <v>8689</v>
      </c>
      <c r="L115" s="9" t="s">
        <v>8730</v>
      </c>
      <c r="M115" s="9"/>
      <c r="N115" s="10"/>
      <c r="O115" s="9"/>
      <c r="P115" s="9">
        <v>10929</v>
      </c>
      <c r="Q115" s="9"/>
      <c r="R115" s="9" t="s">
        <v>9321</v>
      </c>
      <c r="S115" s="9" t="s">
        <v>9321</v>
      </c>
      <c r="T115" s="9" t="s">
        <v>8728</v>
      </c>
      <c r="U115" s="9"/>
      <c r="V115" s="9"/>
      <c r="W115" s="9"/>
      <c r="X115" s="9"/>
      <c r="Y115" s="9"/>
      <c r="Z115" s="9"/>
      <c r="AA115" s="9"/>
      <c r="AB115" s="9"/>
      <c r="AC115" s="9"/>
    </row>
    <row r="116" spans="1:29" ht="29">
      <c r="A116" s="3" t="s">
        <v>192</v>
      </c>
      <c r="B116" s="3" t="s">
        <v>8862</v>
      </c>
      <c r="C116" s="3" t="s">
        <v>8864</v>
      </c>
      <c r="G116" s="9" t="s">
        <v>3894</v>
      </c>
      <c r="H116" s="9"/>
      <c r="I116" s="9"/>
      <c r="J116" s="9"/>
      <c r="K116" s="9"/>
      <c r="L116" s="9"/>
      <c r="M116" s="9"/>
      <c r="N116" s="10"/>
      <c r="O116" s="9"/>
      <c r="P116" s="9"/>
      <c r="Q116" s="9"/>
      <c r="R116" s="9" t="s">
        <v>9321</v>
      </c>
      <c r="S116" s="9" t="s">
        <v>9321</v>
      </c>
      <c r="T116" s="9" t="s">
        <v>8728</v>
      </c>
      <c r="U116" s="9"/>
      <c r="V116" s="9"/>
      <c r="W116" s="9"/>
      <c r="X116" s="9"/>
      <c r="Y116" s="9"/>
      <c r="Z116" s="9"/>
      <c r="AA116" s="9"/>
      <c r="AB116" s="9"/>
      <c r="AC116" s="9"/>
    </row>
    <row r="117" spans="1:29" ht="29">
      <c r="A117" s="3" t="s">
        <v>195</v>
      </c>
      <c r="B117" s="3" t="s">
        <v>8868</v>
      </c>
      <c r="C117" s="3" t="s">
        <v>8869</v>
      </c>
      <c r="G117" s="9" t="s">
        <v>3889</v>
      </c>
      <c r="H117" s="9"/>
      <c r="I117" s="9">
        <v>1</v>
      </c>
      <c r="J117" s="9">
        <v>1</v>
      </c>
      <c r="K117" s="9" t="s">
        <v>8689</v>
      </c>
      <c r="L117" s="9" t="s">
        <v>8730</v>
      </c>
      <c r="M117" s="9"/>
      <c r="N117" s="10"/>
      <c r="O117" s="9"/>
      <c r="P117" s="9">
        <v>10929</v>
      </c>
      <c r="Q117" s="9"/>
      <c r="R117" s="9" t="s">
        <v>9321</v>
      </c>
      <c r="S117" s="9" t="s">
        <v>9321</v>
      </c>
      <c r="T117" s="9"/>
      <c r="U117" s="9"/>
      <c r="V117" s="9"/>
      <c r="W117" s="9"/>
      <c r="X117" s="9"/>
      <c r="Y117" s="9"/>
      <c r="Z117" s="9"/>
      <c r="AA117" s="9"/>
      <c r="AB117" s="9"/>
      <c r="AC117" s="9"/>
    </row>
    <row r="118" spans="1:29" ht="29">
      <c r="A118" s="3" t="s">
        <v>199</v>
      </c>
      <c r="B118" s="3" t="s">
        <v>4139</v>
      </c>
      <c r="C118" s="3" t="s">
        <v>4140</v>
      </c>
      <c r="G118" s="9" t="s">
        <v>3889</v>
      </c>
      <c r="H118" s="9"/>
      <c r="I118" s="9">
        <v>1</v>
      </c>
      <c r="J118" s="9">
        <v>7</v>
      </c>
      <c r="K118" s="9" t="s">
        <v>8736</v>
      </c>
      <c r="L118" s="9" t="s">
        <v>8690</v>
      </c>
      <c r="M118" s="9"/>
      <c r="N118" s="10"/>
      <c r="O118" s="9"/>
      <c r="P118" s="9">
        <v>319</v>
      </c>
      <c r="Q118" s="9"/>
      <c r="R118" s="9" t="s">
        <v>9321</v>
      </c>
      <c r="S118" s="9" t="s">
        <v>9321</v>
      </c>
      <c r="T118" s="9"/>
      <c r="U118" s="9"/>
      <c r="V118" s="9"/>
      <c r="W118" s="9"/>
      <c r="X118" s="9"/>
      <c r="Y118" s="9"/>
      <c r="Z118" s="9"/>
      <c r="AA118" s="9"/>
      <c r="AB118" s="9"/>
      <c r="AC118" s="9"/>
    </row>
    <row r="119" spans="1:29" ht="29">
      <c r="A119" s="3" t="s">
        <v>201</v>
      </c>
      <c r="B119" s="3" t="s">
        <v>4143</v>
      </c>
      <c r="C119" s="3" t="s">
        <v>4144</v>
      </c>
      <c r="G119" s="9" t="s">
        <v>3889</v>
      </c>
      <c r="H119" s="9"/>
      <c r="I119" s="9">
        <v>1</v>
      </c>
      <c r="J119" s="9">
        <v>2</v>
      </c>
      <c r="K119" s="9" t="s">
        <v>8689</v>
      </c>
      <c r="L119" s="9" t="s">
        <v>8730</v>
      </c>
      <c r="M119" s="9"/>
      <c r="N119" s="10"/>
      <c r="O119" s="9"/>
      <c r="P119" s="9">
        <v>10929</v>
      </c>
      <c r="Q119" s="9"/>
      <c r="R119" s="9" t="s">
        <v>9321</v>
      </c>
      <c r="S119" s="9" t="s">
        <v>9321</v>
      </c>
      <c r="T119" s="9" t="s">
        <v>8728</v>
      </c>
      <c r="U119" s="9"/>
      <c r="V119" s="9"/>
      <c r="W119" s="9"/>
      <c r="X119" s="9"/>
      <c r="Y119" s="9"/>
      <c r="Z119" s="9"/>
      <c r="AA119" s="9"/>
      <c r="AB119" s="9"/>
      <c r="AC119" s="9"/>
    </row>
    <row r="120" spans="1:29" ht="29">
      <c r="A120" s="3" t="s">
        <v>201</v>
      </c>
      <c r="B120" s="3" t="s">
        <v>9576</v>
      </c>
      <c r="C120" s="4" t="s">
        <v>9577</v>
      </c>
      <c r="D120" t="s">
        <v>4197</v>
      </c>
      <c r="G120" s="9" t="s">
        <v>3889</v>
      </c>
      <c r="H120" s="9"/>
      <c r="I120" s="9">
        <v>1</v>
      </c>
      <c r="J120" s="9">
        <v>2</v>
      </c>
      <c r="K120" s="9" t="s">
        <v>8689</v>
      </c>
      <c r="L120" s="9" t="s">
        <v>8730</v>
      </c>
      <c r="M120" s="9"/>
      <c r="N120" s="10"/>
      <c r="O120" s="9"/>
      <c r="P120" s="9">
        <v>10929</v>
      </c>
      <c r="Q120" s="9"/>
      <c r="R120" s="9" t="s">
        <v>9321</v>
      </c>
      <c r="S120" s="9" t="s">
        <v>9321</v>
      </c>
      <c r="T120" s="9"/>
      <c r="U120" s="9"/>
      <c r="V120" s="9"/>
      <c r="W120" s="9"/>
      <c r="X120" s="9"/>
      <c r="Y120" s="9"/>
      <c r="Z120" s="9"/>
      <c r="AA120" s="9"/>
      <c r="AB120" s="9"/>
      <c r="AC120" s="9"/>
    </row>
    <row r="121" spans="1:29" ht="29">
      <c r="A121" s="3" t="s">
        <v>201</v>
      </c>
      <c r="B121" s="3" t="s">
        <v>9578</v>
      </c>
      <c r="C121" s="3" t="s">
        <v>8870</v>
      </c>
      <c r="G121" s="9" t="s">
        <v>3889</v>
      </c>
      <c r="H121" s="9"/>
      <c r="I121" s="9">
        <v>1</v>
      </c>
      <c r="J121" s="9">
        <v>2</v>
      </c>
      <c r="K121" s="9" t="s">
        <v>8689</v>
      </c>
      <c r="L121" s="9" t="s">
        <v>8730</v>
      </c>
      <c r="M121" s="9"/>
      <c r="N121" s="10"/>
      <c r="O121" s="9"/>
      <c r="P121" s="9">
        <v>10929</v>
      </c>
      <c r="Q121" s="9"/>
      <c r="R121" s="9" t="s">
        <v>9321</v>
      </c>
      <c r="S121" s="9" t="s">
        <v>9321</v>
      </c>
      <c r="T121" s="9"/>
      <c r="U121" s="9"/>
      <c r="V121" s="9"/>
      <c r="W121" s="9"/>
      <c r="X121" s="9"/>
      <c r="Y121" s="9"/>
      <c r="Z121" s="9"/>
      <c r="AA121" s="9"/>
      <c r="AB121" s="9"/>
      <c r="AC121" s="9"/>
    </row>
    <row r="122" spans="1:29" ht="29">
      <c r="A122" s="3" t="s">
        <v>202</v>
      </c>
      <c r="B122" s="3" t="s">
        <v>4143</v>
      </c>
      <c r="C122" s="3" t="s">
        <v>4144</v>
      </c>
      <c r="G122" s="9" t="s">
        <v>3889</v>
      </c>
      <c r="H122" s="9"/>
      <c r="I122" s="9">
        <v>1</v>
      </c>
      <c r="J122" s="9">
        <v>2</v>
      </c>
      <c r="K122" s="9" t="s">
        <v>8689</v>
      </c>
      <c r="L122" s="9" t="s">
        <v>8730</v>
      </c>
      <c r="M122" s="9"/>
      <c r="N122" s="10"/>
      <c r="O122" s="9"/>
      <c r="P122" s="9">
        <v>10929</v>
      </c>
      <c r="Q122" s="9"/>
      <c r="R122" s="9" t="s">
        <v>9321</v>
      </c>
      <c r="S122" s="9" t="s">
        <v>9321</v>
      </c>
      <c r="T122" s="9" t="s">
        <v>8728</v>
      </c>
      <c r="U122" s="9"/>
      <c r="V122" s="9"/>
      <c r="W122" s="9"/>
      <c r="X122" s="9"/>
      <c r="Y122" s="9"/>
      <c r="Z122" s="9"/>
      <c r="AA122" s="9"/>
      <c r="AB122" s="9"/>
      <c r="AC122" s="9"/>
    </row>
    <row r="123" spans="1:29" ht="29">
      <c r="A123" s="3" t="s">
        <v>203</v>
      </c>
      <c r="B123" s="3" t="s">
        <v>8872</v>
      </c>
      <c r="C123" s="3" t="s">
        <v>8871</v>
      </c>
      <c r="F123" t="s">
        <v>3884</v>
      </c>
      <c r="G123" s="9" t="s">
        <v>3885</v>
      </c>
      <c r="H123" s="9"/>
      <c r="I123" s="9">
        <v>1</v>
      </c>
      <c r="J123" s="9">
        <v>1</v>
      </c>
      <c r="K123" s="9" t="s">
        <v>8689</v>
      </c>
      <c r="L123" s="9" t="s">
        <v>8730</v>
      </c>
      <c r="M123" s="9"/>
      <c r="N123" s="10"/>
      <c r="O123" s="9"/>
      <c r="P123" s="9">
        <v>10929</v>
      </c>
      <c r="Q123" s="9"/>
      <c r="R123" s="9" t="s">
        <v>9321</v>
      </c>
      <c r="S123" s="9" t="s">
        <v>9321</v>
      </c>
      <c r="T123" s="9"/>
      <c r="U123" s="9"/>
      <c r="V123" s="9"/>
      <c r="W123" s="9"/>
      <c r="X123" s="9"/>
      <c r="Y123" s="9"/>
      <c r="Z123" s="9"/>
      <c r="AA123" s="9"/>
      <c r="AB123" s="9"/>
      <c r="AC123" s="9"/>
    </row>
    <row r="124" spans="1:29" ht="29">
      <c r="A124" s="3" t="s">
        <v>204</v>
      </c>
      <c r="B124" s="3" t="s">
        <v>8873</v>
      </c>
      <c r="C124" s="3" t="s">
        <v>8874</v>
      </c>
      <c r="F124" t="s">
        <v>3892</v>
      </c>
      <c r="G124" s="9" t="s">
        <v>8729</v>
      </c>
      <c r="H124" s="9"/>
      <c r="I124" s="9"/>
      <c r="J124" s="9"/>
      <c r="K124" s="9"/>
      <c r="L124" s="9"/>
      <c r="M124" s="9"/>
      <c r="N124" s="10"/>
      <c r="O124" s="9"/>
      <c r="P124" s="9"/>
      <c r="Q124" s="9">
        <v>5</v>
      </c>
      <c r="R124" s="9">
        <v>1</v>
      </c>
      <c r="S124" s="9">
        <v>6</v>
      </c>
      <c r="T124" s="9"/>
      <c r="U124" s="9"/>
      <c r="V124" s="9"/>
      <c r="W124" s="9"/>
      <c r="X124" s="9"/>
      <c r="Y124" s="9"/>
      <c r="Z124" s="9"/>
      <c r="AA124" s="9"/>
      <c r="AB124" s="9"/>
      <c r="AC124" s="9"/>
    </row>
    <row r="125" spans="1:29" ht="29">
      <c r="A125" s="3" t="s">
        <v>206</v>
      </c>
      <c r="B125" s="3" t="s">
        <v>8877</v>
      </c>
      <c r="C125" s="3" t="s">
        <v>8878</v>
      </c>
      <c r="F125" t="s">
        <v>3884</v>
      </c>
      <c r="G125" s="9" t="s">
        <v>3889</v>
      </c>
      <c r="H125" s="9"/>
      <c r="I125" s="9">
        <v>1</v>
      </c>
      <c r="J125" s="9">
        <v>1</v>
      </c>
      <c r="K125" s="9" t="s">
        <v>8689</v>
      </c>
      <c r="L125" s="9" t="s">
        <v>8730</v>
      </c>
      <c r="M125" s="9"/>
      <c r="N125" s="10"/>
      <c r="O125" s="9"/>
      <c r="P125" s="9">
        <v>10929</v>
      </c>
      <c r="Q125" s="9"/>
      <c r="R125" s="9" t="s">
        <v>9321</v>
      </c>
      <c r="S125" s="9" t="s">
        <v>9321</v>
      </c>
      <c r="T125" s="9"/>
      <c r="U125" s="9"/>
      <c r="V125" s="9"/>
      <c r="W125" s="9"/>
      <c r="X125" s="9"/>
      <c r="Y125" s="9"/>
      <c r="Z125" s="9"/>
      <c r="AA125" s="9"/>
      <c r="AB125" s="9"/>
      <c r="AC125" s="9"/>
    </row>
    <row r="126" spans="1:29" ht="29">
      <c r="A126" s="3" t="s">
        <v>207</v>
      </c>
      <c r="B126" s="3" t="s">
        <v>8879</v>
      </c>
      <c r="C126" s="3" t="s">
        <v>8880</v>
      </c>
      <c r="G126" s="9" t="s">
        <v>3889</v>
      </c>
      <c r="H126" s="9"/>
      <c r="I126" s="9">
        <v>1</v>
      </c>
      <c r="J126" s="9">
        <v>6</v>
      </c>
      <c r="K126" s="9" t="s">
        <v>8683</v>
      </c>
      <c r="L126" s="9" t="s">
        <v>8690</v>
      </c>
      <c r="M126" s="9"/>
      <c r="N126" s="10"/>
      <c r="O126" s="9"/>
      <c r="P126" s="9">
        <v>520</v>
      </c>
      <c r="Q126" s="9"/>
      <c r="R126" s="9" t="s">
        <v>9321</v>
      </c>
      <c r="S126" s="9" t="s">
        <v>9321</v>
      </c>
      <c r="T126" s="9"/>
      <c r="U126" s="9"/>
      <c r="V126" s="9"/>
      <c r="W126" s="9"/>
      <c r="X126" s="9"/>
      <c r="Y126" s="9"/>
      <c r="Z126" s="9"/>
      <c r="AA126" s="9"/>
      <c r="AB126" s="9"/>
      <c r="AC126" s="9"/>
    </row>
    <row r="127" spans="1:29" ht="29">
      <c r="A127" s="3" t="s">
        <v>208</v>
      </c>
      <c r="B127" s="3" t="s">
        <v>2361</v>
      </c>
      <c r="C127" s="3" t="s">
        <v>2362</v>
      </c>
      <c r="G127" s="9" t="s">
        <v>8731</v>
      </c>
      <c r="H127" s="9"/>
      <c r="I127" s="9"/>
      <c r="J127" s="9"/>
      <c r="K127" s="9"/>
      <c r="L127" s="9"/>
      <c r="M127" s="9"/>
      <c r="N127" s="10"/>
      <c r="O127" s="9"/>
      <c r="P127" s="9"/>
      <c r="Q127" s="9"/>
      <c r="R127" s="9" t="s">
        <v>9321</v>
      </c>
      <c r="S127" s="9" t="s">
        <v>9321</v>
      </c>
      <c r="T127" s="9"/>
      <c r="U127" s="9"/>
      <c r="V127" s="9"/>
      <c r="W127" s="9"/>
      <c r="X127" s="9"/>
      <c r="Y127" s="9"/>
      <c r="Z127" s="9"/>
      <c r="AA127" s="9"/>
      <c r="AB127" s="9"/>
      <c r="AC127" s="9"/>
    </row>
    <row r="128" spans="1:29" ht="29">
      <c r="A128" s="3" t="s">
        <v>209</v>
      </c>
      <c r="B128" s="3" t="s">
        <v>8881</v>
      </c>
      <c r="C128" s="3" t="s">
        <v>8882</v>
      </c>
      <c r="G128" s="9" t="s">
        <v>3889</v>
      </c>
      <c r="H128" s="9"/>
      <c r="I128" s="9">
        <v>1</v>
      </c>
      <c r="J128" s="9">
        <v>7</v>
      </c>
      <c r="K128" s="9" t="s">
        <v>8695</v>
      </c>
      <c r="L128" s="9" t="s">
        <v>8690</v>
      </c>
      <c r="M128" s="9"/>
      <c r="N128" s="10"/>
      <c r="O128" s="9"/>
      <c r="P128" s="9">
        <v>17</v>
      </c>
      <c r="Q128" s="9"/>
      <c r="R128" s="9" t="s">
        <v>9321</v>
      </c>
      <c r="S128" s="9" t="s">
        <v>9321</v>
      </c>
      <c r="T128" s="9"/>
      <c r="U128" s="9"/>
      <c r="V128" s="9"/>
      <c r="W128" s="9"/>
      <c r="X128" s="9"/>
      <c r="Y128" s="9"/>
      <c r="Z128" s="9"/>
      <c r="AA128" s="9"/>
      <c r="AB128" s="9"/>
      <c r="AC128" s="9"/>
    </row>
    <row r="129" spans="1:29" ht="29">
      <c r="A129" s="3" t="s">
        <v>210</v>
      </c>
      <c r="B129" s="3" t="s">
        <v>2199</v>
      </c>
      <c r="C129" s="3" t="s">
        <v>2102</v>
      </c>
      <c r="F129" t="s">
        <v>3884</v>
      </c>
      <c r="G129" s="9" t="s">
        <v>8729</v>
      </c>
      <c r="H129" s="9"/>
      <c r="I129" s="9"/>
      <c r="J129" s="9"/>
      <c r="K129" s="9"/>
      <c r="L129" s="9"/>
      <c r="M129" s="9"/>
      <c r="N129" s="10"/>
      <c r="O129" s="9"/>
      <c r="P129" s="9"/>
      <c r="Q129" s="9">
        <v>-3599</v>
      </c>
      <c r="R129" s="9">
        <v>3678</v>
      </c>
      <c r="S129" s="9">
        <v>79</v>
      </c>
      <c r="T129" s="9"/>
      <c r="U129" s="9"/>
      <c r="V129" s="9"/>
      <c r="W129" s="9"/>
      <c r="X129" s="9"/>
      <c r="Y129" s="9"/>
      <c r="Z129" s="9"/>
      <c r="AA129" s="9"/>
      <c r="AB129" s="9"/>
      <c r="AC129" s="9"/>
    </row>
    <row r="130" spans="1:29" ht="29">
      <c r="A130" s="3" t="s">
        <v>210</v>
      </c>
      <c r="B130" s="3" t="s">
        <v>4148</v>
      </c>
      <c r="C130" s="3" t="s">
        <v>4149</v>
      </c>
      <c r="F130" t="s">
        <v>3884</v>
      </c>
      <c r="G130" s="9" t="s">
        <v>3889</v>
      </c>
      <c r="H130" s="9"/>
      <c r="I130" s="9">
        <v>1</v>
      </c>
      <c r="J130" s="9">
        <v>2</v>
      </c>
      <c r="K130" s="9" t="s">
        <v>8689</v>
      </c>
      <c r="L130" s="9" t="s">
        <v>8730</v>
      </c>
      <c r="M130" s="9"/>
      <c r="N130" s="10"/>
      <c r="O130" s="9"/>
      <c r="P130" s="9">
        <v>10929</v>
      </c>
      <c r="Q130" s="9"/>
      <c r="R130" s="9" t="s">
        <v>9321</v>
      </c>
      <c r="S130" s="9" t="s">
        <v>9321</v>
      </c>
      <c r="T130" s="9"/>
      <c r="U130" s="9"/>
      <c r="V130" s="9"/>
      <c r="W130" s="9"/>
      <c r="X130" s="9"/>
      <c r="Y130" s="9"/>
      <c r="Z130" s="9"/>
      <c r="AA130" s="9"/>
      <c r="AB130" s="9"/>
      <c r="AC130" s="9"/>
    </row>
    <row r="131" spans="1:29" ht="29">
      <c r="A131" s="3" t="s">
        <v>211</v>
      </c>
      <c r="B131" s="3" t="s">
        <v>9580</v>
      </c>
      <c r="C131" s="3" t="s">
        <v>9581</v>
      </c>
      <c r="F131" t="s">
        <v>3884</v>
      </c>
      <c r="G131" s="9" t="s">
        <v>3885</v>
      </c>
      <c r="H131" s="9"/>
      <c r="I131" s="9">
        <v>1</v>
      </c>
      <c r="J131" s="9">
        <v>1</v>
      </c>
      <c r="K131" s="9" t="s">
        <v>8698</v>
      </c>
      <c r="L131" s="9" t="s">
        <v>8730</v>
      </c>
      <c r="M131" s="9"/>
      <c r="N131" s="10"/>
      <c r="O131" s="9"/>
      <c r="P131" s="9">
        <v>55</v>
      </c>
      <c r="Q131" s="9"/>
      <c r="R131" s="9" t="s">
        <v>9321</v>
      </c>
      <c r="S131" s="9" t="s">
        <v>9321</v>
      </c>
      <c r="T131" s="9"/>
      <c r="U131" s="9"/>
      <c r="V131" s="9"/>
      <c r="W131" s="9"/>
      <c r="X131" s="9"/>
      <c r="Y131" s="9"/>
      <c r="Z131" s="9"/>
      <c r="AA131" s="9"/>
      <c r="AB131" s="9"/>
      <c r="AC131" s="9"/>
    </row>
    <row r="132" spans="1:29" ht="29">
      <c r="A132" s="3" t="s">
        <v>212</v>
      </c>
      <c r="B132" t="s">
        <v>8883</v>
      </c>
      <c r="C132" t="s">
        <v>8884</v>
      </c>
      <c r="F132" t="s">
        <v>3884</v>
      </c>
      <c r="G132" s="9" t="s">
        <v>8731</v>
      </c>
      <c r="H132" s="9"/>
      <c r="I132" s="9"/>
      <c r="J132" s="9"/>
      <c r="K132" s="9"/>
      <c r="L132" s="9"/>
      <c r="M132" s="9"/>
      <c r="N132" s="10"/>
      <c r="O132" s="9"/>
      <c r="P132" s="9"/>
      <c r="Q132" s="9"/>
      <c r="R132" s="9" t="s">
        <v>9321</v>
      </c>
      <c r="S132" s="9" t="s">
        <v>9321</v>
      </c>
      <c r="T132" s="9"/>
      <c r="U132" s="9"/>
      <c r="V132" s="9"/>
      <c r="W132" s="9"/>
      <c r="X132" s="9"/>
      <c r="Y132" s="9"/>
      <c r="Z132" s="9"/>
      <c r="AA132" s="9"/>
      <c r="AB132" s="9"/>
      <c r="AC132" s="9"/>
    </row>
    <row r="133" spans="1:29" ht="29">
      <c r="A133" s="3" t="s">
        <v>215</v>
      </c>
      <c r="B133" s="3" t="s">
        <v>2360</v>
      </c>
      <c r="C133" s="3" t="s">
        <v>2367</v>
      </c>
      <c r="G133" s="9" t="s">
        <v>8731</v>
      </c>
      <c r="H133" s="9"/>
      <c r="I133" s="9"/>
      <c r="J133" s="9"/>
      <c r="K133" s="9"/>
      <c r="L133" s="9"/>
      <c r="M133" s="9"/>
      <c r="N133" s="10"/>
      <c r="O133" s="9"/>
      <c r="P133" s="9"/>
      <c r="Q133" s="9"/>
      <c r="R133" s="9" t="s">
        <v>9321</v>
      </c>
      <c r="S133" s="9" t="s">
        <v>9321</v>
      </c>
      <c r="T133" s="9"/>
      <c r="U133" s="9"/>
      <c r="V133" s="9"/>
      <c r="W133" s="9"/>
      <c r="X133" s="9"/>
      <c r="Y133" s="9"/>
      <c r="Z133" s="9"/>
      <c r="AA133" s="9"/>
      <c r="AB133" s="9"/>
      <c r="AC133" s="9"/>
    </row>
    <row r="134" spans="1:29" ht="29">
      <c r="A134" s="3" t="s">
        <v>217</v>
      </c>
      <c r="B134" s="3" t="s">
        <v>4155</v>
      </c>
      <c r="C134" s="3" t="s">
        <v>4156</v>
      </c>
      <c r="G134" s="9" t="s">
        <v>3885</v>
      </c>
      <c r="H134" s="9"/>
      <c r="I134" s="9">
        <v>1</v>
      </c>
      <c r="J134" s="9">
        <v>3</v>
      </c>
      <c r="K134" s="9" t="s">
        <v>8689</v>
      </c>
      <c r="L134" s="9" t="s">
        <v>8690</v>
      </c>
      <c r="M134" s="9"/>
      <c r="N134" s="10"/>
      <c r="O134" s="9"/>
      <c r="P134" s="9">
        <v>10929</v>
      </c>
      <c r="Q134" s="9"/>
      <c r="R134" s="9" t="s">
        <v>9321</v>
      </c>
      <c r="S134" s="9" t="s">
        <v>9321</v>
      </c>
      <c r="T134" s="9"/>
      <c r="U134" s="9"/>
      <c r="V134" s="9"/>
      <c r="W134" s="9"/>
      <c r="X134" s="9"/>
      <c r="Y134" s="9"/>
      <c r="Z134" s="9"/>
      <c r="AA134" s="9"/>
      <c r="AB134" s="9"/>
      <c r="AC134" s="9"/>
    </row>
    <row r="135" spans="1:29" ht="29">
      <c r="A135" s="3" t="s">
        <v>218</v>
      </c>
      <c r="B135" s="3" t="s">
        <v>4157</v>
      </c>
      <c r="C135" s="3" t="s">
        <v>4158</v>
      </c>
      <c r="F135" t="s">
        <v>3884</v>
      </c>
      <c r="G135" s="9" t="s">
        <v>8729</v>
      </c>
      <c r="H135" s="9"/>
      <c r="I135" s="9"/>
      <c r="J135" s="9"/>
      <c r="K135" s="9"/>
      <c r="L135" s="9"/>
      <c r="M135" s="9"/>
      <c r="N135" s="10"/>
      <c r="O135" s="9"/>
      <c r="P135" s="9"/>
      <c r="Q135" s="9">
        <v>-10148</v>
      </c>
      <c r="R135" s="9">
        <v>10929</v>
      </c>
      <c r="S135" s="9">
        <v>781</v>
      </c>
      <c r="T135" s="9"/>
      <c r="U135" s="9"/>
      <c r="V135" s="9"/>
      <c r="W135" s="9"/>
      <c r="X135" s="9"/>
      <c r="Y135" s="9"/>
      <c r="Z135" s="9"/>
      <c r="AA135" s="9"/>
      <c r="AB135" s="9"/>
      <c r="AC135" s="9"/>
    </row>
    <row r="136" spans="1:29" ht="29">
      <c r="A136" s="3" t="s">
        <v>220</v>
      </c>
      <c r="B136" s="3" t="s">
        <v>4161</v>
      </c>
      <c r="C136" s="3" t="s">
        <v>4160</v>
      </c>
      <c r="F136" t="s">
        <v>3884</v>
      </c>
      <c r="G136" s="9" t="s">
        <v>3889</v>
      </c>
      <c r="H136" s="9"/>
      <c r="I136" s="9">
        <v>2</v>
      </c>
      <c r="J136" s="9">
        <v>6</v>
      </c>
      <c r="K136" s="9"/>
      <c r="L136" s="9" t="s">
        <v>8684</v>
      </c>
      <c r="M136" s="9" t="s">
        <v>8847</v>
      </c>
      <c r="N136" s="10" t="s">
        <v>8813</v>
      </c>
      <c r="O136" s="9"/>
      <c r="P136" s="9">
        <v>12</v>
      </c>
      <c r="Q136" s="9"/>
      <c r="R136" s="9" t="s">
        <v>9321</v>
      </c>
      <c r="S136" s="9" t="s">
        <v>9321</v>
      </c>
      <c r="T136" s="9"/>
      <c r="U136" s="9"/>
      <c r="V136" s="9"/>
      <c r="W136" s="9"/>
      <c r="X136" s="9"/>
      <c r="Y136" s="9"/>
      <c r="Z136" s="9"/>
      <c r="AA136" s="9"/>
      <c r="AB136" s="9"/>
      <c r="AC136" s="9"/>
    </row>
    <row r="137" spans="1:29" ht="29">
      <c r="A137" s="3" t="s">
        <v>222</v>
      </c>
      <c r="B137" s="3" t="s">
        <v>8890</v>
      </c>
      <c r="C137" s="3" t="s">
        <v>8891</v>
      </c>
      <c r="G137" s="9" t="s">
        <v>3889</v>
      </c>
      <c r="H137" s="9"/>
      <c r="I137" s="9">
        <v>1</v>
      </c>
      <c r="J137" s="9">
        <v>3</v>
      </c>
      <c r="K137" s="9" t="s">
        <v>8689</v>
      </c>
      <c r="L137" s="9" t="s">
        <v>8690</v>
      </c>
      <c r="M137" s="9"/>
      <c r="N137" s="10"/>
      <c r="O137" s="9"/>
      <c r="P137" s="9">
        <v>10929</v>
      </c>
      <c r="Q137" s="9"/>
      <c r="R137" s="9" t="s">
        <v>9321</v>
      </c>
      <c r="S137" s="9" t="s">
        <v>9321</v>
      </c>
      <c r="T137" s="9" t="s">
        <v>8728</v>
      </c>
      <c r="U137" s="9"/>
      <c r="V137" s="9"/>
      <c r="W137" s="9"/>
      <c r="X137" s="9"/>
      <c r="Y137" s="9"/>
      <c r="Z137" s="9"/>
      <c r="AA137" s="9"/>
      <c r="AB137" s="9"/>
      <c r="AC137" s="9"/>
    </row>
    <row r="138" spans="1:29" ht="29">
      <c r="A138" s="3" t="s">
        <v>222</v>
      </c>
      <c r="B138" s="3" t="s">
        <v>2377</v>
      </c>
      <c r="C138" s="3" t="s">
        <v>2378</v>
      </c>
      <c r="G138" s="9" t="s">
        <v>8731</v>
      </c>
      <c r="H138" s="9"/>
      <c r="I138" s="9"/>
      <c r="J138" s="9"/>
      <c r="K138" s="9"/>
      <c r="L138" s="9"/>
      <c r="M138" s="9"/>
      <c r="N138" s="10"/>
      <c r="O138" s="9"/>
      <c r="P138" s="9"/>
      <c r="Q138" s="9"/>
      <c r="R138" s="9" t="s">
        <v>9321</v>
      </c>
      <c r="S138" s="9" t="s">
        <v>9321</v>
      </c>
      <c r="T138" s="9"/>
      <c r="U138" s="9"/>
      <c r="V138" s="9"/>
      <c r="W138" s="9"/>
      <c r="X138" s="9"/>
      <c r="Y138" s="9"/>
      <c r="Z138" s="9"/>
      <c r="AA138" s="9"/>
      <c r="AB138" s="9"/>
      <c r="AC138" s="9"/>
    </row>
    <row r="139" spans="1:29" ht="29">
      <c r="A139" s="3" t="s">
        <v>228</v>
      </c>
      <c r="B139" s="3" t="s">
        <v>2394</v>
      </c>
      <c r="C139" s="3" t="s">
        <v>2346</v>
      </c>
      <c r="G139" s="9" t="s">
        <v>8731</v>
      </c>
      <c r="H139" s="9"/>
      <c r="I139" s="9"/>
      <c r="J139" s="9"/>
      <c r="K139" s="9"/>
      <c r="L139" s="9"/>
      <c r="M139" s="9"/>
      <c r="N139" s="10"/>
      <c r="O139" s="9"/>
      <c r="P139" s="9"/>
      <c r="Q139" s="9"/>
      <c r="R139" s="9" t="s">
        <v>9321</v>
      </c>
      <c r="S139" s="9" t="s">
        <v>9321</v>
      </c>
      <c r="T139" s="9"/>
      <c r="U139" s="9"/>
      <c r="V139" s="9"/>
      <c r="W139" s="9"/>
      <c r="X139" s="9"/>
      <c r="Y139" s="9"/>
      <c r="Z139" s="9"/>
      <c r="AA139" s="9"/>
      <c r="AB139" s="9"/>
      <c r="AC139" s="9"/>
    </row>
    <row r="140" spans="1:29" ht="29">
      <c r="A140" s="3" t="s">
        <v>228</v>
      </c>
      <c r="B140" s="3" t="s">
        <v>4165</v>
      </c>
      <c r="C140" s="3" t="s">
        <v>4166</v>
      </c>
      <c r="F140" t="s">
        <v>3884</v>
      </c>
      <c r="G140" s="9" t="s">
        <v>3889</v>
      </c>
      <c r="H140" s="9"/>
      <c r="I140" s="9">
        <v>1</v>
      </c>
      <c r="J140" s="9">
        <v>2</v>
      </c>
      <c r="K140" s="9" t="s">
        <v>8689</v>
      </c>
      <c r="L140" s="9" t="s">
        <v>8730</v>
      </c>
      <c r="M140" s="9"/>
      <c r="N140" s="10"/>
      <c r="O140" s="9"/>
      <c r="P140" s="9">
        <v>10929</v>
      </c>
      <c r="Q140" s="9"/>
      <c r="R140" s="9" t="s">
        <v>9321</v>
      </c>
      <c r="S140" s="9" t="s">
        <v>9321</v>
      </c>
      <c r="T140" s="9"/>
      <c r="U140" s="9"/>
      <c r="V140" s="9"/>
      <c r="W140" s="9"/>
      <c r="X140" s="9"/>
      <c r="Y140" s="9"/>
      <c r="Z140" s="9"/>
      <c r="AA140" s="9"/>
      <c r="AB140" s="9"/>
      <c r="AC140" s="9"/>
    </row>
    <row r="141" spans="1:29" ht="29">
      <c r="A141" s="3" t="s">
        <v>228</v>
      </c>
      <c r="B141" s="3" t="s">
        <v>2396</v>
      </c>
      <c r="C141" s="3" t="s">
        <v>2359</v>
      </c>
      <c r="G141" s="9" t="s">
        <v>8731</v>
      </c>
      <c r="H141" s="9"/>
      <c r="I141" s="9"/>
      <c r="J141" s="9"/>
      <c r="K141" s="9"/>
      <c r="L141" s="9"/>
      <c r="M141" s="9"/>
      <c r="N141" s="10"/>
      <c r="O141" s="9"/>
      <c r="P141" s="9"/>
      <c r="Q141" s="9"/>
      <c r="R141" s="9" t="s">
        <v>9321</v>
      </c>
      <c r="S141" s="9" t="s">
        <v>9321</v>
      </c>
      <c r="T141" s="9"/>
      <c r="U141" s="9"/>
      <c r="V141" s="9"/>
      <c r="W141" s="9"/>
      <c r="X141" s="9"/>
      <c r="Y141" s="9"/>
      <c r="Z141" s="9"/>
      <c r="AA141" s="9"/>
      <c r="AB141" s="9"/>
      <c r="AC141" s="9"/>
    </row>
    <row r="142" spans="1:29" ht="43.5">
      <c r="A142" s="3" t="s">
        <v>230</v>
      </c>
      <c r="B142" s="3" t="s">
        <v>4167</v>
      </c>
      <c r="C142" s="3" t="s">
        <v>4168</v>
      </c>
      <c r="F142" t="s">
        <v>3884</v>
      </c>
      <c r="G142" s="9" t="s">
        <v>3889</v>
      </c>
      <c r="H142" s="9"/>
      <c r="I142" s="9">
        <v>2</v>
      </c>
      <c r="J142" s="9">
        <v>11</v>
      </c>
      <c r="K142" s="9"/>
      <c r="L142" s="9" t="s">
        <v>8684</v>
      </c>
      <c r="M142" s="9" t="s">
        <v>8740</v>
      </c>
      <c r="N142" s="10" t="s">
        <v>8892</v>
      </c>
      <c r="O142" s="9"/>
      <c r="P142" s="9">
        <v>132</v>
      </c>
      <c r="Q142" s="9"/>
      <c r="R142" s="9" t="s">
        <v>9321</v>
      </c>
      <c r="S142" s="9" t="s">
        <v>9321</v>
      </c>
      <c r="T142" s="9"/>
      <c r="U142" s="9"/>
      <c r="V142" s="9"/>
      <c r="W142" s="9"/>
      <c r="X142" s="9"/>
      <c r="Y142" s="9"/>
      <c r="Z142" s="9"/>
      <c r="AA142" s="9"/>
      <c r="AB142" s="9"/>
      <c r="AC142" s="9"/>
    </row>
    <row r="143" spans="1:29" ht="29">
      <c r="A143" s="3" t="s">
        <v>231</v>
      </c>
      <c r="B143" s="3" t="s">
        <v>4169</v>
      </c>
      <c r="C143" s="3" t="s">
        <v>4170</v>
      </c>
      <c r="F143" t="s">
        <v>3884</v>
      </c>
      <c r="G143" s="9" t="s">
        <v>3885</v>
      </c>
      <c r="H143" s="9"/>
      <c r="I143" s="9">
        <v>1</v>
      </c>
      <c r="J143" s="9">
        <v>3</v>
      </c>
      <c r="K143" s="9" t="s">
        <v>8689</v>
      </c>
      <c r="L143" s="9" t="s">
        <v>8690</v>
      </c>
      <c r="M143" s="9"/>
      <c r="N143" s="10"/>
      <c r="O143" s="9"/>
      <c r="P143" s="9">
        <v>10929</v>
      </c>
      <c r="Q143" s="9"/>
      <c r="R143" s="9" t="s">
        <v>9321</v>
      </c>
      <c r="S143" s="9" t="s">
        <v>9321</v>
      </c>
      <c r="T143" s="9"/>
      <c r="U143" s="9"/>
      <c r="V143" s="9"/>
      <c r="W143" s="9"/>
      <c r="X143" s="9"/>
      <c r="Y143" s="9"/>
      <c r="Z143" s="9"/>
      <c r="AA143" s="9"/>
      <c r="AB143" s="9"/>
      <c r="AC143" s="9"/>
    </row>
    <row r="144" spans="1:29" ht="29">
      <c r="A144" s="3" t="s">
        <v>233</v>
      </c>
      <c r="B144" s="3" t="s">
        <v>8896</v>
      </c>
      <c r="C144" s="3" t="s">
        <v>8895</v>
      </c>
      <c r="G144" s="9" t="s">
        <v>8731</v>
      </c>
      <c r="H144" s="9"/>
      <c r="I144" s="9"/>
      <c r="J144" s="9"/>
      <c r="K144" s="9"/>
      <c r="L144" s="9"/>
      <c r="M144" s="9"/>
      <c r="N144" s="10"/>
      <c r="O144" s="9"/>
      <c r="P144" s="9"/>
      <c r="Q144" s="9"/>
      <c r="R144" s="9" t="s">
        <v>9321</v>
      </c>
      <c r="S144" s="9" t="s">
        <v>9321</v>
      </c>
      <c r="T144" s="9"/>
      <c r="U144" s="9"/>
      <c r="V144" s="9"/>
      <c r="W144" s="9"/>
      <c r="X144" s="9"/>
      <c r="Y144" s="9"/>
      <c r="Z144" s="9"/>
      <c r="AA144" s="9"/>
      <c r="AB144" s="9"/>
      <c r="AC144" s="9"/>
    </row>
    <row r="145" spans="1:29" ht="29">
      <c r="A145" s="3" t="s">
        <v>233</v>
      </c>
      <c r="B145" s="3" t="s">
        <v>2402</v>
      </c>
      <c r="C145" s="3" t="s">
        <v>2403</v>
      </c>
      <c r="G145" s="9" t="s">
        <v>8731</v>
      </c>
      <c r="H145" s="9"/>
      <c r="I145" s="9"/>
      <c r="J145" s="9"/>
      <c r="K145" s="9"/>
      <c r="L145" s="9"/>
      <c r="M145" s="9"/>
      <c r="N145" s="10"/>
      <c r="O145" s="9"/>
      <c r="P145" s="9"/>
      <c r="Q145" s="9"/>
      <c r="R145" s="9" t="s">
        <v>9321</v>
      </c>
      <c r="S145" s="9" t="s">
        <v>9321</v>
      </c>
      <c r="T145" s="9"/>
      <c r="U145" s="9"/>
      <c r="V145" s="9"/>
      <c r="W145" s="9"/>
      <c r="X145" s="9"/>
      <c r="Y145" s="9"/>
      <c r="Z145" s="9"/>
      <c r="AA145" s="9"/>
      <c r="AB145" s="9"/>
      <c r="AC145" s="9"/>
    </row>
    <row r="146" spans="1:29" ht="29">
      <c r="A146" s="3" t="s">
        <v>235</v>
      </c>
      <c r="B146" s="3" t="s">
        <v>4171</v>
      </c>
      <c r="C146" s="3" t="s">
        <v>4172</v>
      </c>
      <c r="G146" s="9" t="s">
        <v>3889</v>
      </c>
      <c r="H146" s="9"/>
      <c r="I146" s="9">
        <v>1</v>
      </c>
      <c r="J146" s="9">
        <v>5</v>
      </c>
      <c r="K146" s="9" t="s">
        <v>8703</v>
      </c>
      <c r="L146" s="9" t="s">
        <v>8690</v>
      </c>
      <c r="M146" s="9"/>
      <c r="N146" s="10"/>
      <c r="O146" s="9"/>
      <c r="P146" s="9">
        <v>336</v>
      </c>
      <c r="Q146" s="9"/>
      <c r="R146" s="9" t="s">
        <v>9321</v>
      </c>
      <c r="S146" s="9" t="s">
        <v>9321</v>
      </c>
      <c r="T146" s="9"/>
      <c r="U146" s="9"/>
      <c r="V146" s="9"/>
      <c r="W146" s="9"/>
      <c r="X146" s="9"/>
      <c r="Y146" s="9"/>
      <c r="Z146" s="9"/>
      <c r="AA146" s="9"/>
      <c r="AB146" s="9"/>
      <c r="AC146" s="9"/>
    </row>
    <row r="147" spans="1:29" ht="29">
      <c r="A147" s="3" t="s">
        <v>236</v>
      </c>
      <c r="B147" s="3" t="s">
        <v>4173</v>
      </c>
      <c r="C147" s="3" t="s">
        <v>4174</v>
      </c>
      <c r="G147" s="9" t="s">
        <v>3889</v>
      </c>
      <c r="H147" s="9"/>
      <c r="I147" s="9">
        <v>1</v>
      </c>
      <c r="J147" s="9">
        <v>5</v>
      </c>
      <c r="K147" s="9" t="s">
        <v>8705</v>
      </c>
      <c r="L147" s="9" t="s">
        <v>8690</v>
      </c>
      <c r="M147" s="9"/>
      <c r="N147" s="10"/>
      <c r="O147" s="9"/>
      <c r="P147" s="9">
        <v>3678</v>
      </c>
      <c r="Q147" s="9"/>
      <c r="R147" s="9" t="s">
        <v>9321</v>
      </c>
      <c r="S147" s="9" t="s">
        <v>9321</v>
      </c>
      <c r="T147" s="9"/>
      <c r="U147" s="9"/>
      <c r="V147" s="9"/>
      <c r="W147" s="9"/>
      <c r="X147" s="9"/>
      <c r="Y147" s="9"/>
      <c r="Z147" s="9"/>
      <c r="AA147" s="9"/>
      <c r="AB147" s="9"/>
      <c r="AC147" s="9"/>
    </row>
    <row r="148" spans="1:29" ht="29">
      <c r="A148" s="3" t="s">
        <v>237</v>
      </c>
      <c r="B148" s="3" t="s">
        <v>8899</v>
      </c>
      <c r="C148" s="3" t="s">
        <v>9582</v>
      </c>
      <c r="G148" s="9" t="s">
        <v>3889</v>
      </c>
      <c r="H148" s="9"/>
      <c r="I148" s="9">
        <v>1</v>
      </c>
      <c r="J148" s="9">
        <v>5</v>
      </c>
      <c r="K148" s="9" t="s">
        <v>8736</v>
      </c>
      <c r="L148" s="9" t="s">
        <v>8690</v>
      </c>
      <c r="M148" s="9"/>
      <c r="N148" s="10"/>
      <c r="O148" s="9"/>
      <c r="P148" s="9">
        <v>645</v>
      </c>
      <c r="Q148" s="9"/>
      <c r="R148" s="9" t="s">
        <v>9321</v>
      </c>
      <c r="S148" s="9" t="s">
        <v>9321</v>
      </c>
      <c r="T148" s="9"/>
      <c r="U148" s="9"/>
      <c r="V148" s="9"/>
      <c r="W148" s="9"/>
      <c r="X148" s="9"/>
      <c r="Y148" s="9"/>
      <c r="Z148" s="9"/>
      <c r="AA148" s="9"/>
      <c r="AB148" s="9"/>
      <c r="AC148" s="9"/>
    </row>
    <row r="149" spans="1:29" ht="43.5">
      <c r="A149" s="3" t="s">
        <v>238</v>
      </c>
      <c r="B149" s="3" t="s">
        <v>4177</v>
      </c>
      <c r="C149" s="3" t="s">
        <v>4178</v>
      </c>
      <c r="F149" t="s">
        <v>3888</v>
      </c>
      <c r="G149" s="9" t="s">
        <v>3885</v>
      </c>
      <c r="H149" s="9"/>
      <c r="I149" s="9">
        <v>3</v>
      </c>
      <c r="J149" s="9">
        <v>18</v>
      </c>
      <c r="K149" s="9"/>
      <c r="L149" s="9" t="s">
        <v>8690</v>
      </c>
      <c r="M149" s="9"/>
      <c r="N149" s="10"/>
      <c r="O149" s="9"/>
      <c r="P149" s="9">
        <v>7</v>
      </c>
      <c r="Q149" s="9"/>
      <c r="R149" s="9" t="s">
        <v>9321</v>
      </c>
      <c r="S149" s="9" t="s">
        <v>9321</v>
      </c>
      <c r="T149" s="9" t="s">
        <v>4</v>
      </c>
      <c r="U149" s="9"/>
      <c r="V149" s="9"/>
      <c r="W149" s="9"/>
      <c r="X149" s="9"/>
      <c r="Y149" s="9"/>
      <c r="Z149" s="9"/>
      <c r="AA149" s="9"/>
      <c r="AB149" s="9"/>
      <c r="AC149" s="9"/>
    </row>
    <row r="150" spans="1:29" ht="29">
      <c r="A150" s="3" t="s">
        <v>240</v>
      </c>
      <c r="B150" s="3" t="s">
        <v>2410</v>
      </c>
      <c r="C150" s="3" t="s">
        <v>2411</v>
      </c>
      <c r="D150" t="s">
        <v>3886</v>
      </c>
      <c r="G150" s="9" t="s">
        <v>8731</v>
      </c>
      <c r="H150" s="9"/>
      <c r="I150" s="9"/>
      <c r="J150" s="9"/>
      <c r="K150" s="9"/>
      <c r="L150" s="9"/>
      <c r="M150" s="9"/>
      <c r="N150" s="10"/>
      <c r="O150" s="9"/>
      <c r="P150" s="9"/>
      <c r="Q150" s="9"/>
      <c r="R150" s="9" t="s">
        <v>9321</v>
      </c>
      <c r="S150" s="9" t="s">
        <v>9321</v>
      </c>
      <c r="T150" s="9"/>
      <c r="U150" s="9"/>
      <c r="V150" s="9"/>
      <c r="W150" s="9"/>
      <c r="X150" s="9"/>
      <c r="Y150" s="9"/>
      <c r="Z150" s="9"/>
      <c r="AA150" s="9"/>
      <c r="AB150" s="9"/>
      <c r="AC150" s="9"/>
    </row>
    <row r="151" spans="1:29" ht="29">
      <c r="A151" s="3" t="s">
        <v>242</v>
      </c>
      <c r="B151" s="3" t="s">
        <v>4184</v>
      </c>
      <c r="C151" s="3" t="s">
        <v>4185</v>
      </c>
      <c r="G151" s="9" t="s">
        <v>3885</v>
      </c>
      <c r="H151" s="9"/>
      <c r="I151" s="9">
        <v>1</v>
      </c>
      <c r="J151" s="9">
        <v>3</v>
      </c>
      <c r="K151" s="9" t="s">
        <v>8689</v>
      </c>
      <c r="L151" s="9" t="s">
        <v>8690</v>
      </c>
      <c r="M151" s="9"/>
      <c r="N151" s="10"/>
      <c r="O151" s="9"/>
      <c r="P151" s="9">
        <v>10929</v>
      </c>
      <c r="Q151" s="9"/>
      <c r="R151" s="9" t="s">
        <v>9321</v>
      </c>
      <c r="S151" s="9" t="s">
        <v>9321</v>
      </c>
      <c r="T151" s="9"/>
      <c r="U151" s="9"/>
      <c r="V151" s="9"/>
      <c r="W151" s="9"/>
      <c r="X151" s="9"/>
      <c r="Y151" s="9"/>
      <c r="Z151" s="9"/>
      <c r="AA151" s="9"/>
      <c r="AB151" s="9"/>
      <c r="AC151" s="9"/>
    </row>
    <row r="152" spans="1:29" ht="29">
      <c r="A152" s="3" t="s">
        <v>244</v>
      </c>
      <c r="B152" s="3" t="s">
        <v>2416</v>
      </c>
      <c r="C152" s="3" t="s">
        <v>2417</v>
      </c>
      <c r="G152" s="9" t="s">
        <v>8731</v>
      </c>
      <c r="H152" s="9"/>
      <c r="I152" s="9"/>
      <c r="J152" s="9"/>
      <c r="K152" s="9"/>
      <c r="L152" s="9"/>
      <c r="M152" s="9"/>
      <c r="N152" s="10"/>
      <c r="O152" s="9"/>
      <c r="P152" s="9"/>
      <c r="Q152" s="9"/>
      <c r="R152" s="9" t="s">
        <v>9321</v>
      </c>
      <c r="S152" s="9" t="s">
        <v>9321</v>
      </c>
      <c r="T152" s="9"/>
      <c r="U152" s="9"/>
      <c r="V152" s="9"/>
      <c r="W152" s="9"/>
      <c r="X152" s="9"/>
      <c r="Y152" s="9"/>
      <c r="Z152" s="9"/>
      <c r="AA152" s="9"/>
      <c r="AB152" s="9"/>
      <c r="AC152" s="9"/>
    </row>
    <row r="153" spans="1:29" ht="29">
      <c r="A153" s="3" t="s">
        <v>245</v>
      </c>
      <c r="B153" s="3" t="s">
        <v>4188</v>
      </c>
      <c r="C153" s="3" t="s">
        <v>4189</v>
      </c>
      <c r="G153" s="9" t="s">
        <v>8729</v>
      </c>
      <c r="H153" s="9"/>
      <c r="I153" s="9"/>
      <c r="J153" s="9"/>
      <c r="K153" s="9"/>
      <c r="L153" s="9"/>
      <c r="M153" s="9"/>
      <c r="N153" s="10"/>
      <c r="O153" s="9"/>
      <c r="P153" s="9"/>
      <c r="Q153" s="9">
        <v>-75</v>
      </c>
      <c r="R153" s="9">
        <v>111</v>
      </c>
      <c r="S153" s="9">
        <v>36</v>
      </c>
      <c r="T153" s="9"/>
      <c r="U153" s="9"/>
      <c r="V153" s="9"/>
      <c r="W153" s="9"/>
      <c r="X153" s="9"/>
      <c r="Y153" s="9"/>
      <c r="Z153" s="9"/>
      <c r="AA153" s="9"/>
      <c r="AB153" s="9"/>
      <c r="AC153" s="9"/>
    </row>
    <row r="154" spans="1:29" ht="29">
      <c r="A154" s="3" t="s">
        <v>245</v>
      </c>
      <c r="B154" s="3" t="s">
        <v>4190</v>
      </c>
      <c r="C154" s="3" t="s">
        <v>4191</v>
      </c>
      <c r="F154" t="s">
        <v>3884</v>
      </c>
      <c r="G154" s="9" t="s">
        <v>3885</v>
      </c>
      <c r="H154" s="9"/>
      <c r="I154" s="9">
        <v>1</v>
      </c>
      <c r="J154" s="9">
        <v>3</v>
      </c>
      <c r="K154" s="9" t="s">
        <v>8705</v>
      </c>
      <c r="L154" s="9" t="s">
        <v>8690</v>
      </c>
      <c r="M154" s="9"/>
      <c r="N154" s="10"/>
      <c r="O154" s="9"/>
      <c r="P154" s="9">
        <v>1485</v>
      </c>
      <c r="Q154" s="9"/>
      <c r="R154" s="9" t="s">
        <v>9321</v>
      </c>
      <c r="S154" s="9" t="s">
        <v>9321</v>
      </c>
      <c r="T154" s="9"/>
      <c r="U154" s="9"/>
      <c r="V154" s="9"/>
      <c r="W154" s="9"/>
      <c r="X154" s="9"/>
      <c r="Y154" s="9"/>
      <c r="Z154" s="9"/>
      <c r="AA154" s="9"/>
      <c r="AB154" s="9"/>
      <c r="AC154" s="9"/>
    </row>
    <row r="155" spans="1:29" ht="29">
      <c r="A155" s="3" t="s">
        <v>251</v>
      </c>
      <c r="B155" s="3" t="s">
        <v>4194</v>
      </c>
      <c r="C155" s="3" t="s">
        <v>4195</v>
      </c>
      <c r="G155" s="9" t="s">
        <v>8729</v>
      </c>
      <c r="H155" s="9"/>
      <c r="I155" s="9"/>
      <c r="J155" s="9"/>
      <c r="K155" s="9"/>
      <c r="L155" s="9"/>
      <c r="M155" s="9"/>
      <c r="N155" s="10"/>
      <c r="O155" s="9"/>
      <c r="P155" s="9"/>
      <c r="Q155" s="9">
        <v>-70</v>
      </c>
      <c r="R155" s="9">
        <v>70</v>
      </c>
      <c r="S155" s="9">
        <v>0</v>
      </c>
      <c r="T155" s="9"/>
      <c r="U155" s="9"/>
      <c r="V155" s="9"/>
      <c r="W155" s="9"/>
      <c r="X155" s="9"/>
      <c r="Y155" s="9"/>
      <c r="Z155" s="9"/>
      <c r="AA155" s="9"/>
      <c r="AB155" s="9"/>
      <c r="AC155" s="9"/>
    </row>
    <row r="156" spans="1:29" ht="29">
      <c r="A156" s="3" t="s">
        <v>253</v>
      </c>
      <c r="B156" s="3" t="s">
        <v>4198</v>
      </c>
      <c r="C156" s="3" t="s">
        <v>4199</v>
      </c>
      <c r="F156" t="s">
        <v>3884</v>
      </c>
      <c r="G156" s="9" t="s">
        <v>8729</v>
      </c>
      <c r="H156" s="9"/>
      <c r="I156" s="9"/>
      <c r="J156" s="9"/>
      <c r="K156" s="9"/>
      <c r="L156" s="9"/>
      <c r="M156" s="9"/>
      <c r="N156" s="10"/>
      <c r="O156" s="9"/>
      <c r="P156" s="9"/>
      <c r="Q156" s="9">
        <v>96</v>
      </c>
      <c r="R156" s="9">
        <v>106</v>
      </c>
      <c r="S156" s="9">
        <v>202</v>
      </c>
      <c r="T156" s="9"/>
      <c r="U156" s="9"/>
      <c r="V156" s="9"/>
      <c r="W156" s="9"/>
      <c r="X156" s="9"/>
      <c r="Y156" s="9"/>
      <c r="Z156" s="9"/>
      <c r="AA156" s="9"/>
      <c r="AB156" s="9"/>
      <c r="AC156" s="9"/>
    </row>
    <row r="157" spans="1:29" ht="29">
      <c r="A157" s="3" t="s">
        <v>256</v>
      </c>
      <c r="B157" s="3" t="s">
        <v>4202</v>
      </c>
      <c r="C157" s="3" t="s">
        <v>4203</v>
      </c>
      <c r="G157" s="9" t="s">
        <v>3885</v>
      </c>
      <c r="H157" s="9"/>
      <c r="I157" s="9">
        <v>1</v>
      </c>
      <c r="J157" s="9">
        <v>2</v>
      </c>
      <c r="K157" s="9" t="s">
        <v>8689</v>
      </c>
      <c r="L157" s="9" t="s">
        <v>8730</v>
      </c>
      <c r="M157" s="9"/>
      <c r="N157" s="10"/>
      <c r="O157" s="9"/>
      <c r="P157" s="9">
        <v>10929</v>
      </c>
      <c r="Q157" s="9"/>
      <c r="R157" s="9" t="s">
        <v>9321</v>
      </c>
      <c r="S157" s="9" t="s">
        <v>9321</v>
      </c>
      <c r="T157" s="9"/>
      <c r="U157" s="9"/>
      <c r="V157" s="9"/>
      <c r="W157" s="9"/>
      <c r="X157" s="9"/>
      <c r="Y157" s="9"/>
      <c r="Z157" s="9"/>
      <c r="AA157" s="9"/>
      <c r="AB157" s="9"/>
      <c r="AC157" s="9"/>
    </row>
    <row r="158" spans="1:29" ht="29">
      <c r="A158" s="3" t="s">
        <v>261</v>
      </c>
      <c r="B158" s="3" t="s">
        <v>4217</v>
      </c>
      <c r="C158" s="3" t="s">
        <v>4218</v>
      </c>
      <c r="G158" s="9" t="s">
        <v>8731</v>
      </c>
      <c r="H158" s="9"/>
      <c r="I158" s="9"/>
      <c r="J158" s="9"/>
      <c r="K158" s="9"/>
      <c r="L158" s="9"/>
      <c r="M158" s="9"/>
      <c r="N158" s="10"/>
      <c r="O158" s="9"/>
      <c r="P158" s="9"/>
      <c r="Q158" s="9"/>
      <c r="R158" s="9" t="s">
        <v>9321</v>
      </c>
      <c r="S158" s="9" t="s">
        <v>9321</v>
      </c>
      <c r="T158" s="9"/>
      <c r="U158" s="9"/>
      <c r="V158" s="9"/>
      <c r="W158" s="9"/>
      <c r="X158" s="9"/>
      <c r="Y158" s="9"/>
      <c r="Z158" s="9"/>
      <c r="AA158" s="9"/>
      <c r="AB158" s="9"/>
      <c r="AC158" s="9"/>
    </row>
    <row r="159" spans="1:29" ht="29">
      <c r="A159" s="3" t="s">
        <v>262</v>
      </c>
      <c r="B159" s="3" t="s">
        <v>4226</v>
      </c>
      <c r="C159" s="3" t="s">
        <v>4227</v>
      </c>
      <c r="G159" s="9" t="s">
        <v>8729</v>
      </c>
      <c r="H159" s="9"/>
      <c r="I159" s="9"/>
      <c r="J159" s="9"/>
      <c r="K159" s="9"/>
      <c r="L159" s="9"/>
      <c r="M159" s="9"/>
      <c r="N159" s="10"/>
      <c r="O159" s="9"/>
      <c r="P159" s="9"/>
      <c r="Q159" s="9">
        <v>-3599</v>
      </c>
      <c r="R159" s="9">
        <v>3678</v>
      </c>
      <c r="S159" s="9">
        <v>79</v>
      </c>
      <c r="T159" s="9"/>
      <c r="U159" s="9"/>
      <c r="V159" s="9"/>
      <c r="W159" s="9"/>
      <c r="X159" s="9"/>
      <c r="Y159" s="9"/>
      <c r="Z159" s="9"/>
      <c r="AA159" s="9"/>
      <c r="AB159" s="9"/>
      <c r="AC159" s="9"/>
    </row>
    <row r="160" spans="1:29" ht="29">
      <c r="A160" s="3" t="s">
        <v>266</v>
      </c>
      <c r="B160" s="3" t="s">
        <v>4235</v>
      </c>
      <c r="C160" s="3" t="s">
        <v>4236</v>
      </c>
      <c r="F160" t="s">
        <v>3884</v>
      </c>
      <c r="G160" s="9" t="s">
        <v>3885</v>
      </c>
      <c r="H160" s="9"/>
      <c r="I160" s="9">
        <v>1</v>
      </c>
      <c r="J160" s="9">
        <v>2</v>
      </c>
      <c r="K160" s="9" t="s">
        <v>8734</v>
      </c>
      <c r="L160" s="9" t="s">
        <v>8730</v>
      </c>
      <c r="M160" s="9"/>
      <c r="N160" s="10"/>
      <c r="O160" s="9"/>
      <c r="P160" s="9">
        <v>698</v>
      </c>
      <c r="Q160" s="9"/>
      <c r="R160" s="9" t="s">
        <v>9321</v>
      </c>
      <c r="S160" s="9" t="s">
        <v>9321</v>
      </c>
      <c r="T160" s="9"/>
      <c r="U160" s="9"/>
      <c r="V160" s="9"/>
      <c r="W160" s="9"/>
      <c r="X160" s="9"/>
      <c r="Y160" s="9"/>
      <c r="Z160" s="9"/>
      <c r="AA160" s="9"/>
      <c r="AB160" s="9"/>
      <c r="AC160" s="9"/>
    </row>
    <row r="161" spans="1:29" ht="29">
      <c r="A161" s="3" t="s">
        <v>267</v>
      </c>
      <c r="B161" s="3" t="s">
        <v>4237</v>
      </c>
      <c r="C161" s="3" t="s">
        <v>3909</v>
      </c>
      <c r="G161" s="9" t="s">
        <v>3889</v>
      </c>
      <c r="H161" s="9"/>
      <c r="I161" s="9">
        <v>1</v>
      </c>
      <c r="J161" s="9">
        <v>5</v>
      </c>
      <c r="K161" s="9" t="s">
        <v>8683</v>
      </c>
      <c r="L161" s="9" t="s">
        <v>8690</v>
      </c>
      <c r="M161" s="9"/>
      <c r="N161" s="10"/>
      <c r="O161" s="9"/>
      <c r="P161" s="9">
        <v>68</v>
      </c>
      <c r="Q161" s="9"/>
      <c r="R161" s="9" t="s">
        <v>9321</v>
      </c>
      <c r="S161" s="9" t="s">
        <v>9321</v>
      </c>
      <c r="T161" s="9"/>
      <c r="U161" s="9"/>
      <c r="V161" s="9"/>
      <c r="W161" s="9"/>
      <c r="X161" s="9"/>
      <c r="Y161" s="9"/>
      <c r="Z161" s="9"/>
      <c r="AA161" s="9"/>
      <c r="AB161" s="9"/>
      <c r="AC161" s="9"/>
    </row>
    <row r="162" spans="1:29" ht="29">
      <c r="A162" s="3" t="s">
        <v>267</v>
      </c>
      <c r="B162" s="3" t="s">
        <v>9445</v>
      </c>
      <c r="C162" s="3" t="s">
        <v>9446</v>
      </c>
      <c r="G162" s="9" t="s">
        <v>3889</v>
      </c>
      <c r="H162" s="9"/>
      <c r="I162" s="9">
        <v>1</v>
      </c>
      <c r="J162" s="9">
        <v>3</v>
      </c>
      <c r="K162" s="9" t="s">
        <v>8689</v>
      </c>
      <c r="L162" s="9" t="s">
        <v>8690</v>
      </c>
      <c r="M162" s="9"/>
      <c r="N162" s="10"/>
      <c r="O162" s="9"/>
      <c r="P162" s="9">
        <v>10929</v>
      </c>
      <c r="Q162" s="9"/>
      <c r="R162" s="9" t="s">
        <v>9321</v>
      </c>
      <c r="S162" s="9" t="s">
        <v>9321</v>
      </c>
      <c r="T162" s="9" t="s">
        <v>4</v>
      </c>
      <c r="U162" s="9"/>
      <c r="V162" s="9"/>
      <c r="W162" s="9"/>
      <c r="X162" s="9"/>
      <c r="Y162" s="9"/>
      <c r="Z162" s="9"/>
      <c r="AA162" s="9"/>
      <c r="AB162" s="9"/>
      <c r="AC162" s="9"/>
    </row>
    <row r="163" spans="1:29" ht="29">
      <c r="A163" s="3" t="s">
        <v>270</v>
      </c>
      <c r="B163" s="3" t="s">
        <v>4244</v>
      </c>
      <c r="C163" s="3" t="s">
        <v>4245</v>
      </c>
      <c r="F163" t="s">
        <v>3884</v>
      </c>
      <c r="G163" s="9" t="s">
        <v>8731</v>
      </c>
      <c r="H163" s="9"/>
      <c r="I163" s="9"/>
      <c r="J163" s="9"/>
      <c r="K163" s="9"/>
      <c r="L163" s="9"/>
      <c r="M163" s="9"/>
      <c r="N163" s="10"/>
      <c r="O163" s="9"/>
      <c r="P163" s="9"/>
      <c r="Q163" s="9"/>
      <c r="R163" s="9" t="s">
        <v>9321</v>
      </c>
      <c r="S163" s="9" t="s">
        <v>9321</v>
      </c>
      <c r="T163" s="9"/>
      <c r="U163" s="9"/>
      <c r="V163" s="9"/>
      <c r="W163" s="9"/>
      <c r="X163" s="9"/>
      <c r="Y163" s="9"/>
      <c r="Z163" s="9"/>
      <c r="AA163" s="9"/>
      <c r="AB163" s="9"/>
      <c r="AC163" s="9"/>
    </row>
    <row r="164" spans="1:29" ht="29">
      <c r="A164" s="3" t="s">
        <v>271</v>
      </c>
      <c r="B164" s="3" t="s">
        <v>4248</v>
      </c>
      <c r="C164" s="3" t="s">
        <v>4249</v>
      </c>
      <c r="G164" s="9" t="s">
        <v>3889</v>
      </c>
      <c r="H164" s="9"/>
      <c r="I164" s="9">
        <v>1</v>
      </c>
      <c r="J164" s="9">
        <v>3</v>
      </c>
      <c r="K164" s="9" t="s">
        <v>8689</v>
      </c>
      <c r="L164" s="9" t="s">
        <v>8690</v>
      </c>
      <c r="M164" s="9"/>
      <c r="N164" s="10"/>
      <c r="O164" s="9"/>
      <c r="P164" s="9">
        <v>10929</v>
      </c>
      <c r="Q164" s="9"/>
      <c r="R164" s="9" t="s">
        <v>9321</v>
      </c>
      <c r="S164" s="9" t="s">
        <v>9321</v>
      </c>
      <c r="T164" s="9"/>
      <c r="U164" s="9"/>
      <c r="V164" s="9"/>
      <c r="W164" s="9"/>
      <c r="X164" s="9"/>
      <c r="Y164" s="9"/>
      <c r="Z164" s="9"/>
      <c r="AA164" s="9"/>
      <c r="AB164" s="9"/>
      <c r="AC164" s="9"/>
    </row>
    <row r="165" spans="1:29" ht="29">
      <c r="A165" s="3" t="s">
        <v>271</v>
      </c>
      <c r="B165" s="3" t="s">
        <v>4250</v>
      </c>
      <c r="C165" s="3" t="s">
        <v>2446</v>
      </c>
      <c r="F165" t="s">
        <v>3884</v>
      </c>
      <c r="G165" s="9" t="s">
        <v>8731</v>
      </c>
      <c r="H165" s="9"/>
      <c r="I165" s="9"/>
      <c r="J165" s="9"/>
      <c r="K165" s="9"/>
      <c r="L165" s="9"/>
      <c r="M165" s="9"/>
      <c r="N165" s="10"/>
      <c r="O165" s="9"/>
      <c r="P165" s="9"/>
      <c r="Q165" s="9"/>
      <c r="R165" s="9" t="s">
        <v>9321</v>
      </c>
      <c r="S165" s="9" t="s">
        <v>9321</v>
      </c>
      <c r="T165" s="9"/>
      <c r="U165" s="9"/>
      <c r="V165" s="9"/>
      <c r="W165" s="9"/>
      <c r="X165" s="9"/>
      <c r="Y165" s="9"/>
      <c r="Z165" s="9"/>
      <c r="AA165" s="9"/>
      <c r="AB165" s="9"/>
      <c r="AC165" s="9"/>
    </row>
    <row r="166" spans="1:29" ht="29">
      <c r="A166" s="3" t="s">
        <v>273</v>
      </c>
      <c r="B166" s="3" t="s">
        <v>4253</v>
      </c>
      <c r="C166" s="3" t="s">
        <v>4254</v>
      </c>
      <c r="G166" s="9" t="s">
        <v>3889</v>
      </c>
      <c r="H166" s="9"/>
      <c r="I166" s="9">
        <v>3</v>
      </c>
      <c r="J166" s="9">
        <v>15</v>
      </c>
      <c r="K166" s="9"/>
      <c r="L166" s="9" t="s">
        <v>8690</v>
      </c>
      <c r="M166" s="9"/>
      <c r="N166" s="10"/>
      <c r="O166" s="9"/>
      <c r="P166" s="9">
        <v>4</v>
      </c>
      <c r="Q166" s="9"/>
      <c r="R166" s="9" t="s">
        <v>9321</v>
      </c>
      <c r="S166" s="9" t="s">
        <v>9321</v>
      </c>
      <c r="T166" s="9"/>
      <c r="U166" s="9"/>
      <c r="V166" s="9"/>
      <c r="W166" s="9"/>
      <c r="X166" s="9"/>
      <c r="Y166" s="9"/>
      <c r="Z166" s="9"/>
      <c r="AA166" s="9"/>
      <c r="AB166" s="9"/>
      <c r="AC166" s="9"/>
    </row>
    <row r="167" spans="1:29" ht="29">
      <c r="A167" s="3" t="s">
        <v>274</v>
      </c>
      <c r="B167" s="3" t="s">
        <v>4256</v>
      </c>
      <c r="C167" s="3" t="s">
        <v>4257</v>
      </c>
      <c r="G167" s="9" t="s">
        <v>3885</v>
      </c>
      <c r="H167" s="9"/>
      <c r="I167" s="9">
        <v>1</v>
      </c>
      <c r="J167" s="9">
        <v>2</v>
      </c>
      <c r="K167" s="9" t="s">
        <v>8689</v>
      </c>
      <c r="L167" s="9" t="s">
        <v>8730</v>
      </c>
      <c r="M167" s="9"/>
      <c r="N167" s="10"/>
      <c r="O167" s="9" t="s">
        <v>8685</v>
      </c>
      <c r="P167" s="9">
        <v>10929</v>
      </c>
      <c r="Q167" s="9"/>
      <c r="R167" s="9" t="s">
        <v>9321</v>
      </c>
      <c r="S167" s="9" t="s">
        <v>9321</v>
      </c>
      <c r="T167" s="9" t="s">
        <v>4</v>
      </c>
      <c r="U167" s="9"/>
      <c r="V167" s="9"/>
      <c r="W167" s="9"/>
      <c r="X167" s="9"/>
      <c r="Y167" s="9"/>
      <c r="Z167" s="9"/>
      <c r="AA167" s="9"/>
      <c r="AB167" s="9"/>
      <c r="AC167" s="9"/>
    </row>
    <row r="168" spans="1:29" ht="29">
      <c r="A168" s="3" t="s">
        <v>275</v>
      </c>
      <c r="B168" s="3" t="s">
        <v>4260</v>
      </c>
      <c r="C168" s="3" t="s">
        <v>4261</v>
      </c>
      <c r="F168" t="s">
        <v>3884</v>
      </c>
      <c r="G168" s="9" t="s">
        <v>3889</v>
      </c>
      <c r="H168" s="9"/>
      <c r="I168" s="9">
        <v>1</v>
      </c>
      <c r="J168" s="9">
        <v>2</v>
      </c>
      <c r="K168" s="9" t="s">
        <v>8689</v>
      </c>
      <c r="L168" s="9" t="s">
        <v>8730</v>
      </c>
      <c r="M168" s="9"/>
      <c r="N168" s="10"/>
      <c r="O168" s="9"/>
      <c r="P168" s="9">
        <v>10929</v>
      </c>
      <c r="Q168" s="9"/>
      <c r="R168" s="9" t="s">
        <v>9321</v>
      </c>
      <c r="S168" s="9" t="s">
        <v>9321</v>
      </c>
      <c r="T168" s="9"/>
      <c r="U168" s="9"/>
      <c r="V168" s="9"/>
      <c r="W168" s="9"/>
      <c r="X168" s="9"/>
      <c r="Y168" s="9"/>
      <c r="Z168" s="9"/>
      <c r="AA168" s="9"/>
      <c r="AB168" s="9"/>
      <c r="AC168" s="9"/>
    </row>
    <row r="169" spans="1:29" ht="29">
      <c r="A169" s="3" t="s">
        <v>276</v>
      </c>
      <c r="B169" s="3" t="s">
        <v>8911</v>
      </c>
      <c r="C169" s="3" t="s">
        <v>8910</v>
      </c>
      <c r="G169" s="9" t="s">
        <v>3889</v>
      </c>
      <c r="H169" s="9"/>
      <c r="I169" s="9">
        <v>1</v>
      </c>
      <c r="J169" s="9">
        <v>7</v>
      </c>
      <c r="K169" s="9" t="s">
        <v>8683</v>
      </c>
      <c r="L169" s="9" t="s">
        <v>8690</v>
      </c>
      <c r="M169" s="9"/>
      <c r="N169" s="10"/>
      <c r="O169" s="9"/>
      <c r="P169" s="9">
        <v>89</v>
      </c>
      <c r="Q169" s="9"/>
      <c r="R169" s="9" t="s">
        <v>9321</v>
      </c>
      <c r="S169" s="9" t="s">
        <v>9321</v>
      </c>
      <c r="T169" s="9"/>
      <c r="U169" s="9"/>
      <c r="V169" s="9"/>
      <c r="W169" s="9"/>
      <c r="X169" s="9"/>
      <c r="Y169" s="9"/>
      <c r="Z169" s="9"/>
      <c r="AA169" s="9"/>
      <c r="AB169" s="9"/>
      <c r="AC169" s="9"/>
    </row>
    <row r="170" spans="1:29" ht="29">
      <c r="A170" s="3" t="s">
        <v>278</v>
      </c>
      <c r="B170" s="3" t="s">
        <v>8913</v>
      </c>
      <c r="C170" s="3" t="s">
        <v>8912</v>
      </c>
      <c r="F170" t="s">
        <v>3884</v>
      </c>
      <c r="G170" s="9" t="s">
        <v>3889</v>
      </c>
      <c r="H170" s="9"/>
      <c r="I170" s="9">
        <v>1</v>
      </c>
      <c r="J170" s="9">
        <v>5</v>
      </c>
      <c r="K170" s="9" t="s">
        <v>8705</v>
      </c>
      <c r="L170" s="9" t="s">
        <v>8690</v>
      </c>
      <c r="M170" s="9"/>
      <c r="N170" s="10"/>
      <c r="O170" s="9"/>
      <c r="P170" s="9">
        <v>3678</v>
      </c>
      <c r="Q170" s="9"/>
      <c r="R170" s="9" t="s">
        <v>9321</v>
      </c>
      <c r="S170" s="9" t="s">
        <v>9321</v>
      </c>
      <c r="T170" s="9"/>
      <c r="U170" s="9"/>
      <c r="V170" s="9"/>
      <c r="W170" s="9"/>
      <c r="X170" s="9"/>
      <c r="Y170" s="9"/>
      <c r="Z170" s="9"/>
      <c r="AA170" s="9"/>
      <c r="AB170" s="9"/>
      <c r="AC170" s="9"/>
    </row>
    <row r="171" spans="1:29" ht="29">
      <c r="A171" s="3" t="s">
        <v>280</v>
      </c>
      <c r="B171" s="3" t="s">
        <v>2892</v>
      </c>
      <c r="C171" s="3" t="s">
        <v>2461</v>
      </c>
      <c r="F171" t="s">
        <v>3884</v>
      </c>
      <c r="G171" s="9" t="s">
        <v>8731</v>
      </c>
      <c r="H171" s="9"/>
      <c r="I171" s="9"/>
      <c r="J171" s="9"/>
      <c r="K171" s="9"/>
      <c r="L171" s="9"/>
      <c r="M171" s="9"/>
      <c r="N171" s="10"/>
      <c r="O171" s="9"/>
      <c r="P171" s="9"/>
      <c r="Q171" s="9"/>
      <c r="R171" s="9" t="s">
        <v>9321</v>
      </c>
      <c r="S171" s="9" t="s">
        <v>9321</v>
      </c>
      <c r="T171" s="9"/>
      <c r="U171" s="9"/>
      <c r="V171" s="9"/>
      <c r="W171" s="9"/>
      <c r="X171" s="9"/>
      <c r="Y171" s="9"/>
      <c r="Z171" s="9"/>
      <c r="AA171" s="9"/>
      <c r="AB171" s="9"/>
      <c r="AC171" s="9"/>
    </row>
    <row r="172" spans="1:29" ht="29">
      <c r="A172" s="3" t="s">
        <v>290</v>
      </c>
      <c r="B172" s="3" t="s">
        <v>4281</v>
      </c>
      <c r="C172" s="3" t="s">
        <v>8921</v>
      </c>
      <c r="F172" t="s">
        <v>3884</v>
      </c>
      <c r="G172" s="9" t="s">
        <v>3889</v>
      </c>
      <c r="H172" s="9"/>
      <c r="I172" s="9">
        <v>1</v>
      </c>
      <c r="J172" s="9">
        <v>1</v>
      </c>
      <c r="K172" s="9" t="s">
        <v>8689</v>
      </c>
      <c r="L172" s="9" t="s">
        <v>8730</v>
      </c>
      <c r="M172" s="9"/>
      <c r="N172" s="10"/>
      <c r="O172" s="9" t="s">
        <v>8685</v>
      </c>
      <c r="P172" s="9">
        <v>10929</v>
      </c>
      <c r="Q172" s="9"/>
      <c r="R172" s="9" t="s">
        <v>9321</v>
      </c>
      <c r="S172" s="9" t="s">
        <v>9321</v>
      </c>
      <c r="T172" s="9"/>
      <c r="U172" s="9"/>
      <c r="V172" s="9"/>
      <c r="W172" s="9"/>
      <c r="X172" s="9"/>
      <c r="Y172" s="9"/>
      <c r="Z172" s="9"/>
      <c r="AA172" s="9"/>
      <c r="AB172" s="9"/>
      <c r="AC172" s="9"/>
    </row>
    <row r="173" spans="1:29" ht="43.5">
      <c r="A173" s="3" t="s">
        <v>292</v>
      </c>
      <c r="B173" s="3" t="s">
        <v>4284</v>
      </c>
      <c r="C173" s="3" t="s">
        <v>4287</v>
      </c>
      <c r="G173" s="9" t="s">
        <v>3885</v>
      </c>
      <c r="H173" s="9"/>
      <c r="I173" s="9">
        <v>1</v>
      </c>
      <c r="J173" s="9">
        <v>3</v>
      </c>
      <c r="K173" s="9" t="s">
        <v>8689</v>
      </c>
      <c r="L173" s="9" t="s">
        <v>8690</v>
      </c>
      <c r="M173" s="9"/>
      <c r="N173" s="10"/>
      <c r="O173" s="9" t="s">
        <v>8685</v>
      </c>
      <c r="P173" s="9">
        <v>10929</v>
      </c>
      <c r="Q173" s="9"/>
      <c r="R173" s="9" t="s">
        <v>9321</v>
      </c>
      <c r="S173" s="9" t="s">
        <v>9321</v>
      </c>
      <c r="T173" s="9"/>
      <c r="U173" s="9"/>
      <c r="V173" s="9"/>
      <c r="W173" s="9"/>
      <c r="X173" s="9"/>
      <c r="Y173" s="9"/>
      <c r="Z173" s="9"/>
      <c r="AA173" s="9"/>
      <c r="AB173" s="9"/>
      <c r="AC173" s="9"/>
    </row>
    <row r="174" spans="1:29" ht="29">
      <c r="A174" s="3" t="s">
        <v>293</v>
      </c>
      <c r="B174" s="3" t="s">
        <v>2489</v>
      </c>
      <c r="C174" s="3" t="s">
        <v>2208</v>
      </c>
      <c r="G174" s="9" t="s">
        <v>8729</v>
      </c>
      <c r="H174" s="9"/>
      <c r="I174" s="9"/>
      <c r="J174" s="9"/>
      <c r="K174" s="9"/>
      <c r="L174" s="9"/>
      <c r="M174" s="9"/>
      <c r="N174" s="10"/>
      <c r="O174" s="9"/>
      <c r="P174" s="9"/>
      <c r="Q174" s="9">
        <v>219</v>
      </c>
      <c r="R174" s="9">
        <v>23</v>
      </c>
      <c r="S174" s="9">
        <v>242</v>
      </c>
      <c r="T174" s="9"/>
      <c r="U174" s="9"/>
      <c r="V174" s="9"/>
      <c r="W174" s="9"/>
      <c r="X174" s="9"/>
      <c r="Y174" s="9"/>
      <c r="Z174" s="9"/>
      <c r="AA174" s="9"/>
      <c r="AB174" s="9"/>
      <c r="AC174" s="9"/>
    </row>
    <row r="175" spans="1:29" ht="29">
      <c r="A175" s="3" t="s">
        <v>294</v>
      </c>
      <c r="B175" s="3" t="s">
        <v>4288</v>
      </c>
      <c r="C175" s="3" t="s">
        <v>4289</v>
      </c>
      <c r="F175" t="s">
        <v>3884</v>
      </c>
      <c r="G175" s="9" t="s">
        <v>3889</v>
      </c>
      <c r="H175" s="9"/>
      <c r="I175" s="9">
        <v>1</v>
      </c>
      <c r="J175" s="9">
        <v>3</v>
      </c>
      <c r="K175" s="9" t="s">
        <v>8703</v>
      </c>
      <c r="L175" s="9" t="s">
        <v>8690</v>
      </c>
      <c r="M175" s="9"/>
      <c r="N175" s="10"/>
      <c r="O175" s="9"/>
      <c r="P175" s="9">
        <v>655</v>
      </c>
      <c r="Q175" s="9"/>
      <c r="R175" s="9" t="s">
        <v>9321</v>
      </c>
      <c r="S175" s="9" t="s">
        <v>9321</v>
      </c>
      <c r="T175" s="9"/>
      <c r="U175" s="9"/>
      <c r="V175" s="9"/>
      <c r="W175" s="9"/>
      <c r="X175" s="9"/>
      <c r="Y175" s="9"/>
      <c r="Z175" s="9"/>
      <c r="AA175" s="9"/>
      <c r="AB175" s="9"/>
      <c r="AC175" s="9"/>
    </row>
    <row r="176" spans="1:29" ht="29">
      <c r="A176" s="3" t="s">
        <v>295</v>
      </c>
      <c r="B176" s="3" t="s">
        <v>9447</v>
      </c>
      <c r="C176" s="3" t="s">
        <v>6871</v>
      </c>
      <c r="G176" s="9" t="s">
        <v>8729</v>
      </c>
      <c r="H176" s="9"/>
      <c r="I176" s="9"/>
      <c r="J176" s="9"/>
      <c r="K176" s="9"/>
      <c r="L176" s="9"/>
      <c r="M176" s="9"/>
      <c r="N176" s="10"/>
      <c r="O176" s="9"/>
      <c r="P176" s="9"/>
      <c r="Q176" s="9">
        <v>-1070</v>
      </c>
      <c r="R176" s="9">
        <v>1942</v>
      </c>
      <c r="S176" s="9">
        <v>872</v>
      </c>
      <c r="T176" s="9"/>
      <c r="U176" s="9"/>
      <c r="V176" s="9"/>
      <c r="W176" s="9"/>
      <c r="X176" s="9"/>
      <c r="Y176" s="9"/>
      <c r="Z176" s="9"/>
      <c r="AA176" s="9"/>
      <c r="AB176" s="9"/>
      <c r="AC176" s="9"/>
    </row>
    <row r="177" spans="1:29" ht="29">
      <c r="A177" s="3" t="s">
        <v>297</v>
      </c>
      <c r="B177" s="3" t="s">
        <v>4296</v>
      </c>
      <c r="C177" s="3" t="s">
        <v>4297</v>
      </c>
      <c r="G177" s="9" t="s">
        <v>8729</v>
      </c>
      <c r="H177" s="9"/>
      <c r="I177" s="9"/>
      <c r="J177" s="9"/>
      <c r="K177" s="9"/>
      <c r="L177" s="9"/>
      <c r="M177" s="9"/>
      <c r="N177" s="10"/>
      <c r="O177" s="9"/>
      <c r="P177" s="9"/>
      <c r="Q177" s="9">
        <v>78</v>
      </c>
      <c r="R177" s="9">
        <v>50</v>
      </c>
      <c r="S177" s="9">
        <v>128</v>
      </c>
      <c r="T177" s="9"/>
      <c r="U177" s="9"/>
      <c r="V177" s="9"/>
      <c r="W177" s="9"/>
      <c r="X177" s="9"/>
      <c r="Y177" s="9"/>
      <c r="Z177" s="9"/>
      <c r="AA177" s="9"/>
      <c r="AB177" s="9"/>
      <c r="AC177" s="9"/>
    </row>
    <row r="178" spans="1:29" ht="29">
      <c r="A178" s="3" t="s">
        <v>297</v>
      </c>
      <c r="B178" s="3" t="s">
        <v>4295</v>
      </c>
      <c r="C178" s="3" t="s">
        <v>4298</v>
      </c>
      <c r="G178" s="9" t="s">
        <v>3885</v>
      </c>
      <c r="H178" s="9"/>
      <c r="I178" s="9">
        <v>1</v>
      </c>
      <c r="J178" s="9">
        <v>2</v>
      </c>
      <c r="K178" s="9" t="s">
        <v>8689</v>
      </c>
      <c r="L178" s="9" t="s">
        <v>8730</v>
      </c>
      <c r="M178" s="9"/>
      <c r="N178" s="10"/>
      <c r="O178" s="9"/>
      <c r="P178" s="9">
        <v>10929</v>
      </c>
      <c r="Q178" s="9"/>
      <c r="R178" s="9" t="s">
        <v>9321</v>
      </c>
      <c r="S178" s="9" t="s">
        <v>9321</v>
      </c>
      <c r="T178" s="9"/>
      <c r="U178" s="9"/>
      <c r="V178" s="9"/>
      <c r="W178" s="9"/>
      <c r="X178" s="9"/>
      <c r="Y178" s="9"/>
      <c r="Z178" s="9"/>
      <c r="AA178" s="9"/>
      <c r="AB178" s="9"/>
      <c r="AC178" s="9"/>
    </row>
    <row r="179" spans="1:29" ht="29">
      <c r="A179" s="3" t="s">
        <v>302</v>
      </c>
      <c r="B179" s="3" t="s">
        <v>4302</v>
      </c>
      <c r="C179" s="3" t="s">
        <v>4303</v>
      </c>
      <c r="G179" s="9" t="s">
        <v>3885</v>
      </c>
      <c r="H179" s="9"/>
      <c r="I179" s="9">
        <v>1</v>
      </c>
      <c r="J179" s="9">
        <v>1</v>
      </c>
      <c r="K179" s="9" t="s">
        <v>8689</v>
      </c>
      <c r="L179" s="9" t="s">
        <v>8730</v>
      </c>
      <c r="M179" s="9"/>
      <c r="N179" s="10"/>
      <c r="O179" s="9"/>
      <c r="P179" s="9">
        <v>10929</v>
      </c>
      <c r="Q179" s="9"/>
      <c r="R179" s="9" t="s">
        <v>9321</v>
      </c>
      <c r="S179" s="9" t="s">
        <v>9321</v>
      </c>
      <c r="T179" s="9" t="s">
        <v>8728</v>
      </c>
      <c r="U179" s="9"/>
      <c r="V179" s="9"/>
      <c r="W179" s="9"/>
      <c r="X179" s="9"/>
      <c r="Y179" s="9"/>
      <c r="Z179" s="9"/>
      <c r="AA179" s="9"/>
      <c r="AB179" s="9"/>
      <c r="AC179" s="9"/>
    </row>
    <row r="180" spans="1:29" ht="29">
      <c r="A180" s="3" t="s">
        <v>304</v>
      </c>
      <c r="B180" s="3" t="s">
        <v>4304</v>
      </c>
      <c r="C180" s="3" t="s">
        <v>4305</v>
      </c>
      <c r="F180" t="s">
        <v>3884</v>
      </c>
      <c r="G180" s="9" t="s">
        <v>8729</v>
      </c>
      <c r="H180" s="9"/>
      <c r="I180" s="9"/>
      <c r="J180" s="9"/>
      <c r="K180" s="9"/>
      <c r="L180" s="9"/>
      <c r="M180" s="9"/>
      <c r="N180" s="10"/>
      <c r="O180" s="9"/>
      <c r="P180" s="9"/>
      <c r="Q180" s="9">
        <v>-9</v>
      </c>
      <c r="R180" s="9">
        <v>251</v>
      </c>
      <c r="S180" s="9">
        <v>242</v>
      </c>
      <c r="T180" s="9"/>
      <c r="U180" s="9"/>
      <c r="V180" s="9"/>
      <c r="W180" s="9"/>
      <c r="X180" s="9"/>
      <c r="Y180" s="9"/>
      <c r="Z180" s="9"/>
      <c r="AA180" s="9"/>
      <c r="AB180" s="9"/>
      <c r="AC180" s="9"/>
    </row>
    <row r="181" spans="1:29" ht="29">
      <c r="A181" s="3" t="s">
        <v>304</v>
      </c>
      <c r="B181" s="3" t="s">
        <v>4306</v>
      </c>
      <c r="C181" s="3" t="s">
        <v>4307</v>
      </c>
      <c r="F181" t="s">
        <v>3884</v>
      </c>
      <c r="G181" s="9" t="s">
        <v>3885</v>
      </c>
      <c r="H181" s="9"/>
      <c r="I181" s="9">
        <v>2</v>
      </c>
      <c r="J181" s="9">
        <v>4</v>
      </c>
      <c r="K181" s="9"/>
      <c r="L181" s="9" t="s">
        <v>8690</v>
      </c>
      <c r="M181" s="9"/>
      <c r="N181" s="10"/>
      <c r="O181" s="9"/>
      <c r="P181" s="9">
        <v>1942</v>
      </c>
      <c r="Q181" s="9"/>
      <c r="R181" s="9" t="s">
        <v>9321</v>
      </c>
      <c r="S181" s="9" t="s">
        <v>9321</v>
      </c>
      <c r="T181" s="9"/>
      <c r="U181" s="9"/>
      <c r="V181" s="9"/>
      <c r="W181" s="9"/>
      <c r="X181" s="9"/>
      <c r="Y181" s="9"/>
      <c r="Z181" s="9"/>
      <c r="AA181" s="9"/>
      <c r="AB181" s="9"/>
      <c r="AC181" s="9"/>
    </row>
    <row r="182" spans="1:29" ht="29">
      <c r="A182" s="3" t="s">
        <v>306</v>
      </c>
      <c r="B182" s="3" t="s">
        <v>4312</v>
      </c>
      <c r="C182" s="3" t="s">
        <v>4313</v>
      </c>
      <c r="F182" t="s">
        <v>3884</v>
      </c>
      <c r="G182" s="9" t="s">
        <v>3889</v>
      </c>
      <c r="H182" s="9"/>
      <c r="I182" s="9">
        <v>1</v>
      </c>
      <c r="J182" s="9">
        <v>2</v>
      </c>
      <c r="K182" s="9" t="s">
        <v>8707</v>
      </c>
      <c r="L182" s="9" t="s">
        <v>8730</v>
      </c>
      <c r="M182" s="9"/>
      <c r="N182" s="10"/>
      <c r="O182" s="9"/>
      <c r="P182" s="9">
        <v>1942</v>
      </c>
      <c r="Q182" s="9"/>
      <c r="R182" s="9" t="s">
        <v>9321</v>
      </c>
      <c r="S182" s="9" t="s">
        <v>9321</v>
      </c>
      <c r="T182" s="9"/>
      <c r="U182" s="9"/>
      <c r="V182" s="9"/>
      <c r="W182" s="9"/>
      <c r="X182" s="9"/>
      <c r="Y182" s="9"/>
      <c r="Z182" s="9"/>
      <c r="AA182" s="9"/>
      <c r="AB182" s="9"/>
      <c r="AC182" s="9"/>
    </row>
    <row r="183" spans="1:29" ht="29">
      <c r="A183" s="3" t="s">
        <v>307</v>
      </c>
      <c r="B183" s="3" t="s">
        <v>4314</v>
      </c>
      <c r="C183" s="3" t="s">
        <v>4315</v>
      </c>
      <c r="G183" s="9" t="s">
        <v>3889</v>
      </c>
      <c r="H183" s="9"/>
      <c r="I183" s="9">
        <v>1</v>
      </c>
      <c r="J183" s="9">
        <v>1</v>
      </c>
      <c r="K183" s="9" t="s">
        <v>8689</v>
      </c>
      <c r="L183" s="9" t="s">
        <v>8730</v>
      </c>
      <c r="M183" s="9"/>
      <c r="N183" s="10"/>
      <c r="O183" s="9"/>
      <c r="P183" s="9">
        <v>10929</v>
      </c>
      <c r="Q183" s="9"/>
      <c r="R183" s="9" t="s">
        <v>9321</v>
      </c>
      <c r="S183" s="9" t="s">
        <v>9321</v>
      </c>
      <c r="T183" s="9"/>
      <c r="U183" s="9"/>
      <c r="V183" s="9"/>
      <c r="W183" s="9"/>
      <c r="X183" s="9"/>
      <c r="Y183" s="9"/>
      <c r="Z183" s="9"/>
      <c r="AA183" s="9"/>
      <c r="AB183" s="9"/>
      <c r="AC183" s="9"/>
    </row>
    <row r="184" spans="1:29" ht="29">
      <c r="A184" s="3" t="s">
        <v>311</v>
      </c>
      <c r="B184" s="3" t="s">
        <v>4321</v>
      </c>
      <c r="C184" s="3" t="s">
        <v>4322</v>
      </c>
      <c r="G184" s="9" t="s">
        <v>3885</v>
      </c>
      <c r="H184" s="9"/>
      <c r="I184" s="9">
        <v>1</v>
      </c>
      <c r="J184" s="9">
        <v>1</v>
      </c>
      <c r="K184" s="9" t="s">
        <v>8689</v>
      </c>
      <c r="L184" s="9" t="s">
        <v>8730</v>
      </c>
      <c r="M184" s="9"/>
      <c r="N184" s="10"/>
      <c r="O184" s="9"/>
      <c r="P184" s="9">
        <v>10929</v>
      </c>
      <c r="Q184" s="9"/>
      <c r="R184" s="9" t="s">
        <v>9321</v>
      </c>
      <c r="S184" s="9" t="s">
        <v>9321</v>
      </c>
      <c r="T184" s="9"/>
      <c r="U184" s="9"/>
      <c r="V184" s="9"/>
      <c r="W184" s="9"/>
      <c r="X184" s="9"/>
      <c r="Y184" s="9"/>
      <c r="Z184" s="9"/>
      <c r="AA184" s="9"/>
      <c r="AB184" s="9"/>
      <c r="AC184" s="9"/>
    </row>
    <row r="185" spans="1:29" ht="29">
      <c r="A185" s="3" t="s">
        <v>312</v>
      </c>
      <c r="B185" s="3" t="s">
        <v>4325</v>
      </c>
      <c r="C185" s="3" t="s">
        <v>4326</v>
      </c>
      <c r="G185" s="9" t="s">
        <v>8729</v>
      </c>
      <c r="H185" s="9"/>
      <c r="I185" s="9"/>
      <c r="J185" s="9"/>
      <c r="K185" s="9"/>
      <c r="L185" s="9"/>
      <c r="M185" s="9"/>
      <c r="N185" s="10"/>
      <c r="O185" s="9"/>
      <c r="P185" s="9"/>
      <c r="Q185" s="9">
        <v>9444</v>
      </c>
      <c r="R185" s="9">
        <v>1485</v>
      </c>
      <c r="S185" s="9">
        <v>10929</v>
      </c>
      <c r="T185" s="9"/>
      <c r="U185" s="9"/>
      <c r="V185" s="9"/>
      <c r="W185" s="9"/>
      <c r="X185" s="9"/>
      <c r="Y185" s="9"/>
      <c r="Z185" s="9"/>
      <c r="AA185" s="9"/>
      <c r="AB185" s="9"/>
      <c r="AC185" s="9"/>
    </row>
    <row r="186" spans="1:29" ht="29">
      <c r="A186" s="3" t="s">
        <v>313</v>
      </c>
      <c r="B186" s="3" t="s">
        <v>4327</v>
      </c>
      <c r="C186" s="3" t="s">
        <v>4328</v>
      </c>
      <c r="F186" t="s">
        <v>3884</v>
      </c>
      <c r="G186" s="9" t="s">
        <v>3889</v>
      </c>
      <c r="H186" s="9"/>
      <c r="I186" s="9">
        <v>1</v>
      </c>
      <c r="J186" s="9">
        <v>3</v>
      </c>
      <c r="K186" s="9" t="s">
        <v>8689</v>
      </c>
      <c r="L186" s="9" t="s">
        <v>8690</v>
      </c>
      <c r="M186" s="9"/>
      <c r="N186" s="10"/>
      <c r="O186" s="9"/>
      <c r="P186" s="9">
        <v>10929</v>
      </c>
      <c r="Q186" s="9"/>
      <c r="R186" s="9" t="s">
        <v>9321</v>
      </c>
      <c r="S186" s="9" t="s">
        <v>9321</v>
      </c>
      <c r="T186" s="9"/>
      <c r="U186" s="9"/>
      <c r="V186" s="9"/>
      <c r="W186" s="9"/>
      <c r="X186" s="9"/>
      <c r="Y186" s="9"/>
      <c r="Z186" s="9"/>
      <c r="AA186" s="9"/>
      <c r="AB186" s="9"/>
      <c r="AC186" s="9"/>
    </row>
    <row r="187" spans="1:29" ht="29">
      <c r="A187" s="3" t="s">
        <v>315</v>
      </c>
      <c r="B187" s="3" t="s">
        <v>9588</v>
      </c>
      <c r="C187" s="3" t="s">
        <v>9589</v>
      </c>
      <c r="G187" s="9" t="s">
        <v>3889</v>
      </c>
      <c r="H187" s="9"/>
      <c r="I187" s="9">
        <v>1</v>
      </c>
      <c r="J187" s="9">
        <v>1</v>
      </c>
      <c r="K187" s="9" t="s">
        <v>8689</v>
      </c>
      <c r="L187" s="9" t="s">
        <v>8730</v>
      </c>
      <c r="M187" s="9"/>
      <c r="N187" s="10"/>
      <c r="O187" s="9"/>
      <c r="P187" s="9">
        <v>10929</v>
      </c>
      <c r="Q187" s="9"/>
      <c r="R187" s="9" t="s">
        <v>9321</v>
      </c>
      <c r="S187" s="9" t="s">
        <v>9321</v>
      </c>
      <c r="T187" s="9"/>
      <c r="U187" s="9"/>
      <c r="V187" s="9"/>
      <c r="W187" s="9"/>
      <c r="X187" s="9"/>
      <c r="Y187" s="9"/>
      <c r="Z187" s="9"/>
      <c r="AA187" s="9"/>
      <c r="AB187" s="9"/>
      <c r="AC187" s="9"/>
    </row>
    <row r="188" spans="1:29" ht="29">
      <c r="A188" s="3" t="s">
        <v>319</v>
      </c>
      <c r="B188" s="3" t="s">
        <v>4340</v>
      </c>
      <c r="C188" s="3" t="s">
        <v>4341</v>
      </c>
      <c r="F188" t="s">
        <v>3884</v>
      </c>
      <c r="G188" s="9" t="s">
        <v>3889</v>
      </c>
      <c r="H188" s="9"/>
      <c r="I188" s="9">
        <v>1</v>
      </c>
      <c r="J188" s="9">
        <v>7</v>
      </c>
      <c r="K188" s="9" t="s">
        <v>8703</v>
      </c>
      <c r="L188" s="9" t="s">
        <v>8690</v>
      </c>
      <c r="M188" s="9"/>
      <c r="N188" s="10"/>
      <c r="O188" s="9"/>
      <c r="P188" s="9">
        <v>99</v>
      </c>
      <c r="Q188" s="9"/>
      <c r="R188" s="9" t="s">
        <v>9321</v>
      </c>
      <c r="S188" s="9" t="s">
        <v>9321</v>
      </c>
      <c r="T188" s="9"/>
      <c r="U188" s="9"/>
      <c r="V188" s="9"/>
      <c r="W188" s="9"/>
      <c r="X188" s="9"/>
      <c r="Y188" s="9"/>
      <c r="Z188" s="9"/>
      <c r="AA188" s="9"/>
      <c r="AB188" s="9"/>
      <c r="AC188" s="9"/>
    </row>
    <row r="189" spans="1:29" ht="29">
      <c r="A189" s="3" t="s">
        <v>322</v>
      </c>
      <c r="B189" s="3" t="s">
        <v>4345</v>
      </c>
      <c r="C189" s="3" t="s">
        <v>4346</v>
      </c>
      <c r="F189" t="s">
        <v>3884</v>
      </c>
      <c r="G189" s="9" t="s">
        <v>3889</v>
      </c>
      <c r="H189" s="9"/>
      <c r="I189" s="9">
        <v>1</v>
      </c>
      <c r="J189" s="9">
        <v>2</v>
      </c>
      <c r="K189" s="9" t="s">
        <v>8698</v>
      </c>
      <c r="L189" s="9" t="s">
        <v>8730</v>
      </c>
      <c r="M189" s="9"/>
      <c r="N189" s="10"/>
      <c r="O189" s="9"/>
      <c r="P189" s="9">
        <v>159</v>
      </c>
      <c r="Q189" s="9"/>
      <c r="R189" s="9" t="s">
        <v>9321</v>
      </c>
      <c r="S189" s="9" t="s">
        <v>9321</v>
      </c>
      <c r="T189" s="9"/>
      <c r="U189" s="9"/>
      <c r="V189" s="9"/>
      <c r="W189" s="9"/>
      <c r="X189" s="9"/>
      <c r="Y189" s="9"/>
      <c r="Z189" s="9"/>
      <c r="AA189" s="9"/>
      <c r="AB189" s="9"/>
      <c r="AC189" s="9"/>
    </row>
    <row r="190" spans="1:29" ht="29">
      <c r="A190" s="3" t="s">
        <v>327</v>
      </c>
      <c r="B190" s="3" t="s">
        <v>4355</v>
      </c>
      <c r="C190" s="3" t="s">
        <v>4352</v>
      </c>
      <c r="G190" s="9" t="s">
        <v>3889</v>
      </c>
      <c r="H190" s="9"/>
      <c r="I190" s="9">
        <v>1</v>
      </c>
      <c r="J190" s="9">
        <v>1</v>
      </c>
      <c r="K190" s="9" t="s">
        <v>8689</v>
      </c>
      <c r="L190" s="9" t="s">
        <v>8730</v>
      </c>
      <c r="M190" s="9"/>
      <c r="N190" s="10"/>
      <c r="O190" s="9"/>
      <c r="P190" s="9">
        <v>10929</v>
      </c>
      <c r="Q190" s="9"/>
      <c r="R190" s="9" t="s">
        <v>9321</v>
      </c>
      <c r="S190" s="9" t="s">
        <v>9321</v>
      </c>
      <c r="T190" s="9"/>
      <c r="U190" s="9"/>
      <c r="V190" s="9"/>
      <c r="W190" s="9"/>
      <c r="X190" s="9"/>
      <c r="Y190" s="9"/>
      <c r="Z190" s="9"/>
      <c r="AA190" s="9"/>
      <c r="AB190" s="9"/>
      <c r="AC190" s="9"/>
    </row>
    <row r="191" spans="1:29" ht="29">
      <c r="A191" s="3" t="s">
        <v>327</v>
      </c>
      <c r="B191" s="3" t="s">
        <v>3622</v>
      </c>
      <c r="C191" s="3" t="s">
        <v>2519</v>
      </c>
      <c r="F191" t="s">
        <v>3884</v>
      </c>
      <c r="G191" s="9" t="s">
        <v>8731</v>
      </c>
      <c r="H191" s="9"/>
      <c r="I191" s="9"/>
      <c r="J191" s="9"/>
      <c r="K191" s="9"/>
      <c r="L191" s="9"/>
      <c r="M191" s="9"/>
      <c r="N191" s="10"/>
      <c r="O191" s="9"/>
      <c r="P191" s="9"/>
      <c r="Q191" s="9"/>
      <c r="R191" s="9" t="s">
        <v>9321</v>
      </c>
      <c r="S191" s="9" t="s">
        <v>9321</v>
      </c>
      <c r="T191" s="9"/>
      <c r="U191" s="9"/>
      <c r="V191" s="9"/>
      <c r="W191" s="9"/>
      <c r="X191" s="9"/>
      <c r="Y191" s="9"/>
      <c r="Z191" s="9"/>
      <c r="AA191" s="9"/>
      <c r="AB191" s="9"/>
      <c r="AC191" s="9"/>
    </row>
    <row r="192" spans="1:29" ht="29">
      <c r="A192" s="3" t="s">
        <v>329</v>
      </c>
      <c r="B192" s="3" t="s">
        <v>9450</v>
      </c>
      <c r="C192" s="3" t="s">
        <v>8925</v>
      </c>
      <c r="F192" t="s">
        <v>3884</v>
      </c>
      <c r="G192" s="9" t="s">
        <v>3889</v>
      </c>
      <c r="H192" s="9"/>
      <c r="I192" s="9">
        <v>2</v>
      </c>
      <c r="J192" s="9">
        <v>8</v>
      </c>
      <c r="K192" s="9"/>
      <c r="L192" s="9" t="s">
        <v>8690</v>
      </c>
      <c r="M192" s="9"/>
      <c r="N192" s="10"/>
      <c r="O192" s="9"/>
      <c r="P192" s="9">
        <v>187</v>
      </c>
      <c r="Q192" s="9"/>
      <c r="R192" s="9" t="s">
        <v>9321</v>
      </c>
      <c r="S192" s="9" t="s">
        <v>9321</v>
      </c>
      <c r="T192" s="9"/>
      <c r="U192" s="9"/>
      <c r="V192" s="9"/>
      <c r="W192" s="9"/>
      <c r="X192" s="9"/>
      <c r="Y192" s="9"/>
      <c r="Z192" s="9"/>
      <c r="AA192" s="9"/>
      <c r="AB192" s="9"/>
      <c r="AC192" s="9"/>
    </row>
    <row r="193" spans="1:29" ht="29">
      <c r="A193" s="3" t="s">
        <v>334</v>
      </c>
      <c r="B193" s="3" t="s">
        <v>4362</v>
      </c>
      <c r="C193" s="3" t="s">
        <v>4363</v>
      </c>
      <c r="G193" s="9" t="s">
        <v>3889</v>
      </c>
      <c r="H193" s="9"/>
      <c r="I193" s="9">
        <v>1</v>
      </c>
      <c r="J193" s="9">
        <v>3</v>
      </c>
      <c r="K193" s="9" t="s">
        <v>8689</v>
      </c>
      <c r="L193" s="9" t="s">
        <v>8684</v>
      </c>
      <c r="M193" s="9" t="s">
        <v>8777</v>
      </c>
      <c r="N193" s="10" t="s">
        <v>8778</v>
      </c>
      <c r="O193" s="9" t="s">
        <v>8685</v>
      </c>
      <c r="P193" s="9">
        <v>10929</v>
      </c>
      <c r="Q193" s="9"/>
      <c r="R193" s="9" t="s">
        <v>9321</v>
      </c>
      <c r="S193" s="9" t="s">
        <v>9321</v>
      </c>
      <c r="T193" s="9"/>
      <c r="U193" s="9"/>
      <c r="V193" s="9"/>
      <c r="W193" s="9"/>
      <c r="X193" s="9"/>
      <c r="Y193" s="9"/>
      <c r="Z193" s="9"/>
      <c r="AA193" s="9"/>
      <c r="AB193" s="9"/>
      <c r="AC193" s="9"/>
    </row>
    <row r="194" spans="1:29" ht="29">
      <c r="A194" s="3" t="s">
        <v>338</v>
      </c>
      <c r="B194" s="3" t="s">
        <v>4372</v>
      </c>
      <c r="C194" s="3" t="s">
        <v>4376</v>
      </c>
      <c r="F194" t="s">
        <v>3884</v>
      </c>
      <c r="G194" s="9" t="s">
        <v>3885</v>
      </c>
      <c r="H194" s="9"/>
      <c r="I194" s="9">
        <v>2</v>
      </c>
      <c r="J194" s="9">
        <v>10</v>
      </c>
      <c r="K194" s="9"/>
      <c r="L194" s="9" t="s">
        <v>8690</v>
      </c>
      <c r="M194" s="9"/>
      <c r="N194" s="10"/>
      <c r="O194" s="9"/>
      <c r="P194" s="9">
        <v>206</v>
      </c>
      <c r="Q194" s="9"/>
      <c r="R194" s="9" t="s">
        <v>9321</v>
      </c>
      <c r="S194" s="9" t="s">
        <v>9321</v>
      </c>
      <c r="T194" s="9"/>
      <c r="U194" s="9"/>
      <c r="V194" s="9"/>
      <c r="W194" s="9"/>
      <c r="X194" s="9"/>
      <c r="Y194" s="9"/>
      <c r="Z194" s="9"/>
      <c r="AA194" s="9"/>
      <c r="AB194" s="9"/>
      <c r="AC194" s="9"/>
    </row>
    <row r="195" spans="1:29" ht="29">
      <c r="A195" s="3" t="s">
        <v>338</v>
      </c>
      <c r="B195" s="3" t="s">
        <v>2532</v>
      </c>
      <c r="C195" s="3" t="s">
        <v>2533</v>
      </c>
      <c r="G195" s="9" t="s">
        <v>8729</v>
      </c>
      <c r="H195" s="9"/>
      <c r="I195" s="9"/>
      <c r="J195" s="9"/>
      <c r="K195" s="9"/>
      <c r="L195" s="9"/>
      <c r="M195" s="9"/>
      <c r="N195" s="10"/>
      <c r="O195" s="9"/>
      <c r="P195" s="9"/>
      <c r="Q195" s="9">
        <v>-3</v>
      </c>
      <c r="R195" s="9">
        <v>7</v>
      </c>
      <c r="S195" s="9">
        <v>4</v>
      </c>
      <c r="T195" s="9"/>
      <c r="U195" s="9"/>
      <c r="V195" s="9"/>
      <c r="W195" s="9"/>
      <c r="X195" s="9"/>
      <c r="Y195" s="9"/>
      <c r="Z195" s="9"/>
      <c r="AA195" s="9"/>
      <c r="AB195" s="9"/>
      <c r="AC195" s="9"/>
    </row>
    <row r="196" spans="1:29" ht="29">
      <c r="A196" s="3" t="s">
        <v>340</v>
      </c>
      <c r="B196" s="3" t="s">
        <v>9592</v>
      </c>
      <c r="C196" s="3" t="s">
        <v>9593</v>
      </c>
      <c r="D196" t="s">
        <v>4197</v>
      </c>
      <c r="F196" t="s">
        <v>3884</v>
      </c>
      <c r="G196" s="9" t="s">
        <v>3885</v>
      </c>
      <c r="H196" s="9"/>
      <c r="I196" s="9">
        <v>1</v>
      </c>
      <c r="J196" s="9">
        <v>6</v>
      </c>
      <c r="K196" s="9" t="s">
        <v>8695</v>
      </c>
      <c r="L196" s="9" t="s">
        <v>8690</v>
      </c>
      <c r="M196" s="9"/>
      <c r="N196" s="10"/>
      <c r="O196" s="9" t="s">
        <v>8691</v>
      </c>
      <c r="P196" s="9">
        <v>17</v>
      </c>
      <c r="Q196" s="9"/>
      <c r="R196" s="9"/>
      <c r="S196" s="9"/>
      <c r="T196" s="9"/>
      <c r="U196" s="9"/>
      <c r="V196" s="9"/>
      <c r="W196" s="9"/>
      <c r="X196" s="9"/>
      <c r="Y196" s="9"/>
      <c r="Z196" s="9"/>
      <c r="AA196" s="9"/>
      <c r="AB196" s="9"/>
      <c r="AC196" s="9"/>
    </row>
    <row r="197" spans="1:29" ht="29">
      <c r="A197" s="3" t="s">
        <v>343</v>
      </c>
      <c r="B197" s="3" t="s">
        <v>4391</v>
      </c>
      <c r="C197" s="3" t="s">
        <v>4392</v>
      </c>
      <c r="F197" t="s">
        <v>3884</v>
      </c>
      <c r="G197" s="9" t="s">
        <v>3885</v>
      </c>
      <c r="H197" s="9"/>
      <c r="I197" s="9">
        <v>1</v>
      </c>
      <c r="J197" s="9">
        <v>2</v>
      </c>
      <c r="K197" s="9" t="s">
        <v>8705</v>
      </c>
      <c r="L197" s="9" t="s">
        <v>8730</v>
      </c>
      <c r="M197" s="9"/>
      <c r="N197" s="10"/>
      <c r="O197" s="9" t="s">
        <v>8691</v>
      </c>
      <c r="P197" s="9">
        <v>1485</v>
      </c>
      <c r="Q197" s="9"/>
      <c r="R197" s="9" t="s">
        <v>9321</v>
      </c>
      <c r="S197" s="9" t="s">
        <v>9321</v>
      </c>
      <c r="T197" s="9"/>
      <c r="U197" s="9"/>
      <c r="V197" s="9"/>
      <c r="W197" s="9"/>
      <c r="X197" s="9"/>
      <c r="Y197" s="9"/>
      <c r="Z197" s="9"/>
      <c r="AA197" s="9"/>
      <c r="AB197" s="9"/>
      <c r="AC197" s="9"/>
    </row>
    <row r="198" spans="1:29" ht="29">
      <c r="A198" s="3" t="s">
        <v>344</v>
      </c>
      <c r="B198" s="3" t="s">
        <v>4393</v>
      </c>
      <c r="C198" s="3" t="s">
        <v>4394</v>
      </c>
      <c r="G198" s="9" t="s">
        <v>8731</v>
      </c>
      <c r="H198" s="9"/>
      <c r="I198" s="9"/>
      <c r="J198" s="9"/>
      <c r="K198" s="9"/>
      <c r="L198" s="9"/>
      <c r="M198" s="9"/>
      <c r="N198" s="10"/>
      <c r="O198" s="9"/>
      <c r="P198" s="9"/>
      <c r="Q198" s="9"/>
      <c r="R198" s="9" t="s">
        <v>9321</v>
      </c>
      <c r="S198" s="9" t="s">
        <v>9321</v>
      </c>
      <c r="T198" s="9" t="s">
        <v>8728</v>
      </c>
      <c r="U198" s="9"/>
      <c r="V198" s="9"/>
      <c r="W198" s="9"/>
      <c r="X198" s="9"/>
      <c r="Y198" s="9"/>
      <c r="Z198" s="9"/>
      <c r="AA198" s="9"/>
      <c r="AB198" s="9"/>
      <c r="AC198" s="9"/>
    </row>
    <row r="199" spans="1:29" ht="29">
      <c r="A199" s="3" t="s">
        <v>344</v>
      </c>
      <c r="B199" s="3" t="s">
        <v>4395</v>
      </c>
      <c r="C199" s="3" t="s">
        <v>4396</v>
      </c>
      <c r="D199" t="s">
        <v>4397</v>
      </c>
      <c r="G199" s="9" t="s">
        <v>3885</v>
      </c>
      <c r="H199" s="9"/>
      <c r="I199" s="9">
        <v>1</v>
      </c>
      <c r="J199" s="9">
        <v>3</v>
      </c>
      <c r="K199" s="9" t="s">
        <v>8698</v>
      </c>
      <c r="L199" s="9" t="s">
        <v>8690</v>
      </c>
      <c r="M199" s="9"/>
      <c r="N199" s="10"/>
      <c r="O199" s="9"/>
      <c r="P199" s="9">
        <v>4</v>
      </c>
      <c r="Q199" s="9"/>
      <c r="R199" s="9" t="s">
        <v>9321</v>
      </c>
      <c r="S199" s="9" t="s">
        <v>9321</v>
      </c>
      <c r="T199" s="9" t="s">
        <v>8728</v>
      </c>
      <c r="U199" s="9"/>
      <c r="V199" s="9"/>
      <c r="W199" s="9"/>
      <c r="X199" s="9"/>
      <c r="Y199" s="9"/>
      <c r="Z199" s="9"/>
      <c r="AA199" s="9"/>
      <c r="AB199" s="9"/>
      <c r="AC199" s="9"/>
    </row>
    <row r="200" spans="1:29" ht="29">
      <c r="A200" s="3" t="s">
        <v>346</v>
      </c>
      <c r="B200" s="3" t="s">
        <v>4399</v>
      </c>
      <c r="C200" s="3" t="s">
        <v>4400</v>
      </c>
      <c r="G200" s="9" t="s">
        <v>8729</v>
      </c>
      <c r="H200" s="9"/>
      <c r="I200" s="9"/>
      <c r="J200" s="9"/>
      <c r="K200" s="9"/>
      <c r="L200" s="9"/>
      <c r="M200" s="9"/>
      <c r="N200" s="10"/>
      <c r="O200" s="9"/>
      <c r="P200" s="9"/>
      <c r="Q200" s="9">
        <v>-539</v>
      </c>
      <c r="R200" s="9">
        <v>698</v>
      </c>
      <c r="S200" s="9">
        <v>159</v>
      </c>
      <c r="T200" s="9"/>
      <c r="U200" s="9"/>
      <c r="V200" s="9"/>
      <c r="W200" s="9"/>
      <c r="X200" s="9"/>
      <c r="Y200" s="9"/>
      <c r="Z200" s="9"/>
      <c r="AA200" s="9"/>
      <c r="AB200" s="9"/>
      <c r="AC200" s="9"/>
    </row>
    <row r="201" spans="1:29" ht="29">
      <c r="A201" s="3" t="s">
        <v>348</v>
      </c>
      <c r="B201" s="3" t="s">
        <v>4401</v>
      </c>
      <c r="C201" s="3" t="s">
        <v>4402</v>
      </c>
      <c r="G201" s="9" t="s">
        <v>8729</v>
      </c>
      <c r="H201" s="9"/>
      <c r="I201" s="9"/>
      <c r="J201" s="9"/>
      <c r="K201" s="9"/>
      <c r="L201" s="9"/>
      <c r="M201" s="9"/>
      <c r="N201" s="10"/>
      <c r="O201" s="9"/>
      <c r="P201" s="9"/>
      <c r="Q201" s="9">
        <v>-1440</v>
      </c>
      <c r="R201" s="9">
        <v>1443</v>
      </c>
      <c r="S201" s="9">
        <v>3</v>
      </c>
      <c r="T201" s="9"/>
      <c r="U201" s="9"/>
      <c r="V201" s="9"/>
      <c r="W201" s="9"/>
      <c r="X201" s="9"/>
      <c r="Y201" s="9"/>
      <c r="Z201" s="9"/>
      <c r="AA201" s="9"/>
      <c r="AB201" s="9"/>
      <c r="AC201" s="9"/>
    </row>
    <row r="202" spans="1:29" ht="29">
      <c r="A202" s="3" t="s">
        <v>350</v>
      </c>
      <c r="B202" s="3" t="s">
        <v>4403</v>
      </c>
      <c r="C202" s="3" t="s">
        <v>8932</v>
      </c>
      <c r="G202" s="9" t="s">
        <v>3889</v>
      </c>
      <c r="H202" s="9"/>
      <c r="I202" s="9">
        <v>1</v>
      </c>
      <c r="J202" s="9">
        <v>6</v>
      </c>
      <c r="K202" s="9" t="s">
        <v>8703</v>
      </c>
      <c r="L202" s="9" t="s">
        <v>8684</v>
      </c>
      <c r="M202" s="9" t="s">
        <v>8777</v>
      </c>
      <c r="N202" s="10" t="s">
        <v>8778</v>
      </c>
      <c r="O202" s="9"/>
      <c r="P202" s="9">
        <v>50</v>
      </c>
      <c r="Q202" s="9"/>
      <c r="R202" s="9" t="s">
        <v>9321</v>
      </c>
      <c r="S202" s="9" t="s">
        <v>9321</v>
      </c>
      <c r="T202" s="9"/>
      <c r="U202" s="9"/>
      <c r="V202" s="9"/>
      <c r="W202" s="9"/>
      <c r="X202" s="9"/>
      <c r="Y202" s="9"/>
      <c r="Z202" s="9"/>
      <c r="AA202" s="9"/>
      <c r="AB202" s="9"/>
      <c r="AC202" s="9"/>
    </row>
    <row r="203" spans="1:29" ht="29">
      <c r="A203" s="3" t="s">
        <v>351</v>
      </c>
      <c r="B203" s="3" t="s">
        <v>2539</v>
      </c>
      <c r="C203" s="3" t="s">
        <v>2540</v>
      </c>
      <c r="G203" s="9" t="s">
        <v>8731</v>
      </c>
      <c r="H203" s="9"/>
      <c r="I203" s="9"/>
      <c r="J203" s="9"/>
      <c r="K203" s="9"/>
      <c r="L203" s="9"/>
      <c r="M203" s="9"/>
      <c r="N203" s="10"/>
      <c r="O203" s="9"/>
      <c r="P203" s="9"/>
      <c r="Q203" s="9"/>
      <c r="R203" s="9" t="s">
        <v>9321</v>
      </c>
      <c r="S203" s="9" t="s">
        <v>9321</v>
      </c>
      <c r="T203" s="9"/>
      <c r="U203" s="9"/>
      <c r="V203" s="9"/>
      <c r="W203" s="9"/>
      <c r="X203" s="9"/>
      <c r="Y203" s="9"/>
      <c r="Z203" s="9"/>
      <c r="AA203" s="9"/>
      <c r="AB203" s="9"/>
      <c r="AC203" s="9"/>
    </row>
    <row r="204" spans="1:29" ht="29">
      <c r="A204" s="3" t="s">
        <v>353</v>
      </c>
      <c r="B204" s="3" t="s">
        <v>4405</v>
      </c>
      <c r="C204" s="3" t="s">
        <v>4406</v>
      </c>
      <c r="F204" t="s">
        <v>3884</v>
      </c>
      <c r="G204" s="9" t="s">
        <v>3885</v>
      </c>
      <c r="H204" s="9"/>
      <c r="I204" s="9">
        <v>1</v>
      </c>
      <c r="J204" s="9">
        <v>4</v>
      </c>
      <c r="K204" s="9" t="s">
        <v>8710</v>
      </c>
      <c r="L204" s="9" t="s">
        <v>8690</v>
      </c>
      <c r="M204" s="9"/>
      <c r="N204" s="10"/>
      <c r="O204" s="9"/>
      <c r="P204" s="9">
        <v>266</v>
      </c>
      <c r="Q204" s="9"/>
      <c r="R204" s="9" t="s">
        <v>9321</v>
      </c>
      <c r="S204" s="9" t="s">
        <v>9321</v>
      </c>
      <c r="T204" s="9"/>
      <c r="U204" s="9"/>
      <c r="V204" s="9"/>
      <c r="W204" s="9"/>
      <c r="X204" s="9"/>
      <c r="Y204" s="9"/>
      <c r="Z204" s="9"/>
      <c r="AA204" s="9"/>
      <c r="AB204" s="9"/>
      <c r="AC204" s="9"/>
    </row>
    <row r="205" spans="1:29" ht="29">
      <c r="A205" s="3" t="s">
        <v>353</v>
      </c>
      <c r="B205" s="3" t="s">
        <v>4407</v>
      </c>
      <c r="C205" s="3" t="s">
        <v>4408</v>
      </c>
      <c r="G205" s="9" t="s">
        <v>8729</v>
      </c>
      <c r="H205" s="9"/>
      <c r="I205" s="9"/>
      <c r="J205" s="9"/>
      <c r="K205" s="9"/>
      <c r="L205" s="9"/>
      <c r="M205" s="9"/>
      <c r="N205" s="10"/>
      <c r="O205" s="9"/>
      <c r="P205" s="9"/>
      <c r="Q205" s="9">
        <v>-238</v>
      </c>
      <c r="R205" s="9">
        <v>329</v>
      </c>
      <c r="S205" s="9">
        <v>91</v>
      </c>
      <c r="T205" s="9" t="s">
        <v>8728</v>
      </c>
      <c r="U205" s="9"/>
      <c r="V205" s="9"/>
      <c r="W205" s="9"/>
      <c r="X205" s="9"/>
      <c r="Y205" s="9"/>
      <c r="Z205" s="9"/>
      <c r="AA205" s="9"/>
      <c r="AB205" s="9"/>
      <c r="AC205" s="9"/>
    </row>
    <row r="206" spans="1:29" ht="29">
      <c r="A206" s="3" t="s">
        <v>355</v>
      </c>
      <c r="B206" s="3" t="s">
        <v>4410</v>
      </c>
      <c r="C206" s="3" t="s">
        <v>4411</v>
      </c>
      <c r="F206" t="s">
        <v>3884</v>
      </c>
      <c r="G206" s="9" t="s">
        <v>3889</v>
      </c>
      <c r="H206" s="9"/>
      <c r="I206" s="9">
        <v>1</v>
      </c>
      <c r="J206" s="9">
        <v>6</v>
      </c>
      <c r="K206" s="9" t="s">
        <v>8703</v>
      </c>
      <c r="L206" s="9" t="s">
        <v>8690</v>
      </c>
      <c r="M206" s="9"/>
      <c r="N206" s="10"/>
      <c r="O206" s="9"/>
      <c r="P206" s="9">
        <v>7</v>
      </c>
      <c r="Q206" s="9"/>
      <c r="R206" s="9" t="s">
        <v>9321</v>
      </c>
      <c r="S206" s="9" t="s">
        <v>9321</v>
      </c>
      <c r="T206" s="9" t="s">
        <v>8728</v>
      </c>
      <c r="U206" s="9"/>
      <c r="V206" s="9"/>
      <c r="W206" s="9"/>
      <c r="X206" s="9"/>
      <c r="Y206" s="9"/>
      <c r="Z206" s="9"/>
      <c r="AA206" s="9"/>
      <c r="AB206" s="9"/>
      <c r="AC206" s="9"/>
    </row>
    <row r="207" spans="1:29" ht="43.5">
      <c r="A207" s="3" t="s">
        <v>361</v>
      </c>
      <c r="B207" s="3" t="s">
        <v>4433</v>
      </c>
      <c r="C207" s="3" t="s">
        <v>4434</v>
      </c>
      <c r="F207" t="s">
        <v>3892</v>
      </c>
      <c r="G207" s="9" t="s">
        <v>3889</v>
      </c>
      <c r="H207" s="9"/>
      <c r="I207" s="9">
        <v>1</v>
      </c>
      <c r="J207" s="9">
        <v>3</v>
      </c>
      <c r="K207" s="9" t="s">
        <v>8707</v>
      </c>
      <c r="L207" s="9" t="s">
        <v>8690</v>
      </c>
      <c r="M207" s="9"/>
      <c r="N207" s="10"/>
      <c r="O207" s="9"/>
      <c r="P207" s="9">
        <v>991</v>
      </c>
      <c r="Q207" s="9"/>
      <c r="R207" s="9" t="s">
        <v>9321</v>
      </c>
      <c r="S207" s="9" t="s">
        <v>9321</v>
      </c>
      <c r="T207" s="9"/>
      <c r="U207" s="9"/>
      <c r="V207" s="9"/>
      <c r="W207" s="9"/>
      <c r="X207" s="9"/>
      <c r="Y207" s="9"/>
      <c r="Z207" s="9"/>
      <c r="AA207" s="9"/>
      <c r="AB207" s="9"/>
      <c r="AC207" s="9"/>
    </row>
    <row r="208" spans="1:29" ht="29">
      <c r="A208" s="3" t="s">
        <v>363</v>
      </c>
      <c r="B208" s="3" t="s">
        <v>4440</v>
      </c>
      <c r="C208" s="3" t="s">
        <v>4441</v>
      </c>
      <c r="G208" s="9" t="s">
        <v>3889</v>
      </c>
      <c r="H208" s="9"/>
      <c r="I208" s="9">
        <v>1</v>
      </c>
      <c r="J208" s="9">
        <v>7</v>
      </c>
      <c r="K208" s="9" t="s">
        <v>8703</v>
      </c>
      <c r="L208" s="9" t="s">
        <v>8690</v>
      </c>
      <c r="M208" s="9"/>
      <c r="N208" s="10"/>
      <c r="O208" s="9"/>
      <c r="P208" s="9">
        <v>99</v>
      </c>
      <c r="Q208" s="9"/>
      <c r="R208" s="9" t="s">
        <v>9321</v>
      </c>
      <c r="S208" s="9" t="s">
        <v>9321</v>
      </c>
      <c r="T208" s="9" t="s">
        <v>8728</v>
      </c>
      <c r="U208" s="9"/>
      <c r="V208" s="9"/>
      <c r="W208" s="9"/>
      <c r="X208" s="9"/>
      <c r="Y208" s="9"/>
      <c r="Z208" s="9"/>
      <c r="AA208" s="9"/>
      <c r="AB208" s="9"/>
      <c r="AC208" s="9"/>
    </row>
    <row r="209" spans="1:29" ht="29">
      <c r="A209" s="3" t="s">
        <v>363</v>
      </c>
      <c r="B209" s="3" t="s">
        <v>9210</v>
      </c>
      <c r="C209" s="3" t="s">
        <v>9211</v>
      </c>
      <c r="F209" t="s">
        <v>3884</v>
      </c>
      <c r="G209" s="9" t="s">
        <v>8729</v>
      </c>
      <c r="H209" s="9"/>
      <c r="I209" s="9"/>
      <c r="J209" s="9"/>
      <c r="K209" s="9"/>
      <c r="L209" s="9"/>
      <c r="M209" s="9"/>
      <c r="N209" s="10"/>
      <c r="O209" s="9"/>
      <c r="P209" s="9"/>
      <c r="Q209" s="9">
        <v>9187</v>
      </c>
      <c r="R209" s="9">
        <v>231</v>
      </c>
      <c r="S209" s="9">
        <v>9418</v>
      </c>
      <c r="T209" s="9"/>
      <c r="U209" s="9"/>
      <c r="V209" s="9"/>
      <c r="W209" s="9"/>
      <c r="X209" s="9"/>
      <c r="Y209" s="9"/>
      <c r="Z209" s="9"/>
      <c r="AA209" s="9"/>
      <c r="AB209" s="9"/>
      <c r="AC209" s="9"/>
    </row>
    <row r="210" spans="1:29" ht="29">
      <c r="A210" s="3" t="s">
        <v>364</v>
      </c>
      <c r="B210" s="3" t="s">
        <v>4444</v>
      </c>
      <c r="C210" s="3" t="s">
        <v>4445</v>
      </c>
      <c r="F210" t="s">
        <v>3884</v>
      </c>
      <c r="G210" s="9" t="s">
        <v>3889</v>
      </c>
      <c r="H210" s="9"/>
      <c r="I210" s="9">
        <v>1</v>
      </c>
      <c r="J210" s="9">
        <v>3</v>
      </c>
      <c r="K210" s="9" t="s">
        <v>8689</v>
      </c>
      <c r="L210" s="9" t="s">
        <v>8690</v>
      </c>
      <c r="M210" s="9"/>
      <c r="N210" s="10"/>
      <c r="O210" s="9"/>
      <c r="P210" s="9">
        <v>10929</v>
      </c>
      <c r="Q210" s="9"/>
      <c r="R210" s="9" t="s">
        <v>9321</v>
      </c>
      <c r="S210" s="9" t="s">
        <v>9321</v>
      </c>
      <c r="T210" s="9"/>
      <c r="U210" s="9"/>
      <c r="V210" s="9"/>
      <c r="W210" s="9"/>
      <c r="X210" s="9"/>
      <c r="Y210" s="9"/>
      <c r="Z210" s="9"/>
      <c r="AA210" s="9"/>
      <c r="AB210" s="9"/>
      <c r="AC210" s="9"/>
    </row>
    <row r="211" spans="1:29" ht="29">
      <c r="A211" s="3" t="s">
        <v>365</v>
      </c>
      <c r="B211" s="3" t="s">
        <v>4449</v>
      </c>
      <c r="C211" s="3" t="s">
        <v>4450</v>
      </c>
      <c r="G211" s="9" t="s">
        <v>3889</v>
      </c>
      <c r="H211" s="9"/>
      <c r="I211" s="9">
        <v>1</v>
      </c>
      <c r="J211" s="9">
        <v>2</v>
      </c>
      <c r="K211" s="9" t="s">
        <v>8689</v>
      </c>
      <c r="L211" s="9" t="s">
        <v>8730</v>
      </c>
      <c r="M211" s="9"/>
      <c r="N211" s="10"/>
      <c r="O211" s="9"/>
      <c r="P211" s="9">
        <v>10929</v>
      </c>
      <c r="Q211" s="9"/>
      <c r="R211" s="9" t="s">
        <v>9321</v>
      </c>
      <c r="S211" s="9" t="s">
        <v>9321</v>
      </c>
      <c r="T211" s="9"/>
      <c r="U211" s="9"/>
      <c r="V211" s="9"/>
      <c r="W211" s="9"/>
      <c r="X211" s="9"/>
      <c r="Y211" s="9"/>
      <c r="Z211" s="9"/>
      <c r="AA211" s="9"/>
      <c r="AB211" s="9"/>
      <c r="AC211" s="9"/>
    </row>
    <row r="212" spans="1:29" ht="29">
      <c r="A212" s="3" t="s">
        <v>365</v>
      </c>
      <c r="B212" s="3" t="s">
        <v>8936</v>
      </c>
      <c r="C212" s="3" t="s">
        <v>8937</v>
      </c>
      <c r="F212" t="s">
        <v>3884</v>
      </c>
      <c r="G212" s="9" t="s">
        <v>3885</v>
      </c>
      <c r="H212" s="9"/>
      <c r="I212" s="9">
        <v>1</v>
      </c>
      <c r="J212" s="9">
        <v>3</v>
      </c>
      <c r="K212" s="9" t="s">
        <v>8698</v>
      </c>
      <c r="L212" s="9" t="s">
        <v>8690</v>
      </c>
      <c r="M212" s="9"/>
      <c r="N212" s="10"/>
      <c r="O212" s="9"/>
      <c r="P212" s="9">
        <v>9418</v>
      </c>
      <c r="Q212" s="9"/>
      <c r="R212" s="9" t="s">
        <v>9321</v>
      </c>
      <c r="S212" s="9" t="s">
        <v>9321</v>
      </c>
      <c r="T212" s="9"/>
      <c r="U212" s="9"/>
      <c r="V212" s="9"/>
      <c r="W212" s="9"/>
      <c r="X212" s="9"/>
      <c r="Y212" s="9"/>
      <c r="Z212" s="9"/>
      <c r="AA212" s="9"/>
      <c r="AB212" s="9"/>
      <c r="AC212" s="9"/>
    </row>
    <row r="213" spans="1:29" ht="29">
      <c r="A213" s="3" t="s">
        <v>368</v>
      </c>
      <c r="B213" s="3" t="s">
        <v>2630</v>
      </c>
      <c r="C213" s="3" t="s">
        <v>2554</v>
      </c>
      <c r="F213" t="s">
        <v>3884</v>
      </c>
      <c r="G213" s="9" t="s">
        <v>8731</v>
      </c>
      <c r="H213" s="9"/>
      <c r="I213" s="9"/>
      <c r="J213" s="9"/>
      <c r="K213" s="9"/>
      <c r="L213" s="9"/>
      <c r="M213" s="9"/>
      <c r="N213" s="10"/>
      <c r="O213" s="9"/>
      <c r="P213" s="9"/>
      <c r="Q213" s="9">
        <v>-27</v>
      </c>
      <c r="R213" s="9">
        <v>33</v>
      </c>
      <c r="S213" s="9">
        <v>6</v>
      </c>
      <c r="T213" s="9"/>
      <c r="U213" s="9"/>
      <c r="V213" s="9"/>
      <c r="W213" s="9"/>
      <c r="X213" s="9"/>
      <c r="Y213" s="9"/>
      <c r="Z213" s="9"/>
      <c r="AA213" s="9"/>
      <c r="AB213" s="9"/>
      <c r="AC213" s="9"/>
    </row>
    <row r="214" spans="1:29" ht="29">
      <c r="A214" s="3" t="s">
        <v>370</v>
      </c>
      <c r="B214" s="3" t="s">
        <v>9212</v>
      </c>
      <c r="C214" s="3" t="s">
        <v>4459</v>
      </c>
      <c r="F214" t="s">
        <v>3884</v>
      </c>
      <c r="G214" s="9" t="s">
        <v>3889</v>
      </c>
      <c r="H214" s="9"/>
      <c r="I214" s="9">
        <v>2</v>
      </c>
      <c r="J214" s="9">
        <v>11</v>
      </c>
      <c r="K214" s="9"/>
      <c r="L214" s="9" t="s">
        <v>8690</v>
      </c>
      <c r="M214" s="9"/>
      <c r="N214" s="10"/>
      <c r="O214" s="9"/>
      <c r="P214" s="9">
        <v>152</v>
      </c>
      <c r="Q214" s="9"/>
      <c r="R214" s="9" t="s">
        <v>9321</v>
      </c>
      <c r="S214" s="9" t="s">
        <v>9321</v>
      </c>
      <c r="T214" s="9"/>
      <c r="U214" s="9"/>
      <c r="V214" s="9"/>
      <c r="W214" s="9"/>
      <c r="X214" s="9"/>
      <c r="Y214" s="9"/>
      <c r="Z214" s="9"/>
      <c r="AA214" s="9"/>
      <c r="AB214" s="9"/>
      <c r="AC214" s="9"/>
    </row>
    <row r="215" spans="1:29" ht="29">
      <c r="A215" s="3" t="s">
        <v>370</v>
      </c>
      <c r="B215" s="3" t="s">
        <v>4460</v>
      </c>
      <c r="C215" s="3" t="s">
        <v>4461</v>
      </c>
      <c r="G215" s="9" t="s">
        <v>3885</v>
      </c>
      <c r="H215" s="9"/>
      <c r="I215" s="9">
        <v>1</v>
      </c>
      <c r="J215" s="9">
        <v>2</v>
      </c>
      <c r="K215" s="9" t="s">
        <v>8689</v>
      </c>
      <c r="L215" s="9" t="s">
        <v>8730</v>
      </c>
      <c r="M215" s="9"/>
      <c r="N215" s="10"/>
      <c r="O215" s="9"/>
      <c r="P215" s="9">
        <v>10929</v>
      </c>
      <c r="Q215" s="9"/>
      <c r="R215" s="9" t="s">
        <v>9321</v>
      </c>
      <c r="S215" s="9" t="s">
        <v>9321</v>
      </c>
      <c r="T215" s="9"/>
      <c r="U215" s="9"/>
      <c r="V215" s="9"/>
      <c r="W215" s="9"/>
      <c r="X215" s="9"/>
      <c r="Y215" s="9"/>
      <c r="Z215" s="9"/>
      <c r="AA215" s="9"/>
      <c r="AB215" s="9"/>
      <c r="AC215" s="9"/>
    </row>
    <row r="216" spans="1:29" ht="29">
      <c r="A216" s="3" t="s">
        <v>372</v>
      </c>
      <c r="B216" s="3" t="s">
        <v>8938</v>
      </c>
      <c r="C216" s="3" t="s">
        <v>8939</v>
      </c>
      <c r="F216" t="s">
        <v>3884</v>
      </c>
      <c r="G216" s="9" t="s">
        <v>3885</v>
      </c>
      <c r="H216" s="9"/>
      <c r="I216" s="9">
        <v>1</v>
      </c>
      <c r="J216" s="9">
        <v>1</v>
      </c>
      <c r="K216" s="9" t="s">
        <v>8705</v>
      </c>
      <c r="L216" s="9" t="s">
        <v>8730</v>
      </c>
      <c r="M216" s="9"/>
      <c r="N216" s="10"/>
      <c r="O216" s="9"/>
      <c r="P216" s="9">
        <v>615</v>
      </c>
      <c r="Q216" s="9"/>
      <c r="R216" s="9" t="s">
        <v>9321</v>
      </c>
      <c r="S216" s="9" t="s">
        <v>9321</v>
      </c>
      <c r="T216" s="9"/>
      <c r="U216" s="9"/>
      <c r="V216" s="9"/>
      <c r="W216" s="9"/>
      <c r="X216" s="9"/>
      <c r="Y216" s="9"/>
      <c r="Z216" s="9"/>
      <c r="AA216" s="9"/>
      <c r="AB216" s="9"/>
      <c r="AC216" s="9"/>
    </row>
    <row r="217" spans="1:29" ht="29">
      <c r="A217" s="3" t="s">
        <v>374</v>
      </c>
      <c r="B217" s="3" t="s">
        <v>9456</v>
      </c>
      <c r="C217" s="3" t="s">
        <v>9454</v>
      </c>
      <c r="G217" s="9" t="s">
        <v>3889</v>
      </c>
      <c r="H217" s="9"/>
      <c r="I217" s="9">
        <v>1</v>
      </c>
      <c r="J217" s="9">
        <v>2</v>
      </c>
      <c r="K217" s="9" t="s">
        <v>8698</v>
      </c>
      <c r="L217" s="9" t="s">
        <v>8730</v>
      </c>
      <c r="M217" s="9"/>
      <c r="N217" s="10"/>
      <c r="O217" s="9" t="s">
        <v>8685</v>
      </c>
      <c r="P217" s="9">
        <v>159</v>
      </c>
      <c r="Q217" s="9"/>
      <c r="R217" s="9" t="s">
        <v>9321</v>
      </c>
      <c r="S217" s="9" t="s">
        <v>9321</v>
      </c>
      <c r="T217" s="9"/>
      <c r="U217" s="9"/>
      <c r="V217" s="9"/>
      <c r="W217" s="9"/>
      <c r="X217" s="9"/>
      <c r="Y217" s="9"/>
      <c r="Z217" s="9"/>
      <c r="AA217" s="9"/>
      <c r="AB217" s="9"/>
      <c r="AC217" s="9"/>
    </row>
    <row r="218" spans="1:29" ht="29">
      <c r="A218" s="3" t="s">
        <v>375</v>
      </c>
      <c r="B218" s="3" t="s">
        <v>2411</v>
      </c>
      <c r="C218" s="3" t="s">
        <v>2410</v>
      </c>
      <c r="F218" t="s">
        <v>3884</v>
      </c>
      <c r="G218" s="9" t="s">
        <v>8731</v>
      </c>
      <c r="H218" s="9"/>
      <c r="I218" s="9"/>
      <c r="J218" s="9"/>
      <c r="K218" s="9"/>
      <c r="L218" s="9"/>
      <c r="M218" s="9"/>
      <c r="N218" s="10"/>
      <c r="O218" s="9"/>
      <c r="P218" s="9"/>
      <c r="Q218" s="9"/>
      <c r="R218" s="9" t="s">
        <v>9321</v>
      </c>
      <c r="S218" s="9" t="s">
        <v>9321</v>
      </c>
      <c r="T218" s="9"/>
      <c r="U218" s="9"/>
      <c r="V218" s="9"/>
      <c r="W218" s="9"/>
      <c r="X218" s="9"/>
      <c r="Y218" s="9"/>
      <c r="Z218" s="9"/>
      <c r="AA218" s="9"/>
      <c r="AB218" s="9"/>
      <c r="AC218" s="9"/>
    </row>
    <row r="219" spans="1:29" ht="29">
      <c r="A219" s="3" t="s">
        <v>378</v>
      </c>
      <c r="B219" s="3" t="s">
        <v>4469</v>
      </c>
      <c r="C219" s="3" t="s">
        <v>4472</v>
      </c>
      <c r="F219" t="s">
        <v>3884</v>
      </c>
      <c r="G219" s="9" t="s">
        <v>3885</v>
      </c>
      <c r="H219" s="9"/>
      <c r="I219" s="9">
        <v>1</v>
      </c>
      <c r="J219" s="9">
        <v>2</v>
      </c>
      <c r="K219" s="9" t="s">
        <v>8689</v>
      </c>
      <c r="L219" s="9" t="s">
        <v>8730</v>
      </c>
      <c r="M219" s="9"/>
      <c r="N219" s="10"/>
      <c r="O219" s="9"/>
      <c r="P219" s="9">
        <v>10929</v>
      </c>
      <c r="Q219" s="9"/>
      <c r="R219" s="9" t="s">
        <v>9321</v>
      </c>
      <c r="S219" s="9" t="s">
        <v>9321</v>
      </c>
      <c r="T219" s="9"/>
      <c r="U219" s="9"/>
      <c r="V219" s="9"/>
      <c r="W219" s="9"/>
      <c r="X219" s="9"/>
      <c r="Y219" s="9"/>
      <c r="Z219" s="9"/>
      <c r="AA219" s="9"/>
      <c r="AB219" s="9"/>
      <c r="AC219" s="9"/>
    </row>
    <row r="220" spans="1:29" ht="29">
      <c r="A220" s="3" t="s">
        <v>381</v>
      </c>
      <c r="B220" s="3" t="s">
        <v>4475</v>
      </c>
      <c r="C220" s="3" t="s">
        <v>2398</v>
      </c>
      <c r="F220" t="s">
        <v>3884</v>
      </c>
      <c r="G220" s="9" t="s">
        <v>8729</v>
      </c>
      <c r="H220" s="9"/>
      <c r="I220" s="9"/>
      <c r="J220" s="9"/>
      <c r="K220" s="9"/>
      <c r="L220" s="9"/>
      <c r="M220" s="9"/>
      <c r="N220" s="10"/>
      <c r="O220" s="9"/>
      <c r="P220" s="9"/>
      <c r="Q220" s="9">
        <v>5</v>
      </c>
      <c r="R220" s="9">
        <v>1</v>
      </c>
      <c r="S220" s="9">
        <v>6</v>
      </c>
      <c r="T220" s="9"/>
      <c r="U220" s="9"/>
      <c r="V220" s="9"/>
      <c r="W220" s="9"/>
      <c r="X220" s="9"/>
      <c r="Y220" s="9"/>
      <c r="Z220" s="9"/>
      <c r="AA220" s="9"/>
      <c r="AB220" s="9"/>
      <c r="AC220" s="9"/>
    </row>
    <row r="221" spans="1:29" ht="29">
      <c r="A221" s="3" t="s">
        <v>385</v>
      </c>
      <c r="B221" s="3" t="s">
        <v>4483</v>
      </c>
      <c r="C221" s="3" t="s">
        <v>4484</v>
      </c>
      <c r="G221" s="9" t="s">
        <v>3889</v>
      </c>
      <c r="H221" s="9"/>
      <c r="I221" s="9">
        <v>1</v>
      </c>
      <c r="J221" s="9">
        <v>2</v>
      </c>
      <c r="K221" s="9" t="s">
        <v>8689</v>
      </c>
      <c r="L221" s="9" t="s">
        <v>8730</v>
      </c>
      <c r="M221" s="9"/>
      <c r="N221" s="10"/>
      <c r="O221" s="9"/>
      <c r="P221" s="9">
        <v>10929</v>
      </c>
      <c r="Q221" s="9"/>
      <c r="R221" s="9" t="s">
        <v>9321</v>
      </c>
      <c r="S221" s="9" t="s">
        <v>9321</v>
      </c>
      <c r="T221" s="9"/>
      <c r="U221" s="9"/>
      <c r="V221" s="9"/>
      <c r="W221" s="9"/>
      <c r="X221" s="9"/>
      <c r="Y221" s="9"/>
      <c r="Z221" s="9"/>
      <c r="AA221" s="9"/>
      <c r="AB221" s="9"/>
      <c r="AC221" s="9"/>
    </row>
    <row r="222" spans="1:29" ht="29">
      <c r="A222" s="3" t="s">
        <v>386</v>
      </c>
      <c r="B222" s="3" t="s">
        <v>4486</v>
      </c>
      <c r="C222" s="3" t="s">
        <v>4487</v>
      </c>
      <c r="G222" s="9" t="s">
        <v>3885</v>
      </c>
      <c r="H222" s="9"/>
      <c r="I222" s="9">
        <v>1</v>
      </c>
      <c r="J222" s="9">
        <v>2</v>
      </c>
      <c r="K222" s="9" t="s">
        <v>8689</v>
      </c>
      <c r="L222" s="9" t="s">
        <v>8730</v>
      </c>
      <c r="M222" s="9"/>
      <c r="N222" s="10"/>
      <c r="O222" s="9"/>
      <c r="P222" s="9">
        <v>10929</v>
      </c>
      <c r="Q222" s="9"/>
      <c r="R222" s="9" t="s">
        <v>9321</v>
      </c>
      <c r="S222" s="9" t="s">
        <v>9321</v>
      </c>
      <c r="T222" s="9" t="s">
        <v>8728</v>
      </c>
      <c r="U222" s="9"/>
      <c r="V222" s="9"/>
      <c r="W222" s="9"/>
      <c r="X222" s="9"/>
      <c r="Y222" s="9"/>
      <c r="Z222" s="9"/>
      <c r="AA222" s="9"/>
      <c r="AB222" s="9"/>
      <c r="AC222" s="9"/>
    </row>
    <row r="223" spans="1:29" ht="29">
      <c r="A223" s="3" t="s">
        <v>386</v>
      </c>
      <c r="B223" s="3" t="s">
        <v>4490</v>
      </c>
      <c r="C223" s="3" t="s">
        <v>4491</v>
      </c>
      <c r="F223" t="s">
        <v>3884</v>
      </c>
      <c r="G223" s="9" t="s">
        <v>3885</v>
      </c>
      <c r="H223" s="9"/>
      <c r="I223" s="9">
        <v>1</v>
      </c>
      <c r="J223" s="9">
        <v>5</v>
      </c>
      <c r="K223" s="9" t="s">
        <v>8703</v>
      </c>
      <c r="L223" s="9" t="s">
        <v>8684</v>
      </c>
      <c r="M223" s="9" t="s">
        <v>8777</v>
      </c>
      <c r="N223" s="10" t="s">
        <v>8941</v>
      </c>
      <c r="O223" s="9" t="s">
        <v>8685</v>
      </c>
      <c r="P223" s="9">
        <v>9</v>
      </c>
      <c r="Q223" s="9"/>
      <c r="R223" s="9" t="s">
        <v>9321</v>
      </c>
      <c r="S223" s="9" t="s">
        <v>9321</v>
      </c>
      <c r="T223" s="9"/>
      <c r="U223" s="9"/>
      <c r="V223" s="9"/>
      <c r="W223" s="9"/>
      <c r="X223" s="9"/>
      <c r="Y223" s="9"/>
      <c r="Z223" s="9"/>
      <c r="AA223" s="9"/>
      <c r="AB223" s="9"/>
      <c r="AC223" s="9"/>
    </row>
    <row r="224" spans="1:29" ht="29">
      <c r="A224" s="3" t="s">
        <v>387</v>
      </c>
      <c r="B224" s="3" t="s">
        <v>4494</v>
      </c>
      <c r="C224" s="3" t="s">
        <v>4495</v>
      </c>
      <c r="G224" s="9" t="s">
        <v>3885</v>
      </c>
      <c r="H224" s="9"/>
      <c r="I224" s="9">
        <v>1</v>
      </c>
      <c r="J224" s="9">
        <v>1</v>
      </c>
      <c r="K224" s="9" t="s">
        <v>8689</v>
      </c>
      <c r="L224" s="9" t="s">
        <v>8730</v>
      </c>
      <c r="M224" s="9"/>
      <c r="N224" s="10"/>
      <c r="O224" s="9"/>
      <c r="P224" s="9">
        <v>10929</v>
      </c>
      <c r="Q224" s="9"/>
      <c r="R224" s="9" t="s">
        <v>9321</v>
      </c>
      <c r="S224" s="9" t="s">
        <v>9321</v>
      </c>
      <c r="T224" s="9"/>
      <c r="U224" s="9"/>
      <c r="V224" s="9"/>
      <c r="W224" s="9"/>
      <c r="X224" s="9"/>
      <c r="Y224" s="9"/>
      <c r="Z224" s="9"/>
      <c r="AA224" s="9"/>
      <c r="AB224" s="9"/>
      <c r="AC224" s="9"/>
    </row>
    <row r="225" spans="1:29" ht="29">
      <c r="A225" s="3" t="s">
        <v>387</v>
      </c>
      <c r="B225" s="3" t="s">
        <v>4498</v>
      </c>
      <c r="C225" s="3" t="s">
        <v>4499</v>
      </c>
      <c r="G225" s="9" t="s">
        <v>3885</v>
      </c>
      <c r="H225" s="9"/>
      <c r="I225" s="9">
        <v>1</v>
      </c>
      <c r="J225" s="9">
        <v>1</v>
      </c>
      <c r="K225" s="9" t="s">
        <v>8689</v>
      </c>
      <c r="L225" s="9" t="s">
        <v>8730</v>
      </c>
      <c r="M225" s="9"/>
      <c r="N225" s="10"/>
      <c r="O225" s="9"/>
      <c r="P225" s="9">
        <v>10929</v>
      </c>
      <c r="Q225" s="9"/>
      <c r="R225" s="9" t="s">
        <v>9321</v>
      </c>
      <c r="S225" s="9" t="s">
        <v>9321</v>
      </c>
      <c r="T225" s="9"/>
      <c r="U225" s="9"/>
      <c r="V225" s="9"/>
      <c r="W225" s="9"/>
      <c r="X225" s="9"/>
      <c r="Y225" s="9"/>
      <c r="Z225" s="9"/>
      <c r="AA225" s="9"/>
      <c r="AB225" s="9"/>
      <c r="AC225" s="9"/>
    </row>
    <row r="226" spans="1:29" ht="72.5">
      <c r="A226" s="3" t="s">
        <v>389</v>
      </c>
      <c r="B226" s="3" t="s">
        <v>4500</v>
      </c>
      <c r="C226" s="3" t="s">
        <v>4501</v>
      </c>
      <c r="F226" t="s">
        <v>3884</v>
      </c>
      <c r="G226" s="9" t="s">
        <v>3889</v>
      </c>
      <c r="H226" s="9"/>
      <c r="I226" s="9">
        <v>8</v>
      </c>
      <c r="J226" s="9">
        <v>41</v>
      </c>
      <c r="K226" s="9"/>
      <c r="L226" s="9" t="s">
        <v>8684</v>
      </c>
      <c r="M226" s="9" t="s">
        <v>8944</v>
      </c>
      <c r="N226" s="10" t="s">
        <v>8945</v>
      </c>
      <c r="O226" s="9"/>
      <c r="P226" s="9">
        <v>3</v>
      </c>
      <c r="Q226" s="9"/>
      <c r="R226" s="9" t="s">
        <v>9321</v>
      </c>
      <c r="S226" s="9" t="s">
        <v>9321</v>
      </c>
      <c r="T226" s="9"/>
      <c r="U226" s="9"/>
      <c r="V226" s="9"/>
      <c r="W226" s="9"/>
      <c r="X226" s="9"/>
      <c r="Y226" s="9"/>
      <c r="Z226" s="9"/>
      <c r="AA226" s="9"/>
      <c r="AB226" s="9"/>
      <c r="AC226" s="9"/>
    </row>
    <row r="227" spans="1:29" ht="29">
      <c r="A227" s="3" t="s">
        <v>390</v>
      </c>
      <c r="B227" s="3" t="s">
        <v>4502</v>
      </c>
      <c r="C227" s="3" t="s">
        <v>8948</v>
      </c>
      <c r="F227" t="s">
        <v>3884</v>
      </c>
      <c r="G227" s="9" t="s">
        <v>3889</v>
      </c>
      <c r="H227" s="9"/>
      <c r="I227" s="9">
        <v>1</v>
      </c>
      <c r="J227" s="9">
        <v>3</v>
      </c>
      <c r="K227" s="9" t="s">
        <v>8689</v>
      </c>
      <c r="L227" s="9" t="s">
        <v>8690</v>
      </c>
      <c r="M227" s="9"/>
      <c r="N227" s="10"/>
      <c r="O227" s="9"/>
      <c r="P227" s="9">
        <v>10929</v>
      </c>
      <c r="Q227" s="9"/>
      <c r="R227" s="9" t="s">
        <v>9321</v>
      </c>
      <c r="S227" s="9" t="s">
        <v>9321</v>
      </c>
      <c r="T227" s="9"/>
      <c r="U227" s="9"/>
      <c r="V227" s="9"/>
      <c r="W227" s="9"/>
      <c r="X227" s="9"/>
      <c r="Y227" s="9"/>
      <c r="Z227" s="9"/>
      <c r="AA227" s="9"/>
      <c r="AB227" s="9"/>
      <c r="AC227" s="9"/>
    </row>
    <row r="228" spans="1:29" ht="29">
      <c r="A228" s="3" t="s">
        <v>391</v>
      </c>
      <c r="B228" s="3" t="s">
        <v>4506</v>
      </c>
      <c r="C228" s="3" t="s">
        <v>4507</v>
      </c>
      <c r="F228" t="s">
        <v>3892</v>
      </c>
      <c r="G228" s="9" t="s">
        <v>8731</v>
      </c>
      <c r="H228" s="9"/>
      <c r="I228" s="9"/>
      <c r="J228" s="9"/>
      <c r="K228" s="9"/>
      <c r="L228" s="9"/>
      <c r="M228" s="9"/>
      <c r="N228" s="10"/>
      <c r="O228" s="9"/>
      <c r="P228" s="9"/>
      <c r="Q228" s="9"/>
      <c r="R228" s="9" t="s">
        <v>9321</v>
      </c>
      <c r="S228" s="9" t="s">
        <v>9321</v>
      </c>
      <c r="T228" s="9"/>
      <c r="U228" s="9"/>
      <c r="V228" s="9"/>
      <c r="W228" s="9"/>
      <c r="X228" s="9"/>
      <c r="Y228" s="9"/>
      <c r="Z228" s="9"/>
      <c r="AA228" s="9"/>
      <c r="AB228" s="9"/>
      <c r="AC228" s="9"/>
    </row>
    <row r="229" spans="1:29" ht="29">
      <c r="A229" s="3" t="s">
        <v>395</v>
      </c>
      <c r="B229" s="3" t="s">
        <v>4514</v>
      </c>
      <c r="C229" s="3" t="s">
        <v>4515</v>
      </c>
      <c r="G229" s="9" t="s">
        <v>3889</v>
      </c>
      <c r="H229" s="9"/>
      <c r="I229" s="9">
        <v>1</v>
      </c>
      <c r="J229" s="9">
        <v>3</v>
      </c>
      <c r="K229" s="9" t="s">
        <v>8698</v>
      </c>
      <c r="L229" s="9" t="s">
        <v>8690</v>
      </c>
      <c r="M229" s="9"/>
      <c r="N229" s="10"/>
      <c r="O229" s="9"/>
      <c r="P229" s="9">
        <v>9418</v>
      </c>
      <c r="Q229" s="9"/>
      <c r="R229" s="9" t="s">
        <v>9321</v>
      </c>
      <c r="S229" s="9" t="s">
        <v>9321</v>
      </c>
      <c r="T229" s="9"/>
      <c r="U229" s="9"/>
      <c r="V229" s="9"/>
      <c r="W229" s="9"/>
      <c r="X229" s="9"/>
      <c r="Y229" s="9"/>
      <c r="Z229" s="9"/>
      <c r="AA229" s="9"/>
      <c r="AB229" s="9"/>
      <c r="AC229" s="9"/>
    </row>
    <row r="230" spans="1:29" ht="29">
      <c r="A230" s="3" t="s">
        <v>396</v>
      </c>
      <c r="B230" s="3" t="s">
        <v>4518</v>
      </c>
      <c r="C230" s="3" t="s">
        <v>4519</v>
      </c>
      <c r="F230" t="s">
        <v>3884</v>
      </c>
      <c r="G230" s="9" t="s">
        <v>3885</v>
      </c>
      <c r="H230" s="9"/>
      <c r="I230" s="9">
        <v>1</v>
      </c>
      <c r="J230" s="9">
        <v>1</v>
      </c>
      <c r="K230" s="9" t="s">
        <v>8698</v>
      </c>
      <c r="L230" s="9" t="s">
        <v>8730</v>
      </c>
      <c r="M230" s="9"/>
      <c r="N230" s="10"/>
      <c r="O230" s="9"/>
      <c r="P230" s="9">
        <v>1</v>
      </c>
      <c r="Q230" s="9"/>
      <c r="R230" s="9" t="s">
        <v>9321</v>
      </c>
      <c r="S230" s="9" t="s">
        <v>9321</v>
      </c>
      <c r="T230" s="9"/>
      <c r="U230" s="9"/>
      <c r="V230" s="9"/>
      <c r="W230" s="9"/>
      <c r="X230" s="9"/>
      <c r="Y230" s="9"/>
      <c r="Z230" s="9"/>
      <c r="AA230" s="9"/>
      <c r="AB230" s="9"/>
      <c r="AC230" s="9"/>
    </row>
    <row r="231" spans="1:29" ht="29">
      <c r="A231" s="3" t="s">
        <v>401</v>
      </c>
      <c r="B231" s="3" t="s">
        <v>4531</v>
      </c>
      <c r="C231" s="3" t="s">
        <v>4532</v>
      </c>
      <c r="G231" s="9" t="s">
        <v>8729</v>
      </c>
      <c r="H231" s="9"/>
      <c r="I231" s="9"/>
      <c r="J231" s="9"/>
      <c r="K231" s="9"/>
      <c r="L231" s="9"/>
      <c r="M231" s="9"/>
      <c r="N231" s="10"/>
      <c r="O231" s="9"/>
      <c r="P231" s="9"/>
      <c r="Q231" s="9">
        <v>-890</v>
      </c>
      <c r="R231" s="9">
        <v>1225</v>
      </c>
      <c r="S231" s="9">
        <v>335</v>
      </c>
      <c r="T231" s="9"/>
      <c r="U231" s="9"/>
      <c r="V231" s="9"/>
      <c r="W231" s="9"/>
      <c r="X231" s="9"/>
      <c r="Y231" s="9"/>
      <c r="Z231" s="9"/>
      <c r="AA231" s="9"/>
      <c r="AB231" s="9"/>
      <c r="AC231" s="9"/>
    </row>
    <row r="232" spans="1:29" ht="43.5">
      <c r="A232" s="3" t="s">
        <v>401</v>
      </c>
      <c r="B232" s="3" t="s">
        <v>4533</v>
      </c>
      <c r="C232" s="3" t="s">
        <v>9595</v>
      </c>
      <c r="F232" t="s">
        <v>3892</v>
      </c>
      <c r="G232" s="9" t="s">
        <v>3885</v>
      </c>
      <c r="H232" s="9"/>
      <c r="I232" s="9">
        <v>1</v>
      </c>
      <c r="J232" s="9">
        <v>3</v>
      </c>
      <c r="K232" s="9" t="s">
        <v>8698</v>
      </c>
      <c r="L232" s="9" t="s">
        <v>8690</v>
      </c>
      <c r="M232" s="9"/>
      <c r="N232" s="10"/>
      <c r="O232" s="9"/>
      <c r="P232" s="9">
        <v>9418</v>
      </c>
      <c r="Q232" s="9"/>
      <c r="R232" s="9" t="s">
        <v>9321</v>
      </c>
      <c r="S232" s="9" t="s">
        <v>9321</v>
      </c>
      <c r="T232" s="9"/>
      <c r="U232" s="9"/>
      <c r="V232" s="9"/>
      <c r="W232" s="9"/>
      <c r="X232" s="9"/>
      <c r="Y232" s="9"/>
      <c r="Z232" s="9"/>
      <c r="AA232" s="9"/>
      <c r="AB232" s="9"/>
      <c r="AC232" s="9"/>
    </row>
    <row r="233" spans="1:29" ht="29">
      <c r="A233" s="3" t="s">
        <v>403</v>
      </c>
      <c r="B233" s="3" t="s">
        <v>2590</v>
      </c>
      <c r="C233" s="3" t="s">
        <v>2591</v>
      </c>
      <c r="G233" s="9" t="s">
        <v>8731</v>
      </c>
      <c r="H233" s="9"/>
      <c r="I233" s="9"/>
      <c r="J233" s="9"/>
      <c r="K233" s="9"/>
      <c r="L233" s="9"/>
      <c r="M233" s="9"/>
      <c r="N233" s="10"/>
      <c r="O233" s="9"/>
      <c r="P233" s="9"/>
      <c r="Q233" s="9"/>
      <c r="R233" s="9" t="s">
        <v>9321</v>
      </c>
      <c r="S233" s="9" t="s">
        <v>9321</v>
      </c>
      <c r="T233" s="9"/>
      <c r="U233" s="9"/>
      <c r="V233" s="9"/>
      <c r="W233" s="9"/>
      <c r="X233" s="9"/>
      <c r="Y233" s="9"/>
      <c r="Z233" s="9"/>
      <c r="AA233" s="9"/>
      <c r="AB233" s="9"/>
      <c r="AC233" s="9"/>
    </row>
    <row r="234" spans="1:29" ht="29">
      <c r="A234" s="3" t="s">
        <v>404</v>
      </c>
      <c r="B234" s="3" t="s">
        <v>4536</v>
      </c>
      <c r="C234" s="3" t="s">
        <v>4537</v>
      </c>
      <c r="G234" s="9" t="s">
        <v>3885</v>
      </c>
      <c r="H234" s="9"/>
      <c r="I234" s="9">
        <v>1</v>
      </c>
      <c r="J234" s="9">
        <v>3</v>
      </c>
      <c r="K234" s="9" t="s">
        <v>8689</v>
      </c>
      <c r="L234" s="9" t="s">
        <v>8690</v>
      </c>
      <c r="M234" s="9"/>
      <c r="N234" s="10"/>
      <c r="O234" s="9"/>
      <c r="P234" s="9">
        <v>10929</v>
      </c>
      <c r="Q234" s="9"/>
      <c r="R234" s="9" t="s">
        <v>9321</v>
      </c>
      <c r="S234" s="9" t="s">
        <v>9321</v>
      </c>
      <c r="T234" s="9"/>
      <c r="U234" s="9"/>
      <c r="V234" s="9"/>
      <c r="W234" s="9"/>
      <c r="X234" s="9"/>
      <c r="Y234" s="9"/>
      <c r="Z234" s="9"/>
      <c r="AA234" s="9"/>
      <c r="AB234" s="9"/>
      <c r="AC234" s="9"/>
    </row>
    <row r="235" spans="1:29" ht="29">
      <c r="A235" s="3" t="s">
        <v>405</v>
      </c>
      <c r="B235" s="3" t="s">
        <v>2593</v>
      </c>
      <c r="C235" s="3" t="s">
        <v>2594</v>
      </c>
      <c r="G235" s="9" t="s">
        <v>8731</v>
      </c>
      <c r="H235" s="9"/>
      <c r="I235" s="9"/>
      <c r="J235" s="9"/>
      <c r="K235" s="9"/>
      <c r="L235" s="9"/>
      <c r="M235" s="9"/>
      <c r="N235" s="10"/>
      <c r="O235" s="9"/>
      <c r="P235" s="9"/>
      <c r="Q235" s="9"/>
      <c r="R235" s="9" t="s">
        <v>9321</v>
      </c>
      <c r="S235" s="9" t="s">
        <v>9321</v>
      </c>
      <c r="T235" s="9"/>
      <c r="U235" s="9"/>
      <c r="V235" s="9"/>
      <c r="W235" s="9"/>
      <c r="X235" s="9"/>
      <c r="Y235" s="9"/>
      <c r="Z235" s="9"/>
      <c r="AA235" s="9"/>
      <c r="AB235" s="9"/>
      <c r="AC235" s="9"/>
    </row>
    <row r="236" spans="1:29" ht="29">
      <c r="A236" s="3" t="s">
        <v>407</v>
      </c>
      <c r="B236" s="4" t="s">
        <v>2597</v>
      </c>
      <c r="C236" s="3" t="s">
        <v>2598</v>
      </c>
      <c r="D236" t="s">
        <v>4196</v>
      </c>
      <c r="G236" s="9" t="s">
        <v>8731</v>
      </c>
      <c r="H236" s="9"/>
      <c r="I236" s="9"/>
      <c r="J236" s="9"/>
      <c r="K236" s="9"/>
      <c r="L236" s="9"/>
      <c r="M236" s="9"/>
      <c r="N236" s="10"/>
      <c r="O236" s="9"/>
      <c r="P236" s="9"/>
      <c r="Q236" s="9"/>
      <c r="R236" s="9" t="s">
        <v>9321</v>
      </c>
      <c r="S236" s="9" t="s">
        <v>9321</v>
      </c>
      <c r="T236" s="9"/>
      <c r="U236" s="9"/>
      <c r="V236" s="9"/>
      <c r="W236" s="9"/>
      <c r="X236" s="9"/>
      <c r="Y236" s="9"/>
      <c r="Z236" s="9"/>
      <c r="AA236" s="9"/>
      <c r="AB236" s="9"/>
      <c r="AC236" s="9"/>
    </row>
    <row r="237" spans="1:29" ht="29">
      <c r="A237" s="3" t="s">
        <v>409</v>
      </c>
      <c r="B237" s="3" t="s">
        <v>4544</v>
      </c>
      <c r="C237" s="3" t="s">
        <v>4545</v>
      </c>
      <c r="G237" s="9" t="s">
        <v>3889</v>
      </c>
      <c r="H237" s="9"/>
      <c r="I237" s="9">
        <v>1</v>
      </c>
      <c r="J237" s="9">
        <v>3</v>
      </c>
      <c r="K237" s="9" t="s">
        <v>8689</v>
      </c>
      <c r="L237" s="9" t="s">
        <v>8690</v>
      </c>
      <c r="M237" s="9"/>
      <c r="N237" s="10"/>
      <c r="O237" s="9"/>
      <c r="P237" s="9">
        <v>10929</v>
      </c>
      <c r="Q237" s="9"/>
      <c r="R237" s="9" t="s">
        <v>9321</v>
      </c>
      <c r="S237" s="9" t="s">
        <v>9321</v>
      </c>
      <c r="T237" s="9"/>
      <c r="U237" s="9"/>
      <c r="V237" s="9"/>
      <c r="W237" s="9"/>
      <c r="X237" s="9"/>
      <c r="Y237" s="9"/>
      <c r="Z237" s="9"/>
      <c r="AA237" s="9"/>
      <c r="AB237" s="9"/>
      <c r="AC237" s="9"/>
    </row>
    <row r="238" spans="1:29" ht="29">
      <c r="A238" s="3" t="s">
        <v>412</v>
      </c>
      <c r="B238" s="3" t="s">
        <v>4547</v>
      </c>
      <c r="C238" s="3" t="s">
        <v>4548</v>
      </c>
      <c r="G238" s="9" t="s">
        <v>8731</v>
      </c>
      <c r="H238" s="9"/>
      <c r="I238" s="9"/>
      <c r="J238" s="9"/>
      <c r="K238" s="9"/>
      <c r="L238" s="9"/>
      <c r="M238" s="9"/>
      <c r="N238" s="10"/>
      <c r="O238" s="9"/>
      <c r="P238" s="9"/>
      <c r="Q238" s="9"/>
      <c r="R238" s="9" t="s">
        <v>9321</v>
      </c>
      <c r="S238" s="9" t="s">
        <v>9321</v>
      </c>
      <c r="T238" s="9"/>
      <c r="U238" s="9"/>
      <c r="V238" s="9"/>
      <c r="W238" s="9"/>
      <c r="X238" s="9"/>
      <c r="Y238" s="9"/>
      <c r="Z238" s="9" t="s">
        <v>8741</v>
      </c>
      <c r="AA238" s="9" t="s">
        <v>3891</v>
      </c>
      <c r="AB238" s="9"/>
      <c r="AC238" s="9"/>
    </row>
    <row r="239" spans="1:29" ht="29">
      <c r="A239" s="3" t="s">
        <v>415</v>
      </c>
      <c r="B239" s="3" t="s">
        <v>2608</v>
      </c>
      <c r="C239" s="3" t="s">
        <v>4553</v>
      </c>
      <c r="F239" t="s">
        <v>3892</v>
      </c>
      <c r="G239" s="9" t="s">
        <v>8731</v>
      </c>
      <c r="H239" s="9"/>
      <c r="I239" s="9"/>
      <c r="J239" s="9"/>
      <c r="K239" s="9"/>
      <c r="L239" s="9"/>
      <c r="M239" s="9"/>
      <c r="N239" s="10"/>
      <c r="O239" s="9"/>
      <c r="P239" s="9"/>
      <c r="Q239" s="9"/>
      <c r="R239" s="9" t="s">
        <v>9321</v>
      </c>
      <c r="S239" s="9" t="s">
        <v>9321</v>
      </c>
      <c r="T239" s="9"/>
      <c r="U239" s="9"/>
      <c r="V239" s="9"/>
      <c r="W239" s="9"/>
      <c r="X239" s="9"/>
      <c r="Y239" s="9"/>
      <c r="Z239" s="9"/>
      <c r="AA239" s="9"/>
      <c r="AB239" s="9"/>
      <c r="AC239" s="9"/>
    </row>
    <row r="240" spans="1:29" ht="29">
      <c r="A240" s="3" t="s">
        <v>417</v>
      </c>
      <c r="B240" s="3" t="s">
        <v>4557</v>
      </c>
      <c r="C240" s="3" t="s">
        <v>4558</v>
      </c>
      <c r="G240" s="9" t="s">
        <v>3885</v>
      </c>
      <c r="H240" s="9"/>
      <c r="I240" s="9">
        <v>1</v>
      </c>
      <c r="J240" s="9">
        <v>2</v>
      </c>
      <c r="K240" s="9" t="s">
        <v>8689</v>
      </c>
      <c r="L240" s="9" t="s">
        <v>8730</v>
      </c>
      <c r="M240" s="9"/>
      <c r="N240" s="10"/>
      <c r="O240" s="9"/>
      <c r="P240" s="9">
        <v>10929</v>
      </c>
      <c r="Q240" s="9"/>
      <c r="R240" s="9" t="s">
        <v>9321</v>
      </c>
      <c r="S240" s="9" t="s">
        <v>9321</v>
      </c>
      <c r="T240" s="9"/>
      <c r="U240" s="9"/>
      <c r="V240" s="9"/>
      <c r="W240" s="9"/>
      <c r="X240" s="9"/>
      <c r="Y240" s="9"/>
      <c r="Z240" s="9"/>
      <c r="AA240" s="9"/>
      <c r="AB240" s="9"/>
      <c r="AC240" s="9"/>
    </row>
    <row r="241" spans="1:29" ht="29">
      <c r="A241" s="3" t="s">
        <v>422</v>
      </c>
      <c r="B241" s="3" t="s">
        <v>4567</v>
      </c>
      <c r="C241" s="3" t="s">
        <v>4568</v>
      </c>
      <c r="G241" s="9" t="s">
        <v>8731</v>
      </c>
      <c r="H241" s="9"/>
      <c r="I241" s="9"/>
      <c r="J241" s="9"/>
      <c r="K241" s="9"/>
      <c r="L241" s="9"/>
      <c r="M241" s="9"/>
      <c r="N241" s="10"/>
      <c r="O241" s="9"/>
      <c r="P241" s="9"/>
      <c r="Q241" s="9"/>
      <c r="R241" s="9" t="s">
        <v>9321</v>
      </c>
      <c r="S241" s="9" t="s">
        <v>9321</v>
      </c>
      <c r="T241" s="9"/>
      <c r="U241" s="9"/>
      <c r="V241" s="9"/>
      <c r="W241" s="9"/>
      <c r="X241" s="9"/>
      <c r="Y241" s="9"/>
      <c r="Z241" s="9"/>
      <c r="AA241" s="9"/>
      <c r="AB241" s="9"/>
      <c r="AC241" s="9"/>
    </row>
    <row r="242" spans="1:29" ht="29">
      <c r="A242" s="3" t="s">
        <v>424</v>
      </c>
      <c r="B242" s="3" t="s">
        <v>4569</v>
      </c>
      <c r="C242" s="3" t="s">
        <v>4570</v>
      </c>
      <c r="F242" t="s">
        <v>3884</v>
      </c>
      <c r="G242" s="9" t="s">
        <v>3885</v>
      </c>
      <c r="H242" s="9"/>
      <c r="I242" s="9">
        <v>1</v>
      </c>
      <c r="J242" s="9">
        <v>3</v>
      </c>
      <c r="K242" s="9" t="s">
        <v>8689</v>
      </c>
      <c r="L242" s="9" t="s">
        <v>8690</v>
      </c>
      <c r="M242" s="9"/>
      <c r="N242" s="10"/>
      <c r="O242" s="9"/>
      <c r="P242" s="9">
        <v>10929</v>
      </c>
      <c r="Q242" s="9"/>
      <c r="R242" s="9" t="s">
        <v>9321</v>
      </c>
      <c r="S242" s="9" t="s">
        <v>9321</v>
      </c>
      <c r="T242" s="9"/>
      <c r="U242" s="9"/>
      <c r="V242" s="9"/>
      <c r="W242" s="9"/>
      <c r="X242" s="9"/>
      <c r="Y242" s="9"/>
      <c r="Z242" s="9"/>
      <c r="AA242" s="9"/>
      <c r="AB242" s="9"/>
      <c r="AC242" s="9"/>
    </row>
    <row r="243" spans="1:29" ht="130.5">
      <c r="A243" s="3" t="s">
        <v>426</v>
      </c>
      <c r="B243" s="3" t="s">
        <v>4571</v>
      </c>
      <c r="C243" s="3" t="s">
        <v>4572</v>
      </c>
      <c r="F243" t="s">
        <v>3884</v>
      </c>
      <c r="G243" s="9" t="s">
        <v>3889</v>
      </c>
      <c r="H243" s="9"/>
      <c r="I243" s="9">
        <v>19</v>
      </c>
      <c r="J243" s="9">
        <v>93</v>
      </c>
      <c r="K243" s="9"/>
      <c r="L243" s="9" t="s">
        <v>8684</v>
      </c>
      <c r="M243" s="9" t="s">
        <v>8944</v>
      </c>
      <c r="N243" s="10" t="s">
        <v>8950</v>
      </c>
      <c r="O243" s="9"/>
      <c r="P243" s="9">
        <v>11</v>
      </c>
      <c r="Q243" s="9"/>
      <c r="R243" s="9" t="s">
        <v>9321</v>
      </c>
      <c r="S243" s="9" t="s">
        <v>9321</v>
      </c>
      <c r="T243" s="9"/>
      <c r="U243" s="9"/>
      <c r="V243" s="9"/>
      <c r="W243" s="9"/>
      <c r="X243" s="9"/>
      <c r="Y243" s="9"/>
      <c r="Z243" s="9"/>
      <c r="AA243" s="9"/>
      <c r="AB243" s="9"/>
      <c r="AC243" s="9"/>
    </row>
    <row r="244" spans="1:29" ht="29">
      <c r="A244" s="3" t="s">
        <v>427</v>
      </c>
      <c r="B244" s="3" t="s">
        <v>2635</v>
      </c>
      <c r="C244" s="3" t="s">
        <v>2159</v>
      </c>
      <c r="F244" t="s">
        <v>3892</v>
      </c>
      <c r="G244" s="9" t="s">
        <v>8731</v>
      </c>
      <c r="H244" s="9"/>
      <c r="I244" s="9"/>
      <c r="J244" s="9"/>
      <c r="K244" s="9"/>
      <c r="L244" s="9"/>
      <c r="M244" s="9"/>
      <c r="N244" s="10"/>
      <c r="O244" s="9"/>
      <c r="P244" s="9"/>
      <c r="Q244" s="9"/>
      <c r="R244" s="9" t="s">
        <v>9321</v>
      </c>
      <c r="S244" s="9" t="s">
        <v>9321</v>
      </c>
      <c r="T244" s="9"/>
      <c r="U244" s="9"/>
      <c r="V244" s="9"/>
      <c r="W244" s="9"/>
      <c r="X244" s="9"/>
      <c r="Y244" s="9"/>
      <c r="Z244" s="9"/>
      <c r="AA244" s="9"/>
      <c r="AB244" s="9"/>
      <c r="AC244" s="9"/>
    </row>
    <row r="245" spans="1:29" ht="29">
      <c r="A245" s="3" t="s">
        <v>428</v>
      </c>
      <c r="B245" s="3" t="s">
        <v>8953</v>
      </c>
      <c r="C245" s="3" t="s">
        <v>8952</v>
      </c>
      <c r="G245" s="9" t="s">
        <v>3885</v>
      </c>
      <c r="H245" s="9"/>
      <c r="I245" s="9">
        <v>1</v>
      </c>
      <c r="J245" s="9">
        <v>3</v>
      </c>
      <c r="K245" s="9" t="s">
        <v>8705</v>
      </c>
      <c r="L245" s="9" t="s">
        <v>8690</v>
      </c>
      <c r="M245" s="9"/>
      <c r="N245" s="10"/>
      <c r="O245" s="9"/>
      <c r="P245" s="9">
        <v>1485</v>
      </c>
      <c r="Q245" s="9"/>
      <c r="R245" s="9" t="s">
        <v>9321</v>
      </c>
      <c r="S245" s="9" t="s">
        <v>9321</v>
      </c>
      <c r="T245" s="9"/>
      <c r="U245" s="9"/>
      <c r="V245" s="9"/>
      <c r="W245" s="9"/>
      <c r="X245" s="9"/>
      <c r="Y245" s="9"/>
      <c r="Z245" s="9"/>
      <c r="AA245" s="9"/>
      <c r="AB245" s="9"/>
      <c r="AC245" s="9"/>
    </row>
    <row r="246" spans="1:29" ht="29">
      <c r="A246" s="3" t="s">
        <v>430</v>
      </c>
      <c r="B246" s="3" t="s">
        <v>4579</v>
      </c>
      <c r="C246" s="3" t="s">
        <v>4580</v>
      </c>
      <c r="F246" t="s">
        <v>3884</v>
      </c>
      <c r="G246" s="9" t="s">
        <v>3885</v>
      </c>
      <c r="H246" s="9"/>
      <c r="I246" s="9">
        <v>1</v>
      </c>
      <c r="J246" s="9">
        <v>2</v>
      </c>
      <c r="K246" s="9" t="s">
        <v>8698</v>
      </c>
      <c r="L246" s="9" t="s">
        <v>8730</v>
      </c>
      <c r="M246" s="9"/>
      <c r="N246" s="10"/>
      <c r="O246" s="9" t="s">
        <v>8685</v>
      </c>
      <c r="P246" s="9">
        <v>1</v>
      </c>
      <c r="Q246" s="9"/>
      <c r="R246" s="9" t="s">
        <v>9321</v>
      </c>
      <c r="S246" s="9" t="s">
        <v>9321</v>
      </c>
      <c r="T246" s="9"/>
      <c r="U246" s="9"/>
      <c r="V246" s="9"/>
      <c r="W246" s="9"/>
      <c r="X246" s="9"/>
      <c r="Y246" s="9"/>
      <c r="Z246" s="9"/>
      <c r="AA246" s="9"/>
      <c r="AB246" s="9"/>
      <c r="AC246" s="9"/>
    </row>
    <row r="247" spans="1:29" ht="29">
      <c r="A247" s="3" t="s">
        <v>431</v>
      </c>
      <c r="B247" s="3" t="s">
        <v>4581</v>
      </c>
      <c r="C247" s="3" t="s">
        <v>4582</v>
      </c>
      <c r="G247" s="9" t="s">
        <v>8732</v>
      </c>
      <c r="H247" s="9"/>
      <c r="I247" s="9"/>
      <c r="J247" s="9"/>
      <c r="K247" s="9"/>
      <c r="L247" s="9"/>
      <c r="M247" s="9"/>
      <c r="N247" s="10"/>
      <c r="O247" s="9"/>
      <c r="P247" s="9"/>
      <c r="Q247" s="9">
        <v>1103</v>
      </c>
      <c r="R247" s="9">
        <v>340</v>
      </c>
      <c r="S247" s="9">
        <v>1443</v>
      </c>
      <c r="T247" s="9"/>
      <c r="U247" s="9"/>
      <c r="V247" s="9"/>
      <c r="W247" s="9"/>
      <c r="X247" s="9"/>
      <c r="Y247" s="9"/>
      <c r="Z247" s="9"/>
      <c r="AA247" s="9"/>
      <c r="AB247" s="9"/>
      <c r="AC247" s="9"/>
    </row>
    <row r="248" spans="1:29" ht="29">
      <c r="A248" s="3" t="s">
        <v>432</v>
      </c>
      <c r="B248" s="3" t="s">
        <v>4583</v>
      </c>
      <c r="C248" s="3" t="s">
        <v>4584</v>
      </c>
      <c r="F248" t="s">
        <v>3884</v>
      </c>
      <c r="G248" s="9" t="s">
        <v>3889</v>
      </c>
      <c r="H248" s="9"/>
      <c r="I248" s="9">
        <v>1</v>
      </c>
      <c r="J248" s="9">
        <v>3</v>
      </c>
      <c r="K248" s="9" t="s">
        <v>8705</v>
      </c>
      <c r="L248" s="9" t="s">
        <v>8690</v>
      </c>
      <c r="M248" s="9"/>
      <c r="N248" s="10"/>
      <c r="O248" s="9"/>
      <c r="P248" s="9">
        <v>1443</v>
      </c>
      <c r="Q248" s="9"/>
      <c r="R248" s="9" t="s">
        <v>9321</v>
      </c>
      <c r="S248" s="9" t="s">
        <v>9321</v>
      </c>
      <c r="T248" s="9"/>
      <c r="U248" s="9"/>
      <c r="V248" s="9"/>
      <c r="W248" s="9"/>
      <c r="X248" s="9"/>
      <c r="Y248" s="9"/>
      <c r="Z248" s="9"/>
      <c r="AA248" s="9"/>
      <c r="AB248" s="9"/>
      <c r="AC248" s="9"/>
    </row>
    <row r="249" spans="1:29" ht="29">
      <c r="A249" s="3" t="s">
        <v>433</v>
      </c>
      <c r="B249" s="3" t="s">
        <v>4585</v>
      </c>
      <c r="C249" s="3" t="s">
        <v>4586</v>
      </c>
      <c r="G249" s="9" t="s">
        <v>3885</v>
      </c>
      <c r="H249" s="9"/>
      <c r="I249" s="9">
        <v>1</v>
      </c>
      <c r="J249" s="9">
        <v>4</v>
      </c>
      <c r="K249" s="9" t="s">
        <v>8689</v>
      </c>
      <c r="L249" s="9" t="s">
        <v>8690</v>
      </c>
      <c r="M249" s="9"/>
      <c r="N249" s="10"/>
      <c r="O249" s="9"/>
      <c r="P249" s="9">
        <v>10929</v>
      </c>
      <c r="Q249" s="9"/>
      <c r="R249" s="9" t="s">
        <v>9321</v>
      </c>
      <c r="S249" s="9" t="s">
        <v>9321</v>
      </c>
      <c r="T249" s="9"/>
      <c r="U249" s="9"/>
      <c r="V249" s="9"/>
      <c r="W249" s="9"/>
      <c r="X249" s="9"/>
      <c r="Y249" s="9"/>
      <c r="Z249" s="9"/>
      <c r="AA249" s="9"/>
      <c r="AB249" s="9"/>
      <c r="AC249" s="9"/>
    </row>
    <row r="250" spans="1:29" ht="29">
      <c r="A250" s="3" t="s">
        <v>433</v>
      </c>
      <c r="B250" s="3" t="s">
        <v>8954</v>
      </c>
      <c r="C250" s="3" t="s">
        <v>8955</v>
      </c>
      <c r="G250" s="9" t="s">
        <v>3885</v>
      </c>
      <c r="H250" s="9"/>
      <c r="I250" s="9">
        <v>1</v>
      </c>
      <c r="J250" s="9">
        <v>1</v>
      </c>
      <c r="K250" s="9" t="s">
        <v>8689</v>
      </c>
      <c r="L250" s="9" t="s">
        <v>8730</v>
      </c>
      <c r="M250" s="9"/>
      <c r="N250" s="10"/>
      <c r="O250" s="9"/>
      <c r="P250" s="9">
        <v>10929</v>
      </c>
      <c r="Q250" s="9"/>
      <c r="R250" s="9" t="s">
        <v>9321</v>
      </c>
      <c r="S250" s="9" t="s">
        <v>9321</v>
      </c>
      <c r="T250" s="9"/>
      <c r="U250" s="9"/>
      <c r="V250" s="9"/>
      <c r="W250" s="9"/>
      <c r="X250" s="9"/>
      <c r="Y250" s="9"/>
      <c r="Z250" s="9"/>
      <c r="AA250" s="9"/>
      <c r="AB250" s="9"/>
      <c r="AC250" s="9"/>
    </row>
    <row r="251" spans="1:29" ht="29">
      <c r="A251" s="3" t="s">
        <v>434</v>
      </c>
      <c r="B251" s="3" t="s">
        <v>4589</v>
      </c>
      <c r="C251" s="3" t="s">
        <v>4590</v>
      </c>
      <c r="G251" s="9" t="s">
        <v>8732</v>
      </c>
      <c r="H251" s="9"/>
      <c r="I251" s="9"/>
      <c r="J251" s="9"/>
      <c r="K251" s="9"/>
      <c r="L251" s="9"/>
      <c r="M251" s="9"/>
      <c r="N251" s="10"/>
      <c r="O251" s="9"/>
      <c r="P251" s="9"/>
      <c r="Q251" s="9">
        <v>-10284</v>
      </c>
      <c r="R251" s="9">
        <v>10929</v>
      </c>
      <c r="S251" s="9">
        <v>645</v>
      </c>
      <c r="T251" s="9"/>
      <c r="U251" s="9"/>
      <c r="V251" s="9"/>
      <c r="W251" s="9"/>
      <c r="X251" s="9"/>
      <c r="Y251" s="9"/>
      <c r="Z251" s="9"/>
      <c r="AA251" s="9"/>
      <c r="AB251" s="9"/>
      <c r="AC251" s="9"/>
    </row>
    <row r="252" spans="1:29" ht="29">
      <c r="A252" s="3" t="s">
        <v>434</v>
      </c>
      <c r="B252" s="3" t="s">
        <v>4591</v>
      </c>
      <c r="C252" s="3" t="s">
        <v>4592</v>
      </c>
      <c r="G252" s="9" t="s">
        <v>8731</v>
      </c>
      <c r="H252" s="9"/>
      <c r="I252" s="9"/>
      <c r="J252" s="9"/>
      <c r="K252" s="9"/>
      <c r="L252" s="9"/>
      <c r="M252" s="9"/>
      <c r="N252" s="10"/>
      <c r="O252" s="9"/>
      <c r="P252" s="9"/>
      <c r="Q252" s="9"/>
      <c r="R252" s="9" t="s">
        <v>9321</v>
      </c>
      <c r="S252" s="9" t="s">
        <v>9321</v>
      </c>
      <c r="T252" s="9"/>
      <c r="U252" s="9"/>
      <c r="V252" s="9"/>
      <c r="W252" s="9"/>
      <c r="X252" s="9"/>
      <c r="Y252" s="9"/>
      <c r="Z252" s="9"/>
      <c r="AA252" s="9"/>
      <c r="AB252" s="9"/>
      <c r="AC252" s="9"/>
    </row>
    <row r="253" spans="1:29" ht="29">
      <c r="A253" s="3" t="s">
        <v>434</v>
      </c>
      <c r="B253" s="3" t="s">
        <v>9596</v>
      </c>
      <c r="C253" s="3" t="s">
        <v>9597</v>
      </c>
      <c r="G253" s="9" t="s">
        <v>3889</v>
      </c>
      <c r="H253" s="9"/>
      <c r="I253" s="9">
        <v>1</v>
      </c>
      <c r="J253" s="9">
        <v>2</v>
      </c>
      <c r="K253" s="9" t="s">
        <v>8689</v>
      </c>
      <c r="L253" s="9" t="s">
        <v>8730</v>
      </c>
      <c r="M253" s="9"/>
      <c r="N253" s="10"/>
      <c r="O253" s="9"/>
      <c r="P253" s="9">
        <v>10929</v>
      </c>
      <c r="Q253" s="9"/>
      <c r="R253" s="9" t="s">
        <v>9321</v>
      </c>
      <c r="S253" s="9" t="s">
        <v>9321</v>
      </c>
      <c r="T253" s="9"/>
      <c r="U253" s="9"/>
      <c r="V253" s="9"/>
      <c r="W253" s="9"/>
      <c r="X253" s="9"/>
      <c r="Y253" s="9"/>
      <c r="Z253" s="9"/>
      <c r="AA253" s="9"/>
      <c r="AB253" s="9"/>
      <c r="AC253" s="9"/>
    </row>
    <row r="254" spans="1:29" ht="29">
      <c r="A254" s="3" t="s">
        <v>446</v>
      </c>
      <c r="B254" s="3" t="s">
        <v>4602</v>
      </c>
      <c r="C254" s="3" t="s">
        <v>4603</v>
      </c>
      <c r="F254" t="s">
        <v>3884</v>
      </c>
      <c r="G254" s="9" t="s">
        <v>3885</v>
      </c>
      <c r="H254" s="9"/>
      <c r="I254" s="9">
        <v>1</v>
      </c>
      <c r="J254" s="9">
        <v>2</v>
      </c>
      <c r="K254" s="9" t="s">
        <v>8698</v>
      </c>
      <c r="L254" s="9" t="s">
        <v>8730</v>
      </c>
      <c r="M254" s="9"/>
      <c r="N254" s="10"/>
      <c r="O254" s="9"/>
      <c r="P254" s="9">
        <v>55</v>
      </c>
      <c r="Q254" s="9"/>
      <c r="R254" s="9" t="s">
        <v>9321</v>
      </c>
      <c r="S254" s="9" t="s">
        <v>9321</v>
      </c>
      <c r="T254" s="9"/>
      <c r="U254" s="9"/>
      <c r="V254" s="9"/>
      <c r="W254" s="9"/>
      <c r="X254" s="9"/>
      <c r="Y254" s="9"/>
      <c r="Z254" s="9"/>
      <c r="AA254" s="9"/>
      <c r="AB254" s="9"/>
      <c r="AC254" s="9"/>
    </row>
    <row r="255" spans="1:29" ht="72.5">
      <c r="A255" s="3" t="s">
        <v>450</v>
      </c>
      <c r="B255" s="3" t="s">
        <v>8957</v>
      </c>
      <c r="C255" s="3" t="s">
        <v>8956</v>
      </c>
      <c r="F255" t="s">
        <v>3884</v>
      </c>
      <c r="G255" s="9" t="s">
        <v>3889</v>
      </c>
      <c r="H255" s="9"/>
      <c r="I255" s="9">
        <v>10</v>
      </c>
      <c r="J255" s="9">
        <v>50</v>
      </c>
      <c r="K255" s="9"/>
      <c r="L255" s="9" t="s">
        <v>8684</v>
      </c>
      <c r="M255" s="9" t="s">
        <v>8740</v>
      </c>
      <c r="N255" s="10" t="s">
        <v>8958</v>
      </c>
      <c r="O255" s="9"/>
      <c r="P255" s="9">
        <v>19</v>
      </c>
      <c r="Q255" s="9"/>
      <c r="R255" s="9" t="s">
        <v>9321</v>
      </c>
      <c r="S255" s="9" t="s">
        <v>9321</v>
      </c>
      <c r="T255" s="9"/>
      <c r="U255" s="9"/>
      <c r="V255" s="9"/>
      <c r="W255" s="9"/>
      <c r="X255" s="9"/>
      <c r="Y255" s="9"/>
      <c r="Z255" s="9"/>
      <c r="AA255" s="9"/>
      <c r="AB255" s="9"/>
      <c r="AC255" s="9"/>
    </row>
    <row r="256" spans="1:29" ht="29">
      <c r="A256" s="3" t="s">
        <v>451</v>
      </c>
      <c r="B256" s="3" t="s">
        <v>8961</v>
      </c>
      <c r="C256" s="4" t="s">
        <v>8960</v>
      </c>
      <c r="D256" t="s">
        <v>4197</v>
      </c>
      <c r="G256" s="9" t="s">
        <v>8729</v>
      </c>
      <c r="H256" s="9"/>
      <c r="I256" s="9"/>
      <c r="J256" s="9"/>
      <c r="K256" s="9"/>
      <c r="L256" s="9"/>
      <c r="M256" s="9"/>
      <c r="N256" s="10"/>
      <c r="O256" s="9"/>
      <c r="P256" s="9"/>
      <c r="Q256" s="9">
        <v>-1759</v>
      </c>
      <c r="R256" s="9">
        <v>1942</v>
      </c>
      <c r="S256" s="9">
        <v>183</v>
      </c>
      <c r="T256" s="9"/>
      <c r="U256" s="9"/>
      <c r="V256" s="9"/>
      <c r="W256" s="9"/>
      <c r="X256" s="9"/>
      <c r="Y256" s="9"/>
      <c r="Z256" s="9"/>
      <c r="AA256" s="9"/>
      <c r="AB256" s="9"/>
      <c r="AC256" s="9"/>
    </row>
    <row r="257" spans="1:29" ht="29">
      <c r="A257" s="3" t="s">
        <v>451</v>
      </c>
      <c r="B257" s="3" t="s">
        <v>8962</v>
      </c>
      <c r="C257" s="3" t="s">
        <v>8963</v>
      </c>
      <c r="G257" s="9" t="s">
        <v>8731</v>
      </c>
      <c r="H257" s="9"/>
      <c r="I257" s="9"/>
      <c r="J257" s="9"/>
      <c r="K257" s="9"/>
      <c r="L257" s="9"/>
      <c r="M257" s="9"/>
      <c r="N257" s="10"/>
      <c r="O257" s="9"/>
      <c r="P257" s="9"/>
      <c r="Q257" s="9"/>
      <c r="R257" s="9" t="s">
        <v>9321</v>
      </c>
      <c r="S257" s="9" t="s">
        <v>9321</v>
      </c>
      <c r="T257" s="9"/>
      <c r="U257" s="9"/>
      <c r="V257" s="9"/>
      <c r="W257" s="9"/>
      <c r="X257" s="9"/>
      <c r="Y257" s="9"/>
      <c r="Z257" s="9"/>
      <c r="AA257" s="9"/>
      <c r="AB257" s="9"/>
      <c r="AC257" s="9"/>
    </row>
    <row r="258" spans="1:29" ht="29">
      <c r="A258" s="3" t="s">
        <v>452</v>
      </c>
      <c r="B258" s="3" t="s">
        <v>4614</v>
      </c>
      <c r="C258" s="3" t="s">
        <v>4615</v>
      </c>
      <c r="G258" s="9" t="s">
        <v>8731</v>
      </c>
      <c r="H258" s="9"/>
      <c r="I258" s="9"/>
      <c r="J258" s="9"/>
      <c r="K258" s="9"/>
      <c r="L258" s="9"/>
      <c r="M258" s="9"/>
      <c r="N258" s="10"/>
      <c r="O258" s="9"/>
      <c r="P258" s="9"/>
      <c r="Q258" s="9"/>
      <c r="R258" s="9" t="s">
        <v>9321</v>
      </c>
      <c r="S258" s="9" t="s">
        <v>9321</v>
      </c>
      <c r="T258" s="9"/>
      <c r="U258" s="9"/>
      <c r="V258" s="9"/>
      <c r="W258" s="9"/>
      <c r="X258" s="9"/>
      <c r="Y258" s="9"/>
      <c r="Z258" s="9"/>
      <c r="AA258" s="9"/>
      <c r="AB258" s="9"/>
      <c r="AC258" s="9"/>
    </row>
    <row r="259" spans="1:29" ht="29">
      <c r="A259" s="3" t="s">
        <v>452</v>
      </c>
      <c r="B259" s="3" t="s">
        <v>4616</v>
      </c>
      <c r="C259" s="3" t="s">
        <v>4617</v>
      </c>
      <c r="F259" t="s">
        <v>3884</v>
      </c>
      <c r="G259" s="9" t="s">
        <v>3889</v>
      </c>
      <c r="H259" s="9"/>
      <c r="I259" s="9">
        <v>1</v>
      </c>
      <c r="J259" s="9">
        <v>5</v>
      </c>
      <c r="K259" s="9" t="s">
        <v>8736</v>
      </c>
      <c r="L259" s="9" t="s">
        <v>8690</v>
      </c>
      <c r="M259" s="9"/>
      <c r="N259" s="10"/>
      <c r="O259" s="9"/>
      <c r="P259" s="9">
        <v>645</v>
      </c>
      <c r="Q259" s="9"/>
      <c r="R259" s="9" t="s">
        <v>9321</v>
      </c>
      <c r="S259" s="9" t="s">
        <v>9321</v>
      </c>
      <c r="T259" s="9"/>
      <c r="U259" s="9"/>
      <c r="V259" s="9"/>
      <c r="W259" s="9"/>
      <c r="X259" s="9"/>
      <c r="Y259" s="9"/>
      <c r="Z259" s="9"/>
      <c r="AA259" s="9"/>
      <c r="AB259" s="9"/>
      <c r="AC259" s="9"/>
    </row>
    <row r="260" spans="1:29" ht="29">
      <c r="A260" s="3" t="s">
        <v>452</v>
      </c>
      <c r="B260" s="3" t="s">
        <v>4618</v>
      </c>
      <c r="C260" s="3" t="s">
        <v>4619</v>
      </c>
      <c r="F260" t="s">
        <v>3884</v>
      </c>
      <c r="G260" s="9" t="s">
        <v>3885</v>
      </c>
      <c r="H260" s="9"/>
      <c r="I260" s="9">
        <v>1</v>
      </c>
      <c r="J260" s="9">
        <v>3</v>
      </c>
      <c r="K260" s="9" t="s">
        <v>8705</v>
      </c>
      <c r="L260" s="9" t="s">
        <v>8690</v>
      </c>
      <c r="M260" s="9"/>
      <c r="N260" s="10"/>
      <c r="O260" s="9"/>
      <c r="P260" s="9">
        <v>1485</v>
      </c>
      <c r="Q260" s="9"/>
      <c r="R260" s="9" t="s">
        <v>9321</v>
      </c>
      <c r="S260" s="9" t="s">
        <v>9321</v>
      </c>
      <c r="T260" s="9"/>
      <c r="U260" s="9"/>
      <c r="V260" s="9"/>
      <c r="W260" s="9"/>
      <c r="X260" s="9"/>
      <c r="Y260" s="9"/>
      <c r="Z260" s="9"/>
      <c r="AA260" s="9"/>
      <c r="AB260" s="9"/>
      <c r="AC260" s="9"/>
    </row>
    <row r="261" spans="1:29" ht="29">
      <c r="A261" s="3" t="s">
        <v>452</v>
      </c>
      <c r="B261" s="3" t="s">
        <v>4621</v>
      </c>
      <c r="C261" s="3" t="s">
        <v>4622</v>
      </c>
      <c r="F261" t="s">
        <v>3884</v>
      </c>
      <c r="G261" s="9" t="s">
        <v>8729</v>
      </c>
      <c r="H261" s="9"/>
      <c r="I261" s="9"/>
      <c r="J261" s="9"/>
      <c r="K261" s="9"/>
      <c r="L261" s="9"/>
      <c r="M261" s="9"/>
      <c r="N261" s="10"/>
      <c r="O261" s="9"/>
      <c r="P261" s="9"/>
      <c r="Q261" s="9">
        <v>8987</v>
      </c>
      <c r="R261" s="9">
        <v>1942</v>
      </c>
      <c r="S261" s="9">
        <v>10929</v>
      </c>
      <c r="T261" s="9"/>
      <c r="U261" s="9"/>
      <c r="V261" s="9"/>
      <c r="W261" s="9"/>
      <c r="X261" s="9"/>
      <c r="Y261" s="9"/>
      <c r="Z261" s="9"/>
      <c r="AA261" s="9"/>
      <c r="AB261" s="9"/>
      <c r="AC261" s="9"/>
    </row>
    <row r="262" spans="1:29" ht="29">
      <c r="A262" s="3" t="s">
        <v>452</v>
      </c>
      <c r="B262" s="3" t="s">
        <v>8964</v>
      </c>
      <c r="C262" s="3" t="s">
        <v>8965</v>
      </c>
      <c r="G262" s="9" t="s">
        <v>3885</v>
      </c>
      <c r="H262" s="9"/>
      <c r="I262" s="9">
        <v>1</v>
      </c>
      <c r="J262" s="9">
        <v>3</v>
      </c>
      <c r="K262" s="9" t="s">
        <v>8689</v>
      </c>
      <c r="L262" s="9" t="s">
        <v>8690</v>
      </c>
      <c r="M262" s="9"/>
      <c r="N262" s="10"/>
      <c r="O262" s="9"/>
      <c r="P262" s="9">
        <v>10929</v>
      </c>
      <c r="Q262" s="9"/>
      <c r="R262" s="9" t="s">
        <v>9321</v>
      </c>
      <c r="S262" s="9" t="s">
        <v>9321</v>
      </c>
      <c r="T262" s="9"/>
      <c r="U262" s="9"/>
      <c r="V262" s="9"/>
      <c r="W262" s="9"/>
      <c r="X262" s="9"/>
      <c r="Y262" s="9"/>
      <c r="Z262" s="9"/>
      <c r="AA262" s="9"/>
      <c r="AB262" s="9"/>
      <c r="AC262" s="9"/>
    </row>
    <row r="263" spans="1:29" ht="29">
      <c r="A263" s="3" t="s">
        <v>453</v>
      </c>
      <c r="B263" s="3" t="s">
        <v>4623</v>
      </c>
      <c r="C263" s="3" t="s">
        <v>4624</v>
      </c>
      <c r="F263" t="s">
        <v>3888</v>
      </c>
      <c r="G263" s="9" t="s">
        <v>3889</v>
      </c>
      <c r="H263" s="9"/>
      <c r="I263" s="9">
        <v>3</v>
      </c>
      <c r="J263" s="9">
        <v>10</v>
      </c>
      <c r="K263" s="9"/>
      <c r="L263" s="9" t="s">
        <v>8690</v>
      </c>
      <c r="M263" s="9"/>
      <c r="N263" s="10"/>
      <c r="O263" s="9"/>
      <c r="P263" s="9">
        <v>1225</v>
      </c>
      <c r="Q263" s="9"/>
      <c r="R263" s="9" t="s">
        <v>9321</v>
      </c>
      <c r="S263" s="9" t="s">
        <v>9321</v>
      </c>
      <c r="T263" s="9"/>
      <c r="U263" s="9"/>
      <c r="V263" s="9"/>
      <c r="W263" s="9"/>
      <c r="X263" s="9"/>
      <c r="Y263" s="9"/>
      <c r="Z263" s="9"/>
      <c r="AA263" s="9"/>
      <c r="AB263" s="9"/>
      <c r="AC263" s="9"/>
    </row>
    <row r="264" spans="1:29" ht="29">
      <c r="A264" s="3" t="s">
        <v>455</v>
      </c>
      <c r="B264" s="3" t="s">
        <v>8966</v>
      </c>
      <c r="C264" s="3" t="s">
        <v>8967</v>
      </c>
      <c r="G264" s="9" t="s">
        <v>3885</v>
      </c>
      <c r="H264" s="9"/>
      <c r="I264" s="9">
        <v>1</v>
      </c>
      <c r="J264" s="9">
        <v>3</v>
      </c>
      <c r="K264" s="9" t="s">
        <v>8689</v>
      </c>
      <c r="L264" s="9" t="s">
        <v>8690</v>
      </c>
      <c r="M264" s="9"/>
      <c r="N264" s="10"/>
      <c r="O264" s="9"/>
      <c r="P264" s="9">
        <v>10929</v>
      </c>
      <c r="Q264" s="9"/>
      <c r="R264" s="9" t="s">
        <v>9321</v>
      </c>
      <c r="S264" s="9" t="s">
        <v>9321</v>
      </c>
      <c r="T264" s="9" t="s">
        <v>4</v>
      </c>
      <c r="U264" s="9"/>
      <c r="V264" s="9"/>
      <c r="W264" s="9"/>
      <c r="X264" s="9"/>
      <c r="Y264" s="9"/>
      <c r="Z264" s="9"/>
      <c r="AA264" s="9"/>
      <c r="AB264" s="9"/>
      <c r="AC264" s="9"/>
    </row>
    <row r="265" spans="1:29" ht="29">
      <c r="A265" s="3" t="s">
        <v>458</v>
      </c>
      <c r="B265" s="3" t="s">
        <v>9461</v>
      </c>
      <c r="C265" s="3" t="s">
        <v>9462</v>
      </c>
      <c r="F265" t="s">
        <v>3884</v>
      </c>
      <c r="G265" s="9" t="s">
        <v>3889</v>
      </c>
      <c r="H265" s="9"/>
      <c r="I265" s="9">
        <v>1</v>
      </c>
      <c r="J265" s="9">
        <v>3</v>
      </c>
      <c r="K265" s="9" t="s">
        <v>8689</v>
      </c>
      <c r="L265" s="9" t="s">
        <v>8690</v>
      </c>
      <c r="M265" s="9"/>
      <c r="N265" s="10"/>
      <c r="O265" s="9"/>
      <c r="P265" s="9">
        <v>10929</v>
      </c>
      <c r="Q265" s="9"/>
      <c r="R265" s="9" t="s">
        <v>9321</v>
      </c>
      <c r="S265" s="9" t="s">
        <v>9321</v>
      </c>
      <c r="T265" s="9"/>
      <c r="U265" s="9"/>
      <c r="V265" s="9"/>
      <c r="W265" s="9"/>
      <c r="X265" s="9"/>
      <c r="Y265" s="9"/>
      <c r="Z265" s="9"/>
      <c r="AA265" s="9"/>
      <c r="AB265" s="9"/>
      <c r="AC265" s="9"/>
    </row>
    <row r="266" spans="1:29" ht="29">
      <c r="A266" s="3" t="s">
        <v>460</v>
      </c>
      <c r="B266" s="3" t="s">
        <v>4629</v>
      </c>
      <c r="C266" s="3" t="s">
        <v>4626</v>
      </c>
      <c r="G266" s="9" t="s">
        <v>3889</v>
      </c>
      <c r="H266" s="9"/>
      <c r="I266" s="9">
        <v>1</v>
      </c>
      <c r="J266" s="9">
        <v>2</v>
      </c>
      <c r="K266" s="9" t="s">
        <v>8703</v>
      </c>
      <c r="L266" s="9" t="s">
        <v>8730</v>
      </c>
      <c r="M266" s="9"/>
      <c r="N266" s="10"/>
      <c r="O266" s="9"/>
      <c r="P266" s="9">
        <v>1225</v>
      </c>
      <c r="Q266" s="9"/>
      <c r="R266" s="9" t="s">
        <v>9321</v>
      </c>
      <c r="S266" s="9" t="s">
        <v>9321</v>
      </c>
      <c r="T266" s="9"/>
      <c r="U266" s="9"/>
      <c r="V266" s="9"/>
      <c r="W266" s="9"/>
      <c r="X266" s="9"/>
      <c r="Y266" s="9"/>
      <c r="Z266" s="9"/>
      <c r="AA266" s="9"/>
      <c r="AB266" s="9"/>
      <c r="AC266" s="9"/>
    </row>
    <row r="267" spans="1:29" ht="29">
      <c r="A267" s="3" t="s">
        <v>460</v>
      </c>
      <c r="B267" s="3" t="s">
        <v>4630</v>
      </c>
      <c r="C267" s="3" t="s">
        <v>4631</v>
      </c>
      <c r="G267" s="9" t="s">
        <v>3885</v>
      </c>
      <c r="H267" s="9"/>
      <c r="I267" s="9">
        <v>1</v>
      </c>
      <c r="J267" s="9">
        <v>3</v>
      </c>
      <c r="K267" s="9" t="s">
        <v>8689</v>
      </c>
      <c r="L267" s="9" t="s">
        <v>8690</v>
      </c>
      <c r="M267" s="9"/>
      <c r="N267" s="10"/>
      <c r="O267" s="9"/>
      <c r="P267" s="9">
        <v>10929</v>
      </c>
      <c r="Q267" s="9"/>
      <c r="R267" s="9" t="s">
        <v>9321</v>
      </c>
      <c r="S267" s="9" t="s">
        <v>9321</v>
      </c>
      <c r="T267" s="9"/>
      <c r="U267" s="9"/>
      <c r="V267" s="9"/>
      <c r="W267" s="9"/>
      <c r="X267" s="9"/>
      <c r="Y267" s="9"/>
      <c r="Z267" s="9"/>
      <c r="AA267" s="9"/>
      <c r="AB267" s="9"/>
      <c r="AC267" s="9"/>
    </row>
    <row r="268" spans="1:29" ht="29">
      <c r="A268" s="3" t="s">
        <v>468</v>
      </c>
      <c r="B268" s="3" t="s">
        <v>4641</v>
      </c>
      <c r="C268" s="3" t="s">
        <v>4642</v>
      </c>
      <c r="F268" t="s">
        <v>3884</v>
      </c>
      <c r="G268" s="9" t="s">
        <v>8729</v>
      </c>
      <c r="H268" s="9"/>
      <c r="I268" s="9"/>
      <c r="J268" s="9"/>
      <c r="K268" s="9"/>
      <c r="L268" s="9"/>
      <c r="M268" s="9"/>
      <c r="N268" s="10"/>
      <c r="O268" s="9"/>
      <c r="P268" s="9"/>
      <c r="Q268" s="9">
        <v>106</v>
      </c>
      <c r="R268" s="9">
        <v>19</v>
      </c>
      <c r="S268" s="9">
        <v>125</v>
      </c>
      <c r="T268" s="9"/>
      <c r="U268" s="9"/>
      <c r="V268" s="9"/>
      <c r="W268" s="9"/>
      <c r="X268" s="9"/>
      <c r="Y268" s="9"/>
      <c r="Z268" s="9"/>
      <c r="AA268" s="9"/>
      <c r="AB268" s="9"/>
      <c r="AC268" s="9"/>
    </row>
    <row r="269" spans="1:29" ht="29">
      <c r="A269" s="3" t="s">
        <v>472</v>
      </c>
      <c r="B269" s="3" t="s">
        <v>2688</v>
      </c>
      <c r="C269" s="3" t="s">
        <v>2689</v>
      </c>
      <c r="G269" s="9" t="s">
        <v>8731</v>
      </c>
      <c r="H269" s="9"/>
      <c r="I269" s="9"/>
      <c r="J269" s="9"/>
      <c r="K269" s="9"/>
      <c r="L269" s="9"/>
      <c r="M269" s="9"/>
      <c r="N269" s="10"/>
      <c r="O269" s="9"/>
      <c r="P269" s="9"/>
      <c r="Q269" s="9"/>
      <c r="R269" s="9" t="s">
        <v>9321</v>
      </c>
      <c r="S269" s="9" t="s">
        <v>9321</v>
      </c>
      <c r="T269" s="9"/>
      <c r="U269" s="9"/>
      <c r="V269" s="9"/>
      <c r="W269" s="9"/>
      <c r="X269" s="9"/>
      <c r="Y269" s="9"/>
      <c r="Z269" s="9"/>
      <c r="AA269" s="9"/>
      <c r="AB269" s="9"/>
      <c r="AC269" s="9"/>
    </row>
    <row r="270" spans="1:29" ht="29">
      <c r="A270" s="3" t="s">
        <v>473</v>
      </c>
      <c r="B270" s="3" t="s">
        <v>4239</v>
      </c>
      <c r="C270" s="3" t="s">
        <v>4238</v>
      </c>
      <c r="G270" s="9" t="s">
        <v>3885</v>
      </c>
      <c r="H270" s="9"/>
      <c r="I270" s="9">
        <v>1</v>
      </c>
      <c r="J270" s="9">
        <v>3</v>
      </c>
      <c r="K270" s="9" t="s">
        <v>8689</v>
      </c>
      <c r="L270" s="9" t="s">
        <v>8690</v>
      </c>
      <c r="M270" s="9"/>
      <c r="N270" s="10"/>
      <c r="O270" s="9"/>
      <c r="P270" s="9">
        <v>10929</v>
      </c>
      <c r="Q270" s="9"/>
      <c r="R270" s="9" t="s">
        <v>9321</v>
      </c>
      <c r="S270" s="9" t="s">
        <v>9321</v>
      </c>
      <c r="T270" s="9"/>
      <c r="U270" s="9"/>
      <c r="V270" s="9"/>
      <c r="W270" s="9"/>
      <c r="X270" s="9"/>
      <c r="Y270" s="9"/>
      <c r="Z270" s="9"/>
      <c r="AA270" s="9"/>
      <c r="AB270" s="9"/>
      <c r="AC270" s="9"/>
    </row>
    <row r="271" spans="1:29" ht="29">
      <c r="A271" s="3" t="s">
        <v>475</v>
      </c>
      <c r="B271" s="3" t="s">
        <v>4648</v>
      </c>
      <c r="C271" s="3" t="s">
        <v>9604</v>
      </c>
      <c r="G271" s="9" t="s">
        <v>3889</v>
      </c>
      <c r="H271" s="9"/>
      <c r="I271" s="9">
        <v>2</v>
      </c>
      <c r="J271" s="9">
        <v>10</v>
      </c>
      <c r="K271" s="9"/>
      <c r="L271" s="9" t="s">
        <v>8690</v>
      </c>
      <c r="M271" s="9"/>
      <c r="N271" s="10"/>
      <c r="O271" s="9"/>
      <c r="P271" s="9">
        <v>57</v>
      </c>
      <c r="Q271" s="9"/>
      <c r="R271" s="9" t="s">
        <v>9321</v>
      </c>
      <c r="S271" s="9" t="s">
        <v>9321</v>
      </c>
      <c r="T271" s="9"/>
      <c r="U271" s="9"/>
      <c r="V271" s="9"/>
      <c r="W271" s="9"/>
      <c r="X271" s="9"/>
      <c r="Y271" s="9"/>
      <c r="Z271" s="9"/>
      <c r="AA271" s="9"/>
      <c r="AB271" s="9"/>
      <c r="AC271" s="9"/>
    </row>
    <row r="272" spans="1:29" ht="29">
      <c r="A272" s="3" t="s">
        <v>476</v>
      </c>
      <c r="B272" s="3" t="s">
        <v>4649</v>
      </c>
      <c r="C272" s="3" t="s">
        <v>4650</v>
      </c>
      <c r="F272" t="s">
        <v>3884</v>
      </c>
      <c r="G272" s="9" t="s">
        <v>3889</v>
      </c>
      <c r="H272" s="9"/>
      <c r="I272" s="9">
        <v>1</v>
      </c>
      <c r="J272" s="9">
        <v>2</v>
      </c>
      <c r="K272" s="9" t="s">
        <v>8689</v>
      </c>
      <c r="L272" s="9" t="s">
        <v>8730</v>
      </c>
      <c r="M272" s="9"/>
      <c r="N272" s="10"/>
      <c r="O272" s="9"/>
      <c r="P272" s="9">
        <v>10929</v>
      </c>
      <c r="Q272" s="9"/>
      <c r="R272" s="9" t="s">
        <v>9321</v>
      </c>
      <c r="S272" s="9" t="s">
        <v>9321</v>
      </c>
      <c r="T272" s="9"/>
      <c r="U272" s="9"/>
      <c r="V272" s="9"/>
      <c r="W272" s="9"/>
      <c r="X272" s="9"/>
      <c r="Y272" s="9"/>
      <c r="Z272" s="9"/>
      <c r="AA272" s="9"/>
      <c r="AB272" s="9"/>
      <c r="AC272" s="9"/>
    </row>
    <row r="273" spans="1:29" ht="29">
      <c r="A273" s="3" t="s">
        <v>479</v>
      </c>
      <c r="B273" s="3" t="s">
        <v>4655</v>
      </c>
      <c r="C273" s="3" t="s">
        <v>4656</v>
      </c>
      <c r="F273" t="s">
        <v>3884</v>
      </c>
      <c r="G273" s="9" t="s">
        <v>8729</v>
      </c>
      <c r="H273" s="9"/>
      <c r="I273" s="9"/>
      <c r="J273" s="9"/>
      <c r="K273" s="9"/>
      <c r="L273" s="9"/>
      <c r="M273" s="9"/>
      <c r="N273" s="10"/>
      <c r="O273" s="9"/>
      <c r="P273" s="9"/>
      <c r="Q273" s="9">
        <v>319</v>
      </c>
      <c r="R273" s="9">
        <v>336</v>
      </c>
      <c r="S273" s="9">
        <v>655</v>
      </c>
      <c r="T273" s="9"/>
      <c r="U273" s="9"/>
      <c r="V273" s="9"/>
      <c r="W273" s="9"/>
      <c r="X273" s="9"/>
      <c r="Y273" s="9"/>
      <c r="Z273" s="9"/>
      <c r="AA273" s="9"/>
      <c r="AB273" s="9"/>
      <c r="AC273" s="9"/>
    </row>
    <row r="274" spans="1:29" ht="29">
      <c r="A274" s="3" t="s">
        <v>481</v>
      </c>
      <c r="B274" s="3" t="s">
        <v>4536</v>
      </c>
      <c r="C274" s="3" t="s">
        <v>4537</v>
      </c>
      <c r="G274" s="9" t="s">
        <v>3885</v>
      </c>
      <c r="H274" s="9"/>
      <c r="I274" s="9">
        <v>1</v>
      </c>
      <c r="J274" s="9">
        <v>3</v>
      </c>
      <c r="K274" s="9" t="s">
        <v>8689</v>
      </c>
      <c r="L274" s="9" t="s">
        <v>8690</v>
      </c>
      <c r="M274" s="9"/>
      <c r="N274" s="10"/>
      <c r="O274" s="9"/>
      <c r="P274" s="9">
        <v>10929</v>
      </c>
      <c r="Q274" s="9"/>
      <c r="R274" s="9" t="s">
        <v>9321</v>
      </c>
      <c r="S274" s="9" t="s">
        <v>9321</v>
      </c>
      <c r="T274" s="9"/>
      <c r="U274" s="9"/>
      <c r="V274" s="9"/>
      <c r="W274" s="9"/>
      <c r="X274" s="9"/>
      <c r="Y274" s="9"/>
      <c r="Z274" s="9"/>
      <c r="AA274" s="9"/>
      <c r="AB274" s="9"/>
      <c r="AC274" s="9"/>
    </row>
    <row r="275" spans="1:29" ht="29">
      <c r="A275" s="3" t="s">
        <v>482</v>
      </c>
      <c r="B275" s="3" t="s">
        <v>8970</v>
      </c>
      <c r="C275" s="3" t="s">
        <v>2703</v>
      </c>
      <c r="F275" t="s">
        <v>3884</v>
      </c>
      <c r="G275" s="9" t="s">
        <v>8729</v>
      </c>
      <c r="H275" s="9"/>
      <c r="I275" s="9"/>
      <c r="J275" s="9"/>
      <c r="K275" s="9"/>
      <c r="L275" s="9"/>
      <c r="M275" s="9"/>
      <c r="N275" s="10"/>
      <c r="O275" s="9"/>
      <c r="P275" s="9"/>
      <c r="Q275" s="9">
        <v>88</v>
      </c>
      <c r="R275" s="9">
        <v>30</v>
      </c>
      <c r="S275" s="9">
        <v>118</v>
      </c>
      <c r="T275" s="9"/>
      <c r="U275" s="9"/>
      <c r="V275" s="9"/>
      <c r="W275" s="9"/>
      <c r="X275" s="9"/>
      <c r="Y275" s="9"/>
      <c r="Z275" s="9"/>
      <c r="AA275" s="9"/>
      <c r="AB275" s="9"/>
      <c r="AC275" s="9"/>
    </row>
    <row r="276" spans="1:29" ht="29">
      <c r="A276" s="3" t="s">
        <v>486</v>
      </c>
      <c r="B276" s="3" t="s">
        <v>2708</v>
      </c>
      <c r="C276" s="3" t="s">
        <v>2709</v>
      </c>
      <c r="G276" s="9" t="s">
        <v>8731</v>
      </c>
      <c r="H276" s="9"/>
      <c r="I276" s="9"/>
      <c r="J276" s="9"/>
      <c r="K276" s="9"/>
      <c r="L276" s="9"/>
      <c r="M276" s="9"/>
      <c r="N276" s="10"/>
      <c r="O276" s="9"/>
      <c r="P276" s="9"/>
      <c r="Q276" s="9"/>
      <c r="R276" s="9" t="s">
        <v>9321</v>
      </c>
      <c r="S276" s="9" t="s">
        <v>9321</v>
      </c>
      <c r="T276" s="9"/>
      <c r="U276" s="9"/>
      <c r="V276" s="9"/>
      <c r="W276" s="9"/>
      <c r="X276" s="9"/>
      <c r="Y276" s="9"/>
      <c r="Z276" s="9"/>
      <c r="AA276" s="9"/>
      <c r="AB276" s="9"/>
      <c r="AC276" s="9"/>
    </row>
    <row r="277" spans="1:29" ht="29">
      <c r="A277" s="3" t="s">
        <v>489</v>
      </c>
      <c r="B277" s="3" t="s">
        <v>8972</v>
      </c>
      <c r="C277" s="3" t="s">
        <v>4670</v>
      </c>
      <c r="F277" t="s">
        <v>3884</v>
      </c>
      <c r="G277" s="9" t="s">
        <v>3889</v>
      </c>
      <c r="H277" s="9"/>
      <c r="I277" s="9">
        <v>3</v>
      </c>
      <c r="J277" s="9">
        <v>14</v>
      </c>
      <c r="K277" s="9"/>
      <c r="L277" s="9" t="s">
        <v>8684</v>
      </c>
      <c r="M277" s="9" t="s">
        <v>8777</v>
      </c>
      <c r="N277" s="10" t="s">
        <v>8973</v>
      </c>
      <c r="O277" s="9"/>
      <c r="P277" s="9">
        <v>2</v>
      </c>
      <c r="Q277" s="9"/>
      <c r="R277" s="9" t="s">
        <v>9321</v>
      </c>
      <c r="S277" s="9" t="s">
        <v>9321</v>
      </c>
      <c r="T277" s="9"/>
      <c r="U277" s="9"/>
      <c r="V277" s="9"/>
      <c r="W277" s="9"/>
      <c r="X277" s="9"/>
      <c r="Y277" s="9"/>
      <c r="Z277" s="9"/>
      <c r="AA277" s="9"/>
      <c r="AB277" s="9"/>
      <c r="AC277" s="9"/>
    </row>
    <row r="278" spans="1:29" ht="29">
      <c r="A278" s="3" t="s">
        <v>491</v>
      </c>
      <c r="B278" s="3" t="s">
        <v>2718</v>
      </c>
      <c r="C278" s="3" t="s">
        <v>2719</v>
      </c>
      <c r="G278" s="9" t="s">
        <v>8729</v>
      </c>
      <c r="H278" s="9"/>
      <c r="I278" s="9"/>
      <c r="J278" s="9"/>
      <c r="K278" s="9"/>
      <c r="L278" s="9"/>
      <c r="M278" s="9"/>
      <c r="N278" s="10"/>
      <c r="O278" s="9"/>
      <c r="P278" s="9"/>
      <c r="Q278" s="9">
        <v>34</v>
      </c>
      <c r="R278" s="9">
        <v>4</v>
      </c>
      <c r="S278" s="9">
        <v>38</v>
      </c>
      <c r="T278" s="9"/>
      <c r="U278" s="9"/>
      <c r="V278" s="9"/>
      <c r="W278" s="9"/>
      <c r="X278" s="9"/>
      <c r="Y278" s="9"/>
      <c r="Z278" s="9"/>
      <c r="AA278" s="9"/>
      <c r="AB278" s="9"/>
      <c r="AC278" s="9"/>
    </row>
    <row r="279" spans="1:29" ht="29">
      <c r="A279" s="3" t="s">
        <v>492</v>
      </c>
      <c r="B279" s="3" t="s">
        <v>4674</v>
      </c>
      <c r="C279" s="3" t="s">
        <v>4675</v>
      </c>
      <c r="G279" s="9" t="s">
        <v>8731</v>
      </c>
      <c r="H279" s="9"/>
      <c r="I279" s="9"/>
      <c r="J279" s="9"/>
      <c r="K279" s="9"/>
      <c r="L279" s="9"/>
      <c r="M279" s="9"/>
      <c r="N279" s="10"/>
      <c r="O279" s="9"/>
      <c r="P279" s="9"/>
      <c r="Q279" s="9"/>
      <c r="R279" s="9" t="s">
        <v>9321</v>
      </c>
      <c r="S279" s="9" t="s">
        <v>9321</v>
      </c>
      <c r="T279" s="9"/>
      <c r="U279" s="9"/>
      <c r="V279" s="9"/>
      <c r="W279" s="9"/>
      <c r="X279" s="9"/>
      <c r="Y279" s="9"/>
      <c r="Z279" s="9"/>
      <c r="AA279" s="9"/>
      <c r="AB279" s="9"/>
      <c r="AC279" s="9"/>
    </row>
    <row r="280" spans="1:29" ht="29">
      <c r="A280" s="3" t="s">
        <v>493</v>
      </c>
      <c r="B280" s="3" t="s">
        <v>4677</v>
      </c>
      <c r="C280" s="3" t="s">
        <v>4679</v>
      </c>
      <c r="F280" t="s">
        <v>3884</v>
      </c>
      <c r="G280" s="9" t="s">
        <v>3894</v>
      </c>
      <c r="H280" s="9"/>
      <c r="I280" s="9"/>
      <c r="J280" s="9"/>
      <c r="K280" s="9"/>
      <c r="L280" s="9"/>
      <c r="M280" s="9"/>
      <c r="N280" s="10"/>
      <c r="O280" s="9"/>
      <c r="P280" s="9"/>
      <c r="Q280" s="9"/>
      <c r="R280" s="9" t="s">
        <v>9321</v>
      </c>
      <c r="S280" s="9" t="s">
        <v>9321</v>
      </c>
      <c r="T280" s="9"/>
      <c r="U280" s="9"/>
      <c r="V280" s="9"/>
      <c r="W280" s="9"/>
      <c r="X280" s="9"/>
      <c r="Y280" s="9"/>
      <c r="Z280" s="9"/>
      <c r="AA280" s="9"/>
      <c r="AB280" s="9"/>
      <c r="AC280" s="9"/>
    </row>
    <row r="281" spans="1:29" ht="29">
      <c r="A281" s="3" t="s">
        <v>496</v>
      </c>
      <c r="B281" s="3" t="s">
        <v>4680</v>
      </c>
      <c r="C281" s="3" t="s">
        <v>4681</v>
      </c>
      <c r="G281" s="9" t="s">
        <v>8729</v>
      </c>
      <c r="H281" s="9"/>
      <c r="I281" s="9"/>
      <c r="J281" s="9"/>
      <c r="K281" s="9"/>
      <c r="L281" s="9"/>
      <c r="M281" s="9"/>
      <c r="N281" s="10"/>
      <c r="O281" s="9"/>
      <c r="P281" s="9"/>
      <c r="Q281" s="9">
        <v>-777</v>
      </c>
      <c r="R281" s="9">
        <v>781</v>
      </c>
      <c r="S281" s="9">
        <v>4</v>
      </c>
      <c r="T281" s="9"/>
      <c r="U281" s="9"/>
      <c r="V281" s="9"/>
      <c r="W281" s="9"/>
      <c r="X281" s="9"/>
      <c r="Y281" s="9"/>
      <c r="Z281" s="9"/>
      <c r="AA281" s="9"/>
      <c r="AB281" s="9"/>
      <c r="AC281" s="9"/>
    </row>
    <row r="282" spans="1:29" ht="29">
      <c r="A282" s="3" t="s">
        <v>499</v>
      </c>
      <c r="B282" s="3" t="s">
        <v>4684</v>
      </c>
      <c r="C282" s="3" t="s">
        <v>4685</v>
      </c>
      <c r="F282" t="s">
        <v>3884</v>
      </c>
      <c r="G282" s="9" t="s">
        <v>3889</v>
      </c>
      <c r="H282" s="9"/>
      <c r="I282" s="9">
        <v>2</v>
      </c>
      <c r="J282" s="9">
        <v>4</v>
      </c>
      <c r="K282" s="9"/>
      <c r="L282" s="9" t="s">
        <v>8684</v>
      </c>
      <c r="M282" s="9" t="s">
        <v>8771</v>
      </c>
      <c r="N282" s="10" t="s">
        <v>8772</v>
      </c>
      <c r="O282" s="9"/>
      <c r="P282" s="9">
        <v>1942</v>
      </c>
      <c r="Q282" s="9"/>
      <c r="R282" s="9" t="s">
        <v>9321</v>
      </c>
      <c r="S282" s="9" t="s">
        <v>9321</v>
      </c>
      <c r="T282" s="9"/>
      <c r="U282" s="9"/>
      <c r="V282" s="9"/>
      <c r="W282" s="9"/>
      <c r="X282" s="9"/>
      <c r="Y282" s="9"/>
      <c r="Z282" s="9"/>
      <c r="AA282" s="9"/>
      <c r="AB282" s="9"/>
      <c r="AC282" s="9"/>
    </row>
    <row r="283" spans="1:29" ht="29">
      <c r="A283" s="3" t="s">
        <v>502</v>
      </c>
      <c r="B283" s="3" t="s">
        <v>4690</v>
      </c>
      <c r="C283" s="3" t="s">
        <v>4687</v>
      </c>
      <c r="F283" t="s">
        <v>3884</v>
      </c>
      <c r="G283" s="9" t="s">
        <v>3889</v>
      </c>
      <c r="H283" s="9"/>
      <c r="I283" s="9">
        <v>1</v>
      </c>
      <c r="J283" s="9">
        <v>3</v>
      </c>
      <c r="K283" s="9" t="s">
        <v>8689</v>
      </c>
      <c r="L283" s="9" t="s">
        <v>8690</v>
      </c>
      <c r="M283" s="9"/>
      <c r="N283" s="10"/>
      <c r="O283" s="9"/>
      <c r="P283" s="9">
        <v>10929</v>
      </c>
      <c r="Q283" s="9"/>
      <c r="R283" s="9" t="s">
        <v>9321</v>
      </c>
      <c r="S283" s="9" t="s">
        <v>9321</v>
      </c>
      <c r="T283" s="9"/>
      <c r="U283" s="9"/>
      <c r="V283" s="9"/>
      <c r="W283" s="9"/>
      <c r="X283" s="9"/>
      <c r="Y283" s="9"/>
      <c r="Z283" s="9"/>
      <c r="AA283" s="9"/>
      <c r="AB283" s="9"/>
      <c r="AC283" s="9"/>
    </row>
    <row r="284" spans="1:29" ht="101.5">
      <c r="A284" s="3" t="s">
        <v>504</v>
      </c>
      <c r="B284" s="3" t="s">
        <v>4693</v>
      </c>
      <c r="C284" s="3" t="s">
        <v>4694</v>
      </c>
      <c r="F284" t="s">
        <v>3884</v>
      </c>
      <c r="G284" s="9" t="s">
        <v>3889</v>
      </c>
      <c r="H284" s="9"/>
      <c r="I284" s="9">
        <v>14</v>
      </c>
      <c r="J284" s="9">
        <v>62</v>
      </c>
      <c r="K284" s="9"/>
      <c r="L284" s="9" t="s">
        <v>8684</v>
      </c>
      <c r="M284" s="9" t="s">
        <v>8944</v>
      </c>
      <c r="N284" s="10" t="s">
        <v>8946</v>
      </c>
      <c r="O284" s="9"/>
      <c r="P284" s="9">
        <v>0</v>
      </c>
      <c r="Q284" s="9"/>
      <c r="R284" s="9" t="s">
        <v>9321</v>
      </c>
      <c r="S284" s="9" t="s">
        <v>9321</v>
      </c>
      <c r="T284" s="9"/>
      <c r="U284" s="9"/>
      <c r="V284" s="9"/>
      <c r="W284" s="9"/>
      <c r="X284" s="9"/>
      <c r="Y284" s="9"/>
      <c r="Z284" s="9"/>
      <c r="AA284" s="9"/>
      <c r="AB284" s="9"/>
      <c r="AC284" s="9"/>
    </row>
    <row r="285" spans="1:29" ht="29">
      <c r="A285" s="3" t="s">
        <v>504</v>
      </c>
      <c r="B285" s="3" t="s">
        <v>4695</v>
      </c>
      <c r="C285" s="3" t="s">
        <v>4696</v>
      </c>
      <c r="G285" s="9" t="s">
        <v>3885</v>
      </c>
      <c r="H285" s="9"/>
      <c r="I285" s="9">
        <v>1</v>
      </c>
      <c r="J285" s="9">
        <v>5</v>
      </c>
      <c r="K285" s="9" t="s">
        <v>8736</v>
      </c>
      <c r="L285" s="9" t="s">
        <v>8690</v>
      </c>
      <c r="M285" s="9"/>
      <c r="N285" s="10"/>
      <c r="O285" s="9"/>
      <c r="P285" s="9">
        <v>645</v>
      </c>
      <c r="Q285" s="9"/>
      <c r="R285" s="9" t="s">
        <v>9321</v>
      </c>
      <c r="S285" s="9" t="s">
        <v>9321</v>
      </c>
      <c r="T285" s="9"/>
      <c r="U285" s="9"/>
      <c r="V285" s="9"/>
      <c r="W285" s="9"/>
      <c r="X285" s="9"/>
      <c r="Y285" s="9"/>
      <c r="Z285" s="9"/>
      <c r="AA285" s="9"/>
      <c r="AB285" s="9"/>
      <c r="AC285" s="9"/>
    </row>
    <row r="286" spans="1:29" ht="29">
      <c r="A286" s="3" t="s">
        <v>507</v>
      </c>
      <c r="B286" s="3" t="s">
        <v>4698</v>
      </c>
      <c r="C286" s="3" t="s">
        <v>4699</v>
      </c>
      <c r="F286" t="s">
        <v>3884</v>
      </c>
      <c r="G286" s="9" t="s">
        <v>8729</v>
      </c>
      <c r="H286" s="9"/>
      <c r="I286" s="9"/>
      <c r="J286" s="9"/>
      <c r="K286" s="9"/>
      <c r="L286" s="9"/>
      <c r="M286" s="9"/>
      <c r="N286" s="10"/>
      <c r="O286" s="9"/>
      <c r="P286" s="9"/>
      <c r="Q286" s="9">
        <v>-2453</v>
      </c>
      <c r="R286" s="9">
        <v>3678</v>
      </c>
      <c r="S286" s="9">
        <v>1225</v>
      </c>
      <c r="T286" s="9"/>
      <c r="U286" s="9"/>
      <c r="V286" s="9"/>
      <c r="W286" s="9"/>
      <c r="X286" s="9"/>
      <c r="Y286" s="9"/>
      <c r="Z286" s="9"/>
      <c r="AA286" s="9"/>
      <c r="AB286" s="9"/>
      <c r="AC286" s="9"/>
    </row>
    <row r="287" spans="1:29" ht="29">
      <c r="A287" s="3" t="s">
        <v>512</v>
      </c>
      <c r="B287" s="3" t="s">
        <v>2619</v>
      </c>
      <c r="C287" s="3" t="s">
        <v>2355</v>
      </c>
      <c r="G287" s="9" t="s">
        <v>8731</v>
      </c>
      <c r="H287" s="9"/>
      <c r="I287" s="9"/>
      <c r="J287" s="9"/>
      <c r="K287" s="9"/>
      <c r="L287" s="9"/>
      <c r="M287" s="9"/>
      <c r="N287" s="10"/>
      <c r="O287" s="9"/>
      <c r="P287" s="9"/>
      <c r="Q287" s="9"/>
      <c r="R287" s="9" t="s">
        <v>9321</v>
      </c>
      <c r="S287" s="9" t="s">
        <v>9321</v>
      </c>
      <c r="T287" s="9"/>
      <c r="U287" s="9"/>
      <c r="V287" s="9"/>
      <c r="W287" s="9"/>
      <c r="X287" s="9"/>
      <c r="Y287" s="9"/>
      <c r="Z287" s="9"/>
      <c r="AA287" s="9"/>
      <c r="AB287" s="9"/>
      <c r="AC287" s="9"/>
    </row>
    <row r="288" spans="1:29" ht="29">
      <c r="A288" s="3" t="s">
        <v>512</v>
      </c>
      <c r="B288" s="3" t="s">
        <v>4708</v>
      </c>
      <c r="C288" s="3" t="s">
        <v>4709</v>
      </c>
      <c r="G288" s="9" t="s">
        <v>8731</v>
      </c>
      <c r="H288" s="9"/>
      <c r="I288" s="9"/>
      <c r="J288" s="9"/>
      <c r="K288" s="9"/>
      <c r="L288" s="9"/>
      <c r="M288" s="9"/>
      <c r="N288" s="10"/>
      <c r="O288" s="9"/>
      <c r="P288" s="9"/>
      <c r="Q288" s="9"/>
      <c r="R288" s="9" t="s">
        <v>9321</v>
      </c>
      <c r="S288" s="9" t="s">
        <v>9321</v>
      </c>
      <c r="T288" s="9"/>
      <c r="U288" s="9"/>
      <c r="V288" s="9"/>
      <c r="W288" s="9"/>
      <c r="X288" s="9"/>
      <c r="Y288" s="9"/>
      <c r="Z288" s="9"/>
      <c r="AA288" s="9"/>
      <c r="AB288" s="9"/>
      <c r="AC288" s="9"/>
    </row>
    <row r="289" spans="1:29" ht="29">
      <c r="A289" s="3" t="s">
        <v>515</v>
      </c>
      <c r="B289" s="3" t="s">
        <v>4714</v>
      </c>
      <c r="C289" s="3" t="s">
        <v>4715</v>
      </c>
      <c r="F289" t="s">
        <v>3884</v>
      </c>
      <c r="G289" s="9" t="s">
        <v>8729</v>
      </c>
      <c r="H289" s="9"/>
      <c r="I289" s="9"/>
      <c r="J289" s="9"/>
      <c r="K289" s="9"/>
      <c r="L289" s="9"/>
      <c r="M289" s="9"/>
      <c r="N289" s="10"/>
      <c r="O289" s="9"/>
      <c r="P289" s="9"/>
      <c r="Q289" s="9">
        <v>-10409</v>
      </c>
      <c r="R289" s="9">
        <v>10929</v>
      </c>
      <c r="S289" s="9">
        <v>520</v>
      </c>
      <c r="T289" s="9"/>
      <c r="U289" s="9"/>
      <c r="V289" s="9"/>
      <c r="W289" s="9"/>
      <c r="X289" s="9"/>
      <c r="Y289" s="9"/>
      <c r="Z289" s="9"/>
      <c r="AA289" s="9"/>
      <c r="AB289" s="9"/>
      <c r="AC289" s="9"/>
    </row>
    <row r="290" spans="1:29" ht="43.5">
      <c r="A290" s="3" t="s">
        <v>515</v>
      </c>
      <c r="B290" s="3" t="s">
        <v>4716</v>
      </c>
      <c r="C290" s="3" t="s">
        <v>4717</v>
      </c>
      <c r="G290" s="9" t="s">
        <v>3885</v>
      </c>
      <c r="H290" s="9"/>
      <c r="I290" s="9">
        <v>2</v>
      </c>
      <c r="J290" s="9">
        <v>12</v>
      </c>
      <c r="K290" s="9"/>
      <c r="L290" s="9" t="s">
        <v>8684</v>
      </c>
      <c r="M290" s="9" t="s">
        <v>8777</v>
      </c>
      <c r="N290" s="10" t="s">
        <v>8982</v>
      </c>
      <c r="O290" s="9"/>
      <c r="P290" s="9">
        <v>174</v>
      </c>
      <c r="Q290" s="9"/>
      <c r="R290" s="9" t="s">
        <v>9321</v>
      </c>
      <c r="S290" s="9" t="s">
        <v>9321</v>
      </c>
      <c r="T290" s="9" t="s">
        <v>4</v>
      </c>
      <c r="U290" s="9"/>
      <c r="V290" s="9"/>
      <c r="W290" s="9"/>
      <c r="X290" s="9"/>
      <c r="Y290" s="9"/>
      <c r="Z290" s="9"/>
      <c r="AA290" s="9"/>
      <c r="AB290" s="9"/>
      <c r="AC290" s="9"/>
    </row>
    <row r="291" spans="1:29" ht="29">
      <c r="A291" s="3" t="s">
        <v>517</v>
      </c>
      <c r="B291" s="3" t="s">
        <v>4718</v>
      </c>
      <c r="C291" s="3" t="s">
        <v>4719</v>
      </c>
      <c r="F291" t="s">
        <v>3884</v>
      </c>
      <c r="G291" s="9" t="s">
        <v>8731</v>
      </c>
      <c r="H291" s="9"/>
      <c r="I291" s="9"/>
      <c r="J291" s="9"/>
      <c r="K291" s="9"/>
      <c r="L291" s="9"/>
      <c r="M291" s="9"/>
      <c r="N291" s="10"/>
      <c r="O291" s="9"/>
      <c r="P291" s="9"/>
      <c r="Q291" s="9"/>
      <c r="R291" s="9" t="s">
        <v>9321</v>
      </c>
      <c r="S291" s="9" t="s">
        <v>9321</v>
      </c>
      <c r="T291" s="9" t="s">
        <v>8728</v>
      </c>
      <c r="U291" s="9"/>
      <c r="V291" s="9"/>
      <c r="W291" s="9"/>
      <c r="X291" s="9"/>
      <c r="Y291" s="9"/>
      <c r="Z291" s="9"/>
      <c r="AA291" s="9"/>
      <c r="AB291" s="9"/>
      <c r="AC291" s="9"/>
    </row>
    <row r="292" spans="1:29" ht="29">
      <c r="A292" s="3" t="s">
        <v>519</v>
      </c>
      <c r="B292" s="3" t="s">
        <v>4728</v>
      </c>
      <c r="C292" s="3" t="s">
        <v>4729</v>
      </c>
      <c r="F292" t="s">
        <v>3884</v>
      </c>
      <c r="G292" s="9" t="s">
        <v>3889</v>
      </c>
      <c r="H292" s="9"/>
      <c r="I292" s="9">
        <v>1</v>
      </c>
      <c r="J292" s="9">
        <v>3</v>
      </c>
      <c r="K292" s="9" t="s">
        <v>8689</v>
      </c>
      <c r="L292" s="9" t="s">
        <v>8690</v>
      </c>
      <c r="M292" s="9"/>
      <c r="N292" s="10"/>
      <c r="O292" s="9"/>
      <c r="P292" s="9">
        <v>10929</v>
      </c>
      <c r="Q292" s="9"/>
      <c r="R292" s="9" t="s">
        <v>9321</v>
      </c>
      <c r="S292" s="9" t="s">
        <v>9321</v>
      </c>
      <c r="T292" s="9"/>
      <c r="U292" s="9"/>
      <c r="V292" s="9"/>
      <c r="W292" s="9"/>
      <c r="X292" s="9"/>
      <c r="Y292" s="9"/>
      <c r="Z292" s="9"/>
      <c r="AA292" s="9"/>
      <c r="AB292" s="9"/>
      <c r="AC292" s="9"/>
    </row>
    <row r="293" spans="1:29" ht="43.5">
      <c r="A293" s="3" t="s">
        <v>520</v>
      </c>
      <c r="B293" s="3" t="s">
        <v>4730</v>
      </c>
      <c r="C293" s="3" t="s">
        <v>4731</v>
      </c>
      <c r="F293" t="s">
        <v>3888</v>
      </c>
      <c r="G293" s="9" t="s">
        <v>3889</v>
      </c>
      <c r="H293" s="9"/>
      <c r="I293" s="9">
        <v>4</v>
      </c>
      <c r="J293" s="9">
        <v>21</v>
      </c>
      <c r="K293" s="9"/>
      <c r="L293" s="9" t="s">
        <v>8684</v>
      </c>
      <c r="M293" s="9" t="s">
        <v>8944</v>
      </c>
      <c r="N293" s="10" t="s">
        <v>8984</v>
      </c>
      <c r="O293" s="9"/>
      <c r="P293" s="9">
        <v>0</v>
      </c>
      <c r="Q293" s="9"/>
      <c r="R293" s="9" t="s">
        <v>9321</v>
      </c>
      <c r="S293" s="9" t="s">
        <v>9321</v>
      </c>
      <c r="T293" s="9"/>
      <c r="U293" s="9"/>
      <c r="V293" s="9"/>
      <c r="W293" s="9"/>
      <c r="X293" s="9"/>
      <c r="Y293" s="9"/>
      <c r="Z293" s="9"/>
      <c r="AA293" s="9"/>
      <c r="AB293" s="9"/>
      <c r="AC293" s="9"/>
    </row>
    <row r="294" spans="1:29" ht="29">
      <c r="A294" s="3" t="s">
        <v>521</v>
      </c>
      <c r="B294" s="3" t="s">
        <v>2740</v>
      </c>
      <c r="C294" s="3" t="s">
        <v>2741</v>
      </c>
      <c r="G294" s="9" t="s">
        <v>8731</v>
      </c>
      <c r="H294" s="9"/>
      <c r="I294" s="9"/>
      <c r="J294" s="9"/>
      <c r="K294" s="9"/>
      <c r="L294" s="9"/>
      <c r="M294" s="9"/>
      <c r="N294" s="10"/>
      <c r="O294" s="9"/>
      <c r="P294" s="9"/>
      <c r="Q294" s="9"/>
      <c r="R294" s="9" t="s">
        <v>9321</v>
      </c>
      <c r="S294" s="9" t="s">
        <v>9321</v>
      </c>
      <c r="T294" s="9"/>
      <c r="U294" s="9"/>
      <c r="V294" s="9"/>
      <c r="W294" s="9"/>
      <c r="X294" s="9"/>
      <c r="Y294" s="9"/>
      <c r="Z294" s="9"/>
      <c r="AA294" s="9"/>
      <c r="AB294" s="9"/>
      <c r="AC294" s="9"/>
    </row>
    <row r="295" spans="1:29" ht="29">
      <c r="A295" s="3" t="s">
        <v>523</v>
      </c>
      <c r="B295" s="3" t="s">
        <v>4734</v>
      </c>
      <c r="C295" s="3" t="s">
        <v>2645</v>
      </c>
      <c r="F295" t="s">
        <v>3884</v>
      </c>
      <c r="G295" s="9" t="s">
        <v>8731</v>
      </c>
      <c r="H295" s="9"/>
      <c r="I295" s="9"/>
      <c r="J295" s="9"/>
      <c r="K295" s="9"/>
      <c r="L295" s="9"/>
      <c r="M295" s="9"/>
      <c r="N295" s="10"/>
      <c r="O295" s="9"/>
      <c r="P295" s="9"/>
      <c r="Q295" s="9"/>
      <c r="R295" s="9" t="s">
        <v>9321</v>
      </c>
      <c r="S295" s="9" t="s">
        <v>9321</v>
      </c>
      <c r="T295" s="9"/>
      <c r="U295" s="9"/>
      <c r="V295" s="9"/>
      <c r="W295" s="9"/>
      <c r="X295" s="9"/>
      <c r="Y295" s="9"/>
      <c r="Z295" s="9"/>
      <c r="AA295" s="9"/>
      <c r="AB295" s="9"/>
      <c r="AC295" s="9"/>
    </row>
    <row r="296" spans="1:29" ht="29">
      <c r="A296" s="3" t="s">
        <v>527</v>
      </c>
      <c r="B296" s="3" t="s">
        <v>2758</v>
      </c>
      <c r="C296" s="3" t="s">
        <v>2759</v>
      </c>
      <c r="G296" s="9" t="s">
        <v>8732</v>
      </c>
      <c r="H296" s="9"/>
      <c r="I296" s="9"/>
      <c r="J296" s="9"/>
      <c r="K296" s="9"/>
      <c r="L296" s="9"/>
      <c r="M296" s="9"/>
      <c r="N296" s="10"/>
      <c r="O296" s="9"/>
      <c r="P296" s="9"/>
      <c r="Q296" s="9">
        <v>18</v>
      </c>
      <c r="R296" s="9">
        <v>0</v>
      </c>
      <c r="S296" s="9">
        <v>18</v>
      </c>
      <c r="T296" s="9"/>
      <c r="U296" s="9"/>
      <c r="V296" s="9"/>
      <c r="W296" s="9"/>
      <c r="X296" s="9"/>
      <c r="Y296" s="9"/>
      <c r="Z296" s="9"/>
      <c r="AA296" s="9"/>
      <c r="AB296" s="9"/>
      <c r="AC296" s="9"/>
    </row>
    <row r="297" spans="1:29" ht="29">
      <c r="A297" s="3" t="s">
        <v>528</v>
      </c>
      <c r="B297" s="3" t="s">
        <v>4738</v>
      </c>
      <c r="C297" s="3" t="s">
        <v>4739</v>
      </c>
      <c r="G297" s="9" t="s">
        <v>8731</v>
      </c>
      <c r="H297" s="9"/>
      <c r="I297" s="9"/>
      <c r="J297" s="9"/>
      <c r="K297" s="9"/>
      <c r="L297" s="9"/>
      <c r="M297" s="9"/>
      <c r="N297" s="10"/>
      <c r="O297" s="9"/>
      <c r="P297" s="9"/>
      <c r="Q297" s="9"/>
      <c r="R297" s="9" t="s">
        <v>9321</v>
      </c>
      <c r="S297" s="9" t="s">
        <v>9321</v>
      </c>
      <c r="T297" s="9"/>
      <c r="U297" s="9"/>
      <c r="V297" s="9"/>
      <c r="W297" s="9"/>
      <c r="X297" s="9"/>
      <c r="Y297" s="9"/>
      <c r="Z297" s="9"/>
      <c r="AA297" s="9"/>
      <c r="AB297" s="9"/>
      <c r="AC297" s="9"/>
    </row>
    <row r="298" spans="1:29" ht="29">
      <c r="A298" s="3" t="s">
        <v>532</v>
      </c>
      <c r="B298" t="s">
        <v>4744</v>
      </c>
      <c r="C298" t="s">
        <v>4745</v>
      </c>
      <c r="G298" s="9" t="s">
        <v>8729</v>
      </c>
      <c r="H298" s="9"/>
      <c r="I298" s="9"/>
      <c r="J298" s="9"/>
      <c r="K298" s="9"/>
      <c r="L298" s="9"/>
      <c r="M298" s="9"/>
      <c r="N298" s="10"/>
      <c r="O298" s="9"/>
      <c r="P298" s="9"/>
      <c r="Q298" s="9">
        <v>3158</v>
      </c>
      <c r="R298" s="9">
        <v>520</v>
      </c>
      <c r="S298" s="9">
        <v>3678</v>
      </c>
      <c r="T298" s="9"/>
      <c r="U298" s="9"/>
      <c r="V298" s="9"/>
      <c r="W298" s="9"/>
      <c r="X298" s="9"/>
      <c r="Y298" s="9"/>
      <c r="Z298" s="9"/>
      <c r="AA298" s="9"/>
      <c r="AB298" s="9"/>
      <c r="AC298" s="9"/>
    </row>
    <row r="299" spans="1:29" ht="29">
      <c r="A299" s="3" t="s">
        <v>537</v>
      </c>
      <c r="B299" s="3" t="s">
        <v>4752</v>
      </c>
      <c r="C299" s="3" t="s">
        <v>4753</v>
      </c>
      <c r="G299" s="9" t="s">
        <v>8731</v>
      </c>
      <c r="H299" s="9"/>
      <c r="I299" s="9"/>
      <c r="J299" s="9"/>
      <c r="K299" s="9"/>
      <c r="L299" s="9"/>
      <c r="M299" s="9"/>
      <c r="N299" s="10"/>
      <c r="O299" s="9"/>
      <c r="P299" s="9"/>
      <c r="Q299" s="9"/>
      <c r="R299" s="9" t="s">
        <v>9321</v>
      </c>
      <c r="S299" s="9" t="s">
        <v>9321</v>
      </c>
      <c r="T299" s="9"/>
      <c r="U299" s="9"/>
      <c r="V299" s="9"/>
      <c r="W299" s="9"/>
      <c r="X299" s="9"/>
      <c r="Y299" s="9"/>
      <c r="Z299" s="9"/>
      <c r="AA299" s="9"/>
      <c r="AB299" s="9"/>
      <c r="AC299" s="9"/>
    </row>
    <row r="300" spans="1:29" ht="29">
      <c r="A300" s="3" t="s">
        <v>545</v>
      </c>
      <c r="B300" s="3" t="s">
        <v>9470</v>
      </c>
      <c r="C300" s="3" t="s">
        <v>9471</v>
      </c>
      <c r="G300" s="9" t="s">
        <v>8731</v>
      </c>
      <c r="H300" s="9"/>
      <c r="I300" s="9"/>
      <c r="J300" s="9"/>
      <c r="K300" s="9"/>
      <c r="L300" s="9"/>
      <c r="M300" s="9"/>
      <c r="N300" s="10"/>
      <c r="O300" s="9"/>
      <c r="P300" s="9"/>
      <c r="Q300" s="9"/>
      <c r="R300" s="9" t="s">
        <v>9321</v>
      </c>
      <c r="S300" s="9" t="s">
        <v>9321</v>
      </c>
      <c r="T300" s="9"/>
      <c r="U300" s="9"/>
      <c r="V300" s="9"/>
      <c r="W300" s="9"/>
      <c r="X300" s="9"/>
      <c r="Y300" s="9"/>
      <c r="Z300" s="9"/>
      <c r="AA300" s="9"/>
      <c r="AB300" s="9"/>
      <c r="AC300" s="9"/>
    </row>
    <row r="301" spans="1:29" ht="43.5">
      <c r="A301" s="3" t="s">
        <v>548</v>
      </c>
      <c r="B301" s="3" t="s">
        <v>4781</v>
      </c>
      <c r="C301" s="3" t="s">
        <v>4782</v>
      </c>
      <c r="G301" s="9" t="s">
        <v>3889</v>
      </c>
      <c r="H301" s="9"/>
      <c r="I301" s="9">
        <v>3</v>
      </c>
      <c r="J301" s="9">
        <v>15</v>
      </c>
      <c r="K301" s="9"/>
      <c r="L301" s="9" t="s">
        <v>8690</v>
      </c>
      <c r="M301" s="9"/>
      <c r="N301" s="10"/>
      <c r="O301" s="9"/>
      <c r="P301" s="9">
        <v>174</v>
      </c>
      <c r="Q301" s="9"/>
      <c r="R301" s="9" t="s">
        <v>9321</v>
      </c>
      <c r="S301" s="9" t="s">
        <v>9321</v>
      </c>
      <c r="T301" s="9"/>
      <c r="U301" s="9"/>
      <c r="V301" s="9"/>
      <c r="W301" s="9"/>
      <c r="X301" s="9"/>
      <c r="Y301" s="9"/>
      <c r="Z301" s="9"/>
      <c r="AA301" s="9"/>
      <c r="AB301" s="9"/>
      <c r="AC301" s="9"/>
    </row>
    <row r="302" spans="1:29">
      <c r="A302" s="3" t="s">
        <v>555</v>
      </c>
      <c r="B302" s="3" t="s">
        <v>4800</v>
      </c>
      <c r="C302" s="3" t="s">
        <v>4801</v>
      </c>
      <c r="G302" s="9" t="s">
        <v>3885</v>
      </c>
      <c r="H302" s="9"/>
      <c r="I302" s="9">
        <v>1</v>
      </c>
      <c r="J302" s="9">
        <v>3</v>
      </c>
      <c r="K302" s="9" t="s">
        <v>8705</v>
      </c>
      <c r="L302" s="9" t="s">
        <v>8690</v>
      </c>
      <c r="M302" s="9"/>
      <c r="N302" s="10"/>
      <c r="O302" s="9"/>
      <c r="P302" s="9">
        <v>1485</v>
      </c>
      <c r="Q302" s="9"/>
      <c r="R302" s="9" t="s">
        <v>9321</v>
      </c>
      <c r="S302" s="9" t="s">
        <v>9321</v>
      </c>
      <c r="T302" s="9"/>
      <c r="U302" s="9"/>
      <c r="V302" s="9"/>
      <c r="W302" s="9"/>
      <c r="X302" s="9"/>
      <c r="Y302" s="9"/>
      <c r="Z302" s="9"/>
      <c r="AA302" s="9"/>
      <c r="AB302" s="9"/>
      <c r="AC302" s="9"/>
    </row>
    <row r="303" spans="1:29">
      <c r="A303" s="3" t="s">
        <v>555</v>
      </c>
      <c r="B303" s="3" t="s">
        <v>4802</v>
      </c>
      <c r="C303" s="3" t="s">
        <v>4803</v>
      </c>
      <c r="G303" s="9" t="s">
        <v>3889</v>
      </c>
      <c r="H303" s="9"/>
      <c r="I303" s="9">
        <v>1</v>
      </c>
      <c r="J303" s="9">
        <v>1</v>
      </c>
      <c r="K303" s="9" t="s">
        <v>8689</v>
      </c>
      <c r="L303" s="9" t="s">
        <v>8730</v>
      </c>
      <c r="M303" s="9"/>
      <c r="N303" s="10"/>
      <c r="O303" s="9"/>
      <c r="P303" s="9">
        <v>10929</v>
      </c>
      <c r="Q303" s="9"/>
      <c r="R303" s="9" t="s">
        <v>9321</v>
      </c>
      <c r="S303" s="9" t="s">
        <v>9321</v>
      </c>
      <c r="T303" s="9" t="s">
        <v>8728</v>
      </c>
      <c r="U303" s="9"/>
      <c r="V303" s="9"/>
      <c r="W303" s="9"/>
      <c r="X303" s="9"/>
      <c r="Y303" s="9"/>
      <c r="Z303" s="9"/>
      <c r="AA303" s="9"/>
      <c r="AB303" s="9"/>
      <c r="AC303" s="9"/>
    </row>
    <row r="304" spans="1:29">
      <c r="A304" s="3" t="s">
        <v>556</v>
      </c>
      <c r="B304" s="3" t="s">
        <v>2797</v>
      </c>
      <c r="C304" s="3" t="s">
        <v>2798</v>
      </c>
      <c r="F304" t="s">
        <v>3892</v>
      </c>
      <c r="G304" s="9" t="s">
        <v>8731</v>
      </c>
      <c r="H304" s="9"/>
      <c r="I304" s="9"/>
      <c r="J304" s="9"/>
      <c r="K304" s="9"/>
      <c r="L304" s="9"/>
      <c r="M304" s="9"/>
      <c r="N304" s="10"/>
      <c r="O304" s="9"/>
      <c r="P304" s="9"/>
      <c r="Q304" s="9"/>
      <c r="R304" s="9" t="s">
        <v>9321</v>
      </c>
      <c r="S304" s="9" t="s">
        <v>9321</v>
      </c>
      <c r="T304" s="9"/>
      <c r="U304" s="9"/>
      <c r="V304" s="9"/>
      <c r="W304" s="9"/>
      <c r="X304" s="9"/>
      <c r="Y304" s="9"/>
      <c r="Z304" s="9"/>
      <c r="AA304" s="9"/>
      <c r="AB304" s="9"/>
      <c r="AC304" s="9"/>
    </row>
    <row r="305" spans="1:29">
      <c r="A305" s="3" t="s">
        <v>556</v>
      </c>
      <c r="B305" s="3" t="s">
        <v>2802</v>
      </c>
      <c r="C305" s="3" t="s">
        <v>2803</v>
      </c>
      <c r="G305" s="9" t="s">
        <v>8729</v>
      </c>
      <c r="H305" s="9"/>
      <c r="I305" s="9"/>
      <c r="J305" s="9"/>
      <c r="K305" s="9"/>
      <c r="L305" s="9"/>
      <c r="M305" s="9"/>
      <c r="N305" s="10"/>
      <c r="O305" s="9"/>
      <c r="P305" s="9"/>
      <c r="Q305" s="9">
        <v>37</v>
      </c>
      <c r="R305" s="9">
        <v>0</v>
      </c>
      <c r="S305" s="9">
        <v>37</v>
      </c>
      <c r="T305" s="9"/>
      <c r="U305" s="9"/>
      <c r="V305" s="9"/>
      <c r="W305" s="9"/>
      <c r="X305" s="9"/>
      <c r="Y305" s="9"/>
      <c r="Z305" s="9"/>
      <c r="AA305" s="9"/>
      <c r="AB305" s="9"/>
      <c r="AC305" s="9"/>
    </row>
    <row r="306" spans="1:29" ht="29">
      <c r="A306" s="3" t="s">
        <v>560</v>
      </c>
      <c r="B306" s="3" t="s">
        <v>4806</v>
      </c>
      <c r="C306" s="3" t="s">
        <v>4807</v>
      </c>
      <c r="G306" s="9" t="s">
        <v>3889</v>
      </c>
      <c r="H306" s="9"/>
      <c r="I306" s="9">
        <v>1</v>
      </c>
      <c r="J306" s="9">
        <v>5</v>
      </c>
      <c r="K306" s="9" t="s">
        <v>8705</v>
      </c>
      <c r="L306" s="9" t="s">
        <v>8690</v>
      </c>
      <c r="M306" s="9"/>
      <c r="N306" s="10"/>
      <c r="O306" s="9"/>
      <c r="P306" s="9">
        <v>3678</v>
      </c>
      <c r="Q306" s="9"/>
      <c r="R306" s="9" t="s">
        <v>9321</v>
      </c>
      <c r="S306" s="9" t="s">
        <v>9321</v>
      </c>
      <c r="T306" s="9"/>
      <c r="U306" s="9"/>
      <c r="V306" s="9"/>
      <c r="W306" s="9"/>
      <c r="X306" s="9"/>
      <c r="Y306" s="9"/>
      <c r="Z306" s="9"/>
      <c r="AA306" s="9"/>
      <c r="AB306" s="9"/>
      <c r="AC306" s="9"/>
    </row>
    <row r="307" spans="1:29" ht="29">
      <c r="A307" s="3" t="s">
        <v>560</v>
      </c>
      <c r="B307" s="3" t="s">
        <v>4808</v>
      </c>
      <c r="C307" s="3" t="s">
        <v>4813</v>
      </c>
      <c r="F307" t="s">
        <v>3884</v>
      </c>
      <c r="G307" s="9" t="s">
        <v>3885</v>
      </c>
      <c r="H307" s="9"/>
      <c r="I307" s="9">
        <v>1</v>
      </c>
      <c r="J307" s="9">
        <v>3</v>
      </c>
      <c r="K307" s="9" t="s">
        <v>8698</v>
      </c>
      <c r="L307" s="9" t="s">
        <v>8690</v>
      </c>
      <c r="M307" s="9"/>
      <c r="N307" s="10"/>
      <c r="O307" s="9"/>
      <c r="P307" s="9">
        <v>653</v>
      </c>
      <c r="Q307" s="9"/>
      <c r="R307" s="9" t="s">
        <v>9321</v>
      </c>
      <c r="S307" s="9" t="s">
        <v>9321</v>
      </c>
      <c r="T307" s="9"/>
      <c r="U307" s="9"/>
      <c r="V307" s="9"/>
      <c r="W307" s="9"/>
      <c r="X307" s="9"/>
      <c r="Y307" s="9"/>
      <c r="Z307" s="9"/>
      <c r="AA307" s="9"/>
      <c r="AB307" s="9"/>
      <c r="AC307" s="9"/>
    </row>
    <row r="308" spans="1:29" ht="29">
      <c r="A308" s="3" t="s">
        <v>560</v>
      </c>
      <c r="B308" s="3" t="s">
        <v>4815</v>
      </c>
      <c r="C308" s="3" t="s">
        <v>4816</v>
      </c>
      <c r="G308" s="9" t="s">
        <v>3889</v>
      </c>
      <c r="H308" s="9"/>
      <c r="I308" s="9">
        <v>1</v>
      </c>
      <c r="J308" s="9">
        <v>4</v>
      </c>
      <c r="K308" s="9" t="s">
        <v>8705</v>
      </c>
      <c r="L308" s="9" t="s">
        <v>8690</v>
      </c>
      <c r="M308" s="9"/>
      <c r="N308" s="10"/>
      <c r="O308" s="9"/>
      <c r="P308" s="9">
        <v>3678</v>
      </c>
      <c r="Q308" s="9"/>
      <c r="R308" s="9" t="s">
        <v>9321</v>
      </c>
      <c r="S308" s="9" t="s">
        <v>9321</v>
      </c>
      <c r="T308" s="9"/>
      <c r="U308" s="9"/>
      <c r="V308" s="9"/>
      <c r="W308" s="9"/>
      <c r="X308" s="9"/>
      <c r="Y308" s="9"/>
      <c r="Z308" s="9"/>
      <c r="AA308" s="9"/>
      <c r="AB308" s="9"/>
      <c r="AC308" s="9"/>
    </row>
    <row r="309" spans="1:29" ht="29">
      <c r="A309" s="3" t="s">
        <v>564</v>
      </c>
      <c r="B309" t="s">
        <v>4569</v>
      </c>
      <c r="C309" t="s">
        <v>4570</v>
      </c>
      <c r="G309" s="9" t="s">
        <v>3885</v>
      </c>
      <c r="H309" s="9"/>
      <c r="I309" s="9">
        <v>1</v>
      </c>
      <c r="J309" s="9">
        <v>3</v>
      </c>
      <c r="K309" s="9" t="s">
        <v>8689</v>
      </c>
      <c r="L309" s="9" t="s">
        <v>8690</v>
      </c>
      <c r="M309" s="9"/>
      <c r="N309" s="10"/>
      <c r="O309" s="9"/>
      <c r="P309" s="9">
        <v>10929</v>
      </c>
      <c r="Q309" s="9"/>
      <c r="R309" s="9" t="s">
        <v>9321</v>
      </c>
      <c r="S309" s="9" t="s">
        <v>9321</v>
      </c>
      <c r="T309" s="9"/>
      <c r="U309" s="9"/>
      <c r="V309" s="9"/>
      <c r="W309" s="9"/>
      <c r="X309" s="9"/>
      <c r="Y309" s="9"/>
      <c r="Z309" s="9"/>
      <c r="AA309" s="9"/>
      <c r="AB309" s="9"/>
      <c r="AC309" s="9"/>
    </row>
    <row r="310" spans="1:29" ht="29">
      <c r="A310" s="3" t="s">
        <v>566</v>
      </c>
      <c r="B310" s="3" t="s">
        <v>4831</v>
      </c>
      <c r="C310" s="3" t="s">
        <v>4830</v>
      </c>
      <c r="F310" t="s">
        <v>3884</v>
      </c>
      <c r="G310" s="9" t="s">
        <v>3889</v>
      </c>
      <c r="H310" s="9"/>
      <c r="I310" s="9">
        <v>1</v>
      </c>
      <c r="J310" s="9">
        <v>3</v>
      </c>
      <c r="K310" s="9" t="s">
        <v>8689</v>
      </c>
      <c r="L310" s="9" t="s">
        <v>8684</v>
      </c>
      <c r="M310" s="9" t="s">
        <v>8771</v>
      </c>
      <c r="N310" s="10" t="s">
        <v>8778</v>
      </c>
      <c r="O310" s="9"/>
      <c r="P310" s="9">
        <v>10929</v>
      </c>
      <c r="Q310" s="9"/>
      <c r="R310" s="9" t="s">
        <v>9321</v>
      </c>
      <c r="S310" s="9" t="s">
        <v>9321</v>
      </c>
      <c r="T310" s="9"/>
      <c r="U310" s="9"/>
      <c r="V310" s="9"/>
      <c r="W310" s="9"/>
      <c r="X310" s="9"/>
      <c r="Y310" s="9"/>
      <c r="Z310" s="9"/>
      <c r="AA310" s="9"/>
      <c r="AB310" s="9"/>
      <c r="AC310" s="9"/>
    </row>
    <row r="311" spans="1:29" ht="29">
      <c r="A311" s="3" t="s">
        <v>569</v>
      </c>
      <c r="B311" s="3" t="s">
        <v>4840</v>
      </c>
      <c r="C311" s="3" t="s">
        <v>4841</v>
      </c>
      <c r="G311" s="9" t="s">
        <v>8731</v>
      </c>
      <c r="H311" s="9"/>
      <c r="I311" s="9"/>
      <c r="J311" s="9"/>
      <c r="K311" s="9"/>
      <c r="L311" s="9"/>
      <c r="M311" s="9"/>
      <c r="N311" s="10"/>
      <c r="O311" s="9"/>
      <c r="P311" s="9"/>
      <c r="Q311" s="9"/>
      <c r="R311" s="9" t="s">
        <v>9321</v>
      </c>
      <c r="S311" s="9" t="s">
        <v>9321</v>
      </c>
      <c r="T311" s="9"/>
      <c r="U311" s="9"/>
      <c r="V311" s="9"/>
      <c r="W311" s="9"/>
      <c r="X311" s="9"/>
      <c r="Y311" s="9"/>
      <c r="Z311" s="9"/>
      <c r="AA311" s="9"/>
      <c r="AB311" s="9"/>
      <c r="AC311" s="9"/>
    </row>
    <row r="312" spans="1:29" ht="29">
      <c r="A312" s="3" t="s">
        <v>573</v>
      </c>
      <c r="B312" s="3" t="s">
        <v>2226</v>
      </c>
      <c r="C312" s="3" t="s">
        <v>2828</v>
      </c>
      <c r="G312" s="9" t="s">
        <v>8731</v>
      </c>
      <c r="H312" s="9"/>
      <c r="I312" s="9"/>
      <c r="J312" s="9"/>
      <c r="K312" s="9"/>
      <c r="L312" s="9"/>
      <c r="M312" s="9"/>
      <c r="N312" s="10"/>
      <c r="O312" s="9"/>
      <c r="P312" s="9"/>
      <c r="Q312" s="9"/>
      <c r="R312" s="9" t="s">
        <v>9321</v>
      </c>
      <c r="S312" s="9" t="s">
        <v>9321</v>
      </c>
      <c r="T312" s="9"/>
      <c r="U312" s="9"/>
      <c r="V312" s="9"/>
      <c r="W312" s="9"/>
      <c r="X312" s="9"/>
      <c r="Y312" s="9"/>
      <c r="Z312" s="9"/>
      <c r="AA312" s="9"/>
      <c r="AB312" s="9"/>
      <c r="AC312" s="9"/>
    </row>
    <row r="313" spans="1:29">
      <c r="A313" s="3" t="s">
        <v>574</v>
      </c>
      <c r="B313" s="3" t="s">
        <v>4843</v>
      </c>
      <c r="C313" s="3" t="s">
        <v>4844</v>
      </c>
      <c r="F313" t="s">
        <v>3884</v>
      </c>
      <c r="G313" s="9" t="s">
        <v>8729</v>
      </c>
      <c r="H313" s="9"/>
      <c r="I313" s="9"/>
      <c r="J313" s="9"/>
      <c r="K313" s="9"/>
      <c r="L313" s="9"/>
      <c r="M313" s="9"/>
      <c r="N313" s="10"/>
      <c r="O313" s="9"/>
      <c r="P313" s="9"/>
      <c r="Q313" s="9">
        <v>444</v>
      </c>
      <c r="R313" s="9">
        <v>428</v>
      </c>
      <c r="S313" s="9">
        <v>872</v>
      </c>
      <c r="T313" s="9"/>
      <c r="U313" s="9"/>
      <c r="V313" s="9"/>
      <c r="W313" s="9"/>
      <c r="X313" s="9"/>
      <c r="Y313" s="9"/>
      <c r="Z313" s="9"/>
      <c r="AA313" s="9"/>
      <c r="AB313" s="9"/>
      <c r="AC313" s="9"/>
    </row>
    <row r="314" spans="1:29">
      <c r="A314" s="3" t="s">
        <v>574</v>
      </c>
      <c r="B314" t="s">
        <v>4845</v>
      </c>
      <c r="C314" t="s">
        <v>4846</v>
      </c>
      <c r="F314" t="s">
        <v>3884</v>
      </c>
      <c r="G314" s="9" t="s">
        <v>3885</v>
      </c>
      <c r="H314" s="9"/>
      <c r="I314" s="9">
        <v>1</v>
      </c>
      <c r="J314" s="9">
        <v>5</v>
      </c>
      <c r="K314" s="9" t="s">
        <v>8703</v>
      </c>
      <c r="L314" s="9" t="s">
        <v>8690</v>
      </c>
      <c r="M314" s="9"/>
      <c r="N314" s="10"/>
      <c r="O314" s="9"/>
      <c r="P314" s="9">
        <v>655</v>
      </c>
      <c r="Q314" s="9"/>
      <c r="R314" s="9" t="s">
        <v>9321</v>
      </c>
      <c r="S314" s="9" t="s">
        <v>9321</v>
      </c>
      <c r="T314" s="9"/>
      <c r="U314" s="9"/>
      <c r="V314" s="9"/>
      <c r="W314" s="9"/>
      <c r="X314" s="9"/>
      <c r="Y314" s="9"/>
      <c r="Z314" s="9"/>
      <c r="AA314" s="9"/>
      <c r="AB314" s="9"/>
      <c r="AC314" s="9"/>
    </row>
    <row r="315" spans="1:29" ht="29">
      <c r="A315" s="3" t="s">
        <v>576</v>
      </c>
      <c r="B315" s="3" t="s">
        <v>4848</v>
      </c>
      <c r="C315" s="3" t="s">
        <v>4849</v>
      </c>
      <c r="G315" s="9" t="s">
        <v>8731</v>
      </c>
      <c r="H315" s="9"/>
      <c r="I315" s="9"/>
      <c r="J315" s="9"/>
      <c r="K315" s="9"/>
      <c r="L315" s="9"/>
      <c r="M315" s="9"/>
      <c r="N315" s="10"/>
      <c r="O315" s="9"/>
      <c r="P315" s="9"/>
      <c r="Q315" s="9"/>
      <c r="R315" s="9" t="s">
        <v>9321</v>
      </c>
      <c r="S315" s="9" t="s">
        <v>9321</v>
      </c>
      <c r="T315" s="9"/>
      <c r="U315" s="9"/>
      <c r="V315" s="9"/>
      <c r="W315" s="9"/>
      <c r="X315" s="9"/>
      <c r="Y315" s="9"/>
      <c r="Z315" s="9"/>
      <c r="AA315" s="9"/>
      <c r="AB315" s="9"/>
      <c r="AC315" s="9"/>
    </row>
    <row r="316" spans="1:29">
      <c r="A316" s="3" t="s">
        <v>577</v>
      </c>
      <c r="B316" s="3" t="s">
        <v>4850</v>
      </c>
      <c r="C316" s="3" t="s">
        <v>4851</v>
      </c>
      <c r="G316" s="9" t="s">
        <v>3885</v>
      </c>
      <c r="H316" s="9"/>
      <c r="I316" s="9">
        <v>1</v>
      </c>
      <c r="J316" s="9">
        <v>2</v>
      </c>
      <c r="K316" s="9" t="s">
        <v>8689</v>
      </c>
      <c r="L316" s="9" t="s">
        <v>8730</v>
      </c>
      <c r="M316" s="9"/>
      <c r="N316" s="10"/>
      <c r="O316" s="9"/>
      <c r="P316" s="9">
        <v>10929</v>
      </c>
      <c r="Q316" s="9"/>
      <c r="R316" s="9" t="s">
        <v>9321</v>
      </c>
      <c r="S316" s="9" t="s">
        <v>9321</v>
      </c>
      <c r="T316" s="9"/>
      <c r="U316" s="9"/>
      <c r="V316" s="9"/>
      <c r="W316" s="9"/>
      <c r="X316" s="9"/>
      <c r="Y316" s="9"/>
      <c r="Z316" s="9"/>
      <c r="AA316" s="9"/>
      <c r="AB316" s="9"/>
      <c r="AC316" s="9"/>
    </row>
    <row r="317" spans="1:29" ht="29">
      <c r="A317" s="3" t="s">
        <v>583</v>
      </c>
      <c r="B317" s="3" t="s">
        <v>4859</v>
      </c>
      <c r="C317" s="3" t="s">
        <v>4856</v>
      </c>
      <c r="G317" s="9" t="s">
        <v>3889</v>
      </c>
      <c r="H317" s="9"/>
      <c r="I317" s="9">
        <v>2</v>
      </c>
      <c r="J317" s="9">
        <v>9</v>
      </c>
      <c r="K317" s="9"/>
      <c r="L317" s="9" t="s">
        <v>8690</v>
      </c>
      <c r="M317" s="9"/>
      <c r="N317" s="10"/>
      <c r="O317" s="9"/>
      <c r="P317" s="9">
        <v>336</v>
      </c>
      <c r="Q317" s="9"/>
      <c r="R317" s="9" t="s">
        <v>9321</v>
      </c>
      <c r="S317" s="9" t="s">
        <v>9321</v>
      </c>
      <c r="T317" s="9"/>
      <c r="U317" s="9"/>
      <c r="V317" s="9"/>
      <c r="W317" s="9"/>
      <c r="X317" s="9"/>
      <c r="Y317" s="9"/>
      <c r="Z317" s="9"/>
      <c r="AA317" s="9"/>
      <c r="AB317" s="9"/>
      <c r="AC317" s="9"/>
    </row>
    <row r="318" spans="1:29" ht="29">
      <c r="A318" s="3" t="s">
        <v>584</v>
      </c>
      <c r="B318" s="3" t="s">
        <v>4862</v>
      </c>
      <c r="C318" s="3" t="s">
        <v>4863</v>
      </c>
      <c r="G318" s="9" t="s">
        <v>3894</v>
      </c>
      <c r="H318" s="9"/>
      <c r="I318" s="9"/>
      <c r="J318" s="9"/>
      <c r="K318" s="9"/>
      <c r="L318" s="9"/>
      <c r="M318" s="9"/>
      <c r="N318" s="10"/>
      <c r="O318" s="9"/>
      <c r="P318" s="9"/>
      <c r="Q318" s="9"/>
      <c r="R318" s="9" t="s">
        <v>9321</v>
      </c>
      <c r="S318" s="9" t="s">
        <v>9321</v>
      </c>
      <c r="T318" s="9"/>
      <c r="U318" s="9"/>
      <c r="V318" s="9"/>
      <c r="W318" s="9"/>
      <c r="X318" s="9"/>
      <c r="Y318" s="9"/>
      <c r="Z318" s="9"/>
      <c r="AA318" s="9"/>
      <c r="AB318" s="9"/>
      <c r="AC318" s="9"/>
    </row>
    <row r="319" spans="1:29" ht="29">
      <c r="A319" s="3" t="s">
        <v>587</v>
      </c>
      <c r="B319" s="3" t="s">
        <v>4864</v>
      </c>
      <c r="C319" s="3" t="s">
        <v>4865</v>
      </c>
      <c r="F319" t="s">
        <v>3884</v>
      </c>
      <c r="G319" s="9" t="s">
        <v>3885</v>
      </c>
      <c r="H319" s="9"/>
      <c r="I319" s="9">
        <v>2</v>
      </c>
      <c r="J319" s="9">
        <v>8</v>
      </c>
      <c r="K319" s="9"/>
      <c r="L319" s="9" t="s">
        <v>8690</v>
      </c>
      <c r="M319" s="9"/>
      <c r="N319" s="10"/>
      <c r="O319" s="9"/>
      <c r="P319" s="9">
        <v>106</v>
      </c>
      <c r="Q319" s="9"/>
      <c r="R319" s="9" t="s">
        <v>9321</v>
      </c>
      <c r="S319" s="9" t="s">
        <v>9321</v>
      </c>
      <c r="T319" s="9"/>
      <c r="U319" s="9"/>
      <c r="V319" s="9"/>
      <c r="W319" s="9"/>
      <c r="X319" s="9"/>
      <c r="Y319" s="9"/>
      <c r="Z319" s="9"/>
      <c r="AA319" s="9"/>
      <c r="AB319" s="9"/>
      <c r="AC319" s="9"/>
    </row>
    <row r="320" spans="1:29" ht="29">
      <c r="A320" s="3" t="s">
        <v>590</v>
      </c>
      <c r="B320" s="3" t="s">
        <v>4870</v>
      </c>
      <c r="C320" s="3" t="s">
        <v>4871</v>
      </c>
      <c r="G320" s="9" t="s">
        <v>3885</v>
      </c>
      <c r="H320" s="9"/>
      <c r="I320" s="9">
        <v>1</v>
      </c>
      <c r="J320" s="9">
        <v>2</v>
      </c>
      <c r="K320" s="9" t="s">
        <v>8689</v>
      </c>
      <c r="L320" s="9" t="s">
        <v>8730</v>
      </c>
      <c r="M320" s="9"/>
      <c r="N320" s="10"/>
      <c r="O320" s="9"/>
      <c r="P320" s="9">
        <v>10929</v>
      </c>
      <c r="Q320" s="9"/>
      <c r="R320" s="9" t="s">
        <v>9321</v>
      </c>
      <c r="S320" s="9" t="s">
        <v>9321</v>
      </c>
      <c r="T320" s="9"/>
      <c r="U320" s="9"/>
      <c r="V320" s="9"/>
      <c r="W320" s="9"/>
      <c r="X320" s="9"/>
      <c r="Y320" s="9"/>
      <c r="Z320" s="9"/>
      <c r="AA320" s="9"/>
      <c r="AB320" s="9"/>
      <c r="AC320" s="9"/>
    </row>
    <row r="321" spans="1:29" ht="29">
      <c r="A321" s="3" t="s">
        <v>591</v>
      </c>
      <c r="B321" s="3" t="s">
        <v>4873</v>
      </c>
      <c r="C321" s="3" t="s">
        <v>4874</v>
      </c>
      <c r="G321" s="9" t="s">
        <v>8729</v>
      </c>
      <c r="H321" s="9"/>
      <c r="I321" s="9"/>
      <c r="J321" s="9"/>
      <c r="K321" s="9"/>
      <c r="L321" s="9"/>
      <c r="M321" s="9"/>
      <c r="N321" s="10"/>
      <c r="O321" s="9"/>
      <c r="P321" s="9"/>
      <c r="Q321" s="9">
        <v>9</v>
      </c>
      <c r="R321" s="9">
        <v>0</v>
      </c>
      <c r="S321" s="9">
        <v>9</v>
      </c>
      <c r="T321" s="9"/>
      <c r="U321" s="9"/>
      <c r="V321" s="9"/>
      <c r="W321" s="9"/>
      <c r="X321" s="9"/>
      <c r="Y321" s="9"/>
      <c r="Z321" s="9"/>
      <c r="AA321" s="9"/>
      <c r="AB321" s="9"/>
      <c r="AC321" s="9"/>
    </row>
    <row r="322" spans="1:29" ht="29">
      <c r="A322" s="3" t="s">
        <v>591</v>
      </c>
      <c r="B322" s="3" t="s">
        <v>4872</v>
      </c>
      <c r="C322" s="3" t="s">
        <v>4875</v>
      </c>
      <c r="F322" t="s">
        <v>3884</v>
      </c>
      <c r="G322" s="9" t="s">
        <v>3885</v>
      </c>
      <c r="H322" s="9"/>
      <c r="I322" s="9">
        <v>1</v>
      </c>
      <c r="J322" s="9">
        <v>1</v>
      </c>
      <c r="K322" s="9" t="s">
        <v>8689</v>
      </c>
      <c r="L322" s="9" t="s">
        <v>8730</v>
      </c>
      <c r="M322" s="9"/>
      <c r="N322" s="10"/>
      <c r="O322" s="9"/>
      <c r="P322" s="9">
        <v>10929</v>
      </c>
      <c r="Q322" s="9"/>
      <c r="R322" s="9" t="s">
        <v>9321</v>
      </c>
      <c r="S322" s="9" t="s">
        <v>9321</v>
      </c>
      <c r="T322" s="9"/>
      <c r="U322" s="9"/>
      <c r="V322" s="9"/>
      <c r="W322" s="9"/>
      <c r="X322" s="9"/>
      <c r="Y322" s="9"/>
      <c r="Z322" s="9"/>
      <c r="AA322" s="9"/>
      <c r="AB322" s="9"/>
      <c r="AC322" s="9"/>
    </row>
    <row r="323" spans="1:29" ht="29">
      <c r="A323" s="3" t="s">
        <v>594</v>
      </c>
      <c r="B323" s="3" t="s">
        <v>4878</v>
      </c>
      <c r="C323" s="3" t="s">
        <v>4879</v>
      </c>
      <c r="G323" s="9" t="s">
        <v>3889</v>
      </c>
      <c r="H323" s="9"/>
      <c r="I323" s="9">
        <v>1</v>
      </c>
      <c r="J323" s="9">
        <v>2</v>
      </c>
      <c r="K323" s="9" t="s">
        <v>8689</v>
      </c>
      <c r="L323" s="9" t="s">
        <v>8730</v>
      </c>
      <c r="M323" s="9"/>
      <c r="N323" s="10"/>
      <c r="O323" s="9"/>
      <c r="P323" s="9">
        <v>10929</v>
      </c>
      <c r="Q323" s="9"/>
      <c r="R323" s="9" t="s">
        <v>9321</v>
      </c>
      <c r="S323" s="9" t="s">
        <v>9321</v>
      </c>
      <c r="T323" s="9"/>
      <c r="U323" s="9"/>
      <c r="V323" s="9"/>
      <c r="W323" s="9"/>
      <c r="X323" s="9"/>
      <c r="Y323" s="9"/>
      <c r="Z323" s="9"/>
      <c r="AA323" s="9"/>
      <c r="AB323" s="9"/>
      <c r="AC323" s="9"/>
    </row>
    <row r="324" spans="1:29" ht="29">
      <c r="A324" s="3" t="s">
        <v>594</v>
      </c>
      <c r="B324" s="3" t="s">
        <v>4880</v>
      </c>
      <c r="C324" s="3" t="s">
        <v>4881</v>
      </c>
      <c r="G324" s="9" t="s">
        <v>8731</v>
      </c>
      <c r="H324" s="9"/>
      <c r="I324" s="9"/>
      <c r="J324" s="9"/>
      <c r="K324" s="9"/>
      <c r="L324" s="9"/>
      <c r="M324" s="9"/>
      <c r="N324" s="10"/>
      <c r="O324" s="9"/>
      <c r="P324" s="9"/>
      <c r="Q324" s="9"/>
      <c r="R324" s="9" t="s">
        <v>9321</v>
      </c>
      <c r="S324" s="9" t="s">
        <v>9321</v>
      </c>
      <c r="T324" s="9"/>
      <c r="U324" s="9"/>
      <c r="V324" s="9"/>
      <c r="W324" s="9"/>
      <c r="X324" s="9"/>
      <c r="Y324" s="9"/>
      <c r="Z324" s="9"/>
      <c r="AA324" s="9"/>
      <c r="AB324" s="9"/>
      <c r="AC324" s="9"/>
    </row>
    <row r="325" spans="1:29" ht="29">
      <c r="A325" s="3" t="s">
        <v>597</v>
      </c>
      <c r="B325" s="3" t="s">
        <v>2211</v>
      </c>
      <c r="C325" s="3" t="s">
        <v>2336</v>
      </c>
      <c r="G325" s="9" t="s">
        <v>8731</v>
      </c>
      <c r="H325" s="9"/>
      <c r="I325" s="9"/>
      <c r="J325" s="9"/>
      <c r="K325" s="9"/>
      <c r="L325" s="9"/>
      <c r="M325" s="9"/>
      <c r="N325" s="10"/>
      <c r="O325" s="9"/>
      <c r="P325" s="9"/>
      <c r="Q325" s="9"/>
      <c r="R325" s="9" t="s">
        <v>9321</v>
      </c>
      <c r="S325" s="9" t="s">
        <v>9321</v>
      </c>
      <c r="T325" s="9"/>
      <c r="U325" s="9"/>
      <c r="V325" s="9"/>
      <c r="W325" s="9"/>
      <c r="X325" s="9"/>
      <c r="Y325" s="9"/>
      <c r="Z325" s="9"/>
      <c r="AA325" s="9"/>
      <c r="AB325" s="9"/>
      <c r="AC325" s="9"/>
    </row>
    <row r="326" spans="1:29" ht="29">
      <c r="A326" s="3" t="s">
        <v>598</v>
      </c>
      <c r="B326" t="s">
        <v>4886</v>
      </c>
      <c r="C326" t="s">
        <v>4887</v>
      </c>
      <c r="F326" t="s">
        <v>3884</v>
      </c>
      <c r="G326" s="9" t="s">
        <v>3885</v>
      </c>
      <c r="H326" s="9"/>
      <c r="I326" s="9">
        <v>1</v>
      </c>
      <c r="J326" s="9">
        <v>2</v>
      </c>
      <c r="K326" s="9" t="s">
        <v>8689</v>
      </c>
      <c r="L326" s="9" t="s">
        <v>8730</v>
      </c>
      <c r="M326" s="9"/>
      <c r="N326" s="10"/>
      <c r="O326" s="9"/>
      <c r="P326" s="9">
        <v>10929</v>
      </c>
      <c r="Q326" s="9"/>
      <c r="R326" s="9" t="s">
        <v>9321</v>
      </c>
      <c r="S326" s="9" t="s">
        <v>9321</v>
      </c>
      <c r="T326" s="9"/>
      <c r="U326" s="9"/>
      <c r="V326" s="9"/>
      <c r="W326" s="9"/>
      <c r="X326" s="9"/>
      <c r="Y326" s="9"/>
      <c r="Z326" s="9"/>
      <c r="AA326" s="9"/>
      <c r="AB326" s="9"/>
      <c r="AC326" s="9"/>
    </row>
    <row r="327" spans="1:29" ht="29">
      <c r="A327" s="3" t="s">
        <v>599</v>
      </c>
      <c r="B327" s="3" t="s">
        <v>4893</v>
      </c>
      <c r="C327" s="3" t="s">
        <v>4894</v>
      </c>
      <c r="F327" t="s">
        <v>3884</v>
      </c>
      <c r="G327" s="9" t="s">
        <v>8729</v>
      </c>
      <c r="H327" s="9"/>
      <c r="I327" s="9"/>
      <c r="J327" s="9"/>
      <c r="K327" s="9"/>
      <c r="L327" s="9"/>
      <c r="M327" s="9"/>
      <c r="N327" s="10"/>
      <c r="O327" s="9"/>
      <c r="P327" s="9"/>
      <c r="Q327" s="9">
        <v>602</v>
      </c>
      <c r="R327" s="9">
        <v>43</v>
      </c>
      <c r="S327" s="9">
        <v>645</v>
      </c>
      <c r="T327" s="9"/>
      <c r="U327" s="9"/>
      <c r="V327" s="9"/>
      <c r="W327" s="9"/>
      <c r="X327" s="9"/>
      <c r="Y327" s="9"/>
      <c r="Z327" s="9"/>
      <c r="AA327" s="9"/>
      <c r="AB327" s="9"/>
      <c r="AC327" s="9"/>
    </row>
    <row r="328" spans="1:29" ht="29">
      <c r="A328" s="3" t="s">
        <v>599</v>
      </c>
      <c r="B328" s="3" t="s">
        <v>2864</v>
      </c>
      <c r="C328" s="3" t="s">
        <v>2865</v>
      </c>
      <c r="G328" s="9" t="s">
        <v>8729</v>
      </c>
      <c r="H328" s="9"/>
      <c r="I328" s="9"/>
      <c r="J328" s="9"/>
      <c r="K328" s="9"/>
      <c r="L328" s="9"/>
      <c r="M328" s="9"/>
      <c r="N328" s="10"/>
      <c r="O328" s="9"/>
      <c r="P328" s="9"/>
      <c r="Q328" s="9">
        <v>-78</v>
      </c>
      <c r="R328" s="9">
        <v>128</v>
      </c>
      <c r="S328" s="9">
        <v>50</v>
      </c>
      <c r="T328" s="9"/>
      <c r="U328" s="9"/>
      <c r="V328" s="9"/>
      <c r="W328" s="9"/>
      <c r="X328" s="9"/>
      <c r="Y328" s="9"/>
      <c r="Z328" s="9"/>
      <c r="AA328" s="9"/>
      <c r="AB328" s="9"/>
      <c r="AC328" s="9"/>
    </row>
    <row r="329" spans="1:29" ht="29">
      <c r="A329" s="3" t="s">
        <v>601</v>
      </c>
      <c r="B329" s="3" t="s">
        <v>4895</v>
      </c>
      <c r="C329" s="3" t="s">
        <v>4896</v>
      </c>
      <c r="G329" s="9" t="s">
        <v>8729</v>
      </c>
      <c r="H329" s="9"/>
      <c r="I329" s="9"/>
      <c r="J329" s="9"/>
      <c r="K329" s="9"/>
      <c r="L329" s="9"/>
      <c r="M329" s="9"/>
      <c r="N329" s="10"/>
      <c r="O329" s="9"/>
      <c r="P329" s="9"/>
      <c r="Q329" s="9">
        <v>794</v>
      </c>
      <c r="R329" s="9">
        <v>78</v>
      </c>
      <c r="S329" s="9">
        <v>872</v>
      </c>
      <c r="T329" s="9"/>
      <c r="U329" s="9"/>
      <c r="V329" s="9"/>
      <c r="W329" s="9"/>
      <c r="X329" s="9"/>
      <c r="Y329" s="9"/>
      <c r="Z329" s="9"/>
      <c r="AA329" s="9"/>
      <c r="AB329" s="9"/>
      <c r="AC329" s="9"/>
    </row>
    <row r="330" spans="1:29" ht="29">
      <c r="A330" s="3" t="s">
        <v>602</v>
      </c>
      <c r="B330" s="3" t="s">
        <v>4897</v>
      </c>
      <c r="C330" s="3" t="s">
        <v>4898</v>
      </c>
      <c r="G330" s="9" t="s">
        <v>8731</v>
      </c>
      <c r="H330" s="9"/>
      <c r="I330" s="9"/>
      <c r="J330" s="9"/>
      <c r="K330" s="9"/>
      <c r="L330" s="9"/>
      <c r="M330" s="9"/>
      <c r="N330" s="10"/>
      <c r="O330" s="9"/>
      <c r="P330" s="9"/>
      <c r="Q330" s="9"/>
      <c r="R330" s="9" t="s">
        <v>9321</v>
      </c>
      <c r="S330" s="9" t="s">
        <v>9321</v>
      </c>
      <c r="T330" s="9"/>
      <c r="U330" s="9"/>
      <c r="V330" s="9"/>
      <c r="W330" s="9"/>
      <c r="X330" s="9"/>
      <c r="Y330" s="9"/>
      <c r="Z330" s="9"/>
      <c r="AA330" s="9"/>
      <c r="AB330" s="9"/>
      <c r="AC330" s="9"/>
    </row>
    <row r="331" spans="1:29" ht="29">
      <c r="A331" s="3" t="s">
        <v>603</v>
      </c>
      <c r="B331" s="3" t="s">
        <v>4899</v>
      </c>
      <c r="C331" s="3" t="s">
        <v>4900</v>
      </c>
      <c r="G331" s="9" t="s">
        <v>3889</v>
      </c>
      <c r="H331" s="9"/>
      <c r="I331" s="9">
        <v>1</v>
      </c>
      <c r="J331" s="9">
        <v>3</v>
      </c>
      <c r="K331" s="9" t="s">
        <v>8689</v>
      </c>
      <c r="L331" s="9" t="s">
        <v>8690</v>
      </c>
      <c r="M331" s="9"/>
      <c r="N331" s="10"/>
      <c r="O331" s="9"/>
      <c r="P331" s="9">
        <v>10929</v>
      </c>
      <c r="Q331" s="9"/>
      <c r="R331" s="9" t="s">
        <v>9321</v>
      </c>
      <c r="S331" s="9" t="s">
        <v>9321</v>
      </c>
      <c r="T331" s="9"/>
      <c r="U331" s="9"/>
      <c r="V331" s="9"/>
      <c r="W331" s="9"/>
      <c r="X331" s="9"/>
      <c r="Y331" s="9"/>
      <c r="Z331" s="9"/>
      <c r="AA331" s="9"/>
      <c r="AB331" s="9"/>
      <c r="AC331" s="9"/>
    </row>
    <row r="332" spans="1:29" ht="29">
      <c r="A332" s="3" t="s">
        <v>604</v>
      </c>
      <c r="B332" s="3" t="s">
        <v>4901</v>
      </c>
      <c r="C332" s="3" t="s">
        <v>4902</v>
      </c>
      <c r="F332" t="s">
        <v>3884</v>
      </c>
      <c r="G332" s="9" t="s">
        <v>3885</v>
      </c>
      <c r="H332" s="9"/>
      <c r="I332" s="9">
        <v>1</v>
      </c>
      <c r="J332" s="9">
        <v>3</v>
      </c>
      <c r="K332" s="9" t="s">
        <v>8698</v>
      </c>
      <c r="L332" s="9" t="s">
        <v>8690</v>
      </c>
      <c r="M332" s="9"/>
      <c r="N332" s="10"/>
      <c r="O332" s="9"/>
      <c r="P332" s="9">
        <v>9418</v>
      </c>
      <c r="Q332" s="9"/>
      <c r="R332" s="9" t="s">
        <v>9321</v>
      </c>
      <c r="S332" s="9" t="s">
        <v>9321</v>
      </c>
      <c r="T332" s="9"/>
      <c r="U332" s="9"/>
      <c r="V332" s="9"/>
      <c r="W332" s="9"/>
      <c r="X332" s="9"/>
      <c r="Y332" s="9"/>
      <c r="Z332" s="9"/>
      <c r="AA332" s="9"/>
      <c r="AB332" s="9"/>
      <c r="AC332" s="9"/>
    </row>
    <row r="333" spans="1:29" ht="29">
      <c r="A333" s="3" t="s">
        <v>605</v>
      </c>
      <c r="B333" s="3" t="s">
        <v>4903</v>
      </c>
      <c r="C333" s="3" t="s">
        <v>4904</v>
      </c>
      <c r="G333" s="9" t="s">
        <v>3885</v>
      </c>
      <c r="H333" s="9"/>
      <c r="I333" s="9">
        <v>1</v>
      </c>
      <c r="J333" s="9">
        <v>2</v>
      </c>
      <c r="K333" s="9" t="s">
        <v>8707</v>
      </c>
      <c r="L333" s="9" t="s">
        <v>8730</v>
      </c>
      <c r="M333" s="9"/>
      <c r="N333" s="10"/>
      <c r="O333" s="9"/>
      <c r="P333" s="9">
        <v>1942</v>
      </c>
      <c r="Q333" s="9"/>
      <c r="R333" s="9" t="s">
        <v>9321</v>
      </c>
      <c r="S333" s="9" t="s">
        <v>9321</v>
      </c>
      <c r="T333" s="9"/>
      <c r="U333" s="9"/>
      <c r="V333" s="9"/>
      <c r="W333" s="9"/>
      <c r="X333" s="9"/>
      <c r="Y333" s="9"/>
      <c r="Z333" s="9"/>
      <c r="AA333" s="9"/>
      <c r="AB333" s="9"/>
      <c r="AC333" s="9"/>
    </row>
    <row r="334" spans="1:29" ht="43.5">
      <c r="A334" s="3" t="s">
        <v>611</v>
      </c>
      <c r="B334" s="3" t="s">
        <v>4907</v>
      </c>
      <c r="C334" s="3" t="s">
        <v>4909</v>
      </c>
      <c r="F334" t="s">
        <v>3884</v>
      </c>
      <c r="G334" s="9" t="s">
        <v>3885</v>
      </c>
      <c r="H334" s="9"/>
      <c r="I334" s="9">
        <v>1</v>
      </c>
      <c r="J334" s="9">
        <v>2</v>
      </c>
      <c r="K334" s="9" t="s">
        <v>8705</v>
      </c>
      <c r="L334" s="9" t="s">
        <v>8730</v>
      </c>
      <c r="M334" s="9"/>
      <c r="N334" s="10"/>
      <c r="O334" s="9"/>
      <c r="P334" s="9">
        <v>615</v>
      </c>
      <c r="Q334" s="9"/>
      <c r="R334" s="9" t="s">
        <v>9321</v>
      </c>
      <c r="S334" s="9" t="s">
        <v>9321</v>
      </c>
      <c r="T334" s="9"/>
      <c r="U334" s="9"/>
      <c r="V334" s="9"/>
      <c r="W334" s="9"/>
      <c r="X334" s="9"/>
      <c r="Y334" s="9"/>
      <c r="Z334" s="9"/>
      <c r="AA334" s="9"/>
      <c r="AB334" s="9"/>
      <c r="AC334" s="9"/>
    </row>
    <row r="335" spans="1:29" ht="29">
      <c r="A335" s="3" t="s">
        <v>619</v>
      </c>
      <c r="B335" s="3" t="s">
        <v>2257</v>
      </c>
      <c r="C335" s="3" t="s">
        <v>2892</v>
      </c>
      <c r="G335" s="9" t="s">
        <v>8729</v>
      </c>
      <c r="H335" s="9"/>
      <c r="I335" s="9"/>
      <c r="J335" s="9"/>
      <c r="K335" s="9"/>
      <c r="L335" s="9"/>
      <c r="M335" s="9"/>
      <c r="N335" s="10"/>
      <c r="O335" s="9"/>
      <c r="P335" s="9"/>
      <c r="Q335" s="9">
        <v>-251</v>
      </c>
      <c r="R335" s="9">
        <v>251</v>
      </c>
      <c r="S335" s="9">
        <v>0</v>
      </c>
      <c r="T335" s="9"/>
      <c r="U335" s="9"/>
      <c r="V335" s="9"/>
      <c r="W335" s="9"/>
      <c r="X335" s="9"/>
      <c r="Y335" s="9"/>
      <c r="Z335" s="9"/>
      <c r="AA335" s="9"/>
      <c r="AB335" s="9"/>
      <c r="AC335" s="9"/>
    </row>
    <row r="336" spans="1:29" ht="29">
      <c r="A336" s="3" t="s">
        <v>621</v>
      </c>
      <c r="B336" s="3" t="s">
        <v>4922</v>
      </c>
      <c r="C336" s="3" t="s">
        <v>4923</v>
      </c>
      <c r="G336" s="9" t="s">
        <v>3889</v>
      </c>
      <c r="H336" s="9"/>
      <c r="I336" s="9">
        <v>1</v>
      </c>
      <c r="J336" s="9">
        <v>3</v>
      </c>
      <c r="K336" s="9" t="s">
        <v>8703</v>
      </c>
      <c r="L336" s="9" t="s">
        <v>8690</v>
      </c>
      <c r="M336" s="9"/>
      <c r="N336" s="10"/>
      <c r="O336" s="9"/>
      <c r="P336" s="9">
        <v>627</v>
      </c>
      <c r="Q336" s="9"/>
      <c r="R336" s="9" t="s">
        <v>9321</v>
      </c>
      <c r="S336" s="9" t="s">
        <v>9321</v>
      </c>
      <c r="T336" s="9"/>
      <c r="U336" s="9"/>
      <c r="V336" s="9"/>
      <c r="W336" s="9"/>
      <c r="X336" s="9"/>
      <c r="Y336" s="9"/>
      <c r="Z336" s="9"/>
      <c r="AA336" s="9"/>
      <c r="AB336" s="9"/>
      <c r="AC336" s="9"/>
    </row>
    <row r="337" spans="1:29" ht="29">
      <c r="A337" s="3" t="s">
        <v>624</v>
      </c>
      <c r="B337" s="3" t="s">
        <v>2894</v>
      </c>
      <c r="C337" s="3" t="s">
        <v>2895</v>
      </c>
      <c r="G337" s="9" t="s">
        <v>8731</v>
      </c>
      <c r="H337" s="9"/>
      <c r="I337" s="9"/>
      <c r="J337" s="9"/>
      <c r="K337" s="9"/>
      <c r="L337" s="9"/>
      <c r="M337" s="9"/>
      <c r="N337" s="10"/>
      <c r="O337" s="9"/>
      <c r="P337" s="9"/>
      <c r="Q337" s="9"/>
      <c r="R337" s="9" t="s">
        <v>9321</v>
      </c>
      <c r="S337" s="9" t="s">
        <v>9321</v>
      </c>
      <c r="T337" s="9"/>
      <c r="U337" s="9"/>
      <c r="V337" s="9"/>
      <c r="W337" s="9"/>
      <c r="X337" s="9"/>
      <c r="Y337" s="9"/>
      <c r="Z337" s="9"/>
      <c r="AA337" s="9"/>
      <c r="AB337" s="9"/>
      <c r="AC337" s="9"/>
    </row>
    <row r="338" spans="1:29" ht="29">
      <c r="A338" s="3" t="s">
        <v>626</v>
      </c>
      <c r="B338" s="3" t="s">
        <v>4927</v>
      </c>
      <c r="C338" s="3" t="s">
        <v>4928</v>
      </c>
      <c r="D338" t="s">
        <v>4397</v>
      </c>
      <c r="F338" t="s">
        <v>3884</v>
      </c>
      <c r="G338" s="9" t="s">
        <v>3885</v>
      </c>
      <c r="H338" s="9"/>
      <c r="I338" s="9">
        <v>1</v>
      </c>
      <c r="J338" s="9">
        <v>3</v>
      </c>
      <c r="K338" s="9" t="s">
        <v>8695</v>
      </c>
      <c r="L338" s="9" t="s">
        <v>8684</v>
      </c>
      <c r="M338" s="9" t="s">
        <v>8777</v>
      </c>
      <c r="N338" s="10" t="s">
        <v>8778</v>
      </c>
      <c r="O338" s="9"/>
      <c r="P338" s="9">
        <v>78</v>
      </c>
      <c r="Q338" s="9"/>
      <c r="R338" s="9" t="s">
        <v>9321</v>
      </c>
      <c r="S338" s="9" t="s">
        <v>9321</v>
      </c>
      <c r="T338" s="9"/>
      <c r="U338" s="9"/>
      <c r="V338" s="9"/>
      <c r="W338" s="9"/>
      <c r="X338" s="9"/>
      <c r="Y338" s="9"/>
      <c r="Z338" s="9"/>
      <c r="AA338" s="9"/>
      <c r="AB338" s="9"/>
      <c r="AC338" s="9"/>
    </row>
    <row r="339" spans="1:29" ht="29">
      <c r="A339" s="3" t="s">
        <v>626</v>
      </c>
      <c r="B339" s="3" t="s">
        <v>4929</v>
      </c>
      <c r="C339" s="3" t="s">
        <v>4930</v>
      </c>
      <c r="F339" t="s">
        <v>3884</v>
      </c>
      <c r="G339" s="9" t="s">
        <v>3889</v>
      </c>
      <c r="H339" s="9"/>
      <c r="I339" s="9">
        <v>1</v>
      </c>
      <c r="J339" s="9">
        <v>5</v>
      </c>
      <c r="K339" s="9" t="s">
        <v>8736</v>
      </c>
      <c r="L339" s="9" t="s">
        <v>8690</v>
      </c>
      <c r="M339" s="9"/>
      <c r="N339" s="10"/>
      <c r="O339" s="9"/>
      <c r="P339" s="9">
        <v>206</v>
      </c>
      <c r="Q339" s="9"/>
      <c r="R339" s="9" t="s">
        <v>9321</v>
      </c>
      <c r="S339" s="9" t="s">
        <v>9321</v>
      </c>
      <c r="T339" s="9"/>
      <c r="U339" s="9"/>
      <c r="V339" s="9"/>
      <c r="W339" s="9"/>
      <c r="X339" s="9"/>
      <c r="Y339" s="9"/>
      <c r="Z339" s="9"/>
      <c r="AA339" s="9"/>
      <c r="AB339" s="9"/>
      <c r="AC339" s="9"/>
    </row>
    <row r="340" spans="1:29" ht="29">
      <c r="A340" s="3" t="s">
        <v>626</v>
      </c>
      <c r="B340" s="3" t="s">
        <v>9473</v>
      </c>
      <c r="C340" s="3" t="s">
        <v>9472</v>
      </c>
      <c r="G340" s="9" t="s">
        <v>3889</v>
      </c>
      <c r="H340" s="9"/>
      <c r="I340" s="9">
        <v>2</v>
      </c>
      <c r="J340" s="9">
        <v>6</v>
      </c>
      <c r="K340" s="9"/>
      <c r="L340" s="9" t="s">
        <v>8690</v>
      </c>
      <c r="M340" s="9"/>
      <c r="N340" s="10"/>
      <c r="O340" s="9"/>
      <c r="P340" s="9">
        <v>886</v>
      </c>
      <c r="Q340" s="9"/>
      <c r="R340" s="9" t="s">
        <v>9321</v>
      </c>
      <c r="S340" s="9" t="s">
        <v>9321</v>
      </c>
      <c r="T340" s="9"/>
      <c r="U340" s="9"/>
      <c r="V340" s="9"/>
      <c r="W340" s="9"/>
      <c r="X340" s="9"/>
      <c r="Y340" s="9"/>
      <c r="Z340" s="9"/>
      <c r="AA340" s="9"/>
      <c r="AB340" s="9"/>
      <c r="AC340" s="9"/>
    </row>
    <row r="341" spans="1:29" ht="29">
      <c r="A341" s="3" t="s">
        <v>626</v>
      </c>
      <c r="B341" s="3" t="s">
        <v>9474</v>
      </c>
      <c r="C341" s="3" t="s">
        <v>9475</v>
      </c>
      <c r="G341" s="9" t="s">
        <v>8729</v>
      </c>
      <c r="H341" s="9"/>
      <c r="I341" s="9"/>
      <c r="J341" s="9"/>
      <c r="K341" s="9"/>
      <c r="L341" s="9"/>
      <c r="M341" s="9"/>
      <c r="N341" s="10"/>
      <c r="O341" s="9"/>
      <c r="P341" s="9"/>
      <c r="Q341" s="9">
        <v>139</v>
      </c>
      <c r="R341" s="9">
        <v>44</v>
      </c>
      <c r="S341" s="9">
        <v>183</v>
      </c>
      <c r="T341" s="9" t="s">
        <v>4</v>
      </c>
      <c r="U341" s="9"/>
      <c r="V341" s="9"/>
      <c r="W341" s="9"/>
      <c r="X341" s="9"/>
      <c r="Y341" s="9"/>
      <c r="Z341" s="9"/>
      <c r="AA341" s="9"/>
      <c r="AB341" s="9"/>
      <c r="AC341" s="9"/>
    </row>
    <row r="342" spans="1:29" ht="29">
      <c r="A342" s="3" t="s">
        <v>627</v>
      </c>
      <c r="B342" s="3" t="s">
        <v>8996</v>
      </c>
      <c r="C342" s="3" t="s">
        <v>8997</v>
      </c>
      <c r="F342" t="s">
        <v>3884</v>
      </c>
      <c r="G342" s="9" t="s">
        <v>3885</v>
      </c>
      <c r="H342" s="9"/>
      <c r="I342" s="9">
        <v>1</v>
      </c>
      <c r="J342" s="9">
        <v>2</v>
      </c>
      <c r="K342" s="9" t="s">
        <v>8705</v>
      </c>
      <c r="L342" s="9" t="s">
        <v>8730</v>
      </c>
      <c r="M342" s="9"/>
      <c r="N342" s="10"/>
      <c r="O342" s="9" t="s">
        <v>8685</v>
      </c>
      <c r="P342" s="9">
        <v>615</v>
      </c>
      <c r="Q342" s="9"/>
      <c r="R342" s="9" t="s">
        <v>9321</v>
      </c>
      <c r="S342" s="9" t="s">
        <v>9321</v>
      </c>
      <c r="T342" s="9"/>
      <c r="U342" s="9"/>
      <c r="V342" s="9"/>
      <c r="W342" s="9"/>
      <c r="X342" s="9"/>
      <c r="Y342" s="9"/>
      <c r="Z342" s="9"/>
      <c r="AA342" s="9"/>
      <c r="AB342" s="9"/>
      <c r="AC342" s="9"/>
    </row>
    <row r="343" spans="1:29" ht="29">
      <c r="A343" s="3" t="s">
        <v>627</v>
      </c>
      <c r="B343" s="3" t="s">
        <v>4931</v>
      </c>
      <c r="C343" t="s">
        <v>4932</v>
      </c>
      <c r="G343" s="9" t="s">
        <v>3889</v>
      </c>
      <c r="H343" s="9"/>
      <c r="I343" s="9">
        <v>1</v>
      </c>
      <c r="J343" s="9">
        <v>6</v>
      </c>
      <c r="K343" s="9" t="s">
        <v>8683</v>
      </c>
      <c r="L343" s="9" t="s">
        <v>8690</v>
      </c>
      <c r="M343" s="9"/>
      <c r="N343" s="10"/>
      <c r="O343" s="9"/>
      <c r="P343" s="9">
        <v>4</v>
      </c>
      <c r="Q343" s="9"/>
      <c r="R343" s="9" t="s">
        <v>9321</v>
      </c>
      <c r="S343" s="9" t="s">
        <v>9321</v>
      </c>
      <c r="T343" s="9"/>
      <c r="U343" s="9"/>
      <c r="V343" s="9"/>
      <c r="W343" s="9"/>
      <c r="X343" s="9"/>
      <c r="Y343" s="9"/>
      <c r="Z343" s="9"/>
      <c r="AA343" s="9"/>
      <c r="AB343" s="9"/>
      <c r="AC343" s="9"/>
    </row>
    <row r="344" spans="1:29" ht="29">
      <c r="A344" s="3" t="s">
        <v>630</v>
      </c>
      <c r="B344" s="3" t="s">
        <v>2900</v>
      </c>
      <c r="C344" s="3" t="s">
        <v>2901</v>
      </c>
      <c r="G344" s="9" t="s">
        <v>8729</v>
      </c>
      <c r="H344" s="9"/>
      <c r="I344" s="9"/>
      <c r="J344" s="9"/>
      <c r="K344" s="9"/>
      <c r="L344" s="9"/>
      <c r="M344" s="9"/>
      <c r="N344" s="10"/>
      <c r="O344" s="9"/>
      <c r="P344" s="9"/>
      <c r="Q344" s="9">
        <v>18</v>
      </c>
      <c r="R344" s="9">
        <v>2</v>
      </c>
      <c r="S344" s="9">
        <v>20</v>
      </c>
      <c r="T344" s="9"/>
      <c r="U344" s="9"/>
      <c r="V344" s="9"/>
      <c r="W344" s="9"/>
      <c r="X344" s="9"/>
      <c r="Y344" s="9"/>
      <c r="Z344" s="9"/>
      <c r="AA344" s="9"/>
      <c r="AB344" s="9"/>
      <c r="AC344" s="9"/>
    </row>
    <row r="345" spans="1:29" ht="29">
      <c r="A345" s="3" t="s">
        <v>631</v>
      </c>
      <c r="B345" s="3" t="s">
        <v>4936</v>
      </c>
      <c r="C345" s="3" t="s">
        <v>4937</v>
      </c>
      <c r="F345" t="s">
        <v>3884</v>
      </c>
      <c r="G345" s="9" t="s">
        <v>3889</v>
      </c>
      <c r="H345" s="9"/>
      <c r="I345" s="9">
        <v>1</v>
      </c>
      <c r="J345" s="9">
        <v>3</v>
      </c>
      <c r="K345" s="9" t="s">
        <v>8689</v>
      </c>
      <c r="L345" s="9" t="s">
        <v>8690</v>
      </c>
      <c r="M345" s="9"/>
      <c r="N345" s="10"/>
      <c r="O345" s="9"/>
      <c r="P345" s="9">
        <v>10929</v>
      </c>
      <c r="Q345" s="9"/>
      <c r="R345" s="9" t="s">
        <v>9321</v>
      </c>
      <c r="S345" s="9" t="s">
        <v>9321</v>
      </c>
      <c r="T345" s="9"/>
      <c r="U345" s="9"/>
      <c r="V345" s="9"/>
      <c r="W345" s="9"/>
      <c r="X345" s="9"/>
      <c r="Y345" s="9"/>
      <c r="Z345" s="9"/>
      <c r="AA345" s="9"/>
      <c r="AB345" s="9"/>
      <c r="AC345" s="9"/>
    </row>
    <row r="346" spans="1:29" ht="29">
      <c r="A346" s="3" t="s">
        <v>631</v>
      </c>
      <c r="B346" s="3" t="s">
        <v>2902</v>
      </c>
      <c r="C346" s="3" t="s">
        <v>2903</v>
      </c>
      <c r="F346" t="s">
        <v>3888</v>
      </c>
      <c r="G346" s="9" t="s">
        <v>8731</v>
      </c>
      <c r="H346" s="9"/>
      <c r="I346" s="9"/>
      <c r="J346" s="9"/>
      <c r="K346" s="9"/>
      <c r="L346" s="9"/>
      <c r="M346" s="9"/>
      <c r="N346" s="10"/>
      <c r="O346" s="9"/>
      <c r="P346" s="9"/>
      <c r="Q346" s="9"/>
      <c r="R346" s="9" t="s">
        <v>9321</v>
      </c>
      <c r="S346" s="9" t="s">
        <v>9321</v>
      </c>
      <c r="T346" s="9"/>
      <c r="U346" s="9"/>
      <c r="V346" s="9"/>
      <c r="W346" s="9"/>
      <c r="X346" s="9"/>
      <c r="Y346" s="9"/>
      <c r="Z346" s="9" t="s">
        <v>8757</v>
      </c>
      <c r="AA346" s="9" t="s">
        <v>3891</v>
      </c>
      <c r="AB346" s="9"/>
      <c r="AC346" s="9"/>
    </row>
    <row r="347" spans="1:29" ht="29">
      <c r="A347" s="3" t="s">
        <v>634</v>
      </c>
      <c r="B347" s="3" t="s">
        <v>2904</v>
      </c>
      <c r="C347" s="3" t="s">
        <v>9611</v>
      </c>
      <c r="G347" s="9" t="s">
        <v>3885</v>
      </c>
      <c r="H347" s="9"/>
      <c r="I347" s="9">
        <v>1</v>
      </c>
      <c r="J347" s="9">
        <v>3</v>
      </c>
      <c r="K347" s="9" t="s">
        <v>8689</v>
      </c>
      <c r="L347" s="9" t="s">
        <v>8690</v>
      </c>
      <c r="M347" s="9"/>
      <c r="N347" s="10"/>
      <c r="O347" s="9"/>
      <c r="P347" s="9">
        <v>10929</v>
      </c>
      <c r="Q347" s="9"/>
      <c r="R347" s="9" t="s">
        <v>9321</v>
      </c>
      <c r="S347" s="9" t="s">
        <v>9321</v>
      </c>
      <c r="T347" s="9"/>
      <c r="U347" s="9"/>
      <c r="V347" s="9"/>
      <c r="W347" s="9"/>
      <c r="X347" s="9"/>
      <c r="Y347" s="9"/>
      <c r="Z347" s="9"/>
      <c r="AA347" s="9"/>
      <c r="AB347" s="9"/>
      <c r="AC347" s="9"/>
    </row>
    <row r="348" spans="1:29" ht="29">
      <c r="A348" s="3" t="s">
        <v>635</v>
      </c>
      <c r="B348" s="4" t="s">
        <v>4952</v>
      </c>
      <c r="C348" s="3" t="s">
        <v>4953</v>
      </c>
      <c r="D348" t="s">
        <v>4196</v>
      </c>
      <c r="G348" s="9" t="s">
        <v>8731</v>
      </c>
      <c r="H348" s="9"/>
      <c r="I348" s="9"/>
      <c r="J348" s="9"/>
      <c r="K348" s="9"/>
      <c r="L348" s="9"/>
      <c r="M348" s="9"/>
      <c r="N348" s="10"/>
      <c r="O348" s="9"/>
      <c r="P348" s="9"/>
      <c r="Q348" s="9"/>
      <c r="R348" s="9" t="s">
        <v>9321</v>
      </c>
      <c r="S348" s="9" t="s">
        <v>9321</v>
      </c>
      <c r="T348" s="9"/>
      <c r="U348" s="9"/>
      <c r="V348" s="9"/>
      <c r="W348" s="9"/>
      <c r="X348" s="9"/>
      <c r="Y348" s="9"/>
      <c r="Z348" s="9"/>
      <c r="AA348" s="9"/>
      <c r="AB348" s="9"/>
      <c r="AC348" s="9"/>
    </row>
    <row r="349" spans="1:29">
      <c r="A349" s="3" t="s">
        <v>637</v>
      </c>
      <c r="B349" s="3" t="s">
        <v>4960</v>
      </c>
      <c r="C349" s="3" t="s">
        <v>4961</v>
      </c>
      <c r="G349" s="9" t="s">
        <v>8731</v>
      </c>
      <c r="H349" s="9"/>
      <c r="I349" s="9"/>
      <c r="J349" s="9"/>
      <c r="K349" s="9"/>
      <c r="L349" s="9"/>
      <c r="M349" s="9"/>
      <c r="N349" s="10"/>
      <c r="O349" s="9"/>
      <c r="P349" s="9"/>
      <c r="Q349" s="9"/>
      <c r="R349" s="9" t="s">
        <v>9321</v>
      </c>
      <c r="S349" s="9" t="s">
        <v>9321</v>
      </c>
      <c r="T349" s="9"/>
      <c r="U349" s="9"/>
      <c r="V349" s="9"/>
      <c r="W349" s="9"/>
      <c r="X349" s="9"/>
      <c r="Y349" s="9"/>
      <c r="Z349" s="9"/>
      <c r="AA349" s="9"/>
      <c r="AB349" s="9"/>
      <c r="AC349" s="9"/>
    </row>
    <row r="350" spans="1:29">
      <c r="A350" s="3" t="s">
        <v>638</v>
      </c>
      <c r="B350" s="3" t="s">
        <v>2581</v>
      </c>
      <c r="C350" s="3" t="s">
        <v>2906</v>
      </c>
      <c r="F350" t="s">
        <v>3884</v>
      </c>
      <c r="G350" s="9" t="s">
        <v>8731</v>
      </c>
      <c r="H350" s="9"/>
      <c r="I350" s="9"/>
      <c r="J350" s="9"/>
      <c r="K350" s="9"/>
      <c r="L350" s="9"/>
      <c r="M350" s="9"/>
      <c r="N350" s="10"/>
      <c r="O350" s="9"/>
      <c r="P350" s="9"/>
      <c r="Q350" s="9"/>
      <c r="R350" s="9" t="s">
        <v>9321</v>
      </c>
      <c r="S350" s="9" t="s">
        <v>9321</v>
      </c>
      <c r="T350" s="9"/>
      <c r="U350" s="9"/>
      <c r="V350" s="9"/>
      <c r="W350" s="9"/>
      <c r="X350" s="9"/>
      <c r="Y350" s="9"/>
      <c r="Z350" s="9"/>
      <c r="AA350" s="9"/>
      <c r="AB350" s="9"/>
      <c r="AC350" s="9"/>
    </row>
    <row r="351" spans="1:29">
      <c r="A351" s="3" t="s">
        <v>640</v>
      </c>
      <c r="B351" s="3" t="s">
        <v>4962</v>
      </c>
      <c r="C351" s="3" t="s">
        <v>4963</v>
      </c>
      <c r="G351" s="9" t="s">
        <v>3889</v>
      </c>
      <c r="H351" s="9"/>
      <c r="I351" s="9">
        <v>1</v>
      </c>
      <c r="J351" s="9">
        <v>4</v>
      </c>
      <c r="K351" s="9" t="s">
        <v>8710</v>
      </c>
      <c r="L351" s="9" t="s">
        <v>8690</v>
      </c>
      <c r="M351" s="9"/>
      <c r="N351" s="10"/>
      <c r="O351" s="9"/>
      <c r="P351" s="9">
        <v>266</v>
      </c>
      <c r="Q351" s="9"/>
      <c r="R351" s="9" t="s">
        <v>9321</v>
      </c>
      <c r="S351" s="9" t="s">
        <v>9321</v>
      </c>
      <c r="T351" s="9"/>
      <c r="U351" s="9"/>
      <c r="V351" s="9"/>
      <c r="W351" s="9"/>
      <c r="X351" s="9"/>
      <c r="Y351" s="9"/>
      <c r="Z351" s="9"/>
      <c r="AA351" s="9"/>
      <c r="AB351" s="9"/>
      <c r="AC351" s="9"/>
    </row>
    <row r="352" spans="1:29" ht="72.5">
      <c r="A352" s="3" t="s">
        <v>641</v>
      </c>
      <c r="B352" s="3" t="s">
        <v>4967</v>
      </c>
      <c r="C352" s="3" t="s">
        <v>4964</v>
      </c>
      <c r="G352" s="9" t="s">
        <v>3889</v>
      </c>
      <c r="H352" s="9"/>
      <c r="I352" s="9">
        <v>5</v>
      </c>
      <c r="J352" s="9">
        <v>24</v>
      </c>
      <c r="K352" s="9"/>
      <c r="L352" s="9" t="s">
        <v>8684</v>
      </c>
      <c r="M352" s="9" t="s">
        <v>8944</v>
      </c>
      <c r="N352" s="10" t="s">
        <v>9000</v>
      </c>
      <c r="O352" s="9"/>
      <c r="P352" s="9">
        <v>74</v>
      </c>
      <c r="Q352" s="9"/>
      <c r="R352" s="9" t="s">
        <v>9321</v>
      </c>
      <c r="S352" s="9" t="s">
        <v>9321</v>
      </c>
      <c r="T352" s="9"/>
      <c r="U352" s="9"/>
      <c r="V352" s="9"/>
      <c r="W352" s="9"/>
      <c r="X352" s="9"/>
      <c r="Y352" s="9"/>
      <c r="Z352" s="9"/>
      <c r="AA352" s="9"/>
      <c r="AB352" s="9"/>
      <c r="AC352" s="9"/>
    </row>
    <row r="353" spans="1:29">
      <c r="A353" s="3" t="s">
        <v>642</v>
      </c>
      <c r="B353" s="3" t="s">
        <v>4972</v>
      </c>
      <c r="C353" s="3" t="s">
        <v>4973</v>
      </c>
      <c r="G353" s="9" t="s">
        <v>3889</v>
      </c>
      <c r="H353" s="9"/>
      <c r="I353" s="9">
        <v>1</v>
      </c>
      <c r="J353" s="9">
        <v>3</v>
      </c>
      <c r="K353" s="9" t="s">
        <v>8689</v>
      </c>
      <c r="L353" s="9" t="s">
        <v>8690</v>
      </c>
      <c r="M353" s="9"/>
      <c r="N353" s="10"/>
      <c r="O353" s="9"/>
      <c r="P353" s="9">
        <v>10929</v>
      </c>
      <c r="Q353" s="9"/>
      <c r="R353" s="9" t="s">
        <v>9321</v>
      </c>
      <c r="S353" s="9" t="s">
        <v>9321</v>
      </c>
      <c r="T353" s="9"/>
      <c r="U353" s="9"/>
      <c r="V353" s="9"/>
      <c r="W353" s="9"/>
      <c r="X353" s="9"/>
      <c r="Y353" s="9"/>
      <c r="Z353" s="9"/>
      <c r="AA353" s="9"/>
      <c r="AB353" s="9"/>
      <c r="AC353" s="9"/>
    </row>
    <row r="354" spans="1:29">
      <c r="A354" s="3" t="s">
        <v>642</v>
      </c>
      <c r="B354" s="3" t="s">
        <v>4974</v>
      </c>
      <c r="C354" s="3" t="s">
        <v>4975</v>
      </c>
      <c r="G354" s="9" t="s">
        <v>3889</v>
      </c>
      <c r="H354" s="9"/>
      <c r="I354" s="9">
        <v>1</v>
      </c>
      <c r="J354" s="9">
        <v>1</v>
      </c>
      <c r="K354" s="9" t="s">
        <v>8689</v>
      </c>
      <c r="L354" s="9" t="s">
        <v>8730</v>
      </c>
      <c r="M354" s="9"/>
      <c r="N354" s="10"/>
      <c r="O354" s="9" t="s">
        <v>8685</v>
      </c>
      <c r="P354" s="9">
        <v>10929</v>
      </c>
      <c r="Q354" s="9"/>
      <c r="R354" s="9" t="s">
        <v>9321</v>
      </c>
      <c r="S354" s="9" t="s">
        <v>9321</v>
      </c>
      <c r="T354" s="9"/>
      <c r="U354" s="9"/>
      <c r="V354" s="9"/>
      <c r="W354" s="9"/>
      <c r="X354" s="9"/>
      <c r="Y354" s="9"/>
      <c r="Z354" s="9"/>
      <c r="AA354" s="9"/>
      <c r="AB354" s="9"/>
      <c r="AC354" s="9"/>
    </row>
    <row r="355" spans="1:29" ht="29">
      <c r="A355" s="3" t="s">
        <v>644</v>
      </c>
      <c r="B355" s="3" t="s">
        <v>4977</v>
      </c>
      <c r="C355" s="3" t="s">
        <v>4978</v>
      </c>
      <c r="G355" s="9" t="s">
        <v>8731</v>
      </c>
      <c r="H355" s="9"/>
      <c r="I355" s="9"/>
      <c r="J355" s="9"/>
      <c r="K355" s="9"/>
      <c r="L355" s="9"/>
      <c r="M355" s="9"/>
      <c r="N355" s="10"/>
      <c r="O355" s="9"/>
      <c r="P355" s="9"/>
      <c r="Q355" s="9"/>
      <c r="R355" s="9" t="s">
        <v>9321</v>
      </c>
      <c r="S355" s="9" t="s">
        <v>9321</v>
      </c>
      <c r="T355" s="9"/>
      <c r="U355" s="9"/>
      <c r="V355" s="9"/>
      <c r="W355" s="9"/>
      <c r="X355" s="9"/>
      <c r="Y355" s="9"/>
      <c r="Z355" s="9"/>
      <c r="AA355" s="9"/>
      <c r="AB355" s="9"/>
      <c r="AC355" s="9"/>
    </row>
    <row r="356" spans="1:29" ht="29">
      <c r="A356" s="3" t="s">
        <v>645</v>
      </c>
      <c r="B356" s="3" t="s">
        <v>2014</v>
      </c>
      <c r="C356" s="3" t="s">
        <v>2013</v>
      </c>
      <c r="G356" s="9" t="s">
        <v>8731</v>
      </c>
      <c r="H356" s="9"/>
      <c r="I356" s="9"/>
      <c r="J356" s="9"/>
      <c r="K356" s="9"/>
      <c r="L356" s="9"/>
      <c r="M356" s="9"/>
      <c r="N356" s="10"/>
      <c r="O356" s="9"/>
      <c r="P356" s="9"/>
      <c r="Q356" s="9"/>
      <c r="R356" s="9" t="s">
        <v>9321</v>
      </c>
      <c r="S356" s="9" t="s">
        <v>9321</v>
      </c>
      <c r="T356" s="9"/>
      <c r="U356" s="9"/>
      <c r="V356" s="9"/>
      <c r="W356" s="9"/>
      <c r="X356" s="9"/>
      <c r="Y356" s="9"/>
      <c r="Z356" s="9"/>
      <c r="AA356" s="9"/>
      <c r="AB356" s="9"/>
      <c r="AC356" s="9"/>
    </row>
    <row r="357" spans="1:29">
      <c r="A357" s="3" t="s">
        <v>647</v>
      </c>
      <c r="B357" s="3" t="s">
        <v>4982</v>
      </c>
      <c r="C357" s="3" t="s">
        <v>4983</v>
      </c>
      <c r="G357" s="9" t="s">
        <v>3885</v>
      </c>
      <c r="H357" s="9"/>
      <c r="I357" s="9">
        <v>1</v>
      </c>
      <c r="J357" s="9">
        <v>2</v>
      </c>
      <c r="K357" s="9" t="s">
        <v>8689</v>
      </c>
      <c r="L357" s="9" t="s">
        <v>8730</v>
      </c>
      <c r="M357" s="9"/>
      <c r="N357" s="10"/>
      <c r="O357" s="9" t="s">
        <v>8685</v>
      </c>
      <c r="P357" s="9">
        <v>10929</v>
      </c>
      <c r="Q357" s="9"/>
      <c r="R357" s="9" t="s">
        <v>9321</v>
      </c>
      <c r="S357" s="9" t="s">
        <v>9321</v>
      </c>
      <c r="T357" s="9"/>
      <c r="U357" s="9"/>
      <c r="V357" s="9"/>
      <c r="W357" s="9"/>
      <c r="X357" s="9"/>
      <c r="Y357" s="9"/>
      <c r="Z357" s="9"/>
      <c r="AA357" s="9"/>
      <c r="AB357" s="9"/>
      <c r="AC357" s="9"/>
    </row>
    <row r="358" spans="1:29" ht="29">
      <c r="A358" s="3" t="s">
        <v>651</v>
      </c>
      <c r="B358" s="3" t="s">
        <v>4989</v>
      </c>
      <c r="C358" s="3" t="s">
        <v>4990</v>
      </c>
      <c r="F358" t="s">
        <v>3884</v>
      </c>
      <c r="G358" s="9" t="s">
        <v>3889</v>
      </c>
      <c r="H358" s="9"/>
      <c r="I358" s="9">
        <v>3</v>
      </c>
      <c r="J358" s="9">
        <v>12</v>
      </c>
      <c r="K358" s="9"/>
      <c r="L358" s="9" t="s">
        <v>8690</v>
      </c>
      <c r="M358" s="9"/>
      <c r="N358" s="10"/>
      <c r="O358" s="9"/>
      <c r="P358" s="9">
        <v>2</v>
      </c>
      <c r="Q358" s="9"/>
      <c r="R358" s="9" t="s">
        <v>9321</v>
      </c>
      <c r="S358" s="9" t="s">
        <v>9321</v>
      </c>
      <c r="T358" s="9"/>
      <c r="U358" s="9"/>
      <c r="V358" s="9"/>
      <c r="W358" s="9"/>
      <c r="X358" s="9"/>
      <c r="Y358" s="9"/>
      <c r="Z358" s="9"/>
      <c r="AA358" s="9"/>
      <c r="AB358" s="9"/>
      <c r="AC358" s="9"/>
    </row>
    <row r="359" spans="1:29">
      <c r="A359" s="3" t="s">
        <v>653</v>
      </c>
      <c r="B359" s="3" t="s">
        <v>4994</v>
      </c>
      <c r="C359" s="3" t="s">
        <v>4993</v>
      </c>
      <c r="F359" t="s">
        <v>3884</v>
      </c>
      <c r="G359" s="9" t="s">
        <v>3889</v>
      </c>
      <c r="H359" s="9"/>
      <c r="I359" s="9">
        <v>1</v>
      </c>
      <c r="J359" s="9">
        <v>1</v>
      </c>
      <c r="K359" s="9" t="s">
        <v>8689</v>
      </c>
      <c r="L359" s="9" t="s">
        <v>8730</v>
      </c>
      <c r="M359" s="9"/>
      <c r="N359" s="10"/>
      <c r="O359" s="9"/>
      <c r="P359" s="9">
        <v>10929</v>
      </c>
      <c r="Q359" s="9"/>
      <c r="R359" s="9" t="s">
        <v>9321</v>
      </c>
      <c r="S359" s="9" t="s">
        <v>9321</v>
      </c>
      <c r="T359" s="9"/>
      <c r="U359" s="9"/>
      <c r="V359" s="9"/>
      <c r="W359" s="9"/>
      <c r="X359" s="9"/>
      <c r="Y359" s="9"/>
      <c r="Z359" s="9"/>
      <c r="AA359" s="9"/>
      <c r="AB359" s="9"/>
      <c r="AC359" s="9"/>
    </row>
    <row r="360" spans="1:29">
      <c r="A360" s="3" t="s">
        <v>653</v>
      </c>
      <c r="B360" s="3" t="s">
        <v>4995</v>
      </c>
      <c r="C360" s="3" t="s">
        <v>4993</v>
      </c>
      <c r="F360" t="s">
        <v>3884</v>
      </c>
      <c r="G360" s="9" t="s">
        <v>3889</v>
      </c>
      <c r="H360" s="9"/>
      <c r="I360" s="9">
        <v>1</v>
      </c>
      <c r="J360" s="9">
        <v>3</v>
      </c>
      <c r="K360" s="9" t="s">
        <v>8689</v>
      </c>
      <c r="L360" s="9" t="s">
        <v>8690</v>
      </c>
      <c r="M360" s="9"/>
      <c r="N360" s="10"/>
      <c r="O360" s="9"/>
      <c r="P360" s="9">
        <v>10929</v>
      </c>
      <c r="Q360" s="9"/>
      <c r="R360" s="9" t="s">
        <v>9321</v>
      </c>
      <c r="S360" s="9" t="s">
        <v>9321</v>
      </c>
      <c r="T360" s="9"/>
      <c r="U360" s="9"/>
      <c r="V360" s="9"/>
      <c r="W360" s="9"/>
      <c r="X360" s="9"/>
      <c r="Y360" s="9"/>
      <c r="Z360" s="9"/>
      <c r="AA360" s="9"/>
      <c r="AB360" s="9"/>
      <c r="AC360" s="9"/>
    </row>
    <row r="361" spans="1:29" ht="29">
      <c r="A361" s="3" t="s">
        <v>658</v>
      </c>
      <c r="B361" s="3" t="s">
        <v>4999</v>
      </c>
      <c r="C361" s="3" t="s">
        <v>2926</v>
      </c>
      <c r="F361" t="s">
        <v>3884</v>
      </c>
      <c r="G361" s="9" t="s">
        <v>8729</v>
      </c>
      <c r="H361" s="9"/>
      <c r="I361" s="9"/>
      <c r="J361" s="9"/>
      <c r="K361" s="9"/>
      <c r="L361" s="9"/>
      <c r="M361" s="9"/>
      <c r="N361" s="10"/>
      <c r="O361" s="9"/>
      <c r="P361" s="9"/>
      <c r="Q361" s="9">
        <v>-2</v>
      </c>
      <c r="R361" s="9">
        <v>4</v>
      </c>
      <c r="S361" s="9">
        <v>2</v>
      </c>
      <c r="T361" s="9" t="s">
        <v>4</v>
      </c>
      <c r="U361" s="9"/>
      <c r="V361" s="9"/>
      <c r="W361" s="9"/>
      <c r="X361" s="9"/>
      <c r="Y361" s="9"/>
      <c r="Z361" s="9"/>
      <c r="AA361" s="9"/>
      <c r="AB361" s="9"/>
      <c r="AC361" s="9"/>
    </row>
    <row r="362" spans="1:29" ht="29">
      <c r="A362" s="3" t="s">
        <v>659</v>
      </c>
      <c r="B362" s="3" t="s">
        <v>5001</v>
      </c>
      <c r="C362" s="3" t="s">
        <v>2928</v>
      </c>
      <c r="F362" t="s">
        <v>3884</v>
      </c>
      <c r="G362" s="9" t="s">
        <v>8731</v>
      </c>
      <c r="H362" s="9"/>
      <c r="I362" s="9"/>
      <c r="J362" s="9"/>
      <c r="K362" s="9"/>
      <c r="L362" s="9"/>
      <c r="M362" s="9"/>
      <c r="N362" s="10"/>
      <c r="O362" s="9"/>
      <c r="P362" s="9"/>
      <c r="Q362" s="9"/>
      <c r="R362" s="9" t="s">
        <v>9321</v>
      </c>
      <c r="S362" s="9" t="s">
        <v>9321</v>
      </c>
      <c r="T362" s="9"/>
      <c r="U362" s="9"/>
      <c r="V362" s="9"/>
      <c r="W362" s="9"/>
      <c r="X362" s="9"/>
      <c r="Y362" s="9"/>
      <c r="Z362" s="9"/>
      <c r="AA362" s="9"/>
      <c r="AB362" s="9"/>
      <c r="AC362" s="9"/>
    </row>
    <row r="363" spans="1:29" ht="29">
      <c r="A363" s="3" t="s">
        <v>660</v>
      </c>
      <c r="B363" s="3" t="s">
        <v>5002</v>
      </c>
      <c r="C363" s="3" t="s">
        <v>5003</v>
      </c>
      <c r="F363" t="s">
        <v>3884</v>
      </c>
      <c r="G363" s="9" t="s">
        <v>3885</v>
      </c>
      <c r="H363" s="9"/>
      <c r="I363" s="9">
        <v>1</v>
      </c>
      <c r="J363" s="9">
        <v>2</v>
      </c>
      <c r="K363" s="9" t="s">
        <v>8689</v>
      </c>
      <c r="L363" s="9" t="s">
        <v>8730</v>
      </c>
      <c r="M363" s="9"/>
      <c r="N363" s="10"/>
      <c r="O363" s="9"/>
      <c r="P363" s="9">
        <v>10929</v>
      </c>
      <c r="Q363" s="9"/>
      <c r="R363" s="9" t="s">
        <v>9321</v>
      </c>
      <c r="S363" s="9" t="s">
        <v>9321</v>
      </c>
      <c r="T363" s="9"/>
      <c r="U363" s="9"/>
      <c r="V363" s="9"/>
      <c r="W363" s="9"/>
      <c r="X363" s="9"/>
      <c r="Y363" s="9"/>
      <c r="Z363" s="9"/>
      <c r="AA363" s="9"/>
      <c r="AB363" s="9"/>
      <c r="AC363" s="9"/>
    </row>
    <row r="364" spans="1:29" ht="29">
      <c r="A364" s="3" t="s">
        <v>661</v>
      </c>
      <c r="B364" s="3" t="s">
        <v>5004</v>
      </c>
      <c r="C364" s="3" t="s">
        <v>5005</v>
      </c>
      <c r="G364" s="9" t="s">
        <v>3885</v>
      </c>
      <c r="H364" s="9"/>
      <c r="I364" s="9">
        <v>1</v>
      </c>
      <c r="J364" s="9">
        <v>2</v>
      </c>
      <c r="K364" s="9" t="s">
        <v>8707</v>
      </c>
      <c r="L364" s="9" t="s">
        <v>8730</v>
      </c>
      <c r="M364" s="9"/>
      <c r="N364" s="10"/>
      <c r="O364" s="9"/>
      <c r="P364" s="9">
        <v>329</v>
      </c>
      <c r="Q364" s="9"/>
      <c r="R364" s="9" t="s">
        <v>9321</v>
      </c>
      <c r="S364" s="9" t="s">
        <v>9321</v>
      </c>
      <c r="T364" s="9"/>
      <c r="U364" s="9"/>
      <c r="V364" s="9"/>
      <c r="W364" s="9"/>
      <c r="X364" s="9"/>
      <c r="Y364" s="9"/>
      <c r="Z364" s="9"/>
      <c r="AA364" s="9"/>
      <c r="AB364" s="9"/>
      <c r="AC364" s="9"/>
    </row>
    <row r="365" spans="1:29">
      <c r="A365" s="3" t="s">
        <v>663</v>
      </c>
      <c r="B365" s="3" t="s">
        <v>2933</v>
      </c>
      <c r="C365" s="3" t="s">
        <v>2934</v>
      </c>
      <c r="G365" s="9" t="s">
        <v>8729</v>
      </c>
      <c r="H365" s="9"/>
      <c r="I365" s="9"/>
      <c r="J365" s="9"/>
      <c r="K365" s="9"/>
      <c r="L365" s="9"/>
      <c r="M365" s="9"/>
      <c r="N365" s="10"/>
      <c r="O365" s="9"/>
      <c r="P365" s="9"/>
      <c r="Q365" s="9">
        <v>55</v>
      </c>
      <c r="R365" s="9">
        <v>24</v>
      </c>
      <c r="S365" s="9">
        <v>79</v>
      </c>
      <c r="T365" s="9"/>
      <c r="U365" s="9"/>
      <c r="V365" s="9"/>
      <c r="W365" s="9"/>
      <c r="X365" s="9"/>
      <c r="Y365" s="9"/>
      <c r="Z365" s="9"/>
      <c r="AA365" s="9"/>
      <c r="AB365" s="9"/>
      <c r="AC365" s="9"/>
    </row>
    <row r="366" spans="1:29">
      <c r="A366" s="3" t="s">
        <v>664</v>
      </c>
      <c r="B366" s="3" t="s">
        <v>5017</v>
      </c>
      <c r="C366" s="3" t="s">
        <v>5018</v>
      </c>
      <c r="F366" t="s">
        <v>3884</v>
      </c>
      <c r="G366" s="9" t="s">
        <v>8729</v>
      </c>
      <c r="H366" s="9"/>
      <c r="I366" s="9"/>
      <c r="J366" s="9"/>
      <c r="K366" s="9"/>
      <c r="L366" s="9"/>
      <c r="M366" s="9"/>
      <c r="N366" s="10"/>
      <c r="O366" s="9"/>
      <c r="P366" s="9"/>
      <c r="Q366" s="9">
        <v>-4</v>
      </c>
      <c r="R366" s="9">
        <v>5</v>
      </c>
      <c r="S366" s="9">
        <v>1</v>
      </c>
      <c r="T366" s="9"/>
      <c r="U366" s="9"/>
      <c r="V366" s="9"/>
      <c r="W366" s="9"/>
      <c r="X366" s="9"/>
      <c r="Y366" s="9"/>
      <c r="Z366" s="9"/>
      <c r="AA366" s="9"/>
      <c r="AB366" s="9"/>
      <c r="AC366" s="9"/>
    </row>
    <row r="367" spans="1:29">
      <c r="A367" s="3" t="s">
        <v>665</v>
      </c>
      <c r="B367" s="3" t="s">
        <v>5022</v>
      </c>
      <c r="C367" s="3" t="s">
        <v>5023</v>
      </c>
      <c r="G367" s="9" t="s">
        <v>8731</v>
      </c>
      <c r="H367" s="9"/>
      <c r="I367" s="9"/>
      <c r="J367" s="9"/>
      <c r="K367" s="9"/>
      <c r="L367" s="9"/>
      <c r="M367" s="9"/>
      <c r="N367" s="10"/>
      <c r="O367" s="9"/>
      <c r="P367" s="9"/>
      <c r="Q367" s="9"/>
      <c r="R367" s="9" t="s">
        <v>9321</v>
      </c>
      <c r="S367" s="9" t="s">
        <v>9321</v>
      </c>
      <c r="T367" s="9"/>
      <c r="U367" s="9"/>
      <c r="V367" s="9"/>
      <c r="W367" s="9"/>
      <c r="X367" s="9"/>
      <c r="Y367" s="9"/>
      <c r="Z367" s="9"/>
      <c r="AA367" s="9"/>
      <c r="AB367" s="9"/>
      <c r="AC367" s="9"/>
    </row>
    <row r="368" spans="1:29" ht="29">
      <c r="A368" s="3" t="s">
        <v>669</v>
      </c>
      <c r="B368" s="3" t="s">
        <v>5027</v>
      </c>
      <c r="C368" s="3" t="s">
        <v>5028</v>
      </c>
      <c r="F368" t="s">
        <v>3884</v>
      </c>
      <c r="G368" s="9" t="s">
        <v>3889</v>
      </c>
      <c r="H368" s="9"/>
      <c r="I368" s="9">
        <v>1</v>
      </c>
      <c r="J368" s="9">
        <v>3</v>
      </c>
      <c r="K368" s="9" t="s">
        <v>8689</v>
      </c>
      <c r="L368" s="9" t="s">
        <v>8690</v>
      </c>
      <c r="M368" s="9"/>
      <c r="N368" s="10"/>
      <c r="O368" s="9"/>
      <c r="P368" s="9">
        <v>10929</v>
      </c>
      <c r="Q368" s="9"/>
      <c r="R368" s="9" t="s">
        <v>9321</v>
      </c>
      <c r="S368" s="9" t="s">
        <v>9321</v>
      </c>
      <c r="T368" s="9"/>
      <c r="U368" s="9"/>
      <c r="V368" s="9"/>
      <c r="W368" s="9"/>
      <c r="X368" s="9"/>
      <c r="Y368" s="9"/>
      <c r="Z368" s="9"/>
      <c r="AA368" s="9"/>
      <c r="AB368" s="9"/>
      <c r="AC368" s="9"/>
    </row>
    <row r="369" spans="1:29" ht="29">
      <c r="A369" s="3" t="s">
        <v>671</v>
      </c>
      <c r="B369" s="3" t="s">
        <v>3961</v>
      </c>
      <c r="C369" s="3" t="s">
        <v>5031</v>
      </c>
      <c r="G369" s="9" t="s">
        <v>8729</v>
      </c>
      <c r="H369" s="9"/>
      <c r="I369" s="9"/>
      <c r="J369" s="9"/>
      <c r="K369" s="9"/>
      <c r="L369" s="9"/>
      <c r="M369" s="9"/>
      <c r="N369" s="10"/>
      <c r="O369" s="9"/>
      <c r="P369" s="9"/>
      <c r="Q369" s="9">
        <v>-890</v>
      </c>
      <c r="R369" s="9">
        <v>1225</v>
      </c>
      <c r="S369" s="9">
        <v>335</v>
      </c>
      <c r="T369" s="9"/>
      <c r="U369" s="9"/>
      <c r="V369" s="9"/>
      <c r="W369" s="9"/>
      <c r="X369" s="9"/>
      <c r="Y369" s="9"/>
      <c r="Z369" s="9"/>
      <c r="AA369" s="9"/>
      <c r="AB369" s="9"/>
      <c r="AC369" s="9"/>
    </row>
    <row r="370" spans="1:29" ht="29">
      <c r="A370" s="3" t="s">
        <v>676</v>
      </c>
      <c r="B370" s="3" t="s">
        <v>5040</v>
      </c>
      <c r="C370" s="3" t="s">
        <v>5041</v>
      </c>
      <c r="F370" t="s">
        <v>3884</v>
      </c>
      <c r="G370" s="9" t="s">
        <v>3885</v>
      </c>
      <c r="H370" s="9"/>
      <c r="I370" s="9">
        <v>1</v>
      </c>
      <c r="J370" s="9">
        <v>3</v>
      </c>
      <c r="K370" s="9" t="s">
        <v>8698</v>
      </c>
      <c r="L370" s="9" t="s">
        <v>8690</v>
      </c>
      <c r="M370" s="9"/>
      <c r="N370" s="10"/>
      <c r="O370" s="9"/>
      <c r="P370" s="9">
        <v>9418</v>
      </c>
      <c r="Q370" s="9"/>
      <c r="R370" s="9" t="s">
        <v>9321</v>
      </c>
      <c r="S370" s="9" t="s">
        <v>9321</v>
      </c>
      <c r="T370" s="9"/>
      <c r="U370" s="9"/>
      <c r="V370" s="9"/>
      <c r="W370" s="9"/>
      <c r="X370" s="9"/>
      <c r="Y370" s="9"/>
      <c r="Z370" s="9"/>
      <c r="AA370" s="9"/>
      <c r="AB370" s="9"/>
      <c r="AC370" s="9"/>
    </row>
    <row r="371" spans="1:29" ht="29">
      <c r="A371" s="3" t="s">
        <v>677</v>
      </c>
      <c r="B371" s="3" t="s">
        <v>5044</v>
      </c>
      <c r="C371" s="3" t="s">
        <v>5045</v>
      </c>
      <c r="G371" s="9" t="s">
        <v>3889</v>
      </c>
      <c r="H371" s="9"/>
      <c r="I371" s="9">
        <v>1</v>
      </c>
      <c r="J371" s="9">
        <v>3</v>
      </c>
      <c r="K371" s="9" t="s">
        <v>8689</v>
      </c>
      <c r="L371" s="9" t="s">
        <v>8684</v>
      </c>
      <c r="M371" s="9" t="s">
        <v>8777</v>
      </c>
      <c r="N371" s="10" t="s">
        <v>8778</v>
      </c>
      <c r="O371" s="9" t="s">
        <v>8685</v>
      </c>
      <c r="P371" s="9">
        <v>10929</v>
      </c>
      <c r="Q371" s="9"/>
      <c r="R371" s="9" t="s">
        <v>9321</v>
      </c>
      <c r="S371" s="9" t="s">
        <v>9321</v>
      </c>
      <c r="T371" s="9"/>
      <c r="U371" s="9"/>
      <c r="V371" s="9"/>
      <c r="W371" s="9"/>
      <c r="X371" s="9"/>
      <c r="Y371" s="9"/>
      <c r="Z371" s="9"/>
      <c r="AA371" s="9"/>
      <c r="AB371" s="9"/>
      <c r="AC371" s="9"/>
    </row>
    <row r="372" spans="1:29">
      <c r="A372" s="3" t="s">
        <v>680</v>
      </c>
      <c r="B372" s="3" t="s">
        <v>5051</v>
      </c>
      <c r="C372" s="3" t="s">
        <v>5052</v>
      </c>
      <c r="F372" t="s">
        <v>3884</v>
      </c>
      <c r="G372" s="9" t="s">
        <v>3889</v>
      </c>
      <c r="H372" s="9"/>
      <c r="I372" s="9">
        <v>1</v>
      </c>
      <c r="J372" s="9">
        <v>3</v>
      </c>
      <c r="K372" s="9" t="s">
        <v>8689</v>
      </c>
      <c r="L372" s="9" t="s">
        <v>8690</v>
      </c>
      <c r="M372" s="9"/>
      <c r="N372" s="10"/>
      <c r="O372" s="9"/>
      <c r="P372" s="9">
        <v>10929</v>
      </c>
      <c r="Q372" s="9"/>
      <c r="R372" s="9" t="s">
        <v>9321</v>
      </c>
      <c r="S372" s="9" t="s">
        <v>9321</v>
      </c>
      <c r="T372" s="9"/>
      <c r="U372" s="9"/>
      <c r="V372" s="9"/>
      <c r="W372" s="9"/>
      <c r="X372" s="9"/>
      <c r="Y372" s="9"/>
      <c r="Z372" s="9"/>
      <c r="AA372" s="9"/>
      <c r="AB372" s="9"/>
      <c r="AC372" s="9"/>
    </row>
    <row r="373" spans="1:29">
      <c r="A373" s="3" t="s">
        <v>680</v>
      </c>
      <c r="B373" s="3" t="s">
        <v>5056</v>
      </c>
      <c r="C373" s="3" t="s">
        <v>2955</v>
      </c>
      <c r="F373" t="s">
        <v>3884</v>
      </c>
      <c r="G373" s="9" t="s">
        <v>8731</v>
      </c>
      <c r="H373" s="9"/>
      <c r="I373" s="9"/>
      <c r="J373" s="9"/>
      <c r="K373" s="9"/>
      <c r="L373" s="9"/>
      <c r="M373" s="9"/>
      <c r="N373" s="10"/>
      <c r="O373" s="9"/>
      <c r="P373" s="9"/>
      <c r="Q373" s="9"/>
      <c r="R373" s="9" t="s">
        <v>9321</v>
      </c>
      <c r="S373" s="9" t="s">
        <v>9321</v>
      </c>
      <c r="T373" s="9"/>
      <c r="U373" s="9"/>
      <c r="V373" s="9"/>
      <c r="W373" s="9"/>
      <c r="X373" s="9"/>
      <c r="Y373" s="9"/>
      <c r="Z373" s="9"/>
      <c r="AA373" s="9"/>
      <c r="AB373" s="9"/>
      <c r="AC373" s="9"/>
    </row>
    <row r="374" spans="1:29" ht="29">
      <c r="A374" s="3" t="s">
        <v>681</v>
      </c>
      <c r="B374" s="3" t="s">
        <v>5057</v>
      </c>
      <c r="C374" s="3" t="s">
        <v>9615</v>
      </c>
      <c r="G374" s="9" t="s">
        <v>3885</v>
      </c>
      <c r="H374" s="9"/>
      <c r="I374" s="9">
        <v>1</v>
      </c>
      <c r="J374" s="9">
        <v>3</v>
      </c>
      <c r="K374" s="9" t="s">
        <v>8689</v>
      </c>
      <c r="L374" s="9" t="s">
        <v>8690</v>
      </c>
      <c r="M374" s="9"/>
      <c r="N374" s="10"/>
      <c r="O374" s="9"/>
      <c r="P374" s="9">
        <v>10929</v>
      </c>
      <c r="Q374" s="9"/>
      <c r="R374" s="9" t="s">
        <v>9321</v>
      </c>
      <c r="S374" s="9" t="s">
        <v>9321</v>
      </c>
      <c r="T374" s="9"/>
      <c r="U374" s="9"/>
      <c r="V374" s="9"/>
      <c r="W374" s="9"/>
      <c r="X374" s="9"/>
      <c r="Y374" s="9"/>
      <c r="Z374" s="9"/>
      <c r="AA374" s="9"/>
      <c r="AB374" s="9"/>
      <c r="AC374" s="9"/>
    </row>
    <row r="375" spans="1:29" ht="72.5">
      <c r="A375" s="3" t="s">
        <v>682</v>
      </c>
      <c r="B375" s="3" t="s">
        <v>5059</v>
      </c>
      <c r="C375" s="3" t="s">
        <v>5060</v>
      </c>
      <c r="F375" t="s">
        <v>3884</v>
      </c>
      <c r="G375" s="9" t="s">
        <v>3889</v>
      </c>
      <c r="H375" s="9"/>
      <c r="I375" s="9">
        <v>9</v>
      </c>
      <c r="J375" s="9">
        <v>38</v>
      </c>
      <c r="K375" s="9"/>
      <c r="L375" s="9" t="s">
        <v>8684</v>
      </c>
      <c r="M375" s="9" t="s">
        <v>8944</v>
      </c>
      <c r="N375" s="10" t="s">
        <v>9003</v>
      </c>
      <c r="O375" s="9"/>
      <c r="P375" s="9">
        <v>27</v>
      </c>
      <c r="Q375" s="9"/>
      <c r="R375" s="9" t="s">
        <v>9321</v>
      </c>
      <c r="S375" s="9" t="s">
        <v>9321</v>
      </c>
      <c r="T375" s="9"/>
      <c r="U375" s="9"/>
      <c r="V375" s="9"/>
      <c r="W375" s="9"/>
      <c r="X375" s="9"/>
      <c r="Y375" s="9"/>
      <c r="Z375" s="9"/>
      <c r="AA375" s="9"/>
      <c r="AB375" s="9"/>
      <c r="AC375" s="9"/>
    </row>
    <row r="376" spans="1:29" ht="29">
      <c r="A376" s="3" t="s">
        <v>683</v>
      </c>
      <c r="B376" s="3" t="s">
        <v>5061</v>
      </c>
      <c r="C376" s="3" t="s">
        <v>5062</v>
      </c>
      <c r="F376" t="s">
        <v>3884</v>
      </c>
      <c r="G376" s="9" t="s">
        <v>3889</v>
      </c>
      <c r="H376" s="9"/>
      <c r="I376" s="9">
        <v>1</v>
      </c>
      <c r="J376" s="9">
        <v>2</v>
      </c>
      <c r="K376" s="9" t="s">
        <v>8689</v>
      </c>
      <c r="L376" s="9" t="s">
        <v>8730</v>
      </c>
      <c r="M376" s="9"/>
      <c r="N376" s="10"/>
      <c r="O376" s="9"/>
      <c r="P376" s="9">
        <v>10929</v>
      </c>
      <c r="Q376" s="9"/>
      <c r="R376" s="9" t="s">
        <v>9321</v>
      </c>
      <c r="S376" s="9" t="s">
        <v>9321</v>
      </c>
      <c r="T376" s="9"/>
      <c r="U376" s="9"/>
      <c r="V376" s="9"/>
      <c r="W376" s="9"/>
      <c r="X376" s="9"/>
      <c r="Y376" s="9"/>
      <c r="Z376" s="9"/>
      <c r="AA376" s="9"/>
      <c r="AB376" s="9"/>
      <c r="AC376" s="9"/>
    </row>
    <row r="377" spans="1:29" ht="29">
      <c r="A377" s="3" t="s">
        <v>683</v>
      </c>
      <c r="B377" s="3" t="s">
        <v>9477</v>
      </c>
      <c r="C377" s="3" t="s">
        <v>5063</v>
      </c>
      <c r="G377" s="9" t="s">
        <v>8729</v>
      </c>
      <c r="H377" s="9"/>
      <c r="I377" s="9"/>
      <c r="J377" s="9"/>
      <c r="K377" s="9"/>
      <c r="L377" s="9"/>
      <c r="M377" s="9"/>
      <c r="N377" s="10"/>
      <c r="O377" s="9"/>
      <c r="P377" s="9"/>
      <c r="Q377" s="9">
        <v>-3599</v>
      </c>
      <c r="R377" s="9">
        <v>3678</v>
      </c>
      <c r="S377" s="9">
        <v>79</v>
      </c>
      <c r="T377" s="9"/>
      <c r="U377" s="9"/>
      <c r="V377" s="9"/>
      <c r="W377" s="9"/>
      <c r="X377" s="9"/>
      <c r="Y377" s="9"/>
      <c r="Z377" s="9"/>
      <c r="AA377" s="9"/>
      <c r="AB377" s="9"/>
      <c r="AC377" s="9"/>
    </row>
    <row r="378" spans="1:29" ht="29">
      <c r="A378" s="3" t="s">
        <v>686</v>
      </c>
      <c r="B378" s="3" t="s">
        <v>5071</v>
      </c>
      <c r="C378" s="3" t="s">
        <v>5072</v>
      </c>
      <c r="G378" s="9" t="s">
        <v>3889</v>
      </c>
      <c r="H378" s="9"/>
      <c r="I378" s="9">
        <v>1</v>
      </c>
      <c r="J378" s="9">
        <v>1</v>
      </c>
      <c r="K378" s="9" t="s">
        <v>8689</v>
      </c>
      <c r="L378" s="9" t="s">
        <v>8730</v>
      </c>
      <c r="M378" s="9"/>
      <c r="N378" s="10"/>
      <c r="O378" s="9"/>
      <c r="P378" s="9">
        <v>10929</v>
      </c>
      <c r="Q378" s="9"/>
      <c r="R378" s="9" t="s">
        <v>9321</v>
      </c>
      <c r="S378" s="9" t="s">
        <v>9321</v>
      </c>
      <c r="T378" s="9"/>
      <c r="U378" s="9"/>
      <c r="V378" s="9"/>
      <c r="W378" s="9"/>
      <c r="X378" s="9"/>
      <c r="Y378" s="9"/>
      <c r="Z378" s="9"/>
      <c r="AA378" s="9"/>
      <c r="AB378" s="9"/>
      <c r="AC378" s="9"/>
    </row>
    <row r="379" spans="1:29" ht="29">
      <c r="A379" s="3" t="s">
        <v>687</v>
      </c>
      <c r="B379" s="3" t="s">
        <v>5073</v>
      </c>
      <c r="C379" s="3" t="s">
        <v>5074</v>
      </c>
      <c r="G379" s="9" t="s">
        <v>3889</v>
      </c>
      <c r="H379" s="9"/>
      <c r="I379" s="9">
        <v>1</v>
      </c>
      <c r="J379" s="9">
        <v>3</v>
      </c>
      <c r="K379" s="9" t="s">
        <v>8689</v>
      </c>
      <c r="L379" s="9" t="s">
        <v>8690</v>
      </c>
      <c r="M379" s="9"/>
      <c r="N379" s="10"/>
      <c r="O379" s="9"/>
      <c r="P379" s="9">
        <v>10929</v>
      </c>
      <c r="Q379" s="9"/>
      <c r="R379" s="9" t="s">
        <v>9321</v>
      </c>
      <c r="S379" s="9" t="s">
        <v>9321</v>
      </c>
      <c r="T379" s="9"/>
      <c r="U379" s="9"/>
      <c r="V379" s="9"/>
      <c r="W379" s="9"/>
      <c r="X379" s="9"/>
      <c r="Y379" s="9"/>
      <c r="Z379" s="9"/>
      <c r="AA379" s="9"/>
      <c r="AB379" s="9"/>
      <c r="AC379" s="9"/>
    </row>
    <row r="380" spans="1:29" ht="29">
      <c r="A380" s="3" t="s">
        <v>688</v>
      </c>
      <c r="B380" s="3" t="s">
        <v>2964</v>
      </c>
      <c r="C380" s="3" t="s">
        <v>2965</v>
      </c>
      <c r="G380" s="9" t="s">
        <v>8731</v>
      </c>
      <c r="H380" s="9"/>
      <c r="I380" s="9"/>
      <c r="J380" s="9"/>
      <c r="K380" s="9"/>
      <c r="L380" s="9"/>
      <c r="M380" s="9"/>
      <c r="N380" s="10"/>
      <c r="O380" s="9"/>
      <c r="P380" s="9"/>
      <c r="Q380" s="9"/>
      <c r="R380" s="9" t="s">
        <v>9321</v>
      </c>
      <c r="S380" s="9" t="s">
        <v>9321</v>
      </c>
      <c r="T380" s="9"/>
      <c r="U380" s="9"/>
      <c r="V380" s="9"/>
      <c r="W380" s="9"/>
      <c r="X380" s="9"/>
      <c r="Y380" s="9"/>
      <c r="Z380" s="9"/>
      <c r="AA380" s="9"/>
      <c r="AB380" s="9"/>
      <c r="AC380" s="9"/>
    </row>
    <row r="381" spans="1:29" ht="29">
      <c r="A381" s="3" t="s">
        <v>690</v>
      </c>
      <c r="B381" s="3" t="s">
        <v>5078</v>
      </c>
      <c r="C381" s="3" t="s">
        <v>5079</v>
      </c>
      <c r="G381" s="9" t="s">
        <v>3889</v>
      </c>
      <c r="H381" s="9"/>
      <c r="I381" s="9">
        <v>1</v>
      </c>
      <c r="J381" s="9">
        <v>3</v>
      </c>
      <c r="K381" s="9" t="s">
        <v>8689</v>
      </c>
      <c r="L381" s="9" t="s">
        <v>8690</v>
      </c>
      <c r="M381" s="9"/>
      <c r="N381" s="10"/>
      <c r="O381" s="9"/>
      <c r="P381" s="9">
        <v>10929</v>
      </c>
      <c r="Q381" s="9"/>
      <c r="R381" s="9" t="s">
        <v>9321</v>
      </c>
      <c r="S381" s="9" t="s">
        <v>9321</v>
      </c>
      <c r="T381" s="9"/>
      <c r="U381" s="9"/>
      <c r="V381" s="9"/>
      <c r="W381" s="9"/>
      <c r="X381" s="9"/>
      <c r="Y381" s="9"/>
      <c r="Z381" s="9"/>
      <c r="AA381" s="9"/>
      <c r="AB381" s="9"/>
      <c r="AC381" s="9"/>
    </row>
    <row r="382" spans="1:29">
      <c r="A382" s="3" t="s">
        <v>694</v>
      </c>
      <c r="B382" s="3" t="s">
        <v>4843</v>
      </c>
      <c r="C382" s="3" t="s">
        <v>5083</v>
      </c>
      <c r="F382" t="s">
        <v>3884</v>
      </c>
      <c r="G382" s="9" t="s">
        <v>3889</v>
      </c>
      <c r="H382" s="9"/>
      <c r="I382" s="9">
        <v>1</v>
      </c>
      <c r="J382" s="9">
        <v>4</v>
      </c>
      <c r="K382" s="9" t="s">
        <v>8707</v>
      </c>
      <c r="L382" s="9" t="s">
        <v>8690</v>
      </c>
      <c r="M382" s="9"/>
      <c r="N382" s="10"/>
      <c r="O382" s="9"/>
      <c r="P382" s="9">
        <v>428</v>
      </c>
      <c r="Q382" s="9"/>
      <c r="R382" s="9" t="s">
        <v>9321</v>
      </c>
      <c r="S382" s="9" t="s">
        <v>9321</v>
      </c>
      <c r="T382" s="9"/>
      <c r="U382" s="9"/>
      <c r="V382" s="9"/>
      <c r="W382" s="9"/>
      <c r="X382" s="9"/>
      <c r="Y382" s="9"/>
      <c r="Z382" s="9"/>
      <c r="AA382" s="9"/>
      <c r="AB382" s="9"/>
      <c r="AC382" s="9"/>
    </row>
    <row r="383" spans="1:29" ht="29">
      <c r="A383" s="3" t="s">
        <v>695</v>
      </c>
      <c r="B383" s="3" t="s">
        <v>9618</v>
      </c>
      <c r="C383" s="3" t="s">
        <v>9005</v>
      </c>
      <c r="G383" s="9" t="s">
        <v>8729</v>
      </c>
      <c r="H383" s="9"/>
      <c r="I383" s="9"/>
      <c r="J383" s="9"/>
      <c r="K383" s="9"/>
      <c r="L383" s="9"/>
      <c r="M383" s="9"/>
      <c r="N383" s="10"/>
      <c r="O383" s="9"/>
      <c r="P383" s="9"/>
      <c r="Q383" s="9">
        <v>-9938</v>
      </c>
      <c r="R383" s="9">
        <v>10929</v>
      </c>
      <c r="S383" s="9">
        <v>991</v>
      </c>
      <c r="T383" s="9"/>
      <c r="U383" s="9"/>
      <c r="V383" s="9"/>
      <c r="W383" s="9"/>
      <c r="X383" s="9"/>
      <c r="Y383" s="9"/>
      <c r="Z383" s="9"/>
      <c r="AA383" s="9"/>
      <c r="AB383" s="9"/>
      <c r="AC383" s="9"/>
    </row>
    <row r="384" spans="1:29">
      <c r="A384" s="3" t="s">
        <v>696</v>
      </c>
      <c r="B384" s="3" t="s">
        <v>5086</v>
      </c>
      <c r="C384" s="3" t="s">
        <v>5087</v>
      </c>
      <c r="F384" t="s">
        <v>3884</v>
      </c>
      <c r="G384" s="9" t="s">
        <v>8729</v>
      </c>
      <c r="H384" s="9"/>
      <c r="I384" s="9"/>
      <c r="J384" s="9"/>
      <c r="K384" s="9"/>
      <c r="L384" s="9"/>
      <c r="M384" s="9"/>
      <c r="N384" s="10"/>
      <c r="O384" s="9"/>
      <c r="P384" s="9"/>
      <c r="Q384" s="9">
        <v>-12</v>
      </c>
      <c r="R384" s="9">
        <v>12</v>
      </c>
      <c r="S384" s="9">
        <v>0</v>
      </c>
      <c r="T384" s="9" t="s">
        <v>8728</v>
      </c>
      <c r="U384" s="9"/>
      <c r="V384" s="9"/>
      <c r="W384" s="9"/>
      <c r="X384" s="9"/>
      <c r="Y384" s="9"/>
      <c r="Z384" s="9"/>
      <c r="AA384" s="9"/>
      <c r="AB384" s="9"/>
      <c r="AC384" s="9"/>
    </row>
    <row r="385" spans="1:29" ht="29">
      <c r="A385" s="3" t="s">
        <v>698</v>
      </c>
      <c r="B385" s="3" t="s">
        <v>5088</v>
      </c>
      <c r="C385" s="3" t="s">
        <v>5089</v>
      </c>
      <c r="F385" t="s">
        <v>3884</v>
      </c>
      <c r="G385" s="9" t="s">
        <v>3885</v>
      </c>
      <c r="H385" s="9"/>
      <c r="I385" s="9">
        <v>1</v>
      </c>
      <c r="J385" s="9">
        <v>2</v>
      </c>
      <c r="K385" s="9" t="s">
        <v>8689</v>
      </c>
      <c r="L385" s="9" t="s">
        <v>8730</v>
      </c>
      <c r="M385" s="9"/>
      <c r="N385" s="10"/>
      <c r="O385" s="9"/>
      <c r="P385" s="9">
        <v>10929</v>
      </c>
      <c r="Q385" s="9"/>
      <c r="R385" s="9" t="s">
        <v>9321</v>
      </c>
      <c r="S385" s="9" t="s">
        <v>9321</v>
      </c>
      <c r="T385" s="9"/>
      <c r="U385" s="9"/>
      <c r="V385" s="9"/>
      <c r="W385" s="9"/>
      <c r="X385" s="9"/>
      <c r="Y385" s="9"/>
      <c r="Z385" s="9"/>
      <c r="AA385" s="9"/>
      <c r="AB385" s="9"/>
      <c r="AC385" s="9"/>
    </row>
    <row r="386" spans="1:29" ht="43.5">
      <c r="A386" s="3" t="s">
        <v>700</v>
      </c>
      <c r="B386" s="3" t="s">
        <v>9008</v>
      </c>
      <c r="C386" s="3" t="s">
        <v>9009</v>
      </c>
      <c r="F386" t="s">
        <v>3884</v>
      </c>
      <c r="G386" s="9" t="s">
        <v>3885</v>
      </c>
      <c r="H386" s="9"/>
      <c r="I386" s="9">
        <v>1</v>
      </c>
      <c r="J386" s="9">
        <v>6</v>
      </c>
      <c r="K386" s="9" t="s">
        <v>8703</v>
      </c>
      <c r="L386" s="9" t="s">
        <v>8684</v>
      </c>
      <c r="M386" s="9" t="s">
        <v>8771</v>
      </c>
      <c r="N386" s="10" t="s">
        <v>8772</v>
      </c>
      <c r="O386" s="9" t="s">
        <v>8691</v>
      </c>
      <c r="P386" s="9">
        <v>221</v>
      </c>
      <c r="Q386" s="9"/>
      <c r="R386" s="9" t="s">
        <v>9321</v>
      </c>
      <c r="S386" s="9" t="s">
        <v>9321</v>
      </c>
      <c r="T386" s="9"/>
      <c r="U386" s="9"/>
      <c r="V386" s="9"/>
      <c r="W386" s="9"/>
      <c r="X386" s="9"/>
      <c r="Y386" s="9"/>
      <c r="Z386" s="9"/>
      <c r="AA386" s="9"/>
      <c r="AB386" s="9"/>
      <c r="AC386" s="9"/>
    </row>
    <row r="387" spans="1:29" ht="72.5">
      <c r="A387" s="3" t="s">
        <v>701</v>
      </c>
      <c r="B387" s="3" t="s">
        <v>5093</v>
      </c>
      <c r="C387" s="3" t="s">
        <v>9010</v>
      </c>
      <c r="F387" t="s">
        <v>3884</v>
      </c>
      <c r="G387" s="9" t="s">
        <v>3889</v>
      </c>
      <c r="H387" s="9"/>
      <c r="I387" s="9">
        <v>8</v>
      </c>
      <c r="J387" s="9">
        <v>43</v>
      </c>
      <c r="K387" s="9"/>
      <c r="L387" s="9" t="s">
        <v>8684</v>
      </c>
      <c r="M387" s="9" t="s">
        <v>8944</v>
      </c>
      <c r="N387" s="10" t="s">
        <v>9011</v>
      </c>
      <c r="O387" s="9"/>
      <c r="P387" s="9">
        <v>1</v>
      </c>
      <c r="Q387" s="9"/>
      <c r="R387" s="9" t="s">
        <v>9321</v>
      </c>
      <c r="S387" s="9" t="s">
        <v>9321</v>
      </c>
      <c r="T387" s="9"/>
      <c r="U387" s="9"/>
      <c r="V387" s="9"/>
      <c r="W387" s="9"/>
      <c r="X387" s="9"/>
      <c r="Y387" s="9"/>
      <c r="Z387" s="9"/>
      <c r="AA387" s="9"/>
      <c r="AB387" s="9"/>
      <c r="AC387" s="9"/>
    </row>
    <row r="388" spans="1:29" ht="58">
      <c r="A388" s="3" t="s">
        <v>702</v>
      </c>
      <c r="B388" s="3" t="s">
        <v>5094</v>
      </c>
      <c r="C388" s="3" t="s">
        <v>5096</v>
      </c>
      <c r="F388" t="s">
        <v>3884</v>
      </c>
      <c r="G388" s="9" t="s">
        <v>3885</v>
      </c>
      <c r="H388" s="9"/>
      <c r="I388" s="9">
        <v>1</v>
      </c>
      <c r="J388" s="9">
        <v>3</v>
      </c>
      <c r="K388" s="9" t="s">
        <v>8689</v>
      </c>
      <c r="L388" s="9" t="s">
        <v>8690</v>
      </c>
      <c r="M388" s="9"/>
      <c r="N388" s="10"/>
      <c r="O388" s="9"/>
      <c r="P388" s="9">
        <v>10929</v>
      </c>
      <c r="Q388" s="9"/>
      <c r="R388" s="9" t="s">
        <v>9321</v>
      </c>
      <c r="S388" s="9" t="s">
        <v>9321</v>
      </c>
      <c r="T388" s="9"/>
      <c r="U388" s="9"/>
      <c r="V388" s="9"/>
      <c r="W388" s="9"/>
      <c r="X388" s="9"/>
      <c r="Y388" s="9"/>
      <c r="Z388" s="9"/>
      <c r="AA388" s="9"/>
      <c r="AB388" s="9"/>
      <c r="AC388" s="9"/>
    </row>
    <row r="389" spans="1:29" ht="29">
      <c r="A389" s="3" t="s">
        <v>705</v>
      </c>
      <c r="B389" s="3" t="s">
        <v>5104</v>
      </c>
      <c r="C389" s="3" t="s">
        <v>5105</v>
      </c>
      <c r="F389" t="s">
        <v>3884</v>
      </c>
      <c r="G389" s="9" t="s">
        <v>8731</v>
      </c>
      <c r="H389" s="9"/>
      <c r="I389" s="9"/>
      <c r="J389" s="9"/>
      <c r="K389" s="9"/>
      <c r="L389" s="9"/>
      <c r="M389" s="9"/>
      <c r="N389" s="10"/>
      <c r="O389" s="9"/>
      <c r="P389" s="9"/>
      <c r="Q389" s="9"/>
      <c r="R389" s="9" t="s">
        <v>9321</v>
      </c>
      <c r="S389" s="9" t="s">
        <v>9321</v>
      </c>
      <c r="T389" s="9"/>
      <c r="U389" s="9"/>
      <c r="V389" s="9"/>
      <c r="W389" s="9"/>
      <c r="X389" s="9"/>
      <c r="Y389" s="9" t="s">
        <v>8735</v>
      </c>
      <c r="Z389" s="9"/>
      <c r="AA389" s="9" t="s">
        <v>3891</v>
      </c>
      <c r="AB389" s="9"/>
      <c r="AC389" s="9"/>
    </row>
    <row r="390" spans="1:29">
      <c r="A390" s="3" t="s">
        <v>706</v>
      </c>
      <c r="B390" s="3" t="s">
        <v>5111</v>
      </c>
      <c r="C390" s="3" t="s">
        <v>5112</v>
      </c>
      <c r="F390" t="s">
        <v>3884</v>
      </c>
      <c r="G390" s="9" t="s">
        <v>3885</v>
      </c>
      <c r="H390" s="9"/>
      <c r="I390" s="9">
        <v>1</v>
      </c>
      <c r="J390" s="9">
        <v>3</v>
      </c>
      <c r="K390" s="9" t="s">
        <v>8698</v>
      </c>
      <c r="L390" s="9" t="s">
        <v>8690</v>
      </c>
      <c r="M390" s="9"/>
      <c r="N390" s="10"/>
      <c r="O390" s="9"/>
      <c r="P390" s="9">
        <v>9418</v>
      </c>
      <c r="Q390" s="9"/>
      <c r="R390" s="9" t="s">
        <v>9321</v>
      </c>
      <c r="S390" s="9" t="s">
        <v>9321</v>
      </c>
      <c r="T390" s="9"/>
      <c r="U390" s="9"/>
      <c r="V390" s="9"/>
      <c r="W390" s="9"/>
      <c r="X390" s="9"/>
      <c r="Y390" s="9"/>
      <c r="Z390" s="9"/>
      <c r="AA390" s="9"/>
      <c r="AB390" s="9"/>
      <c r="AC390" s="9"/>
    </row>
    <row r="391" spans="1:29" ht="29">
      <c r="A391" s="3" t="s">
        <v>711</v>
      </c>
      <c r="B391" s="3" t="s">
        <v>5120</v>
      </c>
      <c r="C391" s="3" t="s">
        <v>5119</v>
      </c>
      <c r="G391" s="9" t="s">
        <v>8731</v>
      </c>
      <c r="H391" s="9"/>
      <c r="I391" s="9"/>
      <c r="J391" s="9"/>
      <c r="K391" s="9"/>
      <c r="L391" s="9"/>
      <c r="M391" s="9"/>
      <c r="N391" s="10"/>
      <c r="O391" s="9"/>
      <c r="P391" s="9"/>
      <c r="Q391" s="9"/>
      <c r="R391" s="9" t="s">
        <v>9321</v>
      </c>
      <c r="S391" s="9" t="s">
        <v>9321</v>
      </c>
      <c r="T391" s="9"/>
      <c r="U391" s="9"/>
      <c r="V391" s="9"/>
      <c r="W391" s="9"/>
      <c r="X391" s="9"/>
      <c r="Y391" s="9"/>
      <c r="Z391" s="9"/>
      <c r="AA391" s="9"/>
      <c r="AB391" s="9"/>
      <c r="AC391" s="9"/>
    </row>
    <row r="392" spans="1:29" ht="29">
      <c r="A392" s="3" t="s">
        <v>712</v>
      </c>
      <c r="B392" s="3" t="s">
        <v>5126</v>
      </c>
      <c r="C392" s="3" t="s">
        <v>5124</v>
      </c>
      <c r="G392" s="9" t="s">
        <v>3889</v>
      </c>
      <c r="H392" s="9"/>
      <c r="I392" s="9">
        <v>1</v>
      </c>
      <c r="J392" s="9">
        <v>3</v>
      </c>
      <c r="K392" s="9" t="s">
        <v>8705</v>
      </c>
      <c r="L392" s="9" t="s">
        <v>8690</v>
      </c>
      <c r="M392" s="9"/>
      <c r="N392" s="10"/>
      <c r="O392" s="9"/>
      <c r="P392" s="9">
        <v>1485</v>
      </c>
      <c r="Q392" s="9"/>
      <c r="R392" s="9" t="s">
        <v>9321</v>
      </c>
      <c r="S392" s="9" t="s">
        <v>9321</v>
      </c>
      <c r="T392" s="9" t="s">
        <v>8728</v>
      </c>
      <c r="U392" s="9"/>
      <c r="V392" s="9"/>
      <c r="W392" s="9"/>
      <c r="X392" s="9"/>
      <c r="Y392" s="9"/>
      <c r="Z392" s="9"/>
      <c r="AA392" s="9"/>
      <c r="AB392" s="9"/>
      <c r="AC392" s="9"/>
    </row>
    <row r="393" spans="1:29" ht="29">
      <c r="A393" s="3" t="s">
        <v>713</v>
      </c>
      <c r="B393" s="3" t="s">
        <v>5127</v>
      </c>
      <c r="C393" s="3" t="s">
        <v>5131</v>
      </c>
      <c r="F393" t="s">
        <v>3884</v>
      </c>
      <c r="G393" s="9" t="s">
        <v>3885</v>
      </c>
      <c r="H393" s="9"/>
      <c r="I393" s="9">
        <v>1</v>
      </c>
      <c r="J393" s="9">
        <v>1</v>
      </c>
      <c r="K393" s="9" t="s">
        <v>8683</v>
      </c>
      <c r="L393" s="9" t="s">
        <v>8730</v>
      </c>
      <c r="M393" s="9"/>
      <c r="N393" s="10"/>
      <c r="O393" s="9"/>
      <c r="P393" s="9">
        <v>36</v>
      </c>
      <c r="Q393" s="9"/>
      <c r="R393" s="9" t="s">
        <v>9321</v>
      </c>
      <c r="S393" s="9" t="s">
        <v>9321</v>
      </c>
      <c r="T393" s="9"/>
      <c r="U393" s="9"/>
      <c r="V393" s="9"/>
      <c r="W393" s="9"/>
      <c r="X393" s="9"/>
      <c r="Y393" s="9"/>
      <c r="Z393" s="9"/>
      <c r="AA393" s="9"/>
      <c r="AB393" s="9"/>
      <c r="AC393" s="9"/>
    </row>
    <row r="394" spans="1:29" ht="29">
      <c r="A394" s="3" t="s">
        <v>713</v>
      </c>
      <c r="B394" s="3" t="s">
        <v>5132</v>
      </c>
      <c r="C394" s="3" t="s">
        <v>5128</v>
      </c>
      <c r="F394" t="s">
        <v>3884</v>
      </c>
      <c r="G394" s="9" t="s">
        <v>3889</v>
      </c>
      <c r="H394" s="9"/>
      <c r="I394" s="9">
        <v>1</v>
      </c>
      <c r="J394" s="9">
        <v>1</v>
      </c>
      <c r="K394" s="9" t="s">
        <v>8689</v>
      </c>
      <c r="L394" s="9" t="s">
        <v>8730</v>
      </c>
      <c r="M394" s="9"/>
      <c r="N394" s="10"/>
      <c r="O394" s="9"/>
      <c r="P394" s="9">
        <v>10929</v>
      </c>
      <c r="Q394" s="9"/>
      <c r="R394" s="9" t="s">
        <v>9321</v>
      </c>
      <c r="S394" s="9" t="s">
        <v>9321</v>
      </c>
      <c r="T394" s="9"/>
      <c r="U394" s="9"/>
      <c r="V394" s="9"/>
      <c r="W394" s="9"/>
      <c r="X394" s="9"/>
      <c r="Y394" s="9"/>
      <c r="Z394" s="9"/>
      <c r="AA394" s="9"/>
      <c r="AB394" s="9"/>
      <c r="AC394" s="9"/>
    </row>
    <row r="395" spans="1:29" ht="29">
      <c r="A395" s="3" t="s">
        <v>715</v>
      </c>
      <c r="B395" s="3" t="s">
        <v>2984</v>
      </c>
      <c r="C395" s="3" t="s">
        <v>2985</v>
      </c>
      <c r="G395" s="9" t="s">
        <v>8731</v>
      </c>
      <c r="H395" s="9"/>
      <c r="I395" s="9"/>
      <c r="J395" s="9"/>
      <c r="K395" s="9"/>
      <c r="L395" s="9"/>
      <c r="M395" s="9"/>
      <c r="N395" s="10"/>
      <c r="O395" s="9"/>
      <c r="P395" s="9"/>
      <c r="Q395" s="9"/>
      <c r="R395" s="9" t="s">
        <v>9321</v>
      </c>
      <c r="S395" s="9" t="s">
        <v>9321</v>
      </c>
      <c r="T395" s="9"/>
      <c r="U395" s="9"/>
      <c r="V395" s="9"/>
      <c r="W395" s="9"/>
      <c r="X395" s="9"/>
      <c r="Y395" s="9"/>
      <c r="Z395" s="9"/>
      <c r="AA395" s="9"/>
      <c r="AB395" s="9"/>
      <c r="AC395" s="9"/>
    </row>
    <row r="396" spans="1:29" ht="29">
      <c r="A396" s="3" t="s">
        <v>716</v>
      </c>
      <c r="B396" s="3" t="s">
        <v>5139</v>
      </c>
      <c r="C396" s="3" t="s">
        <v>5140</v>
      </c>
      <c r="G396" s="9" t="s">
        <v>3885</v>
      </c>
      <c r="H396" s="9"/>
      <c r="I396" s="9">
        <v>1</v>
      </c>
      <c r="J396" s="9">
        <v>1</v>
      </c>
      <c r="K396" s="9" t="s">
        <v>8689</v>
      </c>
      <c r="L396" s="9" t="s">
        <v>8730</v>
      </c>
      <c r="M396" s="9"/>
      <c r="N396" s="10"/>
      <c r="O396" s="9"/>
      <c r="P396" s="9">
        <v>10929</v>
      </c>
      <c r="Q396" s="9"/>
      <c r="R396" s="9" t="s">
        <v>9321</v>
      </c>
      <c r="S396" s="9" t="s">
        <v>9321</v>
      </c>
      <c r="T396" s="9"/>
      <c r="U396" s="9"/>
      <c r="V396" s="9"/>
      <c r="W396" s="9"/>
      <c r="X396" s="9"/>
      <c r="Y396" s="9"/>
      <c r="Z396" s="9"/>
      <c r="AA396" s="9"/>
      <c r="AB396" s="9"/>
      <c r="AC396" s="9"/>
    </row>
    <row r="397" spans="1:29" ht="29">
      <c r="A397" s="3" t="s">
        <v>717</v>
      </c>
      <c r="B397" s="3" t="s">
        <v>5146</v>
      </c>
      <c r="C397" s="3" t="s">
        <v>5147</v>
      </c>
      <c r="G397" s="9" t="s">
        <v>3885</v>
      </c>
      <c r="H397" s="9"/>
      <c r="I397" s="9">
        <v>1</v>
      </c>
      <c r="J397" s="9">
        <v>3</v>
      </c>
      <c r="K397" s="9" t="s">
        <v>8689</v>
      </c>
      <c r="L397" s="9" t="s">
        <v>8690</v>
      </c>
      <c r="M397" s="9"/>
      <c r="N397" s="10"/>
      <c r="O397" s="9"/>
      <c r="P397" s="9">
        <v>10929</v>
      </c>
      <c r="Q397" s="9"/>
      <c r="R397" s="9" t="s">
        <v>9321</v>
      </c>
      <c r="S397" s="9" t="s">
        <v>9321</v>
      </c>
      <c r="T397" s="9"/>
      <c r="U397" s="9"/>
      <c r="V397" s="9"/>
      <c r="W397" s="9"/>
      <c r="X397" s="9"/>
      <c r="Y397" s="9"/>
      <c r="Z397" s="9"/>
      <c r="AA397" s="9"/>
      <c r="AB397" s="9"/>
      <c r="AC397" s="9"/>
    </row>
    <row r="398" spans="1:29" ht="29">
      <c r="A398" s="3" t="s">
        <v>719</v>
      </c>
      <c r="B398" s="3" t="s">
        <v>5150</v>
      </c>
      <c r="C398" s="3" t="s">
        <v>5151</v>
      </c>
      <c r="F398" t="s">
        <v>3884</v>
      </c>
      <c r="G398" s="9" t="s">
        <v>3885</v>
      </c>
      <c r="H398" s="9"/>
      <c r="I398" s="9">
        <v>1</v>
      </c>
      <c r="J398" s="9">
        <v>5</v>
      </c>
      <c r="K398" s="9" t="s">
        <v>8705</v>
      </c>
      <c r="L398" s="9" t="s">
        <v>8690</v>
      </c>
      <c r="M398" s="9"/>
      <c r="N398" s="10"/>
      <c r="O398" s="9"/>
      <c r="P398" s="9">
        <v>3678</v>
      </c>
      <c r="Q398" s="9"/>
      <c r="R398" s="9" t="s">
        <v>9321</v>
      </c>
      <c r="S398" s="9" t="s">
        <v>9321</v>
      </c>
      <c r="T398" s="9"/>
      <c r="U398" s="9"/>
      <c r="V398" s="9"/>
      <c r="W398" s="9"/>
      <c r="X398" s="9"/>
      <c r="Y398" s="9"/>
      <c r="Z398" s="9"/>
      <c r="AA398" s="9"/>
      <c r="AB398" s="9"/>
      <c r="AC398" s="9"/>
    </row>
    <row r="399" spans="1:29" ht="43.5">
      <c r="A399" s="3" t="s">
        <v>720</v>
      </c>
      <c r="B399" s="3" t="s">
        <v>5152</v>
      </c>
      <c r="C399" s="3" t="s">
        <v>5153</v>
      </c>
      <c r="F399" t="s">
        <v>3884</v>
      </c>
      <c r="G399" s="9" t="s">
        <v>3889</v>
      </c>
      <c r="H399" s="9"/>
      <c r="I399" s="9">
        <v>5</v>
      </c>
      <c r="J399" s="9">
        <v>28</v>
      </c>
      <c r="K399" s="9"/>
      <c r="L399" s="9" t="s">
        <v>8684</v>
      </c>
      <c r="M399" s="9" t="s">
        <v>8944</v>
      </c>
      <c r="N399" s="10" t="s">
        <v>9015</v>
      </c>
      <c r="O399" s="9"/>
      <c r="P399" s="9">
        <v>2</v>
      </c>
      <c r="Q399" s="9"/>
      <c r="R399" s="9" t="s">
        <v>9321</v>
      </c>
      <c r="S399" s="9" t="s">
        <v>9321</v>
      </c>
      <c r="T399" s="9"/>
      <c r="U399" s="9"/>
      <c r="V399" s="9"/>
      <c r="W399" s="9"/>
      <c r="X399" s="9"/>
      <c r="Y399" s="9"/>
      <c r="Z399" s="9"/>
      <c r="AA399" s="9"/>
      <c r="AB399" s="9"/>
      <c r="AC399" s="9"/>
    </row>
    <row r="400" spans="1:29" ht="29">
      <c r="A400" s="3" t="s">
        <v>722</v>
      </c>
      <c r="B400" s="3" t="s">
        <v>5157</v>
      </c>
      <c r="C400" s="3" t="s">
        <v>5156</v>
      </c>
      <c r="G400" s="9" t="s">
        <v>3889</v>
      </c>
      <c r="H400" s="9"/>
      <c r="I400" s="9">
        <v>1</v>
      </c>
      <c r="J400" s="9">
        <v>3</v>
      </c>
      <c r="K400" s="9" t="s">
        <v>8689</v>
      </c>
      <c r="L400" s="9" t="s">
        <v>8684</v>
      </c>
      <c r="M400" s="9" t="s">
        <v>8944</v>
      </c>
      <c r="N400" s="10" t="s">
        <v>8778</v>
      </c>
      <c r="O400" s="9" t="s">
        <v>8685</v>
      </c>
      <c r="P400" s="9">
        <v>10929</v>
      </c>
      <c r="Q400" s="9"/>
      <c r="R400" s="9" t="s">
        <v>9321</v>
      </c>
      <c r="S400" s="9" t="s">
        <v>9321</v>
      </c>
      <c r="T400" s="9"/>
      <c r="U400" s="9"/>
      <c r="V400" s="9"/>
      <c r="W400" s="9"/>
      <c r="X400" s="9"/>
      <c r="Y400" s="9"/>
      <c r="Z400" s="9"/>
      <c r="AA400" s="9"/>
      <c r="AB400" s="9"/>
      <c r="AC400" s="9"/>
    </row>
    <row r="401" spans="1:29" ht="29">
      <c r="A401" s="3" t="s">
        <v>722</v>
      </c>
      <c r="B401" s="3" t="s">
        <v>5158</v>
      </c>
      <c r="C401" s="3" t="s">
        <v>9619</v>
      </c>
      <c r="F401" t="s">
        <v>3884</v>
      </c>
      <c r="G401" s="9" t="s">
        <v>8729</v>
      </c>
      <c r="H401" s="9"/>
      <c r="I401" s="9"/>
      <c r="J401" s="9"/>
      <c r="K401" s="9"/>
      <c r="L401" s="9"/>
      <c r="M401" s="9"/>
      <c r="N401" s="10"/>
      <c r="O401" s="9"/>
      <c r="P401" s="9"/>
      <c r="Q401" s="9">
        <v>-1</v>
      </c>
      <c r="R401" s="9">
        <v>4</v>
      </c>
      <c r="S401" s="9">
        <v>3</v>
      </c>
      <c r="T401" s="9"/>
      <c r="U401" s="9"/>
      <c r="V401" s="9"/>
      <c r="W401" s="9"/>
      <c r="X401" s="9"/>
      <c r="Y401" s="9"/>
      <c r="Z401" s="9"/>
      <c r="AA401" s="9"/>
      <c r="AB401" s="9"/>
      <c r="AC401" s="9"/>
    </row>
    <row r="402" spans="1:29" ht="29">
      <c r="A402" s="3" t="s">
        <v>723</v>
      </c>
      <c r="B402" s="3" t="s">
        <v>5159</v>
      </c>
      <c r="C402" s="3" t="s">
        <v>4277</v>
      </c>
      <c r="F402" t="s">
        <v>3884</v>
      </c>
      <c r="G402" s="9" t="s">
        <v>3885</v>
      </c>
      <c r="H402" s="9"/>
      <c r="I402" s="9">
        <v>1</v>
      </c>
      <c r="J402" s="9">
        <v>2</v>
      </c>
      <c r="K402" s="9" t="s">
        <v>8689</v>
      </c>
      <c r="L402" s="9" t="s">
        <v>8730</v>
      </c>
      <c r="M402" s="9"/>
      <c r="N402" s="10"/>
      <c r="O402" s="9"/>
      <c r="P402" s="9">
        <v>10929</v>
      </c>
      <c r="Q402" s="9"/>
      <c r="R402" s="9" t="s">
        <v>9321</v>
      </c>
      <c r="S402" s="9" t="s">
        <v>9321</v>
      </c>
      <c r="T402" s="9"/>
      <c r="U402" s="9"/>
      <c r="V402" s="9"/>
      <c r="W402" s="9"/>
      <c r="X402" s="9"/>
      <c r="Y402" s="9"/>
      <c r="Z402" s="9"/>
      <c r="AA402" s="9"/>
      <c r="AB402" s="9"/>
      <c r="AC402" s="9"/>
    </row>
    <row r="403" spans="1:29" ht="29">
      <c r="A403" s="3" t="s">
        <v>724</v>
      </c>
      <c r="B403" s="3" t="s">
        <v>2217</v>
      </c>
      <c r="C403" s="3" t="s">
        <v>2990</v>
      </c>
      <c r="G403" s="9" t="s">
        <v>8731</v>
      </c>
      <c r="H403" s="9"/>
      <c r="I403" s="9"/>
      <c r="J403" s="9"/>
      <c r="K403" s="9"/>
      <c r="L403" s="9"/>
      <c r="M403" s="9"/>
      <c r="N403" s="10"/>
      <c r="O403" s="9"/>
      <c r="P403" s="9"/>
      <c r="Q403" s="9"/>
      <c r="R403" s="9" t="s">
        <v>9321</v>
      </c>
      <c r="S403" s="9" t="s">
        <v>9321</v>
      </c>
      <c r="T403" s="9"/>
      <c r="U403" s="9"/>
      <c r="V403" s="9"/>
      <c r="W403" s="9"/>
      <c r="X403" s="9"/>
      <c r="Y403" s="9"/>
      <c r="Z403" s="9"/>
      <c r="AA403" s="9"/>
      <c r="AB403" s="9"/>
      <c r="AC403" s="9"/>
    </row>
    <row r="404" spans="1:29" ht="29">
      <c r="A404" s="3" t="s">
        <v>730</v>
      </c>
      <c r="B404" s="3" t="s">
        <v>5166</v>
      </c>
      <c r="C404" s="3" t="s">
        <v>5167</v>
      </c>
      <c r="G404" s="9" t="s">
        <v>8729</v>
      </c>
      <c r="H404" s="9"/>
      <c r="I404" s="9"/>
      <c r="J404" s="9"/>
      <c r="K404" s="9"/>
      <c r="L404" s="9"/>
      <c r="M404" s="9"/>
      <c r="N404" s="10"/>
      <c r="O404" s="9"/>
      <c r="P404" s="9"/>
      <c r="Q404" s="9">
        <v>777</v>
      </c>
      <c r="R404" s="9">
        <v>4</v>
      </c>
      <c r="S404" s="9">
        <v>781</v>
      </c>
      <c r="T404" s="9"/>
      <c r="U404" s="9"/>
      <c r="V404" s="9"/>
      <c r="W404" s="9"/>
      <c r="X404" s="9"/>
      <c r="Y404" s="9"/>
      <c r="Z404" s="9"/>
      <c r="AA404" s="9"/>
      <c r="AB404" s="9"/>
      <c r="AC404" s="9"/>
    </row>
    <row r="405" spans="1:29" ht="43.5">
      <c r="A405" s="3" t="s">
        <v>733</v>
      </c>
      <c r="B405" s="3" t="s">
        <v>5173</v>
      </c>
      <c r="C405" s="3" t="s">
        <v>5174</v>
      </c>
      <c r="G405" s="9" t="s">
        <v>3889</v>
      </c>
      <c r="H405" s="9"/>
      <c r="I405" s="9">
        <v>4</v>
      </c>
      <c r="J405" s="9">
        <v>20</v>
      </c>
      <c r="K405" s="9"/>
      <c r="L405" s="9" t="s">
        <v>8684</v>
      </c>
      <c r="M405" s="9" t="s">
        <v>8740</v>
      </c>
      <c r="N405" s="10" t="s">
        <v>9018</v>
      </c>
      <c r="O405" s="9"/>
      <c r="P405" s="9">
        <v>160</v>
      </c>
      <c r="Q405" s="9"/>
      <c r="R405" s="9" t="s">
        <v>9321</v>
      </c>
      <c r="S405" s="9" t="s">
        <v>9321</v>
      </c>
      <c r="T405" s="9"/>
      <c r="U405" s="9"/>
      <c r="V405" s="9"/>
      <c r="W405" s="9"/>
      <c r="X405" s="9"/>
      <c r="Y405" s="9"/>
      <c r="Z405" s="9"/>
      <c r="AA405" s="9"/>
      <c r="AB405" s="9"/>
      <c r="AC405" s="9"/>
    </row>
    <row r="406" spans="1:29" ht="29">
      <c r="A406" s="3" t="s">
        <v>733</v>
      </c>
      <c r="B406" s="3" t="s">
        <v>5175</v>
      </c>
      <c r="C406" s="3" t="s">
        <v>5176</v>
      </c>
      <c r="G406" s="9" t="s">
        <v>8729</v>
      </c>
      <c r="H406" s="9"/>
      <c r="I406" s="9"/>
      <c r="J406" s="9"/>
      <c r="K406" s="9"/>
      <c r="L406" s="9"/>
      <c r="M406" s="9"/>
      <c r="N406" s="10"/>
      <c r="O406" s="9"/>
      <c r="P406" s="9"/>
      <c r="Q406" s="9">
        <v>-1</v>
      </c>
      <c r="R406" s="9">
        <v>1</v>
      </c>
      <c r="S406" s="9">
        <v>0</v>
      </c>
      <c r="T406" s="9"/>
      <c r="U406" s="9"/>
      <c r="V406" s="9"/>
      <c r="W406" s="9"/>
      <c r="X406" s="9"/>
      <c r="Y406" s="9"/>
      <c r="Z406" s="9"/>
      <c r="AA406" s="9"/>
      <c r="AB406" s="9"/>
      <c r="AC406" s="9"/>
    </row>
    <row r="407" spans="1:29" ht="29">
      <c r="A407" s="3" t="s">
        <v>734</v>
      </c>
      <c r="B407" s="3" t="s">
        <v>2395</v>
      </c>
      <c r="C407" s="3" t="s">
        <v>2996</v>
      </c>
      <c r="G407" s="9" t="s">
        <v>8729</v>
      </c>
      <c r="H407" s="9"/>
      <c r="I407" s="9"/>
      <c r="J407" s="9"/>
      <c r="K407" s="9"/>
      <c r="L407" s="9"/>
      <c r="M407" s="9"/>
      <c r="N407" s="10"/>
      <c r="O407" s="9"/>
      <c r="P407" s="9"/>
      <c r="Q407" s="9">
        <v>-52</v>
      </c>
      <c r="R407" s="9">
        <v>90</v>
      </c>
      <c r="S407" s="9">
        <v>38</v>
      </c>
      <c r="T407" s="9"/>
      <c r="U407" s="9"/>
      <c r="V407" s="9"/>
      <c r="W407" s="9"/>
      <c r="X407" s="9"/>
      <c r="Y407" s="9"/>
      <c r="Z407" s="9"/>
      <c r="AA407" s="9"/>
      <c r="AB407" s="9"/>
      <c r="AC407" s="9"/>
    </row>
    <row r="408" spans="1:29" ht="29">
      <c r="A408" s="3" t="s">
        <v>734</v>
      </c>
      <c r="B408" s="3" t="s">
        <v>5177</v>
      </c>
      <c r="C408" s="3" t="s">
        <v>5178</v>
      </c>
      <c r="G408" s="9" t="s">
        <v>8731</v>
      </c>
      <c r="H408" s="9"/>
      <c r="I408" s="9"/>
      <c r="J408" s="9"/>
      <c r="K408" s="9"/>
      <c r="L408" s="9"/>
      <c r="M408" s="9"/>
      <c r="N408" s="10"/>
      <c r="O408" s="9"/>
      <c r="P408" s="9"/>
      <c r="Q408" s="9"/>
      <c r="R408" s="9" t="s">
        <v>9321</v>
      </c>
      <c r="S408" s="9" t="s">
        <v>9321</v>
      </c>
      <c r="T408" s="9"/>
      <c r="U408" s="9"/>
      <c r="V408" s="9"/>
      <c r="W408" s="9"/>
      <c r="X408" s="9"/>
      <c r="Y408" s="9"/>
      <c r="Z408" s="9"/>
      <c r="AA408" s="9"/>
      <c r="AB408" s="9"/>
      <c r="AC408" s="9"/>
    </row>
    <row r="409" spans="1:29" ht="29">
      <c r="A409" s="3" t="s">
        <v>735</v>
      </c>
      <c r="B409" s="3" t="s">
        <v>5179</v>
      </c>
      <c r="C409" s="3" t="s">
        <v>5180</v>
      </c>
      <c r="F409" t="s">
        <v>3884</v>
      </c>
      <c r="G409" s="9" t="s">
        <v>3885</v>
      </c>
      <c r="H409" s="9"/>
      <c r="I409" s="9">
        <v>1</v>
      </c>
      <c r="J409" s="9">
        <v>1</v>
      </c>
      <c r="K409" s="9" t="s">
        <v>8689</v>
      </c>
      <c r="L409" s="9" t="s">
        <v>8730</v>
      </c>
      <c r="M409" s="9"/>
      <c r="N409" s="10"/>
      <c r="O409" s="9"/>
      <c r="P409" s="9">
        <v>10929</v>
      </c>
      <c r="Q409" s="9"/>
      <c r="R409" s="9" t="s">
        <v>9321</v>
      </c>
      <c r="S409" s="9" t="s">
        <v>9321</v>
      </c>
      <c r="T409" s="9"/>
      <c r="U409" s="9"/>
      <c r="V409" s="9"/>
      <c r="W409" s="9"/>
      <c r="X409" s="9"/>
      <c r="Y409" s="9"/>
      <c r="Z409" s="9"/>
      <c r="AA409" s="9"/>
      <c r="AB409" s="9"/>
      <c r="AC409" s="9"/>
    </row>
    <row r="410" spans="1:29" ht="87">
      <c r="A410" s="3" t="s">
        <v>739</v>
      </c>
      <c r="B410" s="3" t="s">
        <v>9019</v>
      </c>
      <c r="C410" s="3" t="s">
        <v>9620</v>
      </c>
      <c r="F410" t="s">
        <v>3884</v>
      </c>
      <c r="G410" s="9" t="s">
        <v>3889</v>
      </c>
      <c r="H410" s="9"/>
      <c r="I410" s="9">
        <v>13</v>
      </c>
      <c r="J410" s="9">
        <v>59</v>
      </c>
      <c r="K410" s="9"/>
      <c r="L410" s="9" t="s">
        <v>8684</v>
      </c>
      <c r="M410" s="9" t="s">
        <v>8944</v>
      </c>
      <c r="N410" s="10" t="s">
        <v>9020</v>
      </c>
      <c r="O410" s="9"/>
      <c r="P410" s="9">
        <v>27</v>
      </c>
      <c r="Q410" s="9"/>
      <c r="R410" s="9" t="s">
        <v>9321</v>
      </c>
      <c r="S410" s="9" t="s">
        <v>9321</v>
      </c>
      <c r="T410" s="9"/>
      <c r="U410" s="9"/>
      <c r="V410" s="9"/>
      <c r="W410" s="9"/>
      <c r="X410" s="9"/>
      <c r="Y410" s="9"/>
      <c r="Z410" s="9"/>
      <c r="AA410" s="9"/>
      <c r="AB410" s="9"/>
      <c r="AC410" s="9"/>
    </row>
    <row r="411" spans="1:29" ht="29">
      <c r="A411" s="3" t="s">
        <v>739</v>
      </c>
      <c r="B411" s="3" t="s">
        <v>5188</v>
      </c>
      <c r="C411" s="3" t="s">
        <v>5189</v>
      </c>
      <c r="G411" s="9" t="s">
        <v>3894</v>
      </c>
      <c r="H411" s="9"/>
      <c r="I411" s="9"/>
      <c r="J411" s="9"/>
      <c r="K411" s="9"/>
      <c r="L411" s="9"/>
      <c r="M411" s="9"/>
      <c r="N411" s="10"/>
      <c r="O411" s="9"/>
      <c r="P411" s="9"/>
      <c r="Q411" s="9"/>
      <c r="R411" s="9" t="s">
        <v>9321</v>
      </c>
      <c r="S411" s="9" t="s">
        <v>9321</v>
      </c>
      <c r="T411" s="9"/>
      <c r="U411" s="9"/>
      <c r="V411" s="9"/>
      <c r="W411" s="9"/>
      <c r="X411" s="9"/>
      <c r="Y411" s="9"/>
      <c r="Z411" s="9"/>
      <c r="AA411" s="9"/>
      <c r="AB411" s="9"/>
      <c r="AC411" s="9"/>
    </row>
    <row r="412" spans="1:29" ht="29">
      <c r="A412" s="3" t="s">
        <v>742</v>
      </c>
      <c r="B412" s="3" t="s">
        <v>5197</v>
      </c>
      <c r="C412" s="3" t="s">
        <v>5198</v>
      </c>
      <c r="F412" t="s">
        <v>3884</v>
      </c>
      <c r="G412" s="9" t="s">
        <v>3885</v>
      </c>
      <c r="H412" s="9"/>
      <c r="I412" s="9">
        <v>1</v>
      </c>
      <c r="J412" s="9">
        <v>5</v>
      </c>
      <c r="K412" s="9" t="s">
        <v>8736</v>
      </c>
      <c r="L412" s="9" t="s">
        <v>8684</v>
      </c>
      <c r="M412" s="9" t="s">
        <v>8771</v>
      </c>
      <c r="N412" s="10" t="s">
        <v>8941</v>
      </c>
      <c r="O412" s="9"/>
      <c r="P412" s="9">
        <v>340</v>
      </c>
      <c r="Q412" s="9"/>
      <c r="R412" s="9" t="s">
        <v>9321</v>
      </c>
      <c r="S412" s="9" t="s">
        <v>9321</v>
      </c>
      <c r="T412" s="9"/>
      <c r="U412" s="9"/>
      <c r="V412" s="9"/>
      <c r="W412" s="9"/>
      <c r="X412" s="9"/>
      <c r="Y412" s="9"/>
      <c r="Z412" s="9"/>
      <c r="AA412" s="9"/>
      <c r="AB412" s="9"/>
      <c r="AC412" s="9"/>
    </row>
    <row r="413" spans="1:29" ht="29">
      <c r="A413" s="3" t="s">
        <v>743</v>
      </c>
      <c r="B413" s="3" t="s">
        <v>5201</v>
      </c>
      <c r="C413" s="3" t="s">
        <v>5202</v>
      </c>
      <c r="G413" s="9" t="s">
        <v>8729</v>
      </c>
      <c r="H413" s="9"/>
      <c r="I413" s="9"/>
      <c r="J413" s="9"/>
      <c r="K413" s="9"/>
      <c r="L413" s="9"/>
      <c r="M413" s="9"/>
      <c r="N413" s="10"/>
      <c r="O413" s="9"/>
      <c r="P413" s="9"/>
      <c r="Q413" s="9">
        <v>-1511</v>
      </c>
      <c r="R413" s="9">
        <v>10929</v>
      </c>
      <c r="S413" s="9">
        <v>9418</v>
      </c>
      <c r="T413" s="9"/>
      <c r="U413" s="9"/>
      <c r="V413" s="9"/>
      <c r="W413" s="9"/>
      <c r="X413" s="9"/>
      <c r="Y413" s="9"/>
      <c r="Z413" s="9"/>
      <c r="AA413" s="9"/>
      <c r="AB413" s="9"/>
      <c r="AC413" s="9"/>
    </row>
    <row r="414" spans="1:29" ht="29">
      <c r="A414" s="3" t="s">
        <v>744</v>
      </c>
      <c r="B414" s="3" t="s">
        <v>5207</v>
      </c>
      <c r="C414" s="3" t="s">
        <v>5206</v>
      </c>
      <c r="F414" t="s">
        <v>3884</v>
      </c>
      <c r="G414" s="9" t="s">
        <v>8729</v>
      </c>
      <c r="H414" s="9"/>
      <c r="I414" s="9"/>
      <c r="J414" s="9"/>
      <c r="K414" s="9"/>
      <c r="L414" s="9"/>
      <c r="M414" s="9"/>
      <c r="N414" s="10"/>
      <c r="O414" s="9"/>
      <c r="P414" s="9"/>
      <c r="Q414" s="9">
        <v>190</v>
      </c>
      <c r="R414" s="9">
        <v>329</v>
      </c>
      <c r="S414" s="9">
        <v>519</v>
      </c>
      <c r="T414" s="9"/>
      <c r="U414" s="9"/>
      <c r="V414" s="9"/>
      <c r="W414" s="9"/>
      <c r="X414" s="9"/>
      <c r="Y414" s="9"/>
      <c r="Z414" s="9"/>
      <c r="AA414" s="9"/>
      <c r="AB414" s="9"/>
      <c r="AC414" s="9"/>
    </row>
    <row r="415" spans="1:29" ht="29">
      <c r="A415" s="3" t="s">
        <v>747</v>
      </c>
      <c r="B415" s="3" t="s">
        <v>2395</v>
      </c>
      <c r="C415" s="3" t="s">
        <v>3002</v>
      </c>
      <c r="F415" t="s">
        <v>3884</v>
      </c>
      <c r="G415" s="9" t="s">
        <v>8729</v>
      </c>
      <c r="H415" s="9"/>
      <c r="I415" s="9"/>
      <c r="J415" s="9"/>
      <c r="K415" s="9"/>
      <c r="L415" s="9"/>
      <c r="M415" s="9"/>
      <c r="N415" s="10"/>
      <c r="O415" s="9"/>
      <c r="P415" s="9"/>
      <c r="Q415" s="9">
        <v>-85</v>
      </c>
      <c r="R415" s="9">
        <v>90</v>
      </c>
      <c r="S415" s="9">
        <v>5</v>
      </c>
      <c r="T415" s="9"/>
      <c r="U415" s="9"/>
      <c r="V415" s="9"/>
      <c r="W415" s="9"/>
      <c r="X415" s="9"/>
      <c r="Y415" s="9"/>
      <c r="Z415" s="9"/>
      <c r="AA415" s="9"/>
      <c r="AB415" s="9"/>
      <c r="AC415" s="9"/>
    </row>
    <row r="416" spans="1:29" ht="29">
      <c r="A416" s="3" t="s">
        <v>747</v>
      </c>
      <c r="B416" s="3" t="s">
        <v>3000</v>
      </c>
      <c r="C416" s="3" t="s">
        <v>3007</v>
      </c>
      <c r="G416" s="9" t="s">
        <v>8729</v>
      </c>
      <c r="H416" s="9"/>
      <c r="I416" s="9"/>
      <c r="J416" s="9"/>
      <c r="K416" s="9"/>
      <c r="L416" s="9"/>
      <c r="M416" s="9"/>
      <c r="N416" s="10"/>
      <c r="O416" s="9"/>
      <c r="P416" s="9"/>
      <c r="Q416" s="9">
        <v>-74</v>
      </c>
      <c r="R416" s="9">
        <v>77</v>
      </c>
      <c r="S416" s="9">
        <v>3</v>
      </c>
      <c r="T416" s="9"/>
      <c r="U416" s="9"/>
      <c r="V416" s="9"/>
      <c r="W416" s="9"/>
      <c r="X416" s="9"/>
      <c r="Y416" s="9"/>
      <c r="Z416" s="9"/>
      <c r="AA416" s="9"/>
      <c r="AB416" s="9"/>
      <c r="AC416" s="9"/>
    </row>
    <row r="417" spans="1:29" ht="29">
      <c r="A417" s="3" t="s">
        <v>748</v>
      </c>
      <c r="B417" s="3" t="s">
        <v>5219</v>
      </c>
      <c r="C417" s="3" t="s">
        <v>5221</v>
      </c>
      <c r="F417" t="s">
        <v>3884</v>
      </c>
      <c r="G417" s="9" t="s">
        <v>8729</v>
      </c>
      <c r="H417" s="9"/>
      <c r="I417" s="9"/>
      <c r="J417" s="9"/>
      <c r="K417" s="9"/>
      <c r="L417" s="9"/>
      <c r="M417" s="9"/>
      <c r="N417" s="10"/>
      <c r="O417" s="9"/>
      <c r="P417" s="9"/>
      <c r="Q417" s="9">
        <v>105</v>
      </c>
      <c r="R417" s="9">
        <v>886</v>
      </c>
      <c r="S417" s="9">
        <v>991</v>
      </c>
      <c r="T417" s="9"/>
      <c r="U417" s="9"/>
      <c r="V417" s="9"/>
      <c r="W417" s="9"/>
      <c r="X417" s="9"/>
      <c r="Y417" s="9"/>
      <c r="Z417" s="9"/>
      <c r="AA417" s="9"/>
      <c r="AB417" s="9"/>
      <c r="AC417" s="9"/>
    </row>
    <row r="418" spans="1:29" ht="29">
      <c r="A418" s="3" t="s">
        <v>748</v>
      </c>
      <c r="B418" s="3" t="s">
        <v>5224</v>
      </c>
      <c r="C418" s="3" t="s">
        <v>5225</v>
      </c>
      <c r="F418" t="s">
        <v>3884</v>
      </c>
      <c r="G418" s="9" t="s">
        <v>3889</v>
      </c>
      <c r="H418" s="9"/>
      <c r="I418" s="9">
        <v>2</v>
      </c>
      <c r="J418" s="9">
        <v>8</v>
      </c>
      <c r="K418" s="9"/>
      <c r="L418" s="9" t="s">
        <v>8684</v>
      </c>
      <c r="M418" s="9" t="s">
        <v>8847</v>
      </c>
      <c r="N418" s="10" t="s">
        <v>8813</v>
      </c>
      <c r="O418" s="9"/>
      <c r="P418" s="9">
        <v>32</v>
      </c>
      <c r="Q418" s="9"/>
      <c r="R418" s="9" t="s">
        <v>9321</v>
      </c>
      <c r="S418" s="9" t="s">
        <v>9321</v>
      </c>
      <c r="T418" s="9"/>
      <c r="U418" s="9"/>
      <c r="V418" s="9"/>
      <c r="W418" s="9"/>
      <c r="X418" s="9"/>
      <c r="Y418" s="9"/>
      <c r="Z418" s="9"/>
      <c r="AA418" s="9"/>
      <c r="AB418" s="9"/>
      <c r="AC418" s="9"/>
    </row>
    <row r="419" spans="1:29" ht="29">
      <c r="A419" s="3" t="s">
        <v>750</v>
      </c>
      <c r="B419" s="3" t="s">
        <v>5228</v>
      </c>
      <c r="C419" s="3" t="s">
        <v>5229</v>
      </c>
      <c r="G419" s="9" t="s">
        <v>8729</v>
      </c>
      <c r="H419" s="9"/>
      <c r="I419" s="9"/>
      <c r="J419" s="9"/>
      <c r="K419" s="9"/>
      <c r="L419" s="9"/>
      <c r="M419" s="9"/>
      <c r="N419" s="10"/>
      <c r="O419" s="9"/>
      <c r="P419" s="9"/>
      <c r="Q419" s="9">
        <v>-180</v>
      </c>
      <c r="R419" s="9">
        <v>206</v>
      </c>
      <c r="S419" s="9">
        <v>26</v>
      </c>
      <c r="T419" s="9"/>
      <c r="U419" s="9"/>
      <c r="V419" s="9"/>
      <c r="W419" s="9"/>
      <c r="X419" s="9"/>
      <c r="Y419" s="9"/>
      <c r="Z419" s="9"/>
      <c r="AA419" s="9"/>
      <c r="AB419" s="9"/>
      <c r="AC419" s="9"/>
    </row>
    <row r="420" spans="1:29" ht="29">
      <c r="A420" s="3" t="s">
        <v>753</v>
      </c>
      <c r="B420" s="3" t="s">
        <v>5234</v>
      </c>
      <c r="C420" s="3" t="s">
        <v>5235</v>
      </c>
      <c r="G420" s="9" t="s">
        <v>3889</v>
      </c>
      <c r="H420" s="9"/>
      <c r="I420" s="9">
        <v>1</v>
      </c>
      <c r="J420" s="9">
        <v>1</v>
      </c>
      <c r="K420" s="9" t="s">
        <v>8689</v>
      </c>
      <c r="L420" s="9" t="s">
        <v>8730</v>
      </c>
      <c r="M420" s="9"/>
      <c r="N420" s="10"/>
      <c r="O420" s="9"/>
      <c r="P420" s="9">
        <v>10929</v>
      </c>
      <c r="Q420" s="9"/>
      <c r="R420" s="9" t="s">
        <v>9321</v>
      </c>
      <c r="S420" s="9" t="s">
        <v>9321</v>
      </c>
      <c r="T420" s="9" t="s">
        <v>8728</v>
      </c>
      <c r="U420" s="9"/>
      <c r="V420" s="9"/>
      <c r="W420" s="9"/>
      <c r="X420" s="9"/>
      <c r="Y420" s="9"/>
      <c r="Z420" s="9"/>
      <c r="AA420" s="9"/>
      <c r="AB420" s="9"/>
      <c r="AC420" s="9"/>
    </row>
    <row r="421" spans="1:29" ht="29">
      <c r="A421" s="3" t="s">
        <v>754</v>
      </c>
      <c r="B421" s="3" t="s">
        <v>9026</v>
      </c>
      <c r="C421" s="3" t="s">
        <v>9027</v>
      </c>
      <c r="G421" s="9" t="s">
        <v>3889</v>
      </c>
      <c r="H421" s="9"/>
      <c r="I421" s="9">
        <v>1</v>
      </c>
      <c r="J421" s="9">
        <v>2</v>
      </c>
      <c r="K421" s="9" t="s">
        <v>8698</v>
      </c>
      <c r="L421" s="9" t="s">
        <v>8730</v>
      </c>
      <c r="M421" s="9"/>
      <c r="N421" s="10"/>
      <c r="O421" s="9"/>
      <c r="P421" s="9">
        <v>159</v>
      </c>
      <c r="Q421" s="9"/>
      <c r="R421" s="9" t="s">
        <v>9321</v>
      </c>
      <c r="S421" s="9" t="s">
        <v>9321</v>
      </c>
      <c r="T421" s="9"/>
      <c r="U421" s="9"/>
      <c r="V421" s="9"/>
      <c r="W421" s="9"/>
      <c r="X421" s="9"/>
      <c r="Y421" s="9"/>
      <c r="Z421" s="9"/>
      <c r="AA421" s="9"/>
      <c r="AB421" s="9"/>
      <c r="AC421" s="9"/>
    </row>
    <row r="422" spans="1:29" ht="29">
      <c r="A422" s="3" t="s">
        <v>754</v>
      </c>
      <c r="B422" s="3" t="s">
        <v>9028</v>
      </c>
      <c r="C422" s="3" t="s">
        <v>5241</v>
      </c>
      <c r="G422" s="9" t="s">
        <v>8729</v>
      </c>
      <c r="H422" s="9"/>
      <c r="I422" s="9"/>
      <c r="J422" s="9"/>
      <c r="K422" s="9"/>
      <c r="L422" s="9"/>
      <c r="M422" s="9"/>
      <c r="N422" s="10"/>
      <c r="O422" s="9"/>
      <c r="P422" s="9"/>
      <c r="Q422" s="9">
        <v>-30</v>
      </c>
      <c r="R422" s="9">
        <v>30</v>
      </c>
      <c r="S422" s="9">
        <v>0</v>
      </c>
      <c r="T422" s="9"/>
      <c r="U422" s="9"/>
      <c r="V422" s="9"/>
      <c r="W422" s="9"/>
      <c r="X422" s="9"/>
      <c r="Y422" s="9"/>
      <c r="Z422" s="9"/>
      <c r="AA422" s="9"/>
      <c r="AB422" s="9"/>
      <c r="AC422" s="9"/>
    </row>
    <row r="423" spans="1:29" ht="29">
      <c r="A423" s="3" t="s">
        <v>755</v>
      </c>
      <c r="B423" s="3" t="s">
        <v>5244</v>
      </c>
      <c r="C423" s="3" t="s">
        <v>5243</v>
      </c>
      <c r="F423" t="s">
        <v>3884</v>
      </c>
      <c r="G423" s="9" t="s">
        <v>8732</v>
      </c>
      <c r="H423" s="9"/>
      <c r="I423" s="9"/>
      <c r="J423" s="9"/>
      <c r="K423" s="9"/>
      <c r="L423" s="9"/>
      <c r="M423" s="9"/>
      <c r="N423" s="10"/>
      <c r="O423" s="9"/>
      <c r="P423" s="9"/>
      <c r="Q423" s="9">
        <v>-645</v>
      </c>
      <c r="R423" s="9">
        <v>645</v>
      </c>
      <c r="S423" s="9">
        <v>0</v>
      </c>
      <c r="T423" s="9"/>
      <c r="U423" s="9"/>
      <c r="V423" s="9"/>
      <c r="W423" s="9"/>
      <c r="X423" s="9"/>
      <c r="Y423" s="9"/>
      <c r="Z423" s="9"/>
      <c r="AA423" s="9"/>
      <c r="AB423" s="9"/>
      <c r="AC423" s="9"/>
    </row>
    <row r="424" spans="1:29" ht="29">
      <c r="A424" s="3" t="s">
        <v>756</v>
      </c>
      <c r="B424" s="3" t="s">
        <v>5245</v>
      </c>
      <c r="C424" s="3" t="s">
        <v>5246</v>
      </c>
      <c r="F424" t="s">
        <v>3884</v>
      </c>
      <c r="G424" s="9" t="s">
        <v>3885</v>
      </c>
      <c r="H424" s="9"/>
      <c r="I424" s="9">
        <v>1</v>
      </c>
      <c r="J424" s="9">
        <v>3</v>
      </c>
      <c r="K424" s="9" t="s">
        <v>8705</v>
      </c>
      <c r="L424" s="9" t="s">
        <v>8690</v>
      </c>
      <c r="M424" s="9"/>
      <c r="N424" s="10"/>
      <c r="O424" s="9"/>
      <c r="P424" s="9">
        <v>1485</v>
      </c>
      <c r="Q424" s="9"/>
      <c r="R424" s="9" t="s">
        <v>9321</v>
      </c>
      <c r="S424" s="9" t="s">
        <v>9321</v>
      </c>
      <c r="T424" s="9"/>
      <c r="U424" s="9"/>
      <c r="V424" s="9"/>
      <c r="W424" s="9"/>
      <c r="X424" s="9"/>
      <c r="Y424" s="9"/>
      <c r="Z424" s="9"/>
      <c r="AA424" s="9"/>
      <c r="AB424" s="9"/>
      <c r="AC424" s="9"/>
    </row>
    <row r="425" spans="1:29" ht="29">
      <c r="A425" s="3" t="s">
        <v>757</v>
      </c>
      <c r="B425" s="3" t="s">
        <v>5250</v>
      </c>
      <c r="C425" s="3" t="s">
        <v>5249</v>
      </c>
      <c r="F425" t="s">
        <v>3884</v>
      </c>
      <c r="G425" s="9" t="s">
        <v>3894</v>
      </c>
      <c r="H425" s="9"/>
      <c r="I425" s="9"/>
      <c r="J425" s="9"/>
      <c r="K425" s="9"/>
      <c r="L425" s="9"/>
      <c r="M425" s="9"/>
      <c r="N425" s="10"/>
      <c r="O425" s="9"/>
      <c r="P425" s="9"/>
      <c r="Q425" s="9"/>
      <c r="R425" s="9" t="s">
        <v>9321</v>
      </c>
      <c r="S425" s="9" t="s">
        <v>9321</v>
      </c>
      <c r="T425" s="9"/>
      <c r="U425" s="9"/>
      <c r="V425" s="9"/>
      <c r="W425" s="9"/>
      <c r="X425" s="9"/>
      <c r="Y425" s="9"/>
      <c r="Z425" s="9"/>
      <c r="AA425" s="9"/>
      <c r="AB425" s="9"/>
      <c r="AC425" s="9"/>
    </row>
    <row r="426" spans="1:29" ht="29">
      <c r="A426" s="3" t="s">
        <v>759</v>
      </c>
      <c r="B426" s="3" t="s">
        <v>5251</v>
      </c>
      <c r="C426" s="3" t="s">
        <v>5252</v>
      </c>
      <c r="G426" s="9" t="s">
        <v>3889</v>
      </c>
      <c r="H426" s="9"/>
      <c r="I426" s="9">
        <v>1</v>
      </c>
      <c r="J426" s="9">
        <v>2</v>
      </c>
      <c r="K426" s="9" t="s">
        <v>8689</v>
      </c>
      <c r="L426" s="9" t="s">
        <v>8730</v>
      </c>
      <c r="M426" s="9"/>
      <c r="N426" s="10"/>
      <c r="O426" s="9"/>
      <c r="P426" s="9">
        <v>10929</v>
      </c>
      <c r="Q426" s="9"/>
      <c r="R426" s="9" t="s">
        <v>9321</v>
      </c>
      <c r="S426" s="9" t="s">
        <v>9321</v>
      </c>
      <c r="T426" s="9"/>
      <c r="U426" s="9"/>
      <c r="V426" s="9"/>
      <c r="W426" s="9"/>
      <c r="X426" s="9"/>
      <c r="Y426" s="9"/>
      <c r="Z426" s="9"/>
      <c r="AA426" s="9"/>
      <c r="AB426" s="9"/>
      <c r="AC426" s="9"/>
    </row>
    <row r="427" spans="1:29" ht="29">
      <c r="A427" s="3" t="s">
        <v>760</v>
      </c>
      <c r="B427" s="3" t="s">
        <v>3015</v>
      </c>
      <c r="C427" s="3" t="s">
        <v>3016</v>
      </c>
      <c r="G427" s="9" t="s">
        <v>8731</v>
      </c>
      <c r="H427" s="9"/>
      <c r="I427" s="9"/>
      <c r="J427" s="9"/>
      <c r="K427" s="9"/>
      <c r="L427" s="9"/>
      <c r="M427" s="9"/>
      <c r="N427" s="10"/>
      <c r="O427" s="9"/>
      <c r="P427" s="9"/>
      <c r="Q427" s="9"/>
      <c r="R427" s="9" t="s">
        <v>9321</v>
      </c>
      <c r="S427" s="9" t="s">
        <v>9321</v>
      </c>
      <c r="T427" s="9"/>
      <c r="U427" s="9"/>
      <c r="V427" s="9"/>
      <c r="W427" s="9"/>
      <c r="X427" s="9"/>
      <c r="Y427" s="9"/>
      <c r="Z427" s="9"/>
      <c r="AA427" s="9"/>
      <c r="AB427" s="9"/>
      <c r="AC427" s="9"/>
    </row>
    <row r="428" spans="1:29" ht="29">
      <c r="A428" s="3" t="s">
        <v>761</v>
      </c>
      <c r="B428" s="3" t="s">
        <v>5255</v>
      </c>
      <c r="C428" s="3" t="s">
        <v>5256</v>
      </c>
      <c r="F428" t="s">
        <v>3884</v>
      </c>
      <c r="G428" s="9" t="s">
        <v>8731</v>
      </c>
      <c r="H428" s="9"/>
      <c r="I428" s="9"/>
      <c r="J428" s="9"/>
      <c r="K428" s="9"/>
      <c r="L428" s="9"/>
      <c r="M428" s="9"/>
      <c r="N428" s="10"/>
      <c r="O428" s="9"/>
      <c r="P428" s="9"/>
      <c r="Q428" s="9"/>
      <c r="R428" s="9" t="s">
        <v>9321</v>
      </c>
      <c r="S428" s="9" t="s">
        <v>9321</v>
      </c>
      <c r="T428" s="9"/>
      <c r="U428" s="9"/>
      <c r="V428" s="9"/>
      <c r="W428" s="9"/>
      <c r="X428" s="9"/>
      <c r="Y428" s="9"/>
      <c r="Z428" s="9"/>
      <c r="AA428" s="9"/>
      <c r="AB428" s="9"/>
      <c r="AC428" s="9"/>
    </row>
    <row r="429" spans="1:29" ht="29">
      <c r="A429" s="3" t="s">
        <v>761</v>
      </c>
      <c r="B429" s="3" t="s">
        <v>5257</v>
      </c>
      <c r="C429" t="s">
        <v>5258</v>
      </c>
      <c r="G429" s="9" t="s">
        <v>8729</v>
      </c>
      <c r="H429" s="9"/>
      <c r="I429" s="9"/>
      <c r="J429" s="9"/>
      <c r="K429" s="9"/>
      <c r="L429" s="9"/>
      <c r="M429" s="9"/>
      <c r="N429" s="10"/>
      <c r="O429" s="9"/>
      <c r="P429" s="9"/>
      <c r="Q429" s="9">
        <v>-12</v>
      </c>
      <c r="R429" s="9">
        <v>112</v>
      </c>
      <c r="S429" s="9">
        <v>100</v>
      </c>
      <c r="T429" s="9"/>
      <c r="U429" s="9"/>
      <c r="V429" s="9"/>
      <c r="W429" s="9"/>
      <c r="X429" s="9"/>
      <c r="Y429" s="9"/>
      <c r="Z429" s="9"/>
      <c r="AA429" s="9"/>
      <c r="AB429" s="9"/>
      <c r="AC429" s="9"/>
    </row>
    <row r="430" spans="1:29" ht="29">
      <c r="A430" s="3" t="s">
        <v>762</v>
      </c>
      <c r="B430" s="3" t="s">
        <v>5259</v>
      </c>
      <c r="C430" s="3" t="s">
        <v>5260</v>
      </c>
      <c r="F430" t="s">
        <v>3884</v>
      </c>
      <c r="G430" s="9" t="s">
        <v>3889</v>
      </c>
      <c r="H430" s="9"/>
      <c r="I430" s="9">
        <v>1</v>
      </c>
      <c r="J430" s="9">
        <v>2</v>
      </c>
      <c r="K430" s="9" t="s">
        <v>8689</v>
      </c>
      <c r="L430" s="9" t="s">
        <v>8730</v>
      </c>
      <c r="M430" s="9"/>
      <c r="N430" s="10"/>
      <c r="O430" s="9"/>
      <c r="P430" s="9">
        <v>10929</v>
      </c>
      <c r="Q430" s="9"/>
      <c r="R430" s="9" t="s">
        <v>9321</v>
      </c>
      <c r="S430" s="9" t="s">
        <v>9321</v>
      </c>
      <c r="T430" s="9" t="s">
        <v>8728</v>
      </c>
      <c r="U430" s="9"/>
      <c r="V430" s="9"/>
      <c r="W430" s="9"/>
      <c r="X430" s="9"/>
      <c r="Y430" s="9"/>
      <c r="Z430" s="9"/>
      <c r="AA430" s="9"/>
      <c r="AB430" s="9"/>
      <c r="AC430" s="9"/>
    </row>
    <row r="431" spans="1:29" ht="29">
      <c r="A431" s="3" t="s">
        <v>762</v>
      </c>
      <c r="B431" s="3" t="s">
        <v>5263</v>
      </c>
      <c r="C431" s="3" t="s">
        <v>5264</v>
      </c>
      <c r="F431" t="s">
        <v>3884</v>
      </c>
      <c r="G431" s="9" t="s">
        <v>8731</v>
      </c>
      <c r="H431" s="9"/>
      <c r="I431" s="9"/>
      <c r="J431" s="9"/>
      <c r="K431" s="9"/>
      <c r="L431" s="9"/>
      <c r="M431" s="9"/>
      <c r="N431" s="10"/>
      <c r="O431" s="9"/>
      <c r="P431" s="9"/>
      <c r="Q431" s="9"/>
      <c r="R431" s="9" t="s">
        <v>9321</v>
      </c>
      <c r="S431" s="9" t="s">
        <v>9321</v>
      </c>
      <c r="T431" s="9"/>
      <c r="U431" s="9"/>
      <c r="V431" s="9"/>
      <c r="W431" s="9"/>
      <c r="X431" s="9"/>
      <c r="Y431" s="9"/>
      <c r="Z431" s="9"/>
      <c r="AA431" s="9"/>
      <c r="AB431" s="9"/>
      <c r="AC431" s="9"/>
    </row>
    <row r="432" spans="1:29" ht="29">
      <c r="A432" s="3" t="s">
        <v>763</v>
      </c>
      <c r="B432" s="3" t="s">
        <v>5265</v>
      </c>
      <c r="C432" s="3" t="s">
        <v>5266</v>
      </c>
      <c r="G432" s="9" t="s">
        <v>8731</v>
      </c>
      <c r="H432" s="9"/>
      <c r="I432" s="9"/>
      <c r="J432" s="9"/>
      <c r="K432" s="9"/>
      <c r="L432" s="9"/>
      <c r="M432" s="9"/>
      <c r="N432" s="10"/>
      <c r="O432" s="9"/>
      <c r="P432" s="9"/>
      <c r="Q432" s="9"/>
      <c r="R432" s="9" t="s">
        <v>9321</v>
      </c>
      <c r="S432" s="9" t="s">
        <v>9321</v>
      </c>
      <c r="T432" s="9"/>
      <c r="U432" s="9"/>
      <c r="V432" s="9"/>
      <c r="W432" s="9"/>
      <c r="X432" s="9"/>
      <c r="Y432" s="9"/>
      <c r="Z432" s="9"/>
      <c r="AA432" s="9"/>
      <c r="AB432" s="9"/>
      <c r="AC432" s="9"/>
    </row>
    <row r="433" spans="1:29" ht="29">
      <c r="A433" s="3" t="s">
        <v>766</v>
      </c>
      <c r="B433" s="3" t="s">
        <v>9229</v>
      </c>
      <c r="C433" s="3" t="s">
        <v>5270</v>
      </c>
      <c r="G433" s="9" t="s">
        <v>8729</v>
      </c>
      <c r="H433" s="9"/>
      <c r="I433" s="9"/>
      <c r="J433" s="9"/>
      <c r="K433" s="9"/>
      <c r="L433" s="9"/>
      <c r="M433" s="9"/>
      <c r="N433" s="10"/>
      <c r="O433" s="9"/>
      <c r="P433" s="9"/>
      <c r="Q433" s="9">
        <v>-6</v>
      </c>
      <c r="R433" s="9">
        <v>20</v>
      </c>
      <c r="S433" s="9">
        <v>14</v>
      </c>
      <c r="T433" s="9"/>
      <c r="U433" s="9"/>
      <c r="V433" s="9"/>
      <c r="W433" s="9"/>
      <c r="X433" s="9"/>
      <c r="Y433" s="9"/>
      <c r="Z433" s="9"/>
      <c r="AA433" s="9"/>
      <c r="AB433" s="9"/>
      <c r="AC433" s="9"/>
    </row>
    <row r="434" spans="1:29" ht="29">
      <c r="A434" s="3" t="s">
        <v>767</v>
      </c>
      <c r="B434" s="3" t="s">
        <v>3020</v>
      </c>
      <c r="C434" s="3" t="s">
        <v>3021</v>
      </c>
      <c r="G434" s="9" t="s">
        <v>8731</v>
      </c>
      <c r="H434" s="9"/>
      <c r="I434" s="9"/>
      <c r="J434" s="9"/>
      <c r="K434" s="9"/>
      <c r="L434" s="9"/>
      <c r="M434" s="9"/>
      <c r="N434" s="10"/>
      <c r="O434" s="9"/>
      <c r="P434" s="9"/>
      <c r="Q434" s="9"/>
      <c r="R434" s="9" t="s">
        <v>9321</v>
      </c>
      <c r="S434" s="9" t="s">
        <v>9321</v>
      </c>
      <c r="T434" s="9"/>
      <c r="U434" s="9"/>
      <c r="V434" s="9"/>
      <c r="W434" s="9"/>
      <c r="X434" s="9"/>
      <c r="Y434" s="9"/>
      <c r="Z434" s="9"/>
      <c r="AA434" s="9"/>
      <c r="AB434" s="9"/>
      <c r="AC434" s="9"/>
    </row>
    <row r="435" spans="1:29" ht="29">
      <c r="A435" s="3" t="s">
        <v>767</v>
      </c>
      <c r="B435" s="3" t="s">
        <v>5275</v>
      </c>
      <c r="C435" s="3" t="s">
        <v>5276</v>
      </c>
      <c r="G435" s="9" t="s">
        <v>3889</v>
      </c>
      <c r="H435" s="9"/>
      <c r="I435" s="9">
        <v>1</v>
      </c>
      <c r="J435" s="9">
        <v>2</v>
      </c>
      <c r="K435" s="9" t="s">
        <v>8707</v>
      </c>
      <c r="L435" s="9" t="s">
        <v>8730</v>
      </c>
      <c r="M435" s="9"/>
      <c r="N435" s="10"/>
      <c r="O435" s="9" t="s">
        <v>8685</v>
      </c>
      <c r="P435" s="9">
        <v>1942</v>
      </c>
      <c r="Q435" s="9"/>
      <c r="R435" s="9" t="s">
        <v>9321</v>
      </c>
      <c r="S435" s="9" t="s">
        <v>9321</v>
      </c>
      <c r="T435" s="9"/>
      <c r="U435" s="9"/>
      <c r="V435" s="9"/>
      <c r="W435" s="9"/>
      <c r="X435" s="9"/>
      <c r="Y435" s="9"/>
      <c r="Z435" s="9"/>
      <c r="AA435" s="9"/>
      <c r="AB435" s="9"/>
      <c r="AC435" s="9"/>
    </row>
    <row r="436" spans="1:29" ht="29">
      <c r="A436" s="3" t="s">
        <v>768</v>
      </c>
      <c r="B436" s="3" t="s">
        <v>5279</v>
      </c>
      <c r="C436" s="3" t="s">
        <v>5280</v>
      </c>
      <c r="G436" s="9" t="s">
        <v>3889</v>
      </c>
      <c r="H436" s="9"/>
      <c r="I436" s="9">
        <v>2</v>
      </c>
      <c r="J436" s="9">
        <v>6</v>
      </c>
      <c r="K436" s="9"/>
      <c r="L436" s="9" t="s">
        <v>8690</v>
      </c>
      <c r="M436" s="9"/>
      <c r="N436" s="10"/>
      <c r="O436" s="9"/>
      <c r="P436" s="9">
        <v>655</v>
      </c>
      <c r="Q436" s="9"/>
      <c r="R436" s="9" t="s">
        <v>9321</v>
      </c>
      <c r="S436" s="9" t="s">
        <v>9321</v>
      </c>
      <c r="T436" s="9"/>
      <c r="U436" s="9"/>
      <c r="V436" s="9"/>
      <c r="W436" s="9"/>
      <c r="X436" s="9"/>
      <c r="Y436" s="9"/>
      <c r="Z436" s="9"/>
      <c r="AA436" s="9"/>
      <c r="AB436" s="9"/>
      <c r="AC436" s="9"/>
    </row>
    <row r="437" spans="1:29" ht="29">
      <c r="A437" s="3" t="s">
        <v>768</v>
      </c>
      <c r="B437" s="3" t="s">
        <v>5281</v>
      </c>
      <c r="C437" s="3" t="s">
        <v>5282</v>
      </c>
      <c r="F437" t="s">
        <v>3884</v>
      </c>
      <c r="G437" s="9" t="s">
        <v>8731</v>
      </c>
      <c r="H437" s="9"/>
      <c r="I437" s="9"/>
      <c r="J437" s="9"/>
      <c r="K437" s="9"/>
      <c r="L437" s="9"/>
      <c r="M437" s="9"/>
      <c r="N437" s="10"/>
      <c r="O437" s="9"/>
      <c r="P437" s="9"/>
      <c r="Q437" s="9"/>
      <c r="R437" s="9" t="s">
        <v>9321</v>
      </c>
      <c r="S437" s="9" t="s">
        <v>9321</v>
      </c>
      <c r="T437" s="9"/>
      <c r="U437" s="9"/>
      <c r="V437" s="9"/>
      <c r="W437" s="9"/>
      <c r="X437" s="9"/>
      <c r="Y437" s="9"/>
      <c r="Z437" s="9"/>
      <c r="AA437" s="9"/>
      <c r="AB437" s="9"/>
      <c r="AC437" s="9"/>
    </row>
    <row r="438" spans="1:29" ht="29">
      <c r="A438" s="3" t="s">
        <v>769</v>
      </c>
      <c r="B438" s="3" t="s">
        <v>9029</v>
      </c>
      <c r="C438" s="3" t="s">
        <v>9030</v>
      </c>
      <c r="G438" s="9" t="s">
        <v>8731</v>
      </c>
      <c r="H438" s="9"/>
      <c r="I438" s="9"/>
      <c r="J438" s="9"/>
      <c r="K438" s="9"/>
      <c r="L438" s="9"/>
      <c r="M438" s="9"/>
      <c r="N438" s="10"/>
      <c r="O438" s="9"/>
      <c r="P438" s="9"/>
      <c r="Q438" s="9"/>
      <c r="R438" s="9" t="s">
        <v>9321</v>
      </c>
      <c r="S438" s="9" t="s">
        <v>9321</v>
      </c>
      <c r="T438" s="9"/>
      <c r="U438" s="9"/>
      <c r="V438" s="9"/>
      <c r="W438" s="9"/>
      <c r="X438" s="9"/>
      <c r="Y438" s="9"/>
      <c r="Z438" s="9"/>
      <c r="AA438" s="9"/>
      <c r="AB438" s="9"/>
      <c r="AC438" s="9"/>
    </row>
    <row r="439" spans="1:29" ht="29">
      <c r="A439" s="3" t="s">
        <v>769</v>
      </c>
      <c r="B439" s="3" t="s">
        <v>9031</v>
      </c>
      <c r="C439" s="3" t="s">
        <v>5285</v>
      </c>
      <c r="G439" s="9" t="s">
        <v>3889</v>
      </c>
      <c r="H439" s="9"/>
      <c r="I439" s="9">
        <v>1</v>
      </c>
      <c r="J439" s="9">
        <v>2</v>
      </c>
      <c r="K439" s="9" t="s">
        <v>8705</v>
      </c>
      <c r="L439" s="9" t="s">
        <v>8730</v>
      </c>
      <c r="M439" s="9"/>
      <c r="N439" s="10"/>
      <c r="O439" s="9"/>
      <c r="P439" s="9">
        <v>16</v>
      </c>
      <c r="Q439" s="9"/>
      <c r="R439" s="9" t="s">
        <v>9321</v>
      </c>
      <c r="S439" s="9" t="s">
        <v>9321</v>
      </c>
      <c r="T439" s="9"/>
      <c r="U439" s="9"/>
      <c r="V439" s="9"/>
      <c r="W439" s="9"/>
      <c r="X439" s="9"/>
      <c r="Y439" s="9"/>
      <c r="Z439" s="9"/>
      <c r="AA439" s="9"/>
      <c r="AB439" s="9"/>
      <c r="AC439" s="9"/>
    </row>
    <row r="440" spans="1:29" ht="43.5">
      <c r="A440" s="3" t="s">
        <v>770</v>
      </c>
      <c r="B440" s="3" t="s">
        <v>5288</v>
      </c>
      <c r="C440" s="3" t="s">
        <v>5289</v>
      </c>
      <c r="G440" s="9" t="s">
        <v>3889</v>
      </c>
      <c r="H440" s="9"/>
      <c r="I440" s="9">
        <v>1</v>
      </c>
      <c r="J440" s="9">
        <v>3</v>
      </c>
      <c r="K440" s="9" t="s">
        <v>8689</v>
      </c>
      <c r="L440" s="9" t="s">
        <v>8690</v>
      </c>
      <c r="M440" s="9"/>
      <c r="N440" s="10"/>
      <c r="O440" s="9"/>
      <c r="P440" s="9">
        <v>10929</v>
      </c>
      <c r="Q440" s="9"/>
      <c r="R440" s="9" t="s">
        <v>9321</v>
      </c>
      <c r="S440" s="9" t="s">
        <v>9321</v>
      </c>
      <c r="T440" s="9"/>
      <c r="U440" s="9"/>
      <c r="V440" s="9"/>
      <c r="W440" s="9"/>
      <c r="X440" s="9"/>
      <c r="Y440" s="9"/>
      <c r="Z440" s="9"/>
      <c r="AA440" s="9"/>
      <c r="AB440" s="9"/>
      <c r="AC440" s="9"/>
    </row>
    <row r="441" spans="1:29" ht="29">
      <c r="A441" s="3" t="s">
        <v>772</v>
      </c>
      <c r="B441" s="3" t="s">
        <v>5292</v>
      </c>
      <c r="C441" s="3" t="s">
        <v>5293</v>
      </c>
      <c r="G441" s="9" t="s">
        <v>3889</v>
      </c>
      <c r="H441" s="9"/>
      <c r="I441" s="9">
        <v>1</v>
      </c>
      <c r="J441" s="9">
        <v>2</v>
      </c>
      <c r="K441" s="9" t="s">
        <v>8734</v>
      </c>
      <c r="L441" s="9" t="s">
        <v>8730</v>
      </c>
      <c r="M441" s="9"/>
      <c r="N441" s="10"/>
      <c r="O441" s="9"/>
      <c r="P441" s="9">
        <v>120</v>
      </c>
      <c r="Q441" s="9"/>
      <c r="R441" s="9" t="s">
        <v>9321</v>
      </c>
      <c r="S441" s="9" t="s">
        <v>9321</v>
      </c>
      <c r="T441" s="9" t="s">
        <v>4</v>
      </c>
      <c r="U441" s="9"/>
      <c r="V441" s="9"/>
      <c r="W441" s="9"/>
      <c r="X441" s="9"/>
      <c r="Y441" s="9"/>
      <c r="Z441" s="9"/>
      <c r="AA441" s="9"/>
      <c r="AB441" s="9"/>
      <c r="AC441" s="9"/>
    </row>
    <row r="442" spans="1:29" ht="29">
      <c r="A442" s="3" t="s">
        <v>774</v>
      </c>
      <c r="B442" s="3" t="s">
        <v>5297</v>
      </c>
      <c r="C442" s="3" t="s">
        <v>5298</v>
      </c>
      <c r="G442" s="9" t="s">
        <v>3889</v>
      </c>
      <c r="H442" s="9"/>
      <c r="I442" s="9">
        <v>1</v>
      </c>
      <c r="J442" s="9">
        <v>3</v>
      </c>
      <c r="K442" s="9" t="s">
        <v>8689</v>
      </c>
      <c r="L442" s="9" t="s">
        <v>8690</v>
      </c>
      <c r="M442" s="9"/>
      <c r="N442" s="10"/>
      <c r="O442" s="9"/>
      <c r="P442" s="9">
        <v>10929</v>
      </c>
      <c r="Q442" s="9"/>
      <c r="R442" s="9" t="s">
        <v>9321</v>
      </c>
      <c r="S442" s="9" t="s">
        <v>9321</v>
      </c>
      <c r="T442" s="9" t="s">
        <v>8728</v>
      </c>
      <c r="U442" s="9"/>
      <c r="V442" s="9"/>
      <c r="W442" s="9"/>
      <c r="X442" s="9"/>
      <c r="Y442" s="9"/>
      <c r="Z442" s="9"/>
      <c r="AA442" s="9"/>
      <c r="AB442" s="9"/>
      <c r="AC442" s="9"/>
    </row>
    <row r="443" spans="1:29" ht="29">
      <c r="A443" s="3" t="s">
        <v>778</v>
      </c>
      <c r="B443" s="3" t="s">
        <v>5312</v>
      </c>
      <c r="C443" s="3" t="s">
        <v>5311</v>
      </c>
      <c r="G443" s="9" t="s">
        <v>3885</v>
      </c>
      <c r="H443" s="9"/>
      <c r="I443" s="9">
        <v>1</v>
      </c>
      <c r="J443" s="9">
        <v>1</v>
      </c>
      <c r="K443" s="9" t="s">
        <v>8705</v>
      </c>
      <c r="L443" s="9" t="s">
        <v>8730</v>
      </c>
      <c r="M443" s="9"/>
      <c r="N443" s="10"/>
      <c r="O443" s="9"/>
      <c r="P443" s="9">
        <v>615</v>
      </c>
      <c r="Q443" s="9"/>
      <c r="R443" s="9" t="s">
        <v>9321</v>
      </c>
      <c r="S443" s="9" t="s">
        <v>9321</v>
      </c>
      <c r="T443" s="9" t="s">
        <v>4</v>
      </c>
      <c r="U443" s="9"/>
      <c r="V443" s="9"/>
      <c r="W443" s="9"/>
      <c r="X443" s="9"/>
      <c r="Y443" s="9"/>
      <c r="Z443" s="9"/>
      <c r="AA443" s="9"/>
      <c r="AB443" s="9"/>
      <c r="AC443" s="9"/>
    </row>
    <row r="444" spans="1:29" ht="29">
      <c r="A444" s="3" t="s">
        <v>782</v>
      </c>
      <c r="B444" s="3" t="s">
        <v>9483</v>
      </c>
      <c r="C444" s="3" t="s">
        <v>9484</v>
      </c>
      <c r="G444" s="9" t="s">
        <v>8731</v>
      </c>
      <c r="H444" s="9"/>
      <c r="I444" s="9"/>
      <c r="J444" s="9"/>
      <c r="K444" s="9"/>
      <c r="L444" s="9"/>
      <c r="M444" s="9"/>
      <c r="N444" s="10"/>
      <c r="O444" s="9"/>
      <c r="P444" s="9"/>
      <c r="Q444" s="9"/>
      <c r="R444" s="9" t="s">
        <v>9321</v>
      </c>
      <c r="S444" s="9" t="s">
        <v>9321</v>
      </c>
      <c r="T444" s="9"/>
      <c r="U444" s="9"/>
      <c r="V444" s="9"/>
      <c r="W444" s="9"/>
      <c r="X444" s="9"/>
      <c r="Y444" s="9"/>
      <c r="Z444" s="9"/>
      <c r="AA444" s="9"/>
      <c r="AB444" s="9"/>
      <c r="AC444" s="9"/>
    </row>
    <row r="445" spans="1:29" ht="29">
      <c r="A445" s="3" t="s">
        <v>782</v>
      </c>
      <c r="B445" s="3" t="s">
        <v>5317</v>
      </c>
      <c r="C445" s="3" t="s">
        <v>3034</v>
      </c>
      <c r="F445" t="s">
        <v>3884</v>
      </c>
      <c r="G445" s="9" t="s">
        <v>8729</v>
      </c>
      <c r="H445" s="9"/>
      <c r="I445" s="9"/>
      <c r="J445" s="9"/>
      <c r="K445" s="9"/>
      <c r="L445" s="9"/>
      <c r="M445" s="9"/>
      <c r="N445" s="10"/>
      <c r="O445" s="9"/>
      <c r="P445" s="9"/>
      <c r="Q445" s="9">
        <v>-3</v>
      </c>
      <c r="R445" s="9">
        <v>3</v>
      </c>
      <c r="S445" s="9">
        <v>0</v>
      </c>
      <c r="T445" s="9"/>
      <c r="U445" s="9"/>
      <c r="V445" s="9"/>
      <c r="W445" s="9"/>
      <c r="X445" s="9"/>
      <c r="Y445" s="9"/>
      <c r="Z445" s="9"/>
      <c r="AA445" s="9"/>
      <c r="AB445" s="9"/>
      <c r="AC445" s="9"/>
    </row>
    <row r="446" spans="1:29" ht="29">
      <c r="A446" s="3" t="s">
        <v>783</v>
      </c>
      <c r="B446" s="3" t="s">
        <v>5319</v>
      </c>
      <c r="C446" s="3" t="s">
        <v>5320</v>
      </c>
      <c r="F446" t="s">
        <v>3884</v>
      </c>
      <c r="G446" s="9" t="s">
        <v>3889</v>
      </c>
      <c r="H446" s="9"/>
      <c r="I446" s="9">
        <v>2</v>
      </c>
      <c r="J446" s="9">
        <v>9</v>
      </c>
      <c r="K446" s="9"/>
      <c r="L446" s="9" t="s">
        <v>8690</v>
      </c>
      <c r="M446" s="9"/>
      <c r="N446" s="10"/>
      <c r="O446" s="9"/>
      <c r="P446" s="9">
        <v>15</v>
      </c>
      <c r="Q446" s="9"/>
      <c r="R446" s="9" t="s">
        <v>9321</v>
      </c>
      <c r="S446" s="9" t="s">
        <v>9321</v>
      </c>
      <c r="T446" s="9"/>
      <c r="U446" s="9"/>
      <c r="V446" s="9"/>
      <c r="W446" s="9"/>
      <c r="X446" s="9"/>
      <c r="Y446" s="9"/>
      <c r="Z446" s="9"/>
      <c r="AA446" s="9"/>
      <c r="AB446" s="9"/>
      <c r="AC446" s="9"/>
    </row>
    <row r="447" spans="1:29" ht="29">
      <c r="A447" s="3" t="s">
        <v>786</v>
      </c>
      <c r="B447" s="3" t="s">
        <v>5325</v>
      </c>
      <c r="C447" s="3" t="s">
        <v>5326</v>
      </c>
      <c r="G447" s="9" t="s">
        <v>8732</v>
      </c>
      <c r="H447" s="9"/>
      <c r="I447" s="9"/>
      <c r="J447" s="9"/>
      <c r="K447" s="9"/>
      <c r="L447" s="9"/>
      <c r="M447" s="9"/>
      <c r="N447" s="10"/>
      <c r="O447" s="9"/>
      <c r="P447" s="9"/>
      <c r="Q447" s="9">
        <v>9</v>
      </c>
      <c r="R447" s="9">
        <v>2</v>
      </c>
      <c r="S447" s="9">
        <v>11</v>
      </c>
      <c r="T447" s="9"/>
      <c r="U447" s="9"/>
      <c r="V447" s="9"/>
      <c r="W447" s="9"/>
      <c r="X447" s="9"/>
      <c r="Y447" s="9"/>
      <c r="Z447" s="9"/>
      <c r="AA447" s="9"/>
      <c r="AB447" s="9"/>
      <c r="AC447" s="9"/>
    </row>
    <row r="448" spans="1:29" ht="29">
      <c r="A448" s="3" t="s">
        <v>789</v>
      </c>
      <c r="B448" s="3" t="s">
        <v>3040</v>
      </c>
      <c r="C448" s="3" t="s">
        <v>2124</v>
      </c>
      <c r="G448" s="9" t="s">
        <v>8729</v>
      </c>
      <c r="H448" s="9"/>
      <c r="I448" s="9"/>
      <c r="J448" s="9"/>
      <c r="K448" s="9"/>
      <c r="L448" s="9"/>
      <c r="M448" s="9"/>
      <c r="N448" s="10"/>
      <c r="O448" s="9"/>
      <c r="P448" s="9"/>
      <c r="Q448" s="9">
        <v>60</v>
      </c>
      <c r="R448" s="9">
        <v>9</v>
      </c>
      <c r="S448" s="9">
        <v>69</v>
      </c>
      <c r="T448" s="9"/>
      <c r="U448" s="9"/>
      <c r="V448" s="9"/>
      <c r="W448" s="9"/>
      <c r="X448" s="9"/>
      <c r="Y448" s="9"/>
      <c r="Z448" s="9"/>
      <c r="AA448" s="9"/>
      <c r="AB448" s="9"/>
      <c r="AC448" s="9"/>
    </row>
    <row r="449" spans="1:29" ht="29">
      <c r="A449" s="3" t="s">
        <v>790</v>
      </c>
      <c r="B449" s="3" t="s">
        <v>5335</v>
      </c>
      <c r="C449" s="3" t="s">
        <v>9035</v>
      </c>
      <c r="G449" s="9" t="s">
        <v>3885</v>
      </c>
      <c r="H449" s="9"/>
      <c r="I449" s="9">
        <v>1</v>
      </c>
      <c r="J449" s="9">
        <v>1</v>
      </c>
      <c r="K449" s="9" t="s">
        <v>8689</v>
      </c>
      <c r="L449" s="9" t="s">
        <v>8730</v>
      </c>
      <c r="M449" s="9"/>
      <c r="N449" s="10"/>
      <c r="O449" s="9"/>
      <c r="P449" s="9">
        <v>10929</v>
      </c>
      <c r="Q449" s="9"/>
      <c r="R449" s="9" t="s">
        <v>9321</v>
      </c>
      <c r="S449" s="9" t="s">
        <v>9321</v>
      </c>
      <c r="T449" s="9"/>
      <c r="U449" s="9"/>
      <c r="V449" s="9"/>
      <c r="W449" s="9"/>
      <c r="X449" s="9"/>
      <c r="Y449" s="9"/>
      <c r="Z449" s="9"/>
      <c r="AA449" s="9"/>
      <c r="AB449" s="9"/>
      <c r="AC449" s="9"/>
    </row>
    <row r="450" spans="1:29" ht="29">
      <c r="A450" s="3" t="s">
        <v>795</v>
      </c>
      <c r="B450" s="3" t="s">
        <v>5346</v>
      </c>
      <c r="C450" s="3" t="s">
        <v>5347</v>
      </c>
      <c r="G450" s="9" t="s">
        <v>3889</v>
      </c>
      <c r="H450" s="9"/>
      <c r="I450" s="9">
        <v>1</v>
      </c>
      <c r="J450" s="9">
        <v>1</v>
      </c>
      <c r="K450" s="9" t="s">
        <v>8689</v>
      </c>
      <c r="L450" s="9" t="s">
        <v>8730</v>
      </c>
      <c r="M450" s="9"/>
      <c r="N450" s="10"/>
      <c r="O450" s="9"/>
      <c r="P450" s="9">
        <v>10929</v>
      </c>
      <c r="Q450" s="9"/>
      <c r="R450" s="9" t="s">
        <v>9321</v>
      </c>
      <c r="S450" s="9" t="s">
        <v>9321</v>
      </c>
      <c r="T450" s="9"/>
      <c r="U450" s="9"/>
      <c r="V450" s="9"/>
      <c r="W450" s="9"/>
      <c r="X450" s="9"/>
      <c r="Y450" s="9"/>
      <c r="Z450" s="9"/>
      <c r="AA450" s="9"/>
      <c r="AB450" s="9"/>
      <c r="AC450" s="9"/>
    </row>
    <row r="451" spans="1:29" ht="29">
      <c r="A451" s="3" t="s">
        <v>796</v>
      </c>
      <c r="B451" s="3" t="s">
        <v>5350</v>
      </c>
      <c r="C451" s="3" t="s">
        <v>5351</v>
      </c>
      <c r="G451" s="9" t="s">
        <v>3889</v>
      </c>
      <c r="H451" s="9"/>
      <c r="I451" s="9">
        <v>1</v>
      </c>
      <c r="J451" s="9">
        <v>3</v>
      </c>
      <c r="K451" s="9" t="s">
        <v>8683</v>
      </c>
      <c r="L451" s="9" t="s">
        <v>8690</v>
      </c>
      <c r="M451" s="9"/>
      <c r="N451" s="10"/>
      <c r="O451" s="9"/>
      <c r="P451" s="9">
        <v>162</v>
      </c>
      <c r="Q451" s="9"/>
      <c r="R451" s="9" t="s">
        <v>9321</v>
      </c>
      <c r="S451" s="9" t="s">
        <v>9321</v>
      </c>
      <c r="T451" s="9"/>
      <c r="U451" s="9"/>
      <c r="V451" s="9"/>
      <c r="W451" s="9"/>
      <c r="X451" s="9"/>
      <c r="Y451" s="9"/>
      <c r="Z451" s="9"/>
      <c r="AA451" s="9"/>
      <c r="AB451" s="9"/>
      <c r="AC451" s="9"/>
    </row>
    <row r="452" spans="1:29" ht="29">
      <c r="A452" s="3" t="s">
        <v>799</v>
      </c>
      <c r="B452" s="3" t="s">
        <v>5359</v>
      </c>
      <c r="C452" s="3" t="s">
        <v>5347</v>
      </c>
      <c r="G452" s="9" t="s">
        <v>3889</v>
      </c>
      <c r="H452" s="9"/>
      <c r="I452" s="9">
        <v>1</v>
      </c>
      <c r="J452" s="9">
        <v>1</v>
      </c>
      <c r="K452" s="9" t="s">
        <v>8689</v>
      </c>
      <c r="L452" s="9" t="s">
        <v>8730</v>
      </c>
      <c r="M452" s="9"/>
      <c r="N452" s="10"/>
      <c r="O452" s="9"/>
      <c r="P452" s="9">
        <v>10929</v>
      </c>
      <c r="Q452" s="9"/>
      <c r="R452" s="9" t="s">
        <v>9321</v>
      </c>
      <c r="S452" s="9" t="s">
        <v>9321</v>
      </c>
      <c r="T452" s="9"/>
      <c r="U452" s="9"/>
      <c r="V452" s="9"/>
      <c r="W452" s="9"/>
      <c r="X452" s="9"/>
      <c r="Y452" s="9"/>
      <c r="Z452" s="9"/>
      <c r="AA452" s="9"/>
      <c r="AB452" s="9"/>
      <c r="AC452" s="9"/>
    </row>
    <row r="453" spans="1:29" ht="29">
      <c r="A453" s="3" t="s">
        <v>799</v>
      </c>
      <c r="B453" s="3" t="s">
        <v>5362</v>
      </c>
      <c r="C453" s="3" t="s">
        <v>5363</v>
      </c>
      <c r="G453" s="9" t="s">
        <v>3889</v>
      </c>
      <c r="H453" s="9"/>
      <c r="I453" s="9">
        <v>1</v>
      </c>
      <c r="J453" s="9">
        <v>1</v>
      </c>
      <c r="K453" s="9" t="s">
        <v>8689</v>
      </c>
      <c r="L453" s="9" t="s">
        <v>8730</v>
      </c>
      <c r="M453" s="9"/>
      <c r="N453" s="10"/>
      <c r="O453" s="9"/>
      <c r="P453" s="9">
        <v>10929</v>
      </c>
      <c r="Q453" s="9"/>
      <c r="R453" s="9" t="s">
        <v>9321</v>
      </c>
      <c r="S453" s="9" t="s">
        <v>9321</v>
      </c>
      <c r="T453" s="9"/>
      <c r="U453" s="9"/>
      <c r="V453" s="9"/>
      <c r="W453" s="9"/>
      <c r="X453" s="9"/>
      <c r="Y453" s="9"/>
      <c r="Z453" s="9"/>
      <c r="AA453" s="9"/>
      <c r="AB453" s="9"/>
      <c r="AC453" s="9"/>
    </row>
    <row r="454" spans="1:29" ht="29">
      <c r="A454" s="3" t="s">
        <v>800</v>
      </c>
      <c r="B454" s="3" t="s">
        <v>5366</v>
      </c>
      <c r="C454" s="3" t="s">
        <v>5367</v>
      </c>
      <c r="G454" s="9" t="s">
        <v>8731</v>
      </c>
      <c r="H454" s="9"/>
      <c r="I454" s="9"/>
      <c r="J454" s="9"/>
      <c r="K454" s="9"/>
      <c r="L454" s="9"/>
      <c r="M454" s="9"/>
      <c r="N454" s="10"/>
      <c r="O454" s="9"/>
      <c r="P454" s="9"/>
      <c r="Q454" s="9"/>
      <c r="R454" s="9" t="s">
        <v>9321</v>
      </c>
      <c r="S454" s="9" t="s">
        <v>9321</v>
      </c>
      <c r="T454" s="9"/>
      <c r="U454" s="9"/>
      <c r="V454" s="9"/>
      <c r="W454" s="9"/>
      <c r="X454" s="9"/>
      <c r="Y454" s="9"/>
      <c r="Z454" s="9"/>
      <c r="AA454" s="9"/>
      <c r="AB454" s="9"/>
      <c r="AC454" s="9"/>
    </row>
    <row r="455" spans="1:29" ht="29">
      <c r="A455" s="3" t="s">
        <v>801</v>
      </c>
      <c r="B455" s="3" t="s">
        <v>5370</v>
      </c>
      <c r="C455" s="3" t="s">
        <v>5371</v>
      </c>
      <c r="G455" s="9" t="s">
        <v>8731</v>
      </c>
      <c r="H455" s="9"/>
      <c r="I455" s="9"/>
      <c r="J455" s="9"/>
      <c r="K455" s="9"/>
      <c r="L455" s="9"/>
      <c r="M455" s="9"/>
      <c r="N455" s="10"/>
      <c r="O455" s="9"/>
      <c r="P455" s="9"/>
      <c r="Q455" s="9"/>
      <c r="R455" s="9" t="s">
        <v>9321</v>
      </c>
      <c r="S455" s="9" t="s">
        <v>9321</v>
      </c>
      <c r="T455" s="9"/>
      <c r="U455" s="9"/>
      <c r="V455" s="9"/>
      <c r="W455" s="9"/>
      <c r="X455" s="9"/>
      <c r="Y455" s="9"/>
      <c r="Z455" s="9"/>
      <c r="AA455" s="9"/>
      <c r="AB455" s="9"/>
      <c r="AC455" s="9"/>
    </row>
    <row r="456" spans="1:29" ht="29">
      <c r="A456" s="3" t="s">
        <v>807</v>
      </c>
      <c r="B456" s="3" t="s">
        <v>5384</v>
      </c>
      <c r="C456" s="3" t="s">
        <v>5383</v>
      </c>
      <c r="F456" t="s">
        <v>3884</v>
      </c>
      <c r="G456" s="9" t="s">
        <v>3889</v>
      </c>
      <c r="H456" s="9"/>
      <c r="I456" s="9">
        <v>1</v>
      </c>
      <c r="J456" s="9">
        <v>3</v>
      </c>
      <c r="K456" s="9" t="s">
        <v>8705</v>
      </c>
      <c r="L456" s="9" t="s">
        <v>8690</v>
      </c>
      <c r="M456" s="9"/>
      <c r="N456" s="10"/>
      <c r="O456" s="9"/>
      <c r="P456" s="9">
        <v>1485</v>
      </c>
      <c r="Q456" s="9"/>
      <c r="R456" s="9" t="s">
        <v>9321</v>
      </c>
      <c r="S456" s="9" t="s">
        <v>9321</v>
      </c>
      <c r="T456" s="9"/>
      <c r="U456" s="9"/>
      <c r="V456" s="9"/>
      <c r="W456" s="9"/>
      <c r="X456" s="9"/>
      <c r="Y456" s="9"/>
      <c r="Z456" s="9"/>
      <c r="AA456" s="9"/>
      <c r="AB456" s="9"/>
      <c r="AC456" s="9"/>
    </row>
    <row r="457" spans="1:29" ht="29">
      <c r="A457" s="3" t="s">
        <v>808</v>
      </c>
      <c r="B457" s="3" t="s">
        <v>5388</v>
      </c>
      <c r="C457" s="3" t="s">
        <v>5389</v>
      </c>
      <c r="G457" s="9" t="s">
        <v>8729</v>
      </c>
      <c r="H457" s="9"/>
      <c r="I457" s="9"/>
      <c r="J457" s="9"/>
      <c r="K457" s="9"/>
      <c r="L457" s="9"/>
      <c r="M457" s="9"/>
      <c r="N457" s="10"/>
      <c r="O457" s="9"/>
      <c r="P457" s="9"/>
      <c r="Q457" s="9">
        <v>3</v>
      </c>
      <c r="R457" s="9">
        <v>20</v>
      </c>
      <c r="S457" s="9">
        <v>23</v>
      </c>
      <c r="T457" s="9"/>
      <c r="U457" s="9"/>
      <c r="V457" s="9"/>
      <c r="W457" s="9"/>
      <c r="X457" s="9"/>
      <c r="Y457" s="9"/>
      <c r="Z457" s="9"/>
      <c r="AA457" s="9"/>
      <c r="AB457" s="9"/>
      <c r="AC457" s="9"/>
    </row>
    <row r="458" spans="1:29" ht="29">
      <c r="A458" s="3" t="s">
        <v>809</v>
      </c>
      <c r="B458" s="3" t="s">
        <v>5391</v>
      </c>
      <c r="C458" s="3" t="s">
        <v>5392</v>
      </c>
      <c r="G458" s="9" t="s">
        <v>8729</v>
      </c>
      <c r="H458" s="9"/>
      <c r="I458" s="9"/>
      <c r="J458" s="9"/>
      <c r="K458" s="9"/>
      <c r="L458" s="9"/>
      <c r="M458" s="9"/>
      <c r="N458" s="10"/>
      <c r="O458" s="9"/>
      <c r="P458" s="9"/>
      <c r="Q458" s="9">
        <v>-78</v>
      </c>
      <c r="R458" s="9">
        <v>128</v>
      </c>
      <c r="S458" s="9">
        <v>50</v>
      </c>
      <c r="T458" s="9"/>
      <c r="U458" s="9"/>
      <c r="V458" s="9"/>
      <c r="W458" s="9"/>
      <c r="X458" s="9"/>
      <c r="Y458" s="9"/>
      <c r="Z458" s="9"/>
      <c r="AA458" s="9"/>
      <c r="AB458" s="9"/>
      <c r="AC458" s="9"/>
    </row>
    <row r="459" spans="1:29" ht="29">
      <c r="A459" s="3" t="s">
        <v>810</v>
      </c>
      <c r="B459" s="3" t="s">
        <v>5394</v>
      </c>
      <c r="C459" s="3" t="s">
        <v>5395</v>
      </c>
      <c r="G459" s="9" t="s">
        <v>3885</v>
      </c>
      <c r="H459" s="9"/>
      <c r="I459" s="9">
        <v>1</v>
      </c>
      <c r="J459" s="9">
        <v>3</v>
      </c>
      <c r="K459" s="9" t="s">
        <v>8689</v>
      </c>
      <c r="L459" s="9" t="s">
        <v>8690</v>
      </c>
      <c r="M459" s="9"/>
      <c r="N459" s="10"/>
      <c r="O459" s="9"/>
      <c r="P459" s="9">
        <v>10929</v>
      </c>
      <c r="Q459" s="9"/>
      <c r="R459" s="9" t="s">
        <v>9321</v>
      </c>
      <c r="S459" s="9" t="s">
        <v>9321</v>
      </c>
      <c r="T459" s="9"/>
      <c r="U459" s="9"/>
      <c r="V459" s="9"/>
      <c r="W459" s="9"/>
      <c r="X459" s="9"/>
      <c r="Y459" s="9"/>
      <c r="Z459" s="9"/>
      <c r="AA459" s="9"/>
      <c r="AB459" s="9"/>
      <c r="AC459" s="9"/>
    </row>
    <row r="460" spans="1:29" ht="29">
      <c r="A460" s="3" t="s">
        <v>811</v>
      </c>
      <c r="B460" s="3" t="s">
        <v>5396</v>
      </c>
      <c r="C460" s="3" t="s">
        <v>5397</v>
      </c>
      <c r="F460" t="s">
        <v>3884</v>
      </c>
      <c r="G460" s="9" t="s">
        <v>8729</v>
      </c>
      <c r="H460" s="9"/>
      <c r="I460" s="9"/>
      <c r="J460" s="9"/>
      <c r="K460" s="9"/>
      <c r="L460" s="9"/>
      <c r="M460" s="9"/>
      <c r="N460" s="10"/>
      <c r="O460" s="9"/>
      <c r="P460" s="9"/>
      <c r="Q460" s="9">
        <v>9</v>
      </c>
      <c r="R460" s="9">
        <v>2</v>
      </c>
      <c r="S460" s="9">
        <v>11</v>
      </c>
      <c r="T460" s="9"/>
      <c r="U460" s="9"/>
      <c r="V460" s="9"/>
      <c r="W460" s="9"/>
      <c r="X460" s="9"/>
      <c r="Y460" s="9"/>
      <c r="Z460" s="9"/>
      <c r="AA460" s="9"/>
      <c r="AB460" s="9"/>
      <c r="AC460" s="9"/>
    </row>
    <row r="461" spans="1:29" ht="29">
      <c r="A461" s="3" t="s">
        <v>811</v>
      </c>
      <c r="B461" s="3" t="s">
        <v>5398</v>
      </c>
      <c r="C461" s="3" t="s">
        <v>5399</v>
      </c>
      <c r="F461" t="s">
        <v>3884</v>
      </c>
      <c r="G461" s="9" t="s">
        <v>3889</v>
      </c>
      <c r="H461" s="9"/>
      <c r="I461" s="9">
        <v>1</v>
      </c>
      <c r="J461" s="9">
        <v>2</v>
      </c>
      <c r="K461" s="9" t="s">
        <v>8689</v>
      </c>
      <c r="L461" s="9" t="s">
        <v>8730</v>
      </c>
      <c r="M461" s="9"/>
      <c r="N461" s="10"/>
      <c r="O461" s="9"/>
      <c r="P461" s="9">
        <v>10929</v>
      </c>
      <c r="Q461" s="9"/>
      <c r="R461" s="9" t="s">
        <v>9321</v>
      </c>
      <c r="S461" s="9" t="s">
        <v>9321</v>
      </c>
      <c r="T461" s="9"/>
      <c r="U461" s="9"/>
      <c r="V461" s="9"/>
      <c r="W461" s="9"/>
      <c r="X461" s="9"/>
      <c r="Y461" s="9"/>
      <c r="Z461" s="9"/>
      <c r="AA461" s="9"/>
      <c r="AB461" s="9"/>
      <c r="AC461" s="9"/>
    </row>
    <row r="462" spans="1:29" ht="29">
      <c r="A462" s="3" t="s">
        <v>812</v>
      </c>
      <c r="B462" s="3" t="s">
        <v>5402</v>
      </c>
      <c r="C462" s="3" t="s">
        <v>5403</v>
      </c>
      <c r="G462" s="9" t="s">
        <v>3889</v>
      </c>
      <c r="H462" s="9"/>
      <c r="I462" s="9">
        <v>1</v>
      </c>
      <c r="J462" s="9">
        <v>1</v>
      </c>
      <c r="K462" s="9" t="s">
        <v>8689</v>
      </c>
      <c r="L462" s="9" t="s">
        <v>8730</v>
      </c>
      <c r="M462" s="9"/>
      <c r="N462" s="10"/>
      <c r="O462" s="9" t="s">
        <v>8685</v>
      </c>
      <c r="P462" s="9">
        <v>10929</v>
      </c>
      <c r="Q462" s="9"/>
      <c r="R462" s="9" t="s">
        <v>9321</v>
      </c>
      <c r="S462" s="9" t="s">
        <v>9321</v>
      </c>
      <c r="T462" s="9"/>
      <c r="U462" s="9"/>
      <c r="V462" s="9"/>
      <c r="W462" s="9"/>
      <c r="X462" s="9"/>
      <c r="Y462" s="9"/>
      <c r="Z462" s="9"/>
      <c r="AA462" s="9"/>
      <c r="AB462" s="9"/>
      <c r="AC462" s="9"/>
    </row>
    <row r="463" spans="1:29" ht="29">
      <c r="A463" s="3" t="s">
        <v>812</v>
      </c>
      <c r="B463" s="3" t="s">
        <v>5407</v>
      </c>
      <c r="C463" s="3" t="s">
        <v>5406</v>
      </c>
      <c r="G463" s="9" t="s">
        <v>3894</v>
      </c>
      <c r="H463" s="9"/>
      <c r="I463" s="9"/>
      <c r="J463" s="9"/>
      <c r="K463" s="9"/>
      <c r="L463" s="9"/>
      <c r="M463" s="9"/>
      <c r="N463" s="10"/>
      <c r="O463" s="9"/>
      <c r="P463" s="9"/>
      <c r="Q463" s="9"/>
      <c r="R463" s="9" t="s">
        <v>9321</v>
      </c>
      <c r="S463" s="9" t="s">
        <v>9321</v>
      </c>
      <c r="T463" s="9"/>
      <c r="U463" s="9"/>
      <c r="V463" s="9"/>
      <c r="W463" s="9"/>
      <c r="X463" s="9"/>
      <c r="Y463" s="9"/>
      <c r="Z463" s="9"/>
      <c r="AA463" s="9"/>
      <c r="AB463" s="9"/>
      <c r="AC463" s="9"/>
    </row>
    <row r="464" spans="1:29" ht="29">
      <c r="A464" s="3" t="s">
        <v>813</v>
      </c>
      <c r="B464" s="3" t="s">
        <v>5412</v>
      </c>
      <c r="C464" s="3" t="s">
        <v>5413</v>
      </c>
      <c r="F464" t="s">
        <v>3884</v>
      </c>
      <c r="G464" s="9" t="s">
        <v>3889</v>
      </c>
      <c r="H464" s="9"/>
      <c r="I464" s="9">
        <v>1</v>
      </c>
      <c r="J464" s="9">
        <v>3</v>
      </c>
      <c r="K464" s="9" t="s">
        <v>8689</v>
      </c>
      <c r="L464" s="9" t="s">
        <v>8690</v>
      </c>
      <c r="M464" s="9"/>
      <c r="N464" s="10"/>
      <c r="O464" s="9"/>
      <c r="P464" s="9">
        <v>10929</v>
      </c>
      <c r="Q464" s="9"/>
      <c r="R464" s="9" t="s">
        <v>9321</v>
      </c>
      <c r="S464" s="9" t="s">
        <v>9321</v>
      </c>
      <c r="T464" s="9"/>
      <c r="U464" s="9"/>
      <c r="V464" s="9"/>
      <c r="W464" s="9"/>
      <c r="X464" s="9"/>
      <c r="Y464" s="9"/>
      <c r="Z464" s="9"/>
      <c r="AA464" s="9"/>
      <c r="AB464" s="9"/>
      <c r="AC464" s="9"/>
    </row>
    <row r="465" spans="1:29" ht="43.5">
      <c r="A465" s="3" t="s">
        <v>813</v>
      </c>
      <c r="B465" s="3" t="s">
        <v>5424</v>
      </c>
      <c r="C465" s="3" t="s">
        <v>5425</v>
      </c>
      <c r="F465" t="s">
        <v>3884</v>
      </c>
      <c r="G465" s="9" t="s">
        <v>8731</v>
      </c>
      <c r="H465" s="9"/>
      <c r="I465" s="9"/>
      <c r="J465" s="9"/>
      <c r="K465" s="9"/>
      <c r="L465" s="9"/>
      <c r="M465" s="9"/>
      <c r="N465" s="10"/>
      <c r="O465" s="9"/>
      <c r="P465" s="9"/>
      <c r="Q465" s="9"/>
      <c r="R465" s="9" t="s">
        <v>9321</v>
      </c>
      <c r="S465" s="9" t="s">
        <v>9321</v>
      </c>
      <c r="T465" s="9"/>
      <c r="U465" s="9"/>
      <c r="V465" s="9"/>
      <c r="W465" s="9"/>
      <c r="X465" s="9"/>
      <c r="Y465" s="9"/>
      <c r="Z465" s="9"/>
      <c r="AA465" s="9"/>
      <c r="AB465" s="9"/>
      <c r="AC465" s="9"/>
    </row>
    <row r="466" spans="1:29" ht="29">
      <c r="A466" s="3" t="s">
        <v>813</v>
      </c>
      <c r="B466" s="3" t="s">
        <v>5429</v>
      </c>
      <c r="C466" s="3" t="s">
        <v>5430</v>
      </c>
      <c r="G466" s="9" t="s">
        <v>8729</v>
      </c>
      <c r="H466" s="9"/>
      <c r="I466" s="9"/>
      <c r="J466" s="9"/>
      <c r="K466" s="9"/>
      <c r="L466" s="9"/>
      <c r="M466" s="9"/>
      <c r="N466" s="10"/>
      <c r="O466" s="9"/>
      <c r="P466" s="9"/>
      <c r="Q466" s="9">
        <v>-3599</v>
      </c>
      <c r="R466" s="9">
        <v>3678</v>
      </c>
      <c r="S466" s="9">
        <v>79</v>
      </c>
      <c r="T466" s="9"/>
      <c r="U466" s="9"/>
      <c r="V466" s="9"/>
      <c r="W466" s="9"/>
      <c r="X466" s="9"/>
      <c r="Y466" s="9"/>
      <c r="Z466" s="9"/>
      <c r="AA466" s="9"/>
      <c r="AB466" s="9"/>
      <c r="AC466" s="9"/>
    </row>
    <row r="467" spans="1:29" ht="29">
      <c r="A467" s="3" t="s">
        <v>813</v>
      </c>
      <c r="B467" s="3" t="s">
        <v>5431</v>
      </c>
      <c r="C467" s="3" t="s">
        <v>5432</v>
      </c>
      <c r="G467" s="9" t="s">
        <v>8729</v>
      </c>
      <c r="H467" s="9"/>
      <c r="I467" s="9"/>
      <c r="J467" s="9"/>
      <c r="K467" s="9"/>
      <c r="L467" s="9"/>
      <c r="M467" s="9"/>
      <c r="N467" s="10"/>
      <c r="O467" s="9"/>
      <c r="P467" s="9"/>
      <c r="Q467" s="9">
        <v>-96</v>
      </c>
      <c r="R467" s="9">
        <v>202</v>
      </c>
      <c r="S467" s="9">
        <v>106</v>
      </c>
      <c r="T467" s="9" t="s">
        <v>4</v>
      </c>
      <c r="U467" s="9"/>
      <c r="V467" s="9"/>
      <c r="W467" s="9"/>
      <c r="X467" s="9"/>
      <c r="Y467" s="9"/>
      <c r="Z467" s="9"/>
      <c r="AA467" s="9"/>
      <c r="AB467" s="9"/>
      <c r="AC467" s="9"/>
    </row>
    <row r="468" spans="1:29" ht="29">
      <c r="A468" s="3" t="s">
        <v>814</v>
      </c>
      <c r="B468" s="3" t="s">
        <v>5433</v>
      </c>
      <c r="C468" s="3" t="s">
        <v>5434</v>
      </c>
      <c r="F468" t="s">
        <v>3884</v>
      </c>
      <c r="G468" s="9" t="s">
        <v>3885</v>
      </c>
      <c r="H468" s="9"/>
      <c r="I468" s="9">
        <v>1</v>
      </c>
      <c r="J468" s="9">
        <v>1</v>
      </c>
      <c r="K468" s="9" t="s">
        <v>8698</v>
      </c>
      <c r="L468" s="9" t="s">
        <v>8730</v>
      </c>
      <c r="M468" s="9"/>
      <c r="N468" s="10"/>
      <c r="O468" s="9"/>
      <c r="P468" s="9">
        <v>1</v>
      </c>
      <c r="Q468" s="9"/>
      <c r="R468" s="9" t="s">
        <v>9321</v>
      </c>
      <c r="S468" s="9" t="s">
        <v>9321</v>
      </c>
      <c r="T468" s="9"/>
      <c r="U468" s="9"/>
      <c r="V468" s="9"/>
      <c r="W468" s="9"/>
      <c r="X468" s="9"/>
      <c r="Y468" s="9"/>
      <c r="Z468" s="9"/>
      <c r="AA468" s="9"/>
      <c r="AB468" s="9"/>
      <c r="AC468" s="9"/>
    </row>
    <row r="469" spans="1:29" ht="29">
      <c r="A469" s="3" t="s">
        <v>815</v>
      </c>
      <c r="B469" s="3" t="s">
        <v>5437</v>
      </c>
      <c r="C469" s="3" t="s">
        <v>5438</v>
      </c>
      <c r="G469" s="9" t="s">
        <v>3889</v>
      </c>
      <c r="H469" s="9"/>
      <c r="I469" s="9">
        <v>1</v>
      </c>
      <c r="J469" s="9">
        <v>3</v>
      </c>
      <c r="K469" s="9" t="s">
        <v>8698</v>
      </c>
      <c r="L469" s="9" t="s">
        <v>8690</v>
      </c>
      <c r="M469" s="9"/>
      <c r="N469" s="10"/>
      <c r="O469" s="9"/>
      <c r="P469" s="9">
        <v>9418</v>
      </c>
      <c r="Q469" s="9"/>
      <c r="R469" s="9" t="s">
        <v>9321</v>
      </c>
      <c r="S469" s="9" t="s">
        <v>9321</v>
      </c>
      <c r="T469" s="9"/>
      <c r="U469" s="9"/>
      <c r="V469" s="9"/>
      <c r="W469" s="9"/>
      <c r="X469" s="9"/>
      <c r="Y469" s="9"/>
      <c r="Z469" s="9"/>
      <c r="AA469" s="9"/>
      <c r="AB469" s="9"/>
      <c r="AC469" s="9"/>
    </row>
    <row r="470" spans="1:29" ht="29">
      <c r="A470" s="3" t="s">
        <v>818</v>
      </c>
      <c r="B470" s="3" t="s">
        <v>5439</v>
      </c>
      <c r="C470" s="3" t="s">
        <v>5440</v>
      </c>
      <c r="G470" s="9" t="s">
        <v>3894</v>
      </c>
      <c r="H470" s="9"/>
      <c r="I470" s="9"/>
      <c r="J470" s="9"/>
      <c r="K470" s="9"/>
      <c r="L470" s="9"/>
      <c r="M470" s="9"/>
      <c r="N470" s="10"/>
      <c r="O470" s="9"/>
      <c r="P470" s="9"/>
      <c r="Q470" s="9"/>
      <c r="R470" s="9" t="s">
        <v>9321</v>
      </c>
      <c r="S470" s="9" t="s">
        <v>9321</v>
      </c>
      <c r="T470" s="9"/>
      <c r="U470" s="9"/>
      <c r="V470" s="9"/>
      <c r="W470" s="9"/>
      <c r="X470" s="9"/>
      <c r="Y470" s="9"/>
      <c r="Z470" s="9"/>
      <c r="AA470" s="9"/>
      <c r="AB470" s="9"/>
      <c r="AC470" s="9"/>
    </row>
    <row r="471" spans="1:29" ht="29">
      <c r="A471" s="3" t="s">
        <v>820</v>
      </c>
      <c r="B471" s="3" t="s">
        <v>5443</v>
      </c>
      <c r="C471" s="3" t="s">
        <v>3064</v>
      </c>
      <c r="F471" t="s">
        <v>3884</v>
      </c>
      <c r="G471" s="9" t="s">
        <v>8729</v>
      </c>
      <c r="H471" s="9"/>
      <c r="I471" s="9"/>
      <c r="J471" s="9"/>
      <c r="K471" s="9"/>
      <c r="L471" s="9"/>
      <c r="M471" s="9"/>
      <c r="N471" s="10"/>
      <c r="O471" s="9"/>
      <c r="P471" s="9"/>
      <c r="Q471" s="9">
        <v>-14</v>
      </c>
      <c r="R471" s="9">
        <v>33</v>
      </c>
      <c r="S471" s="9">
        <v>19</v>
      </c>
      <c r="T471" s="9"/>
      <c r="U471" s="9"/>
      <c r="V471" s="9"/>
      <c r="W471" s="9"/>
      <c r="X471" s="9"/>
      <c r="Y471" s="9"/>
      <c r="Z471" s="9"/>
      <c r="AA471" s="9"/>
      <c r="AB471" s="9"/>
      <c r="AC471" s="9"/>
    </row>
    <row r="472" spans="1:29" ht="29">
      <c r="A472" s="3" t="s">
        <v>822</v>
      </c>
      <c r="B472" s="3" t="s">
        <v>5449</v>
      </c>
      <c r="C472" s="3" t="s">
        <v>5450</v>
      </c>
      <c r="F472" t="s">
        <v>3884</v>
      </c>
      <c r="G472" s="9" t="s">
        <v>3885</v>
      </c>
      <c r="H472" s="9"/>
      <c r="I472" s="9">
        <v>1</v>
      </c>
      <c r="J472" s="9">
        <v>2</v>
      </c>
      <c r="K472" s="9" t="s">
        <v>8689</v>
      </c>
      <c r="L472" s="9" t="s">
        <v>8730</v>
      </c>
      <c r="M472" s="9"/>
      <c r="N472" s="10"/>
      <c r="O472" s="9"/>
      <c r="P472" s="9">
        <v>10929</v>
      </c>
      <c r="Q472" s="9"/>
      <c r="R472" s="9" t="s">
        <v>9321</v>
      </c>
      <c r="S472" s="9" t="s">
        <v>9321</v>
      </c>
      <c r="T472" s="9"/>
      <c r="U472" s="9"/>
      <c r="V472" s="9"/>
      <c r="W472" s="9"/>
      <c r="X472" s="9"/>
      <c r="Y472" s="9"/>
      <c r="Z472" s="9"/>
      <c r="AA472" s="9"/>
      <c r="AB472" s="9"/>
      <c r="AC472" s="9"/>
    </row>
    <row r="473" spans="1:29" ht="29">
      <c r="A473" s="3" t="s">
        <v>824</v>
      </c>
      <c r="B473" s="3" t="s">
        <v>9041</v>
      </c>
      <c r="C473" s="3" t="s">
        <v>9042</v>
      </c>
      <c r="G473" s="9" t="s">
        <v>8731</v>
      </c>
      <c r="H473" s="9"/>
      <c r="I473" s="9"/>
      <c r="J473" s="9"/>
      <c r="K473" s="9"/>
      <c r="L473" s="9"/>
      <c r="M473" s="9"/>
      <c r="N473" s="10"/>
      <c r="O473" s="9"/>
      <c r="P473" s="9"/>
      <c r="Q473" s="9"/>
      <c r="R473" s="9" t="s">
        <v>9321</v>
      </c>
      <c r="S473" s="9" t="s">
        <v>9321</v>
      </c>
      <c r="T473" s="9"/>
      <c r="U473" s="9"/>
      <c r="V473" s="9"/>
      <c r="W473" s="9"/>
      <c r="X473" s="9"/>
      <c r="Y473" s="9"/>
      <c r="Z473" s="9"/>
      <c r="AA473" s="9"/>
      <c r="AB473" s="9"/>
      <c r="AC473" s="9"/>
    </row>
    <row r="474" spans="1:29" ht="29">
      <c r="A474" s="3" t="s">
        <v>829</v>
      </c>
      <c r="B474" s="3" t="s">
        <v>5456</v>
      </c>
      <c r="C474" s="3" t="s">
        <v>5457</v>
      </c>
      <c r="F474" t="s">
        <v>3888</v>
      </c>
      <c r="G474" s="9" t="s">
        <v>8729</v>
      </c>
      <c r="H474" s="9"/>
      <c r="I474" s="9"/>
      <c r="J474" s="9"/>
      <c r="K474" s="9"/>
      <c r="L474" s="9"/>
      <c r="M474" s="9"/>
      <c r="N474" s="10"/>
      <c r="O474" s="9"/>
      <c r="P474" s="9"/>
      <c r="Q474" s="9">
        <v>-3</v>
      </c>
      <c r="R474" s="9">
        <v>55</v>
      </c>
      <c r="S474" s="9">
        <v>52</v>
      </c>
      <c r="T474" s="9"/>
      <c r="U474" s="9"/>
      <c r="V474" s="9"/>
      <c r="W474" s="9"/>
      <c r="X474" s="9"/>
      <c r="Y474" s="9"/>
      <c r="Z474" s="9"/>
      <c r="AA474" s="9"/>
      <c r="AB474" s="9"/>
      <c r="AC474" s="9"/>
    </row>
    <row r="475" spans="1:29" ht="29">
      <c r="A475" s="3" t="s">
        <v>830</v>
      </c>
      <c r="B475" s="3" t="s">
        <v>5459</v>
      </c>
      <c r="C475" s="3" t="s">
        <v>5460</v>
      </c>
      <c r="G475" s="9" t="s">
        <v>8729</v>
      </c>
      <c r="H475" s="9"/>
      <c r="I475" s="9"/>
      <c r="J475" s="9"/>
      <c r="K475" s="9"/>
      <c r="L475" s="9"/>
      <c r="M475" s="9"/>
      <c r="N475" s="10"/>
      <c r="O475" s="9"/>
      <c r="P475" s="9"/>
      <c r="Q475" s="9">
        <v>19</v>
      </c>
      <c r="R475" s="9">
        <v>4</v>
      </c>
      <c r="S475" s="9">
        <v>23</v>
      </c>
      <c r="T475" s="9"/>
      <c r="U475" s="9"/>
      <c r="V475" s="9"/>
      <c r="W475" s="9"/>
      <c r="X475" s="9"/>
      <c r="Y475" s="9"/>
      <c r="Z475" s="9"/>
      <c r="AA475" s="9"/>
      <c r="AB475" s="9"/>
      <c r="AC475" s="9"/>
    </row>
    <row r="476" spans="1:29" ht="29">
      <c r="A476" s="3" t="s">
        <v>830</v>
      </c>
      <c r="B476" s="3" t="s">
        <v>5461</v>
      </c>
      <c r="C476" s="3" t="s">
        <v>5462</v>
      </c>
      <c r="F476" t="s">
        <v>3884</v>
      </c>
      <c r="G476" s="9" t="s">
        <v>8729</v>
      </c>
      <c r="H476" s="9"/>
      <c r="I476" s="9"/>
      <c r="J476" s="9"/>
      <c r="K476" s="9"/>
      <c r="L476" s="9"/>
      <c r="M476" s="9"/>
      <c r="N476" s="10"/>
      <c r="O476" s="9"/>
      <c r="P476" s="9"/>
      <c r="Q476" s="9">
        <v>-88</v>
      </c>
      <c r="R476" s="9">
        <v>206</v>
      </c>
      <c r="S476" s="9">
        <v>118</v>
      </c>
      <c r="T476" s="9"/>
      <c r="U476" s="9"/>
      <c r="V476" s="9"/>
      <c r="W476" s="9"/>
      <c r="X476" s="9"/>
      <c r="Y476" s="9"/>
      <c r="Z476" s="9"/>
      <c r="AA476" s="9"/>
      <c r="AB476" s="9"/>
      <c r="AC476" s="9"/>
    </row>
    <row r="477" spans="1:29" ht="29">
      <c r="A477" s="3" t="s">
        <v>831</v>
      </c>
      <c r="B477" s="3" t="s">
        <v>5471</v>
      </c>
      <c r="C477" s="3" t="s">
        <v>5472</v>
      </c>
      <c r="F477" t="s">
        <v>3884</v>
      </c>
      <c r="G477" s="9" t="s">
        <v>3889</v>
      </c>
      <c r="H477" s="9"/>
      <c r="I477" s="9">
        <v>1</v>
      </c>
      <c r="J477" s="9">
        <v>3</v>
      </c>
      <c r="K477" s="9" t="s">
        <v>8698</v>
      </c>
      <c r="L477" s="9" t="s">
        <v>8690</v>
      </c>
      <c r="M477" s="9"/>
      <c r="N477" s="10"/>
      <c r="O477" s="9"/>
      <c r="P477" s="9">
        <v>653</v>
      </c>
      <c r="Q477" s="9"/>
      <c r="R477" s="9" t="s">
        <v>9321</v>
      </c>
      <c r="S477" s="9" t="s">
        <v>9321</v>
      </c>
      <c r="T477" s="9"/>
      <c r="U477" s="9"/>
      <c r="V477" s="9"/>
      <c r="W477" s="9"/>
      <c r="X477" s="9"/>
      <c r="Y477" s="9"/>
      <c r="Z477" s="9"/>
      <c r="AA477" s="9"/>
      <c r="AB477" s="9"/>
      <c r="AC477" s="9"/>
    </row>
    <row r="478" spans="1:29" ht="29">
      <c r="A478" s="3" t="s">
        <v>835</v>
      </c>
      <c r="B478" s="3" t="s">
        <v>5475</v>
      </c>
      <c r="C478" s="3" t="s">
        <v>5476</v>
      </c>
      <c r="G478" s="9" t="s">
        <v>3885</v>
      </c>
      <c r="H478" s="9"/>
      <c r="I478" s="9">
        <v>1</v>
      </c>
      <c r="J478" s="9">
        <v>3</v>
      </c>
      <c r="K478" s="9" t="s">
        <v>8689</v>
      </c>
      <c r="L478" s="9" t="s">
        <v>8690</v>
      </c>
      <c r="M478" s="9"/>
      <c r="N478" s="10"/>
      <c r="O478" s="9"/>
      <c r="P478" s="9">
        <v>10929</v>
      </c>
      <c r="Q478" s="9"/>
      <c r="R478" s="9" t="s">
        <v>9321</v>
      </c>
      <c r="S478" s="9" t="s">
        <v>9321</v>
      </c>
      <c r="T478" s="9"/>
      <c r="U478" s="9"/>
      <c r="V478" s="9"/>
      <c r="W478" s="9"/>
      <c r="X478" s="9"/>
      <c r="Y478" s="9"/>
      <c r="Z478" s="9"/>
      <c r="AA478" s="9"/>
      <c r="AB478" s="9"/>
      <c r="AC478" s="9"/>
    </row>
    <row r="479" spans="1:29" ht="29">
      <c r="A479" s="3" t="s">
        <v>835</v>
      </c>
      <c r="B479" s="3" t="s">
        <v>5477</v>
      </c>
      <c r="C479" s="3" t="s">
        <v>5478</v>
      </c>
      <c r="G479" s="9" t="s">
        <v>8729</v>
      </c>
      <c r="H479" s="9"/>
      <c r="I479" s="9"/>
      <c r="J479" s="9"/>
      <c r="K479" s="9"/>
      <c r="L479" s="9"/>
      <c r="M479" s="9"/>
      <c r="N479" s="10"/>
      <c r="O479" s="9"/>
      <c r="P479" s="9"/>
      <c r="Q479" s="9">
        <v>190</v>
      </c>
      <c r="R479" s="9">
        <v>329</v>
      </c>
      <c r="S479" s="9">
        <v>519</v>
      </c>
      <c r="T479" s="9"/>
      <c r="U479" s="9"/>
      <c r="V479" s="9"/>
      <c r="W479" s="9"/>
      <c r="X479" s="9"/>
      <c r="Y479" s="9"/>
      <c r="Z479" s="9"/>
      <c r="AA479" s="9"/>
      <c r="AB479" s="9"/>
      <c r="AC479" s="9"/>
    </row>
    <row r="480" spans="1:29" ht="29">
      <c r="A480" s="3" t="s">
        <v>837</v>
      </c>
      <c r="B480" s="3" t="s">
        <v>5481</v>
      </c>
      <c r="C480" s="3" t="s">
        <v>5482</v>
      </c>
      <c r="G480" s="9" t="s">
        <v>3889</v>
      </c>
      <c r="H480" s="9"/>
      <c r="I480" s="9">
        <v>2</v>
      </c>
      <c r="J480" s="9">
        <v>6</v>
      </c>
      <c r="K480" s="9"/>
      <c r="L480" s="9" t="s">
        <v>8690</v>
      </c>
      <c r="M480" s="9"/>
      <c r="N480" s="10"/>
      <c r="O480" s="9"/>
      <c r="P480" s="9">
        <v>205</v>
      </c>
      <c r="Q480" s="9"/>
      <c r="R480" s="9" t="s">
        <v>9321</v>
      </c>
      <c r="S480" s="9" t="s">
        <v>9321</v>
      </c>
      <c r="T480" s="9"/>
      <c r="U480" s="9"/>
      <c r="V480" s="9"/>
      <c r="W480" s="9"/>
      <c r="X480" s="9"/>
      <c r="Y480" s="9"/>
      <c r="Z480" s="9"/>
      <c r="AA480" s="9"/>
      <c r="AB480" s="9"/>
      <c r="AC480" s="9"/>
    </row>
    <row r="481" spans="1:29" ht="29">
      <c r="A481" s="3" t="s">
        <v>839</v>
      </c>
      <c r="B481" s="3" t="s">
        <v>5485</v>
      </c>
      <c r="C481" s="3" t="s">
        <v>5486</v>
      </c>
      <c r="G481" s="9" t="s">
        <v>8731</v>
      </c>
      <c r="H481" s="9"/>
      <c r="I481" s="9"/>
      <c r="J481" s="9"/>
      <c r="K481" s="9"/>
      <c r="L481" s="9"/>
      <c r="M481" s="9"/>
      <c r="N481" s="10"/>
      <c r="O481" s="9"/>
      <c r="P481" s="9"/>
      <c r="Q481" s="9"/>
      <c r="R481" s="9" t="s">
        <v>9321</v>
      </c>
      <c r="S481" s="9" t="s">
        <v>9321</v>
      </c>
      <c r="T481" s="9"/>
      <c r="U481" s="9"/>
      <c r="V481" s="9"/>
      <c r="W481" s="9"/>
      <c r="X481" s="9"/>
      <c r="Y481" s="9"/>
      <c r="Z481" s="9"/>
      <c r="AA481" s="9"/>
      <c r="AB481" s="9"/>
      <c r="AC481" s="9"/>
    </row>
    <row r="482" spans="1:29" ht="29">
      <c r="A482" s="3" t="s">
        <v>840</v>
      </c>
      <c r="B482" s="4" t="s">
        <v>5487</v>
      </c>
      <c r="C482" s="3" t="s">
        <v>5488</v>
      </c>
      <c r="D482" t="s">
        <v>4196</v>
      </c>
      <c r="G482" s="9" t="s">
        <v>8729</v>
      </c>
      <c r="H482" s="9"/>
      <c r="I482" s="9"/>
      <c r="J482" s="9"/>
      <c r="K482" s="9"/>
      <c r="L482" s="9"/>
      <c r="M482" s="9"/>
      <c r="N482" s="10"/>
      <c r="O482" s="9"/>
      <c r="P482" s="9"/>
      <c r="Q482" s="9">
        <v>-24</v>
      </c>
      <c r="R482" s="9">
        <v>30</v>
      </c>
      <c r="S482" s="9">
        <v>6</v>
      </c>
      <c r="T482" s="9"/>
      <c r="U482" s="9"/>
      <c r="V482" s="9"/>
      <c r="W482" s="9"/>
      <c r="X482" s="9"/>
      <c r="Y482" s="9"/>
      <c r="Z482" s="9"/>
      <c r="AA482" s="9"/>
      <c r="AB482" s="9"/>
      <c r="AC482" s="9"/>
    </row>
    <row r="483" spans="1:29" ht="29">
      <c r="A483" s="3" t="s">
        <v>848</v>
      </c>
      <c r="B483" s="3" t="s">
        <v>5492</v>
      </c>
      <c r="C483" s="3" t="s">
        <v>5493</v>
      </c>
      <c r="G483" s="9" t="s">
        <v>3894</v>
      </c>
      <c r="H483" s="9"/>
      <c r="I483" s="9"/>
      <c r="J483" s="9"/>
      <c r="K483" s="9"/>
      <c r="L483" s="9"/>
      <c r="M483" s="9"/>
      <c r="N483" s="10"/>
      <c r="O483" s="9"/>
      <c r="P483" s="9"/>
      <c r="Q483" s="9"/>
      <c r="R483" s="9" t="s">
        <v>9321</v>
      </c>
      <c r="S483" s="9" t="s">
        <v>9321</v>
      </c>
      <c r="T483" s="9"/>
      <c r="U483" s="9"/>
      <c r="V483" s="9"/>
      <c r="W483" s="9"/>
      <c r="X483" s="9"/>
      <c r="Y483" s="9"/>
      <c r="Z483" s="9"/>
      <c r="AA483" s="9"/>
      <c r="AB483" s="9"/>
      <c r="AC483" s="9"/>
    </row>
    <row r="484" spans="1:29" ht="29">
      <c r="A484" s="3" t="s">
        <v>851</v>
      </c>
      <c r="B484" s="3" t="s">
        <v>5496</v>
      </c>
      <c r="C484" s="3" t="s">
        <v>5497</v>
      </c>
      <c r="F484" t="s">
        <v>3884</v>
      </c>
      <c r="G484" s="9" t="s">
        <v>3889</v>
      </c>
      <c r="H484" s="9"/>
      <c r="I484" s="9">
        <v>1</v>
      </c>
      <c r="J484" s="9">
        <v>3</v>
      </c>
      <c r="K484" s="9" t="s">
        <v>8689</v>
      </c>
      <c r="L484" s="9" t="s">
        <v>8690</v>
      </c>
      <c r="M484" s="9"/>
      <c r="N484" s="10"/>
      <c r="O484" s="9"/>
      <c r="P484" s="9">
        <v>10929</v>
      </c>
      <c r="Q484" s="9"/>
      <c r="R484" s="9" t="s">
        <v>9321</v>
      </c>
      <c r="S484" s="9" t="s">
        <v>9321</v>
      </c>
      <c r="T484" s="9"/>
      <c r="U484" s="9"/>
      <c r="V484" s="9"/>
      <c r="W484" s="9"/>
      <c r="X484" s="9"/>
      <c r="Y484" s="9"/>
      <c r="Z484" s="9"/>
      <c r="AA484" s="9"/>
      <c r="AB484" s="9"/>
      <c r="AC484" s="9"/>
    </row>
    <row r="485" spans="1:29" ht="29">
      <c r="A485" s="3" t="s">
        <v>851</v>
      </c>
      <c r="B485" s="3" t="s">
        <v>5498</v>
      </c>
      <c r="C485" s="3" t="s">
        <v>5499</v>
      </c>
      <c r="F485" t="s">
        <v>3884</v>
      </c>
      <c r="G485" s="9" t="s">
        <v>3885</v>
      </c>
      <c r="H485" s="9"/>
      <c r="I485" s="9">
        <v>1</v>
      </c>
      <c r="J485" s="9">
        <v>2</v>
      </c>
      <c r="K485" s="9" t="s">
        <v>8734</v>
      </c>
      <c r="L485" s="9" t="s">
        <v>8730</v>
      </c>
      <c r="M485" s="9"/>
      <c r="N485" s="10"/>
      <c r="O485" s="9"/>
      <c r="P485" s="9">
        <v>120</v>
      </c>
      <c r="Q485" s="9"/>
      <c r="R485" s="9" t="s">
        <v>9321</v>
      </c>
      <c r="S485" s="9" t="s">
        <v>9321</v>
      </c>
      <c r="T485" s="9"/>
      <c r="U485" s="9"/>
      <c r="V485" s="9"/>
      <c r="W485" s="9"/>
      <c r="X485" s="9"/>
      <c r="Y485" s="9"/>
      <c r="Z485" s="9"/>
      <c r="AA485" s="9"/>
      <c r="AB485" s="9"/>
      <c r="AC485" s="9"/>
    </row>
    <row r="486" spans="1:29" ht="29">
      <c r="A486" s="3" t="s">
        <v>853</v>
      </c>
      <c r="B486" s="3" t="s">
        <v>5500</v>
      </c>
      <c r="C486" s="3" t="s">
        <v>5501</v>
      </c>
      <c r="G486" s="9" t="s">
        <v>8731</v>
      </c>
      <c r="H486" s="9"/>
      <c r="I486" s="9"/>
      <c r="J486" s="9"/>
      <c r="K486" s="9"/>
      <c r="L486" s="9"/>
      <c r="M486" s="9"/>
      <c r="N486" s="10"/>
      <c r="O486" s="9"/>
      <c r="P486" s="9"/>
      <c r="Q486" s="9"/>
      <c r="R486" s="9" t="s">
        <v>9321</v>
      </c>
      <c r="S486" s="9" t="s">
        <v>9321</v>
      </c>
      <c r="T486" s="9"/>
      <c r="U486" s="9"/>
      <c r="V486" s="9"/>
      <c r="W486" s="9"/>
      <c r="X486" s="9"/>
      <c r="Y486" s="9"/>
      <c r="Z486" s="9"/>
      <c r="AA486" s="9"/>
      <c r="AB486" s="9"/>
      <c r="AC486" s="9"/>
    </row>
    <row r="487" spans="1:29" ht="29">
      <c r="A487" s="3" t="s">
        <v>854</v>
      </c>
      <c r="B487" s="3" t="s">
        <v>5502</v>
      </c>
      <c r="C487" s="3" t="s">
        <v>5503</v>
      </c>
      <c r="G487" s="9" t="s">
        <v>8729</v>
      </c>
      <c r="H487" s="9"/>
      <c r="I487" s="9"/>
      <c r="J487" s="9"/>
      <c r="K487" s="9"/>
      <c r="L487" s="9"/>
      <c r="M487" s="9"/>
      <c r="N487" s="10"/>
      <c r="O487" s="9"/>
      <c r="P487" s="9"/>
      <c r="Q487" s="9">
        <v>230</v>
      </c>
      <c r="R487" s="9">
        <v>1</v>
      </c>
      <c r="S487" s="9">
        <v>231</v>
      </c>
      <c r="T487" s="9"/>
      <c r="U487" s="9"/>
      <c r="V487" s="9"/>
      <c r="W487" s="9"/>
      <c r="X487" s="9"/>
      <c r="Y487" s="9"/>
      <c r="Z487" s="9"/>
      <c r="AA487" s="9"/>
      <c r="AB487" s="9"/>
      <c r="AC487" s="9"/>
    </row>
    <row r="488" spans="1:29" ht="29">
      <c r="A488" s="3" t="s">
        <v>854</v>
      </c>
      <c r="B488" s="3" t="s">
        <v>9045</v>
      </c>
      <c r="C488" s="3" t="s">
        <v>9046</v>
      </c>
      <c r="G488" s="9" t="s">
        <v>3885</v>
      </c>
      <c r="H488" s="9"/>
      <c r="I488" s="9">
        <v>1</v>
      </c>
      <c r="J488" s="9">
        <v>3</v>
      </c>
      <c r="K488" s="9" t="s">
        <v>8698</v>
      </c>
      <c r="L488" s="9" t="s">
        <v>8690</v>
      </c>
      <c r="M488" s="9"/>
      <c r="N488" s="10"/>
      <c r="O488" s="9"/>
      <c r="P488" s="9">
        <v>9418</v>
      </c>
      <c r="Q488" s="9"/>
      <c r="R488" s="9" t="s">
        <v>9321</v>
      </c>
      <c r="S488" s="9" t="s">
        <v>9321</v>
      </c>
      <c r="T488" s="9"/>
      <c r="U488" s="9"/>
      <c r="V488" s="9"/>
      <c r="W488" s="9"/>
      <c r="X488" s="9"/>
      <c r="Y488" s="9"/>
      <c r="Z488" s="9"/>
      <c r="AA488" s="9"/>
      <c r="AB488" s="9"/>
      <c r="AC488" s="9"/>
    </row>
    <row r="489" spans="1:29" ht="29">
      <c r="A489" s="3" t="s">
        <v>855</v>
      </c>
      <c r="B489" s="3" t="s">
        <v>4004</v>
      </c>
      <c r="C489" s="3" t="s">
        <v>5510</v>
      </c>
      <c r="G489" s="9" t="s">
        <v>8729</v>
      </c>
      <c r="H489" s="9"/>
      <c r="I489" s="9"/>
      <c r="J489" s="9"/>
      <c r="K489" s="9"/>
      <c r="L489" s="9"/>
      <c r="M489" s="9"/>
      <c r="N489" s="10"/>
      <c r="O489" s="9"/>
      <c r="P489" s="9"/>
      <c r="Q489" s="9">
        <v>-1070</v>
      </c>
      <c r="R489" s="9">
        <v>1942</v>
      </c>
      <c r="S489" s="9">
        <v>872</v>
      </c>
      <c r="T489" s="9"/>
      <c r="U489" s="9"/>
      <c r="V489" s="9"/>
      <c r="W489" s="9"/>
      <c r="X489" s="9"/>
      <c r="Y489" s="9"/>
      <c r="Z489" s="9"/>
      <c r="AA489" s="9"/>
      <c r="AB489" s="9"/>
      <c r="AC489" s="9"/>
    </row>
    <row r="490" spans="1:29" ht="29">
      <c r="A490" s="3" t="s">
        <v>856</v>
      </c>
      <c r="B490" s="3" t="s">
        <v>5520</v>
      </c>
      <c r="C490" s="3" t="s">
        <v>5521</v>
      </c>
      <c r="G490" s="9" t="s">
        <v>3889</v>
      </c>
      <c r="H490" s="9"/>
      <c r="I490" s="9">
        <v>1</v>
      </c>
      <c r="J490" s="9">
        <v>2</v>
      </c>
      <c r="K490" s="9" t="s">
        <v>8689</v>
      </c>
      <c r="L490" s="9" t="s">
        <v>8730</v>
      </c>
      <c r="M490" s="9"/>
      <c r="N490" s="10"/>
      <c r="O490" s="9" t="s">
        <v>8685</v>
      </c>
      <c r="P490" s="9">
        <v>10929</v>
      </c>
      <c r="Q490" s="9"/>
      <c r="R490" s="9" t="s">
        <v>9321</v>
      </c>
      <c r="S490" s="9" t="s">
        <v>9321</v>
      </c>
      <c r="T490" s="9"/>
      <c r="U490" s="9"/>
      <c r="V490" s="9"/>
      <c r="W490" s="9"/>
      <c r="X490" s="9"/>
      <c r="Y490" s="9"/>
      <c r="Z490" s="9"/>
      <c r="AA490" s="9"/>
      <c r="AB490" s="9"/>
      <c r="AC490" s="9"/>
    </row>
    <row r="491" spans="1:29" ht="29">
      <c r="A491" s="3" t="s">
        <v>861</v>
      </c>
      <c r="B491" s="3" t="s">
        <v>5530</v>
      </c>
      <c r="C491" s="3" t="s">
        <v>5531</v>
      </c>
      <c r="G491" s="9" t="s">
        <v>3889</v>
      </c>
      <c r="H491" s="9"/>
      <c r="I491" s="9">
        <v>1</v>
      </c>
      <c r="J491" s="9">
        <v>1</v>
      </c>
      <c r="K491" s="9" t="s">
        <v>8689</v>
      </c>
      <c r="L491" s="9" t="s">
        <v>8730</v>
      </c>
      <c r="M491" s="9"/>
      <c r="N491" s="10"/>
      <c r="O491" s="9"/>
      <c r="P491" s="9">
        <v>10929</v>
      </c>
      <c r="Q491" s="9"/>
      <c r="R491" s="9" t="s">
        <v>9321</v>
      </c>
      <c r="S491" s="9" t="s">
        <v>9321</v>
      </c>
      <c r="T491" s="9"/>
      <c r="U491" s="9"/>
      <c r="V491" s="9"/>
      <c r="W491" s="9"/>
      <c r="X491" s="9"/>
      <c r="Y491" s="9"/>
      <c r="Z491" s="9"/>
      <c r="AA491" s="9"/>
      <c r="AB491" s="9"/>
      <c r="AC491" s="9"/>
    </row>
    <row r="492" spans="1:29" ht="29">
      <c r="A492" s="3" t="s">
        <v>861</v>
      </c>
      <c r="B492" s="3" t="s">
        <v>5532</v>
      </c>
      <c r="C492" s="3" t="s">
        <v>5533</v>
      </c>
      <c r="D492" t="s">
        <v>3886</v>
      </c>
      <c r="G492" s="9" t="s">
        <v>8731</v>
      </c>
      <c r="H492" s="9"/>
      <c r="I492" s="9"/>
      <c r="J492" s="9"/>
      <c r="K492" s="9"/>
      <c r="L492" s="9"/>
      <c r="M492" s="9"/>
      <c r="N492" s="10"/>
      <c r="O492" s="9"/>
      <c r="P492" s="9"/>
      <c r="Q492" s="9"/>
      <c r="R492" s="9" t="s">
        <v>9321</v>
      </c>
      <c r="S492" s="9" t="s">
        <v>9321</v>
      </c>
      <c r="T492" s="9"/>
      <c r="U492" s="9"/>
      <c r="V492" s="9"/>
      <c r="W492" s="9"/>
      <c r="X492" s="9"/>
      <c r="Y492" s="9"/>
      <c r="Z492" s="9" t="s">
        <v>8804</v>
      </c>
      <c r="AA492" s="9" t="s">
        <v>3891</v>
      </c>
      <c r="AB492" s="9"/>
      <c r="AC492" s="9"/>
    </row>
    <row r="493" spans="1:29" ht="29">
      <c r="A493" s="3" t="s">
        <v>861</v>
      </c>
      <c r="B493" s="3" t="s">
        <v>5534</v>
      </c>
      <c r="C493" s="3" t="s">
        <v>5535</v>
      </c>
      <c r="G493" s="9" t="s">
        <v>8731</v>
      </c>
      <c r="H493" s="9"/>
      <c r="I493" s="9"/>
      <c r="J493" s="9"/>
      <c r="K493" s="9"/>
      <c r="L493" s="9"/>
      <c r="M493" s="9"/>
      <c r="N493" s="10"/>
      <c r="O493" s="9"/>
      <c r="P493" s="9"/>
      <c r="Q493" s="9"/>
      <c r="R493" s="9" t="s">
        <v>9321</v>
      </c>
      <c r="S493" s="9" t="s">
        <v>9321</v>
      </c>
      <c r="T493" s="9"/>
      <c r="U493" s="9"/>
      <c r="V493" s="9"/>
      <c r="W493" s="9"/>
      <c r="X493" s="9"/>
      <c r="Y493" s="9"/>
      <c r="Z493" s="9"/>
      <c r="AA493" s="9"/>
      <c r="AB493" s="9"/>
      <c r="AC493" s="9"/>
    </row>
    <row r="494" spans="1:29" ht="29">
      <c r="A494" s="3" t="s">
        <v>862</v>
      </c>
      <c r="B494" s="3" t="s">
        <v>5536</v>
      </c>
      <c r="C494" s="3" t="s">
        <v>9048</v>
      </c>
      <c r="F494" t="s">
        <v>3884</v>
      </c>
      <c r="G494" s="9" t="s">
        <v>8729</v>
      </c>
      <c r="H494" s="9"/>
      <c r="I494" s="9"/>
      <c r="J494" s="9"/>
      <c r="K494" s="9"/>
      <c r="L494" s="9"/>
      <c r="M494" s="9"/>
      <c r="N494" s="10"/>
      <c r="O494" s="9"/>
      <c r="P494" s="9"/>
      <c r="Q494" s="9">
        <v>-6</v>
      </c>
      <c r="R494" s="9">
        <v>6</v>
      </c>
      <c r="S494" s="9">
        <v>0</v>
      </c>
      <c r="T494" s="9"/>
      <c r="U494" s="9"/>
      <c r="V494" s="9"/>
      <c r="W494" s="9"/>
      <c r="X494" s="9"/>
      <c r="Y494" s="9"/>
      <c r="Z494" s="9"/>
      <c r="AA494" s="9"/>
      <c r="AB494" s="9"/>
      <c r="AC494" s="9"/>
    </row>
    <row r="495" spans="1:29" ht="29">
      <c r="A495" s="3" t="s">
        <v>863</v>
      </c>
      <c r="B495" s="3" t="s">
        <v>5542</v>
      </c>
      <c r="C495" s="3" t="s">
        <v>5539</v>
      </c>
      <c r="G495" s="9" t="s">
        <v>3889</v>
      </c>
      <c r="H495" s="9"/>
      <c r="I495" s="9">
        <v>1</v>
      </c>
      <c r="J495" s="9">
        <v>3</v>
      </c>
      <c r="K495" s="9" t="s">
        <v>8689</v>
      </c>
      <c r="L495" s="9" t="s">
        <v>8690</v>
      </c>
      <c r="M495" s="9"/>
      <c r="N495" s="10"/>
      <c r="O495" s="9"/>
      <c r="P495" s="9">
        <v>10929</v>
      </c>
      <c r="Q495" s="9"/>
      <c r="R495" s="9" t="s">
        <v>9321</v>
      </c>
      <c r="S495" s="9" t="s">
        <v>9321</v>
      </c>
      <c r="T495" s="9"/>
      <c r="U495" s="9"/>
      <c r="V495" s="9"/>
      <c r="W495" s="9"/>
      <c r="X495" s="9"/>
      <c r="Y495" s="9"/>
      <c r="Z495" s="9"/>
      <c r="AA495" s="9"/>
      <c r="AB495" s="9"/>
      <c r="AC495" s="9"/>
    </row>
    <row r="496" spans="1:29" ht="29">
      <c r="A496" s="3" t="s">
        <v>866</v>
      </c>
      <c r="B496" s="3" t="s">
        <v>5549</v>
      </c>
      <c r="C496" s="3" t="s">
        <v>5550</v>
      </c>
      <c r="G496" s="9" t="s">
        <v>3889</v>
      </c>
      <c r="H496" s="9"/>
      <c r="I496" s="9">
        <v>1</v>
      </c>
      <c r="J496" s="9">
        <v>5</v>
      </c>
      <c r="K496" s="9" t="s">
        <v>8705</v>
      </c>
      <c r="L496" s="9" t="s">
        <v>8690</v>
      </c>
      <c r="M496" s="9"/>
      <c r="N496" s="10"/>
      <c r="O496" s="9"/>
      <c r="P496" s="9">
        <v>3678</v>
      </c>
      <c r="Q496" s="9"/>
      <c r="R496" s="9" t="s">
        <v>9321</v>
      </c>
      <c r="S496" s="9" t="s">
        <v>9321</v>
      </c>
      <c r="T496" s="9"/>
      <c r="U496" s="9"/>
      <c r="V496" s="9"/>
      <c r="W496" s="9"/>
      <c r="X496" s="9"/>
      <c r="Y496" s="9"/>
      <c r="Z496" s="9"/>
      <c r="AA496" s="9"/>
      <c r="AB496" s="9"/>
      <c r="AC496" s="9"/>
    </row>
    <row r="497" spans="1:29" ht="29">
      <c r="A497" s="3" t="s">
        <v>868</v>
      </c>
      <c r="B497" s="3" t="s">
        <v>5556</v>
      </c>
      <c r="C497" s="3" t="s">
        <v>2347</v>
      </c>
      <c r="F497" t="s">
        <v>3884</v>
      </c>
      <c r="G497" s="9" t="s">
        <v>8731</v>
      </c>
      <c r="H497" s="9"/>
      <c r="I497" s="9"/>
      <c r="J497" s="9"/>
      <c r="K497" s="9"/>
      <c r="L497" s="9"/>
      <c r="M497" s="9"/>
      <c r="N497" s="10"/>
      <c r="O497" s="9"/>
      <c r="P497" s="9"/>
      <c r="Q497" s="9"/>
      <c r="R497" s="9" t="s">
        <v>9321</v>
      </c>
      <c r="S497" s="9" t="s">
        <v>9321</v>
      </c>
      <c r="T497" s="9"/>
      <c r="U497" s="9"/>
      <c r="V497" s="9"/>
      <c r="W497" s="9"/>
      <c r="X497" s="9"/>
      <c r="Y497" s="9"/>
      <c r="Z497" s="9"/>
      <c r="AA497" s="9"/>
      <c r="AB497" s="9"/>
      <c r="AC497" s="9"/>
    </row>
    <row r="498" spans="1:29" ht="29">
      <c r="A498" s="3" t="s">
        <v>871</v>
      </c>
      <c r="B498" s="3" t="s">
        <v>5561</v>
      </c>
      <c r="C498" s="3" t="s">
        <v>5562</v>
      </c>
      <c r="G498" s="9" t="s">
        <v>3885</v>
      </c>
      <c r="H498" s="9"/>
      <c r="I498" s="9">
        <v>1</v>
      </c>
      <c r="J498" s="9">
        <v>3</v>
      </c>
      <c r="K498" s="9" t="s">
        <v>8689</v>
      </c>
      <c r="L498" s="9" t="s">
        <v>8690</v>
      </c>
      <c r="M498" s="9"/>
      <c r="N498" s="10"/>
      <c r="O498" s="9"/>
      <c r="P498" s="9">
        <v>10929</v>
      </c>
      <c r="Q498" s="9"/>
      <c r="R498" s="9" t="s">
        <v>9321</v>
      </c>
      <c r="S498" s="9" t="s">
        <v>9321</v>
      </c>
      <c r="T498" s="9"/>
      <c r="U498" s="9"/>
      <c r="V498" s="9"/>
      <c r="W498" s="9"/>
      <c r="X498" s="9"/>
      <c r="Y498" s="9"/>
      <c r="Z498" s="9"/>
      <c r="AA498" s="9"/>
      <c r="AB498" s="9"/>
      <c r="AC498" s="9"/>
    </row>
    <row r="499" spans="1:29" ht="29">
      <c r="A499" s="3" t="s">
        <v>871</v>
      </c>
      <c r="B499" s="3" t="s">
        <v>5563</v>
      </c>
      <c r="C499" s="3" t="s">
        <v>5564</v>
      </c>
      <c r="G499" s="9" t="s">
        <v>3889</v>
      </c>
      <c r="H499" s="9"/>
      <c r="I499" s="9">
        <v>1</v>
      </c>
      <c r="J499" s="9">
        <v>2</v>
      </c>
      <c r="K499" s="9" t="s">
        <v>8703</v>
      </c>
      <c r="L499" s="9" t="s">
        <v>8730</v>
      </c>
      <c r="M499" s="9"/>
      <c r="N499" s="10"/>
      <c r="O499" s="9"/>
      <c r="P499" s="9">
        <v>1225</v>
      </c>
      <c r="Q499" s="9"/>
      <c r="R499" s="9" t="s">
        <v>9321</v>
      </c>
      <c r="S499" s="9" t="s">
        <v>9321</v>
      </c>
      <c r="T499" s="9"/>
      <c r="U499" s="9"/>
      <c r="V499" s="9"/>
      <c r="W499" s="9"/>
      <c r="X499" s="9"/>
      <c r="Y499" s="9"/>
      <c r="Z499" s="9"/>
      <c r="AA499" s="9"/>
      <c r="AB499" s="9"/>
      <c r="AC499" s="9"/>
    </row>
    <row r="500" spans="1:29" ht="29">
      <c r="A500" s="3" t="s">
        <v>872</v>
      </c>
      <c r="B500" s="3" t="s">
        <v>5565</v>
      </c>
      <c r="C500" s="3" t="s">
        <v>5566</v>
      </c>
      <c r="F500" t="s">
        <v>3884</v>
      </c>
      <c r="G500" s="9" t="s">
        <v>3885</v>
      </c>
      <c r="H500" s="9"/>
      <c r="I500" s="9">
        <v>1</v>
      </c>
      <c r="J500" s="9">
        <v>3</v>
      </c>
      <c r="K500" s="9" t="s">
        <v>8698</v>
      </c>
      <c r="L500" s="9" t="s">
        <v>8690</v>
      </c>
      <c r="M500" s="9"/>
      <c r="N500" s="10"/>
      <c r="O500" s="9"/>
      <c r="P500" s="9">
        <v>9418</v>
      </c>
      <c r="Q500" s="9"/>
      <c r="R500" s="9" t="s">
        <v>9321</v>
      </c>
      <c r="S500" s="9" t="s">
        <v>9321</v>
      </c>
      <c r="T500" s="9"/>
      <c r="U500" s="9"/>
      <c r="V500" s="9"/>
      <c r="W500" s="9"/>
      <c r="X500" s="9"/>
      <c r="Y500" s="9"/>
      <c r="Z500" s="9"/>
      <c r="AA500" s="9"/>
      <c r="AB500" s="9"/>
      <c r="AC500" s="9"/>
    </row>
    <row r="501" spans="1:29" ht="29">
      <c r="A501" s="3" t="s">
        <v>874</v>
      </c>
      <c r="B501" s="3" t="s">
        <v>2996</v>
      </c>
      <c r="C501" s="3" t="s">
        <v>2395</v>
      </c>
      <c r="G501" s="9" t="s">
        <v>8729</v>
      </c>
      <c r="H501" s="9"/>
      <c r="I501" s="9"/>
      <c r="J501" s="9"/>
      <c r="K501" s="9"/>
      <c r="L501" s="9"/>
      <c r="M501" s="9"/>
      <c r="N501" s="10"/>
      <c r="O501" s="9"/>
      <c r="P501" s="9"/>
      <c r="Q501" s="9">
        <v>52</v>
      </c>
      <c r="R501" s="9">
        <v>38</v>
      </c>
      <c r="S501" s="9">
        <v>90</v>
      </c>
      <c r="T501" s="9"/>
      <c r="U501" s="9"/>
      <c r="V501" s="9"/>
      <c r="W501" s="9"/>
      <c r="X501" s="9"/>
      <c r="Y501" s="9"/>
      <c r="Z501" s="9"/>
      <c r="AA501" s="9"/>
      <c r="AB501" s="9"/>
      <c r="AC501" s="9"/>
    </row>
    <row r="502" spans="1:29" ht="29">
      <c r="A502" s="3" t="s">
        <v>877</v>
      </c>
      <c r="B502" s="3" t="s">
        <v>5576</v>
      </c>
      <c r="C502" s="3" t="s">
        <v>5577</v>
      </c>
      <c r="G502" s="9" t="s">
        <v>3885</v>
      </c>
      <c r="H502" s="9"/>
      <c r="I502" s="9">
        <v>1</v>
      </c>
      <c r="J502" s="9">
        <v>1</v>
      </c>
      <c r="K502" s="9" t="s">
        <v>8689</v>
      </c>
      <c r="L502" s="9" t="s">
        <v>8730</v>
      </c>
      <c r="M502" s="9"/>
      <c r="N502" s="10"/>
      <c r="O502" s="9"/>
      <c r="P502" s="9">
        <v>10929</v>
      </c>
      <c r="Q502" s="9"/>
      <c r="R502" s="9" t="s">
        <v>9321</v>
      </c>
      <c r="S502" s="9" t="s">
        <v>9321</v>
      </c>
      <c r="T502" s="9"/>
      <c r="U502" s="9"/>
      <c r="V502" s="9"/>
      <c r="W502" s="9"/>
      <c r="X502" s="9"/>
      <c r="Y502" s="9"/>
      <c r="Z502" s="9"/>
      <c r="AA502" s="9"/>
      <c r="AB502" s="9"/>
      <c r="AC502" s="9"/>
    </row>
    <row r="503" spans="1:29" ht="29">
      <c r="A503" s="3" t="s">
        <v>878</v>
      </c>
      <c r="B503" s="3" t="s">
        <v>5578</v>
      </c>
      <c r="C503" s="3" t="s">
        <v>5579</v>
      </c>
      <c r="G503" s="9" t="s">
        <v>8729</v>
      </c>
      <c r="H503" s="9"/>
      <c r="I503" s="9"/>
      <c r="J503" s="9"/>
      <c r="K503" s="9"/>
      <c r="L503" s="9"/>
      <c r="M503" s="9"/>
      <c r="N503" s="10"/>
      <c r="O503" s="9"/>
      <c r="P503" s="9"/>
      <c r="Q503" s="9">
        <v>3599</v>
      </c>
      <c r="R503" s="9">
        <v>79</v>
      </c>
      <c r="S503" s="9">
        <v>3678</v>
      </c>
      <c r="T503" s="9"/>
      <c r="U503" s="9"/>
      <c r="V503" s="9"/>
      <c r="W503" s="9"/>
      <c r="X503" s="9"/>
      <c r="Y503" s="9"/>
      <c r="Z503" s="9"/>
      <c r="AA503" s="9"/>
      <c r="AB503" s="9"/>
      <c r="AC503" s="9"/>
    </row>
    <row r="504" spans="1:29" ht="29">
      <c r="A504" s="3" t="s">
        <v>879</v>
      </c>
      <c r="B504" s="3" t="s">
        <v>5580</v>
      </c>
      <c r="C504" s="3" t="s">
        <v>5581</v>
      </c>
      <c r="G504" s="9" t="s">
        <v>3889</v>
      </c>
      <c r="H504" s="9"/>
      <c r="I504" s="9">
        <v>1</v>
      </c>
      <c r="J504" s="9">
        <v>5</v>
      </c>
      <c r="K504" s="9" t="s">
        <v>8705</v>
      </c>
      <c r="L504" s="9" t="s">
        <v>8690</v>
      </c>
      <c r="M504" s="9"/>
      <c r="N504" s="10"/>
      <c r="O504" s="9"/>
      <c r="P504" s="9">
        <v>3678</v>
      </c>
      <c r="Q504" s="9"/>
      <c r="R504" s="9" t="s">
        <v>9321</v>
      </c>
      <c r="S504" s="9" t="s">
        <v>9321</v>
      </c>
      <c r="T504" s="9"/>
      <c r="U504" s="9"/>
      <c r="V504" s="9"/>
      <c r="W504" s="9"/>
      <c r="X504" s="9"/>
      <c r="Y504" s="9"/>
      <c r="Z504" s="9"/>
      <c r="AA504" s="9"/>
      <c r="AB504" s="9"/>
      <c r="AC504" s="9"/>
    </row>
    <row r="505" spans="1:29" ht="29">
      <c r="A505" s="3" t="s">
        <v>882</v>
      </c>
      <c r="B505" s="3" t="s">
        <v>5582</v>
      </c>
      <c r="C505" s="3" t="s">
        <v>5583</v>
      </c>
      <c r="G505" s="9" t="s">
        <v>3889</v>
      </c>
      <c r="H505" s="9"/>
      <c r="I505" s="9">
        <v>1</v>
      </c>
      <c r="J505" s="9">
        <v>3</v>
      </c>
      <c r="K505" s="9" t="s">
        <v>8698</v>
      </c>
      <c r="L505" s="9" t="s">
        <v>8690</v>
      </c>
      <c r="M505" s="9"/>
      <c r="N505" s="10"/>
      <c r="O505" s="9"/>
      <c r="P505" s="9">
        <v>9418</v>
      </c>
      <c r="Q505" s="9"/>
      <c r="R505" s="9" t="s">
        <v>9321</v>
      </c>
      <c r="S505" s="9" t="s">
        <v>9321</v>
      </c>
      <c r="T505" s="9"/>
      <c r="U505" s="9"/>
      <c r="V505" s="9"/>
      <c r="W505" s="9"/>
      <c r="X505" s="9"/>
      <c r="Y505" s="9"/>
      <c r="Z505" s="9"/>
      <c r="AA505" s="9"/>
      <c r="AB505" s="9"/>
      <c r="AC505" s="9"/>
    </row>
    <row r="506" spans="1:29" ht="29">
      <c r="A506" s="3" t="s">
        <v>882</v>
      </c>
      <c r="B506" s="3" t="s">
        <v>5586</v>
      </c>
      <c r="C506" s="3" t="s">
        <v>5587</v>
      </c>
      <c r="G506" s="9" t="s">
        <v>8731</v>
      </c>
      <c r="H506" s="9"/>
      <c r="I506" s="9"/>
      <c r="J506" s="9"/>
      <c r="K506" s="9"/>
      <c r="L506" s="9"/>
      <c r="M506" s="9"/>
      <c r="N506" s="10"/>
      <c r="O506" s="9"/>
      <c r="P506" s="9"/>
      <c r="Q506" s="9"/>
      <c r="R506" s="9" t="s">
        <v>9321</v>
      </c>
      <c r="S506" s="9" t="s">
        <v>9321</v>
      </c>
      <c r="T506" s="9"/>
      <c r="U506" s="9"/>
      <c r="V506" s="9"/>
      <c r="W506" s="9"/>
      <c r="X506" s="9"/>
      <c r="Y506" s="9"/>
      <c r="Z506" s="9"/>
      <c r="AA506" s="9"/>
      <c r="AB506" s="9"/>
      <c r="AC506" s="9"/>
    </row>
    <row r="507" spans="1:29" ht="29">
      <c r="A507" s="3" t="s">
        <v>887</v>
      </c>
      <c r="B507" s="3" t="s">
        <v>2996</v>
      </c>
      <c r="C507" s="3" t="s">
        <v>2395</v>
      </c>
      <c r="G507" s="9" t="s">
        <v>8729</v>
      </c>
      <c r="H507" s="9"/>
      <c r="I507" s="9"/>
      <c r="J507" s="9"/>
      <c r="K507" s="9"/>
      <c r="L507" s="9"/>
      <c r="M507" s="9"/>
      <c r="N507" s="10"/>
      <c r="O507" s="9"/>
      <c r="P507" s="9"/>
      <c r="Q507" s="9">
        <v>52</v>
      </c>
      <c r="R507" s="9">
        <v>38</v>
      </c>
      <c r="S507" s="9">
        <v>90</v>
      </c>
      <c r="T507" s="9"/>
      <c r="U507" s="9"/>
      <c r="V507" s="9"/>
      <c r="W507" s="9"/>
      <c r="X507" s="9"/>
      <c r="Y507" s="9"/>
      <c r="Z507" s="9"/>
      <c r="AA507" s="9"/>
      <c r="AB507" s="9"/>
      <c r="AC507" s="9"/>
    </row>
    <row r="508" spans="1:29" ht="29">
      <c r="A508" s="3" t="s">
        <v>890</v>
      </c>
      <c r="B508" s="3" t="s">
        <v>2337</v>
      </c>
      <c r="C508" s="3" t="s">
        <v>3127</v>
      </c>
      <c r="G508" s="9" t="s">
        <v>8731</v>
      </c>
      <c r="H508" s="9"/>
      <c r="I508" s="9"/>
      <c r="J508" s="9"/>
      <c r="K508" s="9"/>
      <c r="L508" s="9"/>
      <c r="M508" s="9"/>
      <c r="N508" s="10"/>
      <c r="O508" s="9"/>
      <c r="P508" s="9"/>
      <c r="Q508" s="9"/>
      <c r="R508" s="9" t="s">
        <v>9321</v>
      </c>
      <c r="S508" s="9" t="s">
        <v>9321</v>
      </c>
      <c r="T508" s="9"/>
      <c r="U508" s="9"/>
      <c r="V508" s="9"/>
      <c r="W508" s="9"/>
      <c r="X508" s="9"/>
      <c r="Y508" s="9"/>
      <c r="Z508" s="9"/>
      <c r="AA508" s="9"/>
      <c r="AB508" s="9"/>
      <c r="AC508" s="9"/>
    </row>
    <row r="509" spans="1:29" ht="29">
      <c r="A509" s="3" t="s">
        <v>891</v>
      </c>
      <c r="B509" s="3" t="s">
        <v>5598</v>
      </c>
      <c r="C509" s="3" t="s">
        <v>5599</v>
      </c>
      <c r="F509" t="s">
        <v>3884</v>
      </c>
      <c r="G509" s="9" t="s">
        <v>3885</v>
      </c>
      <c r="H509" s="9"/>
      <c r="I509" s="9">
        <v>1</v>
      </c>
      <c r="J509" s="9">
        <v>9</v>
      </c>
      <c r="K509" s="9" t="s">
        <v>8703</v>
      </c>
      <c r="L509" s="9" t="s">
        <v>8690</v>
      </c>
      <c r="M509" s="9"/>
      <c r="N509" s="10"/>
      <c r="O509" s="9"/>
      <c r="P509" s="9">
        <v>109</v>
      </c>
      <c r="Q509" s="9"/>
      <c r="R509" s="9" t="s">
        <v>9321</v>
      </c>
      <c r="S509" s="9" t="s">
        <v>9321</v>
      </c>
      <c r="T509" s="9"/>
      <c r="U509" s="9"/>
      <c r="V509" s="9"/>
      <c r="W509" s="9"/>
      <c r="X509" s="9"/>
      <c r="Y509" s="9"/>
      <c r="Z509" s="9"/>
      <c r="AA509" s="9"/>
      <c r="AB509" s="9"/>
      <c r="AC509" s="9"/>
    </row>
    <row r="510" spans="1:29" ht="29">
      <c r="A510" s="3" t="s">
        <v>892</v>
      </c>
      <c r="B510" s="3" t="s">
        <v>5600</v>
      </c>
      <c r="C510" s="3" t="s">
        <v>5601</v>
      </c>
      <c r="G510" s="9" t="s">
        <v>3889</v>
      </c>
      <c r="H510" s="9"/>
      <c r="I510" s="9">
        <v>1</v>
      </c>
      <c r="J510" s="9">
        <v>3</v>
      </c>
      <c r="K510" s="9" t="s">
        <v>8689</v>
      </c>
      <c r="L510" s="9" t="s">
        <v>8684</v>
      </c>
      <c r="M510" s="9" t="s">
        <v>8777</v>
      </c>
      <c r="N510" s="10" t="s">
        <v>8778</v>
      </c>
      <c r="O510" s="9"/>
      <c r="P510" s="9">
        <v>10929</v>
      </c>
      <c r="Q510" s="9"/>
      <c r="R510" s="9" t="s">
        <v>9321</v>
      </c>
      <c r="S510" s="9" t="s">
        <v>9321</v>
      </c>
      <c r="T510" s="9"/>
      <c r="U510" s="9"/>
      <c r="V510" s="9"/>
      <c r="W510" s="9"/>
      <c r="X510" s="9"/>
      <c r="Y510" s="9"/>
      <c r="Z510" s="9"/>
      <c r="AA510" s="9"/>
      <c r="AB510" s="9"/>
      <c r="AC510" s="9"/>
    </row>
    <row r="511" spans="1:29" ht="29">
      <c r="A511" s="3" t="s">
        <v>892</v>
      </c>
      <c r="B511" s="3" t="s">
        <v>5602</v>
      </c>
      <c r="C511" s="3" t="s">
        <v>5603</v>
      </c>
      <c r="G511" s="9" t="s">
        <v>3889</v>
      </c>
      <c r="H511" s="9"/>
      <c r="I511" s="9">
        <v>1</v>
      </c>
      <c r="J511" s="9">
        <v>2</v>
      </c>
      <c r="K511" s="9" t="s">
        <v>8695</v>
      </c>
      <c r="L511" s="9" t="s">
        <v>8730</v>
      </c>
      <c r="M511" s="9"/>
      <c r="N511" s="10"/>
      <c r="O511" s="9"/>
      <c r="P511" s="9">
        <v>203</v>
      </c>
      <c r="Q511" s="9"/>
      <c r="R511" s="9" t="s">
        <v>9321</v>
      </c>
      <c r="S511" s="9" t="s">
        <v>9321</v>
      </c>
      <c r="T511" s="9"/>
      <c r="U511" s="9"/>
      <c r="V511" s="9"/>
      <c r="W511" s="9"/>
      <c r="X511" s="9"/>
      <c r="Y511" s="9"/>
      <c r="Z511" s="9"/>
      <c r="AA511" s="9"/>
      <c r="AB511" s="9"/>
      <c r="AC511" s="9"/>
    </row>
    <row r="512" spans="1:29" ht="29">
      <c r="A512" s="3" t="s">
        <v>898</v>
      </c>
      <c r="B512" s="3" t="s">
        <v>5608</v>
      </c>
      <c r="C512" s="3" t="s">
        <v>9055</v>
      </c>
      <c r="G512" s="9" t="s">
        <v>3885</v>
      </c>
      <c r="H512" s="9"/>
      <c r="I512" s="9">
        <v>1</v>
      </c>
      <c r="J512" s="9">
        <v>1</v>
      </c>
      <c r="K512" s="9" t="s">
        <v>8689</v>
      </c>
      <c r="L512" s="9" t="s">
        <v>8730</v>
      </c>
      <c r="M512" s="9"/>
      <c r="N512" s="10"/>
      <c r="O512" s="9"/>
      <c r="P512" s="9">
        <v>10929</v>
      </c>
      <c r="Q512" s="9"/>
      <c r="R512" s="9" t="s">
        <v>9321</v>
      </c>
      <c r="S512" s="9" t="s">
        <v>9321</v>
      </c>
      <c r="T512" s="9"/>
      <c r="U512" s="9"/>
      <c r="V512" s="9"/>
      <c r="W512" s="9"/>
      <c r="X512" s="9"/>
      <c r="Y512" s="9"/>
      <c r="Z512" s="9"/>
      <c r="AA512" s="9"/>
      <c r="AB512" s="9"/>
      <c r="AC512" s="9"/>
    </row>
    <row r="513" spans="1:29" ht="29">
      <c r="A513" s="3" t="s">
        <v>898</v>
      </c>
      <c r="B513" s="3" t="s">
        <v>9056</v>
      </c>
      <c r="C513" s="3" t="s">
        <v>9057</v>
      </c>
      <c r="G513" s="9" t="s">
        <v>8729</v>
      </c>
      <c r="H513" s="9"/>
      <c r="I513" s="9"/>
      <c r="J513" s="9"/>
      <c r="K513" s="9"/>
      <c r="L513" s="9"/>
      <c r="M513" s="9"/>
      <c r="N513" s="10"/>
      <c r="O513" s="9"/>
      <c r="P513" s="9"/>
      <c r="Q513" s="9">
        <v>1044</v>
      </c>
      <c r="R513" s="9">
        <v>12</v>
      </c>
      <c r="S513" s="9">
        <v>1056</v>
      </c>
      <c r="T513" s="9"/>
      <c r="U513" s="9"/>
      <c r="V513" s="9"/>
      <c r="W513" s="9"/>
      <c r="X513" s="9"/>
      <c r="Y513" s="9"/>
      <c r="Z513" s="9"/>
      <c r="AA513" s="9"/>
      <c r="AB513" s="9"/>
      <c r="AC513" s="9"/>
    </row>
    <row r="514" spans="1:29" ht="29">
      <c r="A514" s="3" t="s">
        <v>899</v>
      </c>
      <c r="B514" s="3" t="s">
        <v>5609</v>
      </c>
      <c r="C514" s="3" t="s">
        <v>5610</v>
      </c>
      <c r="F514" t="s">
        <v>3884</v>
      </c>
      <c r="G514" s="9" t="s">
        <v>3889</v>
      </c>
      <c r="H514" s="9"/>
      <c r="I514" s="9">
        <v>1</v>
      </c>
      <c r="J514" s="9">
        <v>10</v>
      </c>
      <c r="K514" s="9" t="s">
        <v>8736</v>
      </c>
      <c r="L514" s="9" t="s">
        <v>8730</v>
      </c>
      <c r="M514" s="9"/>
      <c r="N514" s="10"/>
      <c r="O514" s="9"/>
      <c r="P514" s="9">
        <v>128</v>
      </c>
      <c r="Q514" s="9"/>
      <c r="R514" s="9" t="s">
        <v>9321</v>
      </c>
      <c r="S514" s="9" t="s">
        <v>9321</v>
      </c>
      <c r="T514" s="9"/>
      <c r="U514" s="9"/>
      <c r="V514" s="9"/>
      <c r="W514" s="9"/>
      <c r="X514" s="9"/>
      <c r="Y514" s="9"/>
      <c r="Z514" s="9"/>
      <c r="AA514" s="9"/>
      <c r="AB514" s="9"/>
      <c r="AC514" s="9"/>
    </row>
    <row r="515" spans="1:29" ht="29">
      <c r="A515" s="3" t="s">
        <v>903</v>
      </c>
      <c r="B515" s="3" t="s">
        <v>5613</v>
      </c>
      <c r="C515" s="3" t="s">
        <v>5614</v>
      </c>
      <c r="F515" t="s">
        <v>3884</v>
      </c>
      <c r="G515" s="9" t="s">
        <v>3885</v>
      </c>
      <c r="H515" s="9"/>
      <c r="I515" s="9">
        <v>1</v>
      </c>
      <c r="J515" s="9">
        <v>3</v>
      </c>
      <c r="K515" s="9" t="s">
        <v>8689</v>
      </c>
      <c r="L515" s="9" t="s">
        <v>8690</v>
      </c>
      <c r="M515" s="9"/>
      <c r="N515" s="10"/>
      <c r="O515" s="9"/>
      <c r="P515" s="9">
        <v>10929</v>
      </c>
      <c r="Q515" s="9"/>
      <c r="R515" s="9" t="s">
        <v>9321</v>
      </c>
      <c r="S515" s="9" t="s">
        <v>9321</v>
      </c>
      <c r="T515" s="9"/>
      <c r="U515" s="9"/>
      <c r="V515" s="9"/>
      <c r="W515" s="9"/>
      <c r="X515" s="9"/>
      <c r="Y515" s="9"/>
      <c r="Z515" s="9"/>
      <c r="AA515" s="9"/>
      <c r="AB515" s="9"/>
      <c r="AC515" s="9"/>
    </row>
    <row r="516" spans="1:29" ht="29">
      <c r="A516" s="3" t="s">
        <v>905</v>
      </c>
      <c r="B516" s="3" t="s">
        <v>5615</v>
      </c>
      <c r="C516" s="3" t="s">
        <v>5616</v>
      </c>
      <c r="G516" s="9" t="s">
        <v>3889</v>
      </c>
      <c r="H516" s="9"/>
      <c r="I516" s="9">
        <v>1</v>
      </c>
      <c r="J516" s="9">
        <v>3</v>
      </c>
      <c r="K516" s="9" t="s">
        <v>8689</v>
      </c>
      <c r="L516" s="9" t="s">
        <v>8690</v>
      </c>
      <c r="M516" s="9"/>
      <c r="N516" s="10"/>
      <c r="O516" s="9"/>
      <c r="P516" s="9">
        <v>10929</v>
      </c>
      <c r="Q516" s="9"/>
      <c r="R516" s="9" t="s">
        <v>9321</v>
      </c>
      <c r="S516" s="9" t="s">
        <v>9321</v>
      </c>
      <c r="T516" s="9"/>
      <c r="U516" s="9"/>
      <c r="V516" s="9"/>
      <c r="W516" s="9"/>
      <c r="X516" s="9"/>
      <c r="Y516" s="9"/>
      <c r="Z516" s="9"/>
      <c r="AA516" s="9"/>
      <c r="AB516" s="9"/>
      <c r="AC516" s="9"/>
    </row>
    <row r="517" spans="1:29" ht="29">
      <c r="A517" s="3" t="s">
        <v>906</v>
      </c>
      <c r="B517" s="3" t="s">
        <v>5617</v>
      </c>
      <c r="C517" s="3" t="s">
        <v>5618</v>
      </c>
      <c r="F517" t="s">
        <v>3884</v>
      </c>
      <c r="G517" s="9" t="s">
        <v>3889</v>
      </c>
      <c r="H517" s="9"/>
      <c r="I517" s="9">
        <v>1</v>
      </c>
      <c r="J517" s="9">
        <v>3</v>
      </c>
      <c r="K517" s="9" t="s">
        <v>8689</v>
      </c>
      <c r="L517" s="9" t="s">
        <v>8690</v>
      </c>
      <c r="M517" s="9"/>
      <c r="N517" s="10"/>
      <c r="O517" s="9"/>
      <c r="P517" s="9">
        <v>10929</v>
      </c>
      <c r="Q517" s="9"/>
      <c r="R517" s="9" t="s">
        <v>9321</v>
      </c>
      <c r="S517" s="9" t="s">
        <v>9321</v>
      </c>
      <c r="T517" s="9" t="s">
        <v>8728</v>
      </c>
      <c r="U517" s="9"/>
      <c r="V517" s="9"/>
      <c r="W517" s="9"/>
      <c r="X517" s="9"/>
      <c r="Y517" s="9"/>
      <c r="Z517" s="9"/>
      <c r="AA517" s="9"/>
      <c r="AB517" s="9"/>
      <c r="AC517" s="9"/>
    </row>
    <row r="518" spans="1:29" ht="29">
      <c r="A518" s="3" t="s">
        <v>910</v>
      </c>
      <c r="B518" s="3" t="s">
        <v>5625</v>
      </c>
      <c r="C518" s="3" t="s">
        <v>5626</v>
      </c>
      <c r="F518" t="s">
        <v>3884</v>
      </c>
      <c r="G518" s="9" t="s">
        <v>3885</v>
      </c>
      <c r="H518" s="9"/>
      <c r="I518" s="9">
        <v>1</v>
      </c>
      <c r="J518" s="9">
        <v>2</v>
      </c>
      <c r="K518" s="9" t="s">
        <v>8707</v>
      </c>
      <c r="L518" s="9" t="s">
        <v>8730</v>
      </c>
      <c r="M518" s="9"/>
      <c r="N518" s="10"/>
      <c r="O518" s="9"/>
      <c r="P518" s="9">
        <v>519</v>
      </c>
      <c r="Q518" s="9"/>
      <c r="R518" s="9" t="s">
        <v>9321</v>
      </c>
      <c r="S518" s="9" t="s">
        <v>9321</v>
      </c>
      <c r="T518" s="9"/>
      <c r="U518" s="9"/>
      <c r="V518" s="9"/>
      <c r="W518" s="9"/>
      <c r="X518" s="9"/>
      <c r="Y518" s="9"/>
      <c r="Z518" s="9"/>
      <c r="AA518" s="9"/>
      <c r="AB518" s="9"/>
      <c r="AC518" s="9"/>
    </row>
    <row r="519" spans="1:29" ht="29">
      <c r="A519" s="3" t="s">
        <v>912</v>
      </c>
      <c r="B519" s="3" t="s">
        <v>5629</v>
      </c>
      <c r="C519" s="3" t="s">
        <v>5630</v>
      </c>
      <c r="G519" s="9" t="s">
        <v>3889</v>
      </c>
      <c r="H519" s="9"/>
      <c r="I519" s="9">
        <v>2</v>
      </c>
      <c r="J519" s="9">
        <v>6</v>
      </c>
      <c r="K519" s="9"/>
      <c r="L519" s="9" t="s">
        <v>8690</v>
      </c>
      <c r="M519" s="9"/>
      <c r="N519" s="10"/>
      <c r="O519" s="9"/>
      <c r="P519" s="9">
        <v>131</v>
      </c>
      <c r="Q519" s="9"/>
      <c r="R519" s="9" t="s">
        <v>9321</v>
      </c>
      <c r="S519" s="9" t="s">
        <v>9321</v>
      </c>
      <c r="T519" s="9"/>
      <c r="U519" s="9"/>
      <c r="V519" s="9"/>
      <c r="W519" s="9"/>
      <c r="X519" s="9"/>
      <c r="Y519" s="9"/>
      <c r="Z519" s="9"/>
      <c r="AA519" s="9"/>
      <c r="AB519" s="9"/>
      <c r="AC519" s="9"/>
    </row>
    <row r="520" spans="1:29" ht="29">
      <c r="A520" s="3" t="s">
        <v>913</v>
      </c>
      <c r="B520" s="3" t="s">
        <v>5631</v>
      </c>
      <c r="C520" s="3" t="s">
        <v>5632</v>
      </c>
      <c r="G520" s="9" t="s">
        <v>8731</v>
      </c>
      <c r="H520" s="9"/>
      <c r="I520" s="9"/>
      <c r="J520" s="9"/>
      <c r="K520" s="9"/>
      <c r="L520" s="9"/>
      <c r="M520" s="9"/>
      <c r="N520" s="10"/>
      <c r="O520" s="9"/>
      <c r="P520" s="9"/>
      <c r="Q520" s="9"/>
      <c r="R520" s="9" t="s">
        <v>9321</v>
      </c>
      <c r="S520" s="9" t="s">
        <v>9321</v>
      </c>
      <c r="T520" s="9"/>
      <c r="U520" s="9"/>
      <c r="V520" s="9"/>
      <c r="W520" s="9"/>
      <c r="X520" s="9"/>
      <c r="Y520" s="9"/>
      <c r="Z520" s="9"/>
      <c r="AA520" s="9"/>
      <c r="AB520" s="9"/>
      <c r="AC520" s="9"/>
    </row>
    <row r="521" spans="1:29" ht="29">
      <c r="A521" s="3" t="s">
        <v>915</v>
      </c>
      <c r="B521" s="3" t="s">
        <v>5635</v>
      </c>
      <c r="C521" s="3" t="s">
        <v>5636</v>
      </c>
      <c r="G521" s="9" t="s">
        <v>3889</v>
      </c>
      <c r="H521" s="9"/>
      <c r="I521" s="9">
        <v>1</v>
      </c>
      <c r="J521" s="9">
        <v>2</v>
      </c>
      <c r="K521" s="9" t="s">
        <v>8707</v>
      </c>
      <c r="L521" s="9" t="s">
        <v>8730</v>
      </c>
      <c r="M521" s="9"/>
      <c r="N521" s="10"/>
      <c r="O521" s="9"/>
      <c r="P521" s="9">
        <v>519</v>
      </c>
      <c r="Q521" s="9"/>
      <c r="R521" s="9" t="s">
        <v>9321</v>
      </c>
      <c r="S521" s="9" t="s">
        <v>9321</v>
      </c>
      <c r="T521" s="9"/>
      <c r="U521" s="9"/>
      <c r="V521" s="9"/>
      <c r="W521" s="9"/>
      <c r="X521" s="9"/>
      <c r="Y521" s="9"/>
      <c r="Z521" s="9"/>
      <c r="AA521" s="9"/>
      <c r="AB521" s="9"/>
      <c r="AC521" s="9"/>
    </row>
    <row r="522" spans="1:29" ht="29">
      <c r="A522" s="3" t="s">
        <v>919</v>
      </c>
      <c r="B522" s="3" t="s">
        <v>5644</v>
      </c>
      <c r="C522" s="3" t="s">
        <v>5645</v>
      </c>
      <c r="F522" t="s">
        <v>3884</v>
      </c>
      <c r="G522" s="9" t="s">
        <v>8731</v>
      </c>
      <c r="H522" s="9"/>
      <c r="I522" s="9"/>
      <c r="J522" s="9"/>
      <c r="K522" s="9"/>
      <c r="L522" s="9"/>
      <c r="M522" s="9"/>
      <c r="N522" s="10"/>
      <c r="O522" s="9"/>
      <c r="P522" s="9"/>
      <c r="Q522" s="9"/>
      <c r="R522" s="9" t="s">
        <v>9321</v>
      </c>
      <c r="S522" s="9" t="s">
        <v>9321</v>
      </c>
      <c r="T522" s="9"/>
      <c r="U522" s="9"/>
      <c r="V522" s="9"/>
      <c r="W522" s="9"/>
      <c r="X522" s="9"/>
      <c r="Y522" s="9"/>
      <c r="Z522" s="9"/>
      <c r="AA522" s="9"/>
      <c r="AB522" s="9"/>
      <c r="AC522" s="9"/>
    </row>
    <row r="523" spans="1:29" ht="29">
      <c r="A523" s="3" t="s">
        <v>922</v>
      </c>
      <c r="B523" s="3" t="s">
        <v>5646</v>
      </c>
      <c r="C523" s="3" t="s">
        <v>5647</v>
      </c>
      <c r="F523" t="s">
        <v>3884</v>
      </c>
      <c r="G523" s="9" t="s">
        <v>8729</v>
      </c>
      <c r="H523" s="9"/>
      <c r="I523" s="9"/>
      <c r="J523" s="9"/>
      <c r="K523" s="9"/>
      <c r="L523" s="9"/>
      <c r="M523" s="9"/>
      <c r="N523" s="10"/>
      <c r="O523" s="9"/>
      <c r="P523" s="9"/>
      <c r="Q523" s="9">
        <v>42</v>
      </c>
      <c r="R523" s="9">
        <v>35</v>
      </c>
      <c r="S523" s="9">
        <v>77</v>
      </c>
      <c r="T523" s="9"/>
      <c r="U523" s="9"/>
      <c r="V523" s="9"/>
      <c r="W523" s="9"/>
      <c r="X523" s="9"/>
      <c r="Y523" s="9"/>
      <c r="Z523" s="9"/>
      <c r="AA523" s="9"/>
      <c r="AB523" s="9"/>
      <c r="AC523" s="9"/>
    </row>
    <row r="524" spans="1:29" ht="29">
      <c r="A524" s="3" t="s">
        <v>926</v>
      </c>
      <c r="B524" s="3" t="s">
        <v>5658</v>
      </c>
      <c r="C524" s="3" t="s">
        <v>5659</v>
      </c>
      <c r="F524" t="s">
        <v>3884</v>
      </c>
      <c r="G524" s="9" t="s">
        <v>3889</v>
      </c>
      <c r="H524" s="9"/>
      <c r="I524" s="9">
        <v>1</v>
      </c>
      <c r="J524" s="9">
        <v>3</v>
      </c>
      <c r="K524" s="9" t="s">
        <v>8705</v>
      </c>
      <c r="L524" s="9" t="s">
        <v>8690</v>
      </c>
      <c r="M524" s="9"/>
      <c r="N524" s="10"/>
      <c r="O524" s="9"/>
      <c r="P524" s="9">
        <v>991</v>
      </c>
      <c r="Q524" s="9"/>
      <c r="R524" s="9" t="s">
        <v>9321</v>
      </c>
      <c r="S524" s="9" t="s">
        <v>9321</v>
      </c>
      <c r="T524" s="9"/>
      <c r="U524" s="9"/>
      <c r="V524" s="9"/>
      <c r="W524" s="9"/>
      <c r="X524" s="9"/>
      <c r="Y524" s="9"/>
      <c r="Z524" s="9"/>
      <c r="AA524" s="9"/>
      <c r="AB524" s="9"/>
      <c r="AC524" s="9"/>
    </row>
    <row r="525" spans="1:29" ht="29">
      <c r="A525" s="3" t="s">
        <v>928</v>
      </c>
      <c r="B525" s="3" t="s">
        <v>5660</v>
      </c>
      <c r="C525" s="3" t="s">
        <v>5661</v>
      </c>
      <c r="G525" s="9" t="s">
        <v>8729</v>
      </c>
      <c r="H525" s="9"/>
      <c r="I525" s="9"/>
      <c r="J525" s="9"/>
      <c r="K525" s="9"/>
      <c r="L525" s="9"/>
      <c r="M525" s="9"/>
      <c r="N525" s="10"/>
      <c r="O525" s="9"/>
      <c r="P525" s="9"/>
      <c r="Q525" s="9">
        <v>-425</v>
      </c>
      <c r="R525" s="9">
        <v>428</v>
      </c>
      <c r="S525" s="9">
        <v>3</v>
      </c>
      <c r="T525" s="9"/>
      <c r="U525" s="9"/>
      <c r="V525" s="9"/>
      <c r="W525" s="9"/>
      <c r="X525" s="9"/>
      <c r="Y525" s="9"/>
      <c r="Z525" s="9"/>
      <c r="AA525" s="9"/>
      <c r="AB525" s="9"/>
      <c r="AC525" s="9"/>
    </row>
    <row r="526" spans="1:29" ht="29">
      <c r="A526" s="3" t="s">
        <v>930</v>
      </c>
      <c r="B526" s="3" t="s">
        <v>5666</v>
      </c>
      <c r="C526" s="3" t="s">
        <v>5667</v>
      </c>
      <c r="F526" t="s">
        <v>3884</v>
      </c>
      <c r="G526" s="9" t="s">
        <v>8731</v>
      </c>
      <c r="H526" s="9"/>
      <c r="I526" s="9"/>
      <c r="J526" s="9"/>
      <c r="K526" s="9"/>
      <c r="L526" s="9"/>
      <c r="M526" s="9"/>
      <c r="N526" s="10"/>
      <c r="O526" s="9"/>
      <c r="P526" s="9"/>
      <c r="Q526" s="9"/>
      <c r="R526" s="9" t="s">
        <v>9321</v>
      </c>
      <c r="S526" s="9" t="s">
        <v>9321</v>
      </c>
      <c r="T526" s="9"/>
      <c r="U526" s="9"/>
      <c r="V526" s="9"/>
      <c r="W526" s="9"/>
      <c r="X526" s="9"/>
      <c r="Y526" s="9"/>
      <c r="Z526" s="9"/>
      <c r="AA526" s="9"/>
      <c r="AB526" s="9"/>
      <c r="AC526" s="9"/>
    </row>
    <row r="527" spans="1:29" ht="29">
      <c r="A527" s="3" t="s">
        <v>931</v>
      </c>
      <c r="B527" s="3" t="s">
        <v>9058</v>
      </c>
      <c r="C527" s="3" t="s">
        <v>9059</v>
      </c>
      <c r="F527" t="s">
        <v>3884</v>
      </c>
      <c r="G527" s="9" t="s">
        <v>8731</v>
      </c>
      <c r="H527" s="9"/>
      <c r="I527" s="9"/>
      <c r="J527" s="9"/>
      <c r="K527" s="9"/>
      <c r="L527" s="9"/>
      <c r="M527" s="9"/>
      <c r="N527" s="10"/>
      <c r="O527" s="9"/>
      <c r="P527" s="9"/>
      <c r="Q527" s="9"/>
      <c r="R527" s="9" t="s">
        <v>9321</v>
      </c>
      <c r="S527" s="9" t="s">
        <v>9321</v>
      </c>
      <c r="T527" s="9"/>
      <c r="U527" s="9"/>
      <c r="V527" s="9"/>
      <c r="W527" s="9"/>
      <c r="X527" s="9"/>
      <c r="Y527" s="9"/>
      <c r="Z527" s="9"/>
      <c r="AA527" s="9"/>
      <c r="AB527" s="9"/>
      <c r="AC527" s="9"/>
    </row>
    <row r="528" spans="1:29" ht="29">
      <c r="A528" s="3" t="s">
        <v>931</v>
      </c>
      <c r="B528" s="3" t="s">
        <v>5669</v>
      </c>
      <c r="C528" s="3" t="s">
        <v>5670</v>
      </c>
      <c r="G528" s="9" t="s">
        <v>3889</v>
      </c>
      <c r="H528" s="9"/>
      <c r="I528" s="9">
        <v>1</v>
      </c>
      <c r="J528" s="9">
        <v>2</v>
      </c>
      <c r="K528" s="9" t="s">
        <v>8707</v>
      </c>
      <c r="L528" s="9" t="s">
        <v>8730</v>
      </c>
      <c r="M528" s="9"/>
      <c r="N528" s="10"/>
      <c r="O528" s="9"/>
      <c r="P528" s="9">
        <v>519</v>
      </c>
      <c r="Q528" s="9"/>
      <c r="R528" s="9" t="s">
        <v>9321</v>
      </c>
      <c r="S528" s="9" t="s">
        <v>9321</v>
      </c>
      <c r="T528" s="9"/>
      <c r="U528" s="9"/>
      <c r="V528" s="9"/>
      <c r="W528" s="9"/>
      <c r="X528" s="9"/>
      <c r="Y528" s="9"/>
      <c r="Z528" s="9"/>
      <c r="AA528" s="9"/>
      <c r="AB528" s="9"/>
      <c r="AC528" s="9"/>
    </row>
    <row r="529" spans="1:29" ht="29">
      <c r="A529" s="3" t="s">
        <v>933</v>
      </c>
      <c r="B529" s="3" t="s">
        <v>5675</v>
      </c>
      <c r="C529" s="3" t="s">
        <v>5676</v>
      </c>
      <c r="F529" t="s">
        <v>3884</v>
      </c>
      <c r="G529" s="9" t="s">
        <v>3885</v>
      </c>
      <c r="H529" s="9"/>
      <c r="I529" s="9">
        <v>1</v>
      </c>
      <c r="J529" s="9">
        <v>3</v>
      </c>
      <c r="K529" s="9" t="s">
        <v>8698</v>
      </c>
      <c r="L529" s="9" t="s">
        <v>8690</v>
      </c>
      <c r="M529" s="9"/>
      <c r="N529" s="10"/>
      <c r="O529" s="9"/>
      <c r="P529" s="9">
        <v>9418</v>
      </c>
      <c r="Q529" s="9"/>
      <c r="R529" s="9" t="s">
        <v>9321</v>
      </c>
      <c r="S529" s="9" t="s">
        <v>9321</v>
      </c>
      <c r="T529" s="9"/>
      <c r="U529" s="9"/>
      <c r="V529" s="9"/>
      <c r="W529" s="9"/>
      <c r="X529" s="9"/>
      <c r="Y529" s="9"/>
      <c r="Z529" s="9"/>
      <c r="AA529" s="9"/>
      <c r="AB529" s="9"/>
      <c r="AC529" s="9"/>
    </row>
    <row r="530" spans="1:29" ht="29">
      <c r="A530" s="3" t="s">
        <v>941</v>
      </c>
      <c r="B530" s="3" t="s">
        <v>5692</v>
      </c>
      <c r="C530" s="3" t="s">
        <v>5693</v>
      </c>
      <c r="G530" s="9" t="s">
        <v>3889</v>
      </c>
      <c r="H530" s="9"/>
      <c r="I530" s="9">
        <v>1</v>
      </c>
      <c r="J530" s="9">
        <v>7</v>
      </c>
      <c r="K530" s="9" t="s">
        <v>8703</v>
      </c>
      <c r="L530" s="9" t="s">
        <v>8690</v>
      </c>
      <c r="M530" s="9"/>
      <c r="N530" s="10"/>
      <c r="O530" s="9"/>
      <c r="P530" s="9">
        <v>20</v>
      </c>
      <c r="Q530" s="9"/>
      <c r="R530" s="9" t="s">
        <v>9321</v>
      </c>
      <c r="S530" s="9" t="s">
        <v>9321</v>
      </c>
      <c r="T530" s="9"/>
      <c r="U530" s="9"/>
      <c r="V530" s="9"/>
      <c r="W530" s="9"/>
      <c r="X530" s="9"/>
      <c r="Y530" s="9"/>
      <c r="Z530" s="9"/>
      <c r="AA530" s="9"/>
      <c r="AB530" s="9"/>
      <c r="AC530" s="9"/>
    </row>
    <row r="531" spans="1:29" ht="29">
      <c r="A531" s="3" t="s">
        <v>942</v>
      </c>
      <c r="B531" s="3" t="s">
        <v>5694</v>
      </c>
      <c r="C531" s="3" t="s">
        <v>5695</v>
      </c>
      <c r="F531" t="s">
        <v>3884</v>
      </c>
      <c r="G531" s="9" t="s">
        <v>3885</v>
      </c>
      <c r="H531" s="9"/>
      <c r="I531" s="9">
        <v>1</v>
      </c>
      <c r="J531" s="9">
        <v>1</v>
      </c>
      <c r="K531" s="9" t="s">
        <v>8689</v>
      </c>
      <c r="L531" s="9" t="s">
        <v>8730</v>
      </c>
      <c r="M531" s="9"/>
      <c r="N531" s="10"/>
      <c r="O531" s="9"/>
      <c r="P531" s="9">
        <v>10929</v>
      </c>
      <c r="Q531" s="9"/>
      <c r="R531" s="9" t="s">
        <v>9321</v>
      </c>
      <c r="S531" s="9" t="s">
        <v>9321</v>
      </c>
      <c r="T531" s="9"/>
      <c r="U531" s="9"/>
      <c r="V531" s="9"/>
      <c r="W531" s="9"/>
      <c r="X531" s="9"/>
      <c r="Y531" s="9"/>
      <c r="Z531" s="9"/>
      <c r="AA531" s="9"/>
      <c r="AB531" s="9"/>
      <c r="AC531" s="9"/>
    </row>
    <row r="532" spans="1:29" ht="29">
      <c r="A532" s="3" t="s">
        <v>947</v>
      </c>
      <c r="B532" s="3" t="s">
        <v>5700</v>
      </c>
      <c r="C532" s="3" t="s">
        <v>5701</v>
      </c>
      <c r="D532" t="s">
        <v>4397</v>
      </c>
      <c r="G532" s="9" t="s">
        <v>8731</v>
      </c>
      <c r="H532" s="9"/>
      <c r="I532" s="9"/>
      <c r="J532" s="9"/>
      <c r="K532" s="9"/>
      <c r="L532" s="9"/>
      <c r="M532" s="9"/>
      <c r="N532" s="10"/>
      <c r="O532" s="9"/>
      <c r="P532" s="9"/>
      <c r="Q532" s="9"/>
      <c r="R532" s="9" t="s">
        <v>9321</v>
      </c>
      <c r="S532" s="9" t="s">
        <v>9321</v>
      </c>
      <c r="T532" s="9"/>
      <c r="U532" s="9"/>
      <c r="V532" s="9"/>
      <c r="W532" s="9"/>
      <c r="X532" s="9"/>
      <c r="Y532" s="9"/>
      <c r="Z532" s="9"/>
      <c r="AA532" s="9"/>
      <c r="AB532" s="9"/>
      <c r="AC532" s="9"/>
    </row>
    <row r="533" spans="1:29" ht="29">
      <c r="A533" s="3" t="s">
        <v>949</v>
      </c>
      <c r="B533" s="3" t="s">
        <v>5703</v>
      </c>
      <c r="C533" s="3" t="s">
        <v>5704</v>
      </c>
      <c r="G533" s="9" t="s">
        <v>3889</v>
      </c>
      <c r="H533" s="9"/>
      <c r="I533" s="9">
        <v>1</v>
      </c>
      <c r="J533" s="9">
        <v>2</v>
      </c>
      <c r="K533" s="9" t="s">
        <v>8689</v>
      </c>
      <c r="L533" s="9" t="s">
        <v>8730</v>
      </c>
      <c r="M533" s="9"/>
      <c r="N533" s="10"/>
      <c r="O533" s="9"/>
      <c r="P533" s="9">
        <v>10929</v>
      </c>
      <c r="Q533" s="9"/>
      <c r="R533" s="9" t="s">
        <v>9321</v>
      </c>
      <c r="S533" s="9" t="s">
        <v>9321</v>
      </c>
      <c r="T533" s="9"/>
      <c r="U533" s="9"/>
      <c r="V533" s="9"/>
      <c r="W533" s="9"/>
      <c r="X533" s="9"/>
      <c r="Y533" s="9"/>
      <c r="Z533" s="9"/>
      <c r="AA533" s="9"/>
      <c r="AB533" s="9"/>
      <c r="AC533" s="9"/>
    </row>
    <row r="534" spans="1:29" ht="29">
      <c r="A534" s="3" t="s">
        <v>950</v>
      </c>
      <c r="B534" s="3" t="s">
        <v>5705</v>
      </c>
      <c r="C534" s="3" t="s">
        <v>5706</v>
      </c>
      <c r="G534" s="9" t="s">
        <v>3885</v>
      </c>
      <c r="H534" s="9"/>
      <c r="I534" s="9">
        <v>1</v>
      </c>
      <c r="J534" s="9">
        <v>3</v>
      </c>
      <c r="K534" s="9" t="s">
        <v>8689</v>
      </c>
      <c r="L534" s="9" t="s">
        <v>8690</v>
      </c>
      <c r="M534" s="9"/>
      <c r="N534" s="10"/>
      <c r="O534" s="9"/>
      <c r="P534" s="9">
        <v>10929</v>
      </c>
      <c r="Q534" s="9"/>
      <c r="R534" s="9" t="s">
        <v>9321</v>
      </c>
      <c r="S534" s="9" t="s">
        <v>9321</v>
      </c>
      <c r="T534" s="9"/>
      <c r="U534" s="9"/>
      <c r="V534" s="9"/>
      <c r="W534" s="9"/>
      <c r="X534" s="9"/>
      <c r="Y534" s="9"/>
      <c r="Z534" s="9"/>
      <c r="AA534" s="9"/>
      <c r="AB534" s="9"/>
      <c r="AC534" s="9"/>
    </row>
    <row r="535" spans="1:29" ht="29">
      <c r="A535" s="3" t="s">
        <v>951</v>
      </c>
      <c r="B535" s="3" t="s">
        <v>5709</v>
      </c>
      <c r="C535" s="3" t="s">
        <v>5710</v>
      </c>
      <c r="G535" s="9" t="s">
        <v>3885</v>
      </c>
      <c r="H535" s="9"/>
      <c r="I535" s="9">
        <v>1</v>
      </c>
      <c r="J535" s="9">
        <v>2</v>
      </c>
      <c r="K535" s="9" t="s">
        <v>8689</v>
      </c>
      <c r="L535" s="9" t="s">
        <v>8730</v>
      </c>
      <c r="M535" s="9"/>
      <c r="N535" s="10"/>
      <c r="O535" s="9"/>
      <c r="P535" s="9">
        <v>10929</v>
      </c>
      <c r="Q535" s="9"/>
      <c r="R535" s="9" t="s">
        <v>9321</v>
      </c>
      <c r="S535" s="9" t="s">
        <v>9321</v>
      </c>
      <c r="T535" s="9"/>
      <c r="U535" s="9"/>
      <c r="V535" s="9"/>
      <c r="W535" s="9"/>
      <c r="X535" s="9"/>
      <c r="Y535" s="9"/>
      <c r="Z535" s="9"/>
      <c r="AA535" s="9"/>
      <c r="AB535" s="9"/>
      <c r="AC535" s="9"/>
    </row>
    <row r="536" spans="1:29" ht="29">
      <c r="A536" s="3" t="s">
        <v>953</v>
      </c>
      <c r="B536" s="3" t="s">
        <v>5713</v>
      </c>
      <c r="C536" s="3" t="s">
        <v>5714</v>
      </c>
      <c r="F536" t="s">
        <v>3884</v>
      </c>
      <c r="G536" s="9" t="s">
        <v>3889</v>
      </c>
      <c r="H536" s="9"/>
      <c r="I536" s="9">
        <v>2</v>
      </c>
      <c r="J536" s="9">
        <v>7</v>
      </c>
      <c r="K536" s="9"/>
      <c r="L536" s="9" t="s">
        <v>8684</v>
      </c>
      <c r="M536" s="9" t="s">
        <v>8771</v>
      </c>
      <c r="N536" s="10" t="s">
        <v>8778</v>
      </c>
      <c r="O536" s="9"/>
      <c r="P536" s="9">
        <v>68</v>
      </c>
      <c r="Q536" s="9"/>
      <c r="R536" s="9" t="s">
        <v>9321</v>
      </c>
      <c r="S536" s="9" t="s">
        <v>9321</v>
      </c>
      <c r="T536" s="9"/>
      <c r="U536" s="9"/>
      <c r="V536" s="9"/>
      <c r="W536" s="9"/>
      <c r="X536" s="9"/>
      <c r="Y536" s="9"/>
      <c r="Z536" s="9"/>
      <c r="AA536" s="9"/>
      <c r="AB536" s="9"/>
      <c r="AC536" s="9"/>
    </row>
    <row r="537" spans="1:29" ht="29">
      <c r="A537" s="3" t="s">
        <v>953</v>
      </c>
      <c r="B537" s="3" t="s">
        <v>5715</v>
      </c>
      <c r="C537" s="3" t="s">
        <v>5716</v>
      </c>
      <c r="G537" s="9" t="s">
        <v>3889</v>
      </c>
      <c r="H537" s="9"/>
      <c r="I537" s="9">
        <v>1</v>
      </c>
      <c r="J537" s="9">
        <v>2</v>
      </c>
      <c r="K537" s="9" t="s">
        <v>8689</v>
      </c>
      <c r="L537" s="9" t="s">
        <v>8730</v>
      </c>
      <c r="M537" s="9"/>
      <c r="N537" s="10"/>
      <c r="O537" s="9"/>
      <c r="P537" s="9">
        <v>10929</v>
      </c>
      <c r="Q537" s="9"/>
      <c r="R537" s="9" t="s">
        <v>9321</v>
      </c>
      <c r="S537" s="9" t="s">
        <v>9321</v>
      </c>
      <c r="T537" s="9"/>
      <c r="U537" s="9"/>
      <c r="V537" s="9"/>
      <c r="W537" s="9"/>
      <c r="X537" s="9"/>
      <c r="Y537" s="9"/>
      <c r="Z537" s="9"/>
      <c r="AA537" s="9"/>
      <c r="AB537" s="9"/>
      <c r="AC537" s="9"/>
    </row>
    <row r="538" spans="1:29" ht="29">
      <c r="A538" s="3" t="s">
        <v>954</v>
      </c>
      <c r="B538" s="3" t="s">
        <v>5717</v>
      </c>
      <c r="C538" s="3" t="s">
        <v>5718</v>
      </c>
      <c r="F538" t="s">
        <v>3884</v>
      </c>
      <c r="G538" s="9" t="s">
        <v>3889</v>
      </c>
      <c r="H538" s="9"/>
      <c r="I538" s="9">
        <v>1</v>
      </c>
      <c r="J538" s="9">
        <v>3</v>
      </c>
      <c r="K538" s="9" t="s">
        <v>8698</v>
      </c>
      <c r="L538" s="9" t="s">
        <v>8690</v>
      </c>
      <c r="M538" s="9"/>
      <c r="N538" s="10"/>
      <c r="O538" s="9"/>
      <c r="P538" s="9">
        <v>653</v>
      </c>
      <c r="Q538" s="9"/>
      <c r="R538" s="9" t="s">
        <v>9321</v>
      </c>
      <c r="S538" s="9" t="s">
        <v>9321</v>
      </c>
      <c r="T538" s="9"/>
      <c r="U538" s="9"/>
      <c r="V538" s="9"/>
      <c r="W538" s="9"/>
      <c r="X538" s="9"/>
      <c r="Y538" s="9"/>
      <c r="Z538" s="9"/>
      <c r="AA538" s="9"/>
      <c r="AB538" s="9"/>
      <c r="AC538" s="9"/>
    </row>
    <row r="539" spans="1:29" ht="29">
      <c r="A539" s="3" t="s">
        <v>956</v>
      </c>
      <c r="B539" s="3" t="s">
        <v>1995</v>
      </c>
      <c r="C539" s="3" t="s">
        <v>2159</v>
      </c>
      <c r="G539" s="9" t="s">
        <v>8731</v>
      </c>
      <c r="H539" s="9"/>
      <c r="I539" s="9"/>
      <c r="J539" s="9"/>
      <c r="K539" s="9"/>
      <c r="L539" s="9"/>
      <c r="M539" s="9"/>
      <c r="N539" s="10"/>
      <c r="O539" s="9"/>
      <c r="P539" s="9"/>
      <c r="Q539" s="9"/>
      <c r="R539" s="9" t="s">
        <v>9321</v>
      </c>
      <c r="S539" s="9" t="s">
        <v>9321</v>
      </c>
      <c r="T539" s="9"/>
      <c r="U539" s="9"/>
      <c r="V539" s="9"/>
      <c r="W539" s="9"/>
      <c r="X539" s="9"/>
      <c r="Y539" s="9"/>
      <c r="Z539" s="9"/>
      <c r="AA539" s="9"/>
      <c r="AB539" s="9"/>
      <c r="AC539" s="9"/>
    </row>
    <row r="540" spans="1:29" ht="29">
      <c r="A540" s="3" t="s">
        <v>956</v>
      </c>
      <c r="B540" s="3" t="s">
        <v>5721</v>
      </c>
      <c r="C540" s="3" t="s">
        <v>5722</v>
      </c>
      <c r="G540" s="9" t="s">
        <v>3885</v>
      </c>
      <c r="H540" s="9"/>
      <c r="I540" s="9">
        <v>1</v>
      </c>
      <c r="J540" s="9">
        <v>3</v>
      </c>
      <c r="K540" s="9" t="s">
        <v>8698</v>
      </c>
      <c r="L540" s="9" t="s">
        <v>8690</v>
      </c>
      <c r="M540" s="9"/>
      <c r="N540" s="10"/>
      <c r="O540" s="9"/>
      <c r="P540" s="9">
        <v>9418</v>
      </c>
      <c r="Q540" s="9"/>
      <c r="R540" s="9" t="s">
        <v>9321</v>
      </c>
      <c r="S540" s="9" t="s">
        <v>9321</v>
      </c>
      <c r="T540" s="9"/>
      <c r="U540" s="9"/>
      <c r="V540" s="9"/>
      <c r="W540" s="9"/>
      <c r="X540" s="9"/>
      <c r="Y540" s="9"/>
      <c r="Z540" s="9"/>
      <c r="AA540" s="9"/>
      <c r="AB540" s="9"/>
      <c r="AC540" s="9"/>
    </row>
    <row r="541" spans="1:29" ht="29">
      <c r="A541" s="3" t="s">
        <v>958</v>
      </c>
      <c r="B541" s="3" t="s">
        <v>9064</v>
      </c>
      <c r="C541" s="3" t="s">
        <v>9065</v>
      </c>
      <c r="F541" t="s">
        <v>3884</v>
      </c>
      <c r="G541" s="9" t="s">
        <v>8729</v>
      </c>
      <c r="H541" s="9"/>
      <c r="I541" s="9"/>
      <c r="J541" s="9"/>
      <c r="K541" s="9"/>
      <c r="L541" s="9"/>
      <c r="M541" s="9"/>
      <c r="N541" s="10"/>
      <c r="O541" s="9"/>
      <c r="P541" s="9"/>
      <c r="Q541" s="9">
        <v>-556</v>
      </c>
      <c r="R541" s="9">
        <v>655</v>
      </c>
      <c r="S541" s="9">
        <v>99</v>
      </c>
      <c r="T541" s="9"/>
      <c r="U541" s="9"/>
      <c r="V541" s="9"/>
      <c r="W541" s="9"/>
      <c r="X541" s="9"/>
      <c r="Y541" s="9"/>
      <c r="Z541" s="9"/>
      <c r="AA541" s="9"/>
      <c r="AB541" s="9"/>
      <c r="AC541" s="9" t="s">
        <v>3884</v>
      </c>
    </row>
    <row r="542" spans="1:29" ht="29">
      <c r="A542" s="3" t="s">
        <v>958</v>
      </c>
      <c r="B542" s="3" t="s">
        <v>9063</v>
      </c>
      <c r="C542" s="3" t="s">
        <v>9066</v>
      </c>
      <c r="G542" s="9" t="s">
        <v>3885</v>
      </c>
      <c r="H542" s="9"/>
      <c r="I542" s="9">
        <v>1</v>
      </c>
      <c r="J542" s="9">
        <v>1</v>
      </c>
      <c r="K542" s="9" t="s">
        <v>8698</v>
      </c>
      <c r="L542" s="9" t="s">
        <v>8730</v>
      </c>
      <c r="M542" s="9"/>
      <c r="N542" s="10"/>
      <c r="O542" s="9"/>
      <c r="P542" s="9">
        <v>55</v>
      </c>
      <c r="Q542" s="9"/>
      <c r="R542" s="9" t="s">
        <v>9321</v>
      </c>
      <c r="S542" s="9" t="s">
        <v>9321</v>
      </c>
      <c r="T542" s="9"/>
      <c r="U542" s="9"/>
      <c r="V542" s="9"/>
      <c r="W542" s="9"/>
      <c r="X542" s="9"/>
      <c r="Y542" s="9"/>
      <c r="Z542" s="9"/>
      <c r="AA542" s="9"/>
      <c r="AB542" s="9"/>
      <c r="AC542" s="9"/>
    </row>
    <row r="543" spans="1:29" ht="29">
      <c r="A543" s="3" t="s">
        <v>959</v>
      </c>
      <c r="B543" s="3" t="s">
        <v>5733</v>
      </c>
      <c r="C543" s="3" t="s">
        <v>5734</v>
      </c>
      <c r="F543" t="s">
        <v>3884</v>
      </c>
      <c r="G543" s="9" t="s">
        <v>8729</v>
      </c>
      <c r="H543" s="9"/>
      <c r="I543" s="9"/>
      <c r="J543" s="9"/>
      <c r="K543" s="9"/>
      <c r="L543" s="9"/>
      <c r="M543" s="9"/>
      <c r="N543" s="10"/>
      <c r="O543" s="9"/>
      <c r="P543" s="9"/>
      <c r="Q543" s="9">
        <v>332</v>
      </c>
      <c r="R543" s="9">
        <v>4</v>
      </c>
      <c r="S543" s="9">
        <v>336</v>
      </c>
      <c r="T543" s="9"/>
      <c r="U543" s="9"/>
      <c r="V543" s="9"/>
      <c r="W543" s="9"/>
      <c r="X543" s="9"/>
      <c r="Y543" s="9"/>
      <c r="Z543" s="9"/>
      <c r="AA543" s="9"/>
      <c r="AB543" s="9"/>
      <c r="AC543" s="9"/>
    </row>
    <row r="544" spans="1:29" ht="43.5">
      <c r="A544" s="3" t="s">
        <v>960</v>
      </c>
      <c r="B544" s="3" t="s">
        <v>9067</v>
      </c>
      <c r="C544" s="3" t="s">
        <v>5736</v>
      </c>
      <c r="G544" s="9" t="s">
        <v>3889</v>
      </c>
      <c r="H544" s="9"/>
      <c r="I544" s="9">
        <v>1</v>
      </c>
      <c r="J544" s="9">
        <v>2</v>
      </c>
      <c r="K544" s="9" t="s">
        <v>8698</v>
      </c>
      <c r="L544" s="9" t="s">
        <v>8730</v>
      </c>
      <c r="M544" s="9"/>
      <c r="N544" s="10"/>
      <c r="O544" s="9"/>
      <c r="P544" s="9">
        <v>55</v>
      </c>
      <c r="Q544" s="9"/>
      <c r="R544" s="9" t="s">
        <v>9321</v>
      </c>
      <c r="S544" s="9" t="s">
        <v>9321</v>
      </c>
      <c r="T544" s="9"/>
      <c r="U544" s="9"/>
      <c r="V544" s="9"/>
      <c r="W544" s="9"/>
      <c r="X544" s="9"/>
      <c r="Y544" s="9"/>
      <c r="Z544" s="9"/>
      <c r="AA544" s="9"/>
      <c r="AB544" s="9"/>
      <c r="AC544" s="9"/>
    </row>
    <row r="545" spans="1:29" ht="29">
      <c r="A545" s="3" t="s">
        <v>962</v>
      </c>
      <c r="B545" s="3" t="s">
        <v>5737</v>
      </c>
      <c r="C545" s="3" t="s">
        <v>5738</v>
      </c>
      <c r="G545" s="9" t="s">
        <v>8729</v>
      </c>
      <c r="H545" s="9"/>
      <c r="I545" s="9"/>
      <c r="J545" s="9"/>
      <c r="K545" s="9"/>
      <c r="L545" s="9"/>
      <c r="M545" s="9"/>
      <c r="N545" s="10"/>
      <c r="O545" s="9"/>
      <c r="P545" s="9"/>
      <c r="Q545" s="9">
        <v>239</v>
      </c>
      <c r="R545" s="9">
        <v>12</v>
      </c>
      <c r="S545" s="9">
        <v>251</v>
      </c>
      <c r="T545" s="9"/>
      <c r="U545" s="9"/>
      <c r="V545" s="9"/>
      <c r="W545" s="9"/>
      <c r="X545" s="9"/>
      <c r="Y545" s="9"/>
      <c r="Z545" s="9"/>
      <c r="AA545" s="9"/>
      <c r="AB545" s="9"/>
      <c r="AC545" s="9"/>
    </row>
    <row r="546" spans="1:29" ht="29">
      <c r="A546" s="3" t="s">
        <v>963</v>
      </c>
      <c r="B546" s="3" t="s">
        <v>5739</v>
      </c>
      <c r="C546" s="3" t="s">
        <v>5740</v>
      </c>
      <c r="D546" t="s">
        <v>3886</v>
      </c>
      <c r="G546" s="9" t="s">
        <v>3889</v>
      </c>
      <c r="H546" s="9"/>
      <c r="I546" s="9">
        <v>1</v>
      </c>
      <c r="J546" s="9">
        <v>2</v>
      </c>
      <c r="K546" s="9" t="s">
        <v>8689</v>
      </c>
      <c r="L546" s="9" t="s">
        <v>8730</v>
      </c>
      <c r="M546" s="9"/>
      <c r="N546" s="10"/>
      <c r="O546" s="9"/>
      <c r="P546" s="9">
        <v>10929</v>
      </c>
      <c r="Q546" s="9"/>
      <c r="R546" s="9" t="s">
        <v>9321</v>
      </c>
      <c r="S546" s="9" t="s">
        <v>9321</v>
      </c>
      <c r="T546" s="9"/>
      <c r="U546" s="9"/>
      <c r="V546" s="9"/>
      <c r="W546" s="9"/>
      <c r="X546" s="9"/>
      <c r="Y546" s="9"/>
      <c r="Z546" s="9"/>
      <c r="AA546" s="9"/>
      <c r="AB546" s="9"/>
      <c r="AC546" s="9"/>
    </row>
    <row r="547" spans="1:29" ht="29">
      <c r="A547" s="3" t="s">
        <v>966</v>
      </c>
      <c r="B547" s="3" t="s">
        <v>5745</v>
      </c>
      <c r="C547" s="3" t="s">
        <v>5746</v>
      </c>
      <c r="F547" t="s">
        <v>3884</v>
      </c>
      <c r="G547" s="9" t="s">
        <v>8729</v>
      </c>
      <c r="H547" s="9"/>
      <c r="I547" s="9"/>
      <c r="J547" s="9"/>
      <c r="K547" s="9"/>
      <c r="L547" s="9"/>
      <c r="M547" s="9"/>
      <c r="N547" s="10"/>
      <c r="O547" s="9"/>
      <c r="P547" s="9"/>
      <c r="Q547" s="9">
        <v>0</v>
      </c>
      <c r="R547" s="9">
        <v>0</v>
      </c>
      <c r="S547" s="9">
        <v>0</v>
      </c>
      <c r="T547" s="9"/>
      <c r="U547" s="9"/>
      <c r="V547" s="9"/>
      <c r="W547" s="9"/>
      <c r="X547" s="9"/>
      <c r="Y547" s="9"/>
      <c r="Z547" s="9"/>
      <c r="AA547" s="9"/>
      <c r="AB547" s="9"/>
      <c r="AC547" s="9"/>
    </row>
    <row r="548" spans="1:29" ht="29">
      <c r="A548" s="3" t="s">
        <v>966</v>
      </c>
      <c r="B548" s="3" t="s">
        <v>5748</v>
      </c>
      <c r="C548" s="3" t="s">
        <v>5751</v>
      </c>
      <c r="G548" s="9" t="s">
        <v>3885</v>
      </c>
      <c r="H548" s="9"/>
      <c r="I548" s="9">
        <v>1</v>
      </c>
      <c r="J548" s="9">
        <v>3</v>
      </c>
      <c r="K548" s="9" t="s">
        <v>8689</v>
      </c>
      <c r="L548" s="9" t="s">
        <v>8690</v>
      </c>
      <c r="M548" s="9"/>
      <c r="N548" s="10"/>
      <c r="O548" s="9"/>
      <c r="P548" s="9">
        <v>10929</v>
      </c>
      <c r="Q548" s="9"/>
      <c r="R548" s="9" t="s">
        <v>9321</v>
      </c>
      <c r="S548" s="9" t="s">
        <v>9321</v>
      </c>
      <c r="T548" s="9"/>
      <c r="U548" s="9"/>
      <c r="V548" s="9"/>
      <c r="W548" s="9"/>
      <c r="X548" s="9"/>
      <c r="Y548" s="9"/>
      <c r="Z548" s="9"/>
      <c r="AA548" s="9"/>
      <c r="AB548" s="9"/>
      <c r="AC548" s="9"/>
    </row>
    <row r="549" spans="1:29" ht="29">
      <c r="A549" s="3" t="s">
        <v>968</v>
      </c>
      <c r="B549" s="3" t="s">
        <v>3197</v>
      </c>
      <c r="C549" s="3" t="s">
        <v>2337</v>
      </c>
      <c r="G549" s="9" t="s">
        <v>8729</v>
      </c>
      <c r="H549" s="9"/>
      <c r="I549" s="9"/>
      <c r="J549" s="9"/>
      <c r="K549" s="9"/>
      <c r="L549" s="9"/>
      <c r="M549" s="9"/>
      <c r="N549" s="10"/>
      <c r="O549" s="9"/>
      <c r="P549" s="9"/>
      <c r="Q549" s="9">
        <v>141</v>
      </c>
      <c r="R549" s="9">
        <v>0</v>
      </c>
      <c r="S549" s="9">
        <v>141</v>
      </c>
      <c r="T549" s="9"/>
      <c r="U549" s="9"/>
      <c r="V549" s="9"/>
      <c r="W549" s="9"/>
      <c r="X549" s="9"/>
      <c r="Y549" s="9"/>
      <c r="Z549" s="9"/>
      <c r="AA549" s="9"/>
      <c r="AB549" s="9"/>
      <c r="AC549" s="9"/>
    </row>
    <row r="550" spans="1:29" ht="29">
      <c r="A550" s="3" t="s">
        <v>969</v>
      </c>
      <c r="B550" s="3" t="s">
        <v>2064</v>
      </c>
      <c r="C550" s="3" t="s">
        <v>2290</v>
      </c>
      <c r="G550" s="9" t="s">
        <v>8731</v>
      </c>
      <c r="H550" s="9"/>
      <c r="I550" s="9"/>
      <c r="J550" s="9"/>
      <c r="K550" s="9"/>
      <c r="L550" s="9"/>
      <c r="M550" s="9"/>
      <c r="N550" s="10"/>
      <c r="O550" s="9"/>
      <c r="P550" s="9"/>
      <c r="Q550" s="9"/>
      <c r="R550" s="9" t="s">
        <v>9321</v>
      </c>
      <c r="S550" s="9" t="s">
        <v>9321</v>
      </c>
      <c r="T550" s="9"/>
      <c r="U550" s="9"/>
      <c r="V550" s="9"/>
      <c r="W550" s="9"/>
      <c r="X550" s="9"/>
      <c r="Y550" s="9"/>
      <c r="Z550" s="9"/>
      <c r="AA550" s="9"/>
      <c r="AB550" s="9"/>
      <c r="AC550" s="9"/>
    </row>
    <row r="551" spans="1:29" ht="29">
      <c r="A551" s="3" t="s">
        <v>969</v>
      </c>
      <c r="B551" s="3" t="s">
        <v>5754</v>
      </c>
      <c r="C551" s="3" t="s">
        <v>5755</v>
      </c>
      <c r="G551" s="9" t="s">
        <v>8729</v>
      </c>
      <c r="H551" s="9"/>
      <c r="I551" s="9"/>
      <c r="J551" s="9"/>
      <c r="K551" s="9"/>
      <c r="L551" s="9"/>
      <c r="M551" s="9"/>
      <c r="N551" s="10"/>
      <c r="O551" s="9"/>
      <c r="P551" s="9"/>
      <c r="Q551" s="9">
        <v>26</v>
      </c>
      <c r="R551" s="9">
        <v>23</v>
      </c>
      <c r="S551" s="9">
        <v>49</v>
      </c>
      <c r="T551" s="9"/>
      <c r="U551" s="9"/>
      <c r="V551" s="9"/>
      <c r="W551" s="9"/>
      <c r="X551" s="9"/>
      <c r="Y551" s="9"/>
      <c r="Z551" s="9"/>
      <c r="AA551" s="9"/>
      <c r="AB551" s="9"/>
      <c r="AC551" s="9"/>
    </row>
    <row r="552" spans="1:29" ht="29">
      <c r="A552" s="3" t="s">
        <v>971</v>
      </c>
      <c r="B552" s="3" t="s">
        <v>5758</v>
      </c>
      <c r="C552" s="3" t="s">
        <v>5759</v>
      </c>
      <c r="F552" t="s">
        <v>3884</v>
      </c>
      <c r="G552" s="9" t="s">
        <v>3889</v>
      </c>
      <c r="H552" s="9"/>
      <c r="I552" s="9">
        <v>2</v>
      </c>
      <c r="J552" s="9">
        <v>4</v>
      </c>
      <c r="K552" s="9"/>
      <c r="L552" s="9" t="s">
        <v>8690</v>
      </c>
      <c r="M552" s="9"/>
      <c r="N552" s="10"/>
      <c r="O552" s="9"/>
      <c r="P552" s="9">
        <v>1225</v>
      </c>
      <c r="Q552" s="9"/>
      <c r="R552" s="9" t="s">
        <v>9321</v>
      </c>
      <c r="S552" s="9" t="s">
        <v>9321</v>
      </c>
      <c r="T552" s="9"/>
      <c r="U552" s="9"/>
      <c r="V552" s="9"/>
      <c r="W552" s="9"/>
      <c r="X552" s="9"/>
      <c r="Y552" s="9"/>
      <c r="Z552" s="9"/>
      <c r="AA552" s="9"/>
      <c r="AB552" s="9"/>
      <c r="AC552" s="9"/>
    </row>
    <row r="553" spans="1:29" ht="29">
      <c r="A553" s="3" t="s">
        <v>973</v>
      </c>
      <c r="B553" s="3" t="s">
        <v>5760</v>
      </c>
      <c r="C553" s="3" t="s">
        <v>5761</v>
      </c>
      <c r="D553" t="s">
        <v>3886</v>
      </c>
      <c r="G553" s="9" t="s">
        <v>8729</v>
      </c>
      <c r="H553" s="9"/>
      <c r="I553" s="9"/>
      <c r="J553" s="9"/>
      <c r="K553" s="9"/>
      <c r="L553" s="9"/>
      <c r="M553" s="9"/>
      <c r="N553" s="10"/>
      <c r="O553" s="9"/>
      <c r="P553" s="9"/>
      <c r="Q553" s="9"/>
      <c r="R553" s="9" t="s">
        <v>9321</v>
      </c>
      <c r="S553" s="9" t="s">
        <v>9321</v>
      </c>
      <c r="T553" s="9"/>
      <c r="U553" s="9"/>
      <c r="V553" s="9"/>
      <c r="W553" s="9"/>
      <c r="X553" s="9"/>
      <c r="Y553" s="9"/>
      <c r="Z553" s="9"/>
      <c r="AA553" s="9"/>
      <c r="AB553" s="9"/>
      <c r="AC553" s="9"/>
    </row>
    <row r="554" spans="1:29" ht="29">
      <c r="A554" s="3" t="s">
        <v>975</v>
      </c>
      <c r="B554" s="3" t="s">
        <v>5764</v>
      </c>
      <c r="C554" s="3" t="s">
        <v>5766</v>
      </c>
      <c r="G554" s="9" t="s">
        <v>3885</v>
      </c>
      <c r="H554" s="9"/>
      <c r="I554" s="9">
        <v>1</v>
      </c>
      <c r="J554" s="9">
        <v>3</v>
      </c>
      <c r="K554" s="9" t="s">
        <v>8689</v>
      </c>
      <c r="L554" s="9" t="s">
        <v>8690</v>
      </c>
      <c r="M554" s="9"/>
      <c r="N554" s="10"/>
      <c r="O554" s="9"/>
      <c r="P554" s="9">
        <v>10929</v>
      </c>
      <c r="Q554" s="9"/>
      <c r="R554" s="9" t="s">
        <v>9321</v>
      </c>
      <c r="S554" s="9" t="s">
        <v>9321</v>
      </c>
      <c r="T554" s="9"/>
      <c r="U554" s="9"/>
      <c r="V554" s="9"/>
      <c r="W554" s="9"/>
      <c r="X554" s="9"/>
      <c r="Y554" s="9"/>
      <c r="Z554" s="9"/>
      <c r="AA554" s="9"/>
      <c r="AB554" s="9"/>
      <c r="AC554" s="9"/>
    </row>
    <row r="555" spans="1:29" ht="29">
      <c r="A555" s="3" t="s">
        <v>975</v>
      </c>
      <c r="B555" s="3" t="s">
        <v>5767</v>
      </c>
      <c r="C555" s="3" t="s">
        <v>5765</v>
      </c>
      <c r="G555" s="9" t="s">
        <v>3889</v>
      </c>
      <c r="H555" s="9"/>
      <c r="I555" s="9">
        <v>1</v>
      </c>
      <c r="J555" s="9">
        <v>5</v>
      </c>
      <c r="K555" s="9" t="s">
        <v>8705</v>
      </c>
      <c r="L555" s="9" t="s">
        <v>8684</v>
      </c>
      <c r="M555" s="9" t="s">
        <v>8777</v>
      </c>
      <c r="N555" s="10" t="s">
        <v>8778</v>
      </c>
      <c r="O555" s="9"/>
      <c r="P555" s="9">
        <v>3678</v>
      </c>
      <c r="Q555" s="9"/>
      <c r="R555" s="9" t="s">
        <v>9321</v>
      </c>
      <c r="S555" s="9" t="s">
        <v>9321</v>
      </c>
      <c r="T555" s="9"/>
      <c r="U555" s="9"/>
      <c r="V555" s="9"/>
      <c r="W555" s="9"/>
      <c r="X555" s="9"/>
      <c r="Y555" s="9"/>
      <c r="Z555" s="9"/>
      <c r="AA555" s="9"/>
      <c r="AB555" s="9"/>
      <c r="AC555" s="9"/>
    </row>
    <row r="556" spans="1:29" ht="29">
      <c r="A556" s="3" t="s">
        <v>975</v>
      </c>
      <c r="B556" s="3" t="s">
        <v>5768</v>
      </c>
      <c r="C556" s="3" t="s">
        <v>5769</v>
      </c>
      <c r="G556" s="9" t="s">
        <v>3889</v>
      </c>
      <c r="H556" s="9"/>
      <c r="I556" s="9">
        <v>1</v>
      </c>
      <c r="J556" s="9">
        <v>1</v>
      </c>
      <c r="K556" s="9" t="s">
        <v>8689</v>
      </c>
      <c r="L556" s="9" t="s">
        <v>8730</v>
      </c>
      <c r="M556" s="9"/>
      <c r="N556" s="10"/>
      <c r="O556" s="9"/>
      <c r="P556" s="9">
        <v>10929</v>
      </c>
      <c r="Q556" s="9"/>
      <c r="R556" s="9" t="s">
        <v>9321</v>
      </c>
      <c r="S556" s="9" t="s">
        <v>9321</v>
      </c>
      <c r="T556" s="9"/>
      <c r="U556" s="9"/>
      <c r="V556" s="9"/>
      <c r="W556" s="9"/>
      <c r="X556" s="9"/>
      <c r="Y556" s="9"/>
      <c r="Z556" s="9"/>
      <c r="AA556" s="9"/>
      <c r="AB556" s="9"/>
      <c r="AC556" s="9"/>
    </row>
    <row r="557" spans="1:29" ht="29">
      <c r="A557" s="3" t="s">
        <v>976</v>
      </c>
      <c r="B557" s="3" t="s">
        <v>5770</v>
      </c>
      <c r="C557" s="3" t="s">
        <v>5771</v>
      </c>
      <c r="F557" t="s">
        <v>3884</v>
      </c>
      <c r="G557" s="9" t="s">
        <v>3885</v>
      </c>
      <c r="H557" s="9"/>
      <c r="I557" s="9">
        <v>1</v>
      </c>
      <c r="J557" s="9">
        <v>2</v>
      </c>
      <c r="K557" s="9" t="s">
        <v>8707</v>
      </c>
      <c r="L557" s="9" t="s">
        <v>8730</v>
      </c>
      <c r="M557" s="9"/>
      <c r="N557" s="10"/>
      <c r="O557" s="9"/>
      <c r="P557" s="9">
        <v>519</v>
      </c>
      <c r="Q557" s="9"/>
      <c r="R557" s="9" t="s">
        <v>9321</v>
      </c>
      <c r="S557" s="9" t="s">
        <v>9321</v>
      </c>
      <c r="T557" s="9"/>
      <c r="U557" s="9"/>
      <c r="V557" s="9"/>
      <c r="W557" s="9"/>
      <c r="X557" s="9"/>
      <c r="Y557" s="9"/>
      <c r="Z557" s="9"/>
      <c r="AA557" s="9"/>
      <c r="AB557" s="9"/>
      <c r="AC557" s="9"/>
    </row>
    <row r="558" spans="1:29" ht="29">
      <c r="A558" s="3" t="s">
        <v>977</v>
      </c>
      <c r="B558" s="3" t="s">
        <v>3204</v>
      </c>
      <c r="C558" s="3" t="s">
        <v>3205</v>
      </c>
      <c r="G558" s="9" t="s">
        <v>8731</v>
      </c>
      <c r="H558" s="9"/>
      <c r="I558" s="9"/>
      <c r="J558" s="9"/>
      <c r="K558" s="9"/>
      <c r="L558" s="9"/>
      <c r="M558" s="9"/>
      <c r="N558" s="10"/>
      <c r="O558" s="9"/>
      <c r="P558" s="9"/>
      <c r="Q558" s="9"/>
      <c r="R558" s="9" t="s">
        <v>9321</v>
      </c>
      <c r="S558" s="9" t="s">
        <v>9321</v>
      </c>
      <c r="T558" s="9"/>
      <c r="U558" s="9"/>
      <c r="V558" s="9"/>
      <c r="W558" s="9"/>
      <c r="X558" s="9"/>
      <c r="Y558" s="9"/>
      <c r="Z558" s="9"/>
      <c r="AA558" s="9"/>
      <c r="AB558" s="9"/>
      <c r="AC558" s="9"/>
    </row>
    <row r="559" spans="1:29" ht="29">
      <c r="A559" s="3" t="s">
        <v>980</v>
      </c>
      <c r="B559" s="3" t="s">
        <v>5774</v>
      </c>
      <c r="C559" s="3" t="s">
        <v>9236</v>
      </c>
      <c r="G559" s="9" t="s">
        <v>3885</v>
      </c>
      <c r="H559" s="9"/>
      <c r="I559" s="9">
        <v>1</v>
      </c>
      <c r="J559" s="9">
        <v>2</v>
      </c>
      <c r="K559" s="9" t="s">
        <v>8707</v>
      </c>
      <c r="L559" s="9" t="s">
        <v>8730</v>
      </c>
      <c r="M559" s="9"/>
      <c r="N559" s="10"/>
      <c r="O559" s="9"/>
      <c r="P559" s="9">
        <v>1942</v>
      </c>
      <c r="Q559" s="9"/>
      <c r="R559" s="9" t="s">
        <v>9321</v>
      </c>
      <c r="S559" s="9" t="s">
        <v>9321</v>
      </c>
      <c r="T559" s="9"/>
      <c r="U559" s="9"/>
      <c r="V559" s="9"/>
      <c r="W559" s="9"/>
      <c r="X559" s="9"/>
      <c r="Y559" s="9"/>
      <c r="Z559" s="9"/>
      <c r="AA559" s="9"/>
      <c r="AB559" s="9"/>
      <c r="AC559" s="9"/>
    </row>
    <row r="560" spans="1:29" ht="29">
      <c r="A560" s="3" t="s">
        <v>982</v>
      </c>
      <c r="B560" s="3" t="s">
        <v>5779</v>
      </c>
      <c r="C560" s="3" t="s">
        <v>9630</v>
      </c>
      <c r="F560" t="s">
        <v>3884</v>
      </c>
      <c r="G560" s="9" t="s">
        <v>3889</v>
      </c>
      <c r="H560" s="9"/>
      <c r="I560" s="9">
        <v>1</v>
      </c>
      <c r="J560" s="9">
        <v>3</v>
      </c>
      <c r="K560" s="9" t="s">
        <v>8705</v>
      </c>
      <c r="L560" s="9" t="s">
        <v>8690</v>
      </c>
      <c r="M560" s="9"/>
      <c r="N560" s="10"/>
      <c r="O560" s="9"/>
      <c r="P560" s="9">
        <v>1443</v>
      </c>
      <c r="Q560" s="9"/>
      <c r="R560" s="9" t="s">
        <v>9321</v>
      </c>
      <c r="S560" s="9" t="s">
        <v>9321</v>
      </c>
      <c r="T560" s="9"/>
      <c r="U560" s="9"/>
      <c r="V560" s="9"/>
      <c r="W560" s="9"/>
      <c r="X560" s="9"/>
      <c r="Y560" s="9"/>
      <c r="Z560" s="9"/>
      <c r="AA560" s="9"/>
      <c r="AB560" s="9"/>
      <c r="AC560" s="9"/>
    </row>
    <row r="561" spans="1:29" ht="29">
      <c r="A561" s="3" t="s">
        <v>984</v>
      </c>
      <c r="B561" s="3" t="s">
        <v>5785</v>
      </c>
      <c r="C561" s="3" t="s">
        <v>5782</v>
      </c>
      <c r="G561" s="9" t="s">
        <v>3889</v>
      </c>
      <c r="H561" s="9"/>
      <c r="I561" s="9">
        <v>1</v>
      </c>
      <c r="J561" s="9">
        <v>2</v>
      </c>
      <c r="K561" s="9" t="s">
        <v>8703</v>
      </c>
      <c r="L561" s="9" t="s">
        <v>8730</v>
      </c>
      <c r="M561" s="9"/>
      <c r="N561" s="10"/>
      <c r="O561" s="9"/>
      <c r="P561" s="9">
        <v>1225</v>
      </c>
      <c r="Q561" s="9"/>
      <c r="R561" s="9" t="s">
        <v>9321</v>
      </c>
      <c r="S561" s="9" t="s">
        <v>9321</v>
      </c>
      <c r="T561" s="9"/>
      <c r="U561" s="9"/>
      <c r="V561" s="9"/>
      <c r="W561" s="9"/>
      <c r="X561" s="9"/>
      <c r="Y561" s="9"/>
      <c r="Z561" s="9"/>
      <c r="AA561" s="9"/>
      <c r="AB561" s="9"/>
      <c r="AC561" s="9"/>
    </row>
    <row r="562" spans="1:29" ht="29">
      <c r="A562" s="3" t="s">
        <v>985</v>
      </c>
      <c r="B562" s="3" t="s">
        <v>2215</v>
      </c>
      <c r="C562" s="3" t="s">
        <v>3208</v>
      </c>
      <c r="G562" s="9" t="s">
        <v>8731</v>
      </c>
      <c r="H562" s="9"/>
      <c r="I562" s="9"/>
      <c r="J562" s="9"/>
      <c r="K562" s="9"/>
      <c r="L562" s="9"/>
      <c r="M562" s="9"/>
      <c r="N562" s="10"/>
      <c r="O562" s="9"/>
      <c r="P562" s="9"/>
      <c r="Q562" s="9"/>
      <c r="R562" s="9" t="s">
        <v>9321</v>
      </c>
      <c r="S562" s="9" t="s">
        <v>9321</v>
      </c>
      <c r="T562" s="9"/>
      <c r="U562" s="9"/>
      <c r="V562" s="9"/>
      <c r="W562" s="9"/>
      <c r="X562" s="9"/>
      <c r="Y562" s="9"/>
      <c r="Z562" s="9"/>
      <c r="AA562" s="9"/>
      <c r="AB562" s="9"/>
      <c r="AC562" s="9"/>
    </row>
    <row r="563" spans="1:29" ht="29">
      <c r="A563" s="3" t="s">
        <v>986</v>
      </c>
      <c r="B563" s="3" t="s">
        <v>5788</v>
      </c>
      <c r="C563" s="3" t="s">
        <v>5789</v>
      </c>
      <c r="F563" t="s">
        <v>3884</v>
      </c>
      <c r="G563" s="9" t="s">
        <v>8729</v>
      </c>
      <c r="H563" s="9"/>
      <c r="I563" s="9"/>
      <c r="J563" s="9"/>
      <c r="K563" s="9"/>
      <c r="L563" s="9"/>
      <c r="M563" s="9"/>
      <c r="N563" s="10"/>
      <c r="O563" s="9"/>
      <c r="P563" s="9"/>
      <c r="Q563" s="9">
        <v>-42</v>
      </c>
      <c r="R563" s="9">
        <v>1485</v>
      </c>
      <c r="S563" s="9">
        <v>1443</v>
      </c>
      <c r="T563" s="9"/>
      <c r="U563" s="9"/>
      <c r="V563" s="9"/>
      <c r="W563" s="9"/>
      <c r="X563" s="9"/>
      <c r="Y563" s="9"/>
      <c r="Z563" s="9"/>
      <c r="AA563" s="9"/>
      <c r="AB563" s="9"/>
      <c r="AC563" s="9"/>
    </row>
    <row r="564" spans="1:29" ht="29">
      <c r="A564" s="3" t="s">
        <v>988</v>
      </c>
      <c r="B564" s="3" t="s">
        <v>5791</v>
      </c>
      <c r="C564" s="3" t="s">
        <v>3210</v>
      </c>
      <c r="F564" t="s">
        <v>3884</v>
      </c>
      <c r="G564" s="9" t="s">
        <v>8731</v>
      </c>
      <c r="H564" s="9"/>
      <c r="I564" s="9"/>
      <c r="J564" s="9"/>
      <c r="K564" s="9"/>
      <c r="L564" s="9"/>
      <c r="M564" s="9"/>
      <c r="N564" s="10"/>
      <c r="O564" s="9"/>
      <c r="P564" s="9"/>
      <c r="Q564" s="9"/>
      <c r="R564" s="9" t="s">
        <v>9321</v>
      </c>
      <c r="S564" s="9" t="s">
        <v>9321</v>
      </c>
      <c r="T564" s="9"/>
      <c r="U564" s="9"/>
      <c r="V564" s="9"/>
      <c r="W564" s="9"/>
      <c r="X564" s="9"/>
      <c r="Y564" s="9"/>
      <c r="Z564" s="9"/>
      <c r="AA564" s="9"/>
      <c r="AB564" s="9"/>
      <c r="AC564" s="9"/>
    </row>
    <row r="565" spans="1:29" ht="29">
      <c r="A565" s="3" t="s">
        <v>990</v>
      </c>
      <c r="B565" s="3" t="s">
        <v>3211</v>
      </c>
      <c r="C565" s="3" t="s">
        <v>3212</v>
      </c>
      <c r="G565" s="9" t="s">
        <v>8731</v>
      </c>
      <c r="H565" s="9"/>
      <c r="I565" s="9"/>
      <c r="J565" s="9"/>
      <c r="K565" s="9"/>
      <c r="L565" s="9"/>
      <c r="M565" s="9"/>
      <c r="N565" s="10"/>
      <c r="O565" s="9"/>
      <c r="P565" s="9"/>
      <c r="Q565" s="9">
        <v>-27</v>
      </c>
      <c r="R565" s="9">
        <v>33</v>
      </c>
      <c r="S565" s="9">
        <v>6</v>
      </c>
      <c r="T565" s="9"/>
      <c r="U565" s="9"/>
      <c r="V565" s="9"/>
      <c r="W565" s="9"/>
      <c r="X565" s="9"/>
      <c r="Y565" s="9"/>
      <c r="Z565" s="9"/>
      <c r="AA565" s="9"/>
      <c r="AB565" s="9"/>
      <c r="AC565" s="9"/>
    </row>
    <row r="566" spans="1:29" ht="29">
      <c r="A566" s="3" t="s">
        <v>993</v>
      </c>
      <c r="B566" s="3" t="s">
        <v>5798</v>
      </c>
      <c r="C566" s="3" t="s">
        <v>5799</v>
      </c>
      <c r="F566" t="s">
        <v>3884</v>
      </c>
      <c r="G566" s="9" t="s">
        <v>3885</v>
      </c>
      <c r="H566" s="9"/>
      <c r="I566" s="9">
        <v>1</v>
      </c>
      <c r="J566" s="9">
        <v>3</v>
      </c>
      <c r="K566" s="9" t="s">
        <v>8689</v>
      </c>
      <c r="L566" s="9" t="s">
        <v>8690</v>
      </c>
      <c r="M566" s="9"/>
      <c r="N566" s="10"/>
      <c r="O566" s="9"/>
      <c r="P566" s="9">
        <v>10929</v>
      </c>
      <c r="Q566" s="9"/>
      <c r="R566" s="9" t="s">
        <v>9321</v>
      </c>
      <c r="S566" s="9" t="s">
        <v>9321</v>
      </c>
      <c r="T566" s="9"/>
      <c r="U566" s="9"/>
      <c r="V566" s="9"/>
      <c r="W566" s="9"/>
      <c r="X566" s="9"/>
      <c r="Y566" s="9"/>
      <c r="Z566" s="9"/>
      <c r="AA566" s="9"/>
      <c r="AB566" s="9"/>
      <c r="AC566" s="9"/>
    </row>
    <row r="567" spans="1:29" ht="29">
      <c r="A567" s="3" t="s">
        <v>994</v>
      </c>
      <c r="B567" s="3" t="s">
        <v>5802</v>
      </c>
      <c r="C567" s="3" t="s">
        <v>5803</v>
      </c>
      <c r="D567" t="s">
        <v>4397</v>
      </c>
      <c r="F567" t="s">
        <v>3884</v>
      </c>
      <c r="G567" s="9" t="s">
        <v>3885</v>
      </c>
      <c r="H567" s="9"/>
      <c r="I567" s="9">
        <v>1</v>
      </c>
      <c r="J567" s="9">
        <v>2</v>
      </c>
      <c r="K567" s="9" t="s">
        <v>8695</v>
      </c>
      <c r="L567" s="9" t="s">
        <v>8730</v>
      </c>
      <c r="M567" s="9"/>
      <c r="N567" s="10"/>
      <c r="O567" s="9"/>
      <c r="P567" s="9">
        <v>0</v>
      </c>
      <c r="Q567" s="9"/>
      <c r="R567" s="9" t="s">
        <v>9321</v>
      </c>
      <c r="S567" s="9" t="s">
        <v>9321</v>
      </c>
      <c r="T567" s="9"/>
      <c r="U567" s="9"/>
      <c r="V567" s="9"/>
      <c r="W567" s="9"/>
      <c r="X567" s="9"/>
      <c r="Y567" s="9"/>
      <c r="Z567" s="9"/>
      <c r="AA567" s="9"/>
      <c r="AB567" s="9"/>
      <c r="AC567" s="9"/>
    </row>
    <row r="568" spans="1:29" ht="29">
      <c r="A568" s="3" t="s">
        <v>995</v>
      </c>
      <c r="B568" s="3" t="s">
        <v>5804</v>
      </c>
      <c r="C568" s="3" t="s">
        <v>5805</v>
      </c>
      <c r="G568" s="9" t="s">
        <v>3889</v>
      </c>
      <c r="H568" s="9"/>
      <c r="I568" s="9">
        <v>1</v>
      </c>
      <c r="J568" s="9">
        <v>4</v>
      </c>
      <c r="K568" s="9" t="s">
        <v>8689</v>
      </c>
      <c r="L568" s="9" t="s">
        <v>8690</v>
      </c>
      <c r="M568" s="9"/>
      <c r="N568" s="10"/>
      <c r="O568" s="9"/>
      <c r="P568" s="9">
        <v>10929</v>
      </c>
      <c r="Q568" s="9"/>
      <c r="R568" s="9" t="s">
        <v>9321</v>
      </c>
      <c r="S568" s="9" t="s">
        <v>9321</v>
      </c>
      <c r="T568" s="9"/>
      <c r="U568" s="9"/>
      <c r="V568" s="9"/>
      <c r="W568" s="9"/>
      <c r="X568" s="9"/>
      <c r="Y568" s="9"/>
      <c r="Z568" s="9"/>
      <c r="AA568" s="9"/>
      <c r="AB568" s="9"/>
      <c r="AC568" s="9"/>
    </row>
    <row r="569" spans="1:29" ht="29">
      <c r="A569" s="3" t="s">
        <v>996</v>
      </c>
      <c r="B569" s="3" t="s">
        <v>5806</v>
      </c>
      <c r="C569" s="3" t="s">
        <v>5807</v>
      </c>
      <c r="G569" s="9" t="s">
        <v>3885</v>
      </c>
      <c r="H569" s="9"/>
      <c r="I569" s="9">
        <v>1</v>
      </c>
      <c r="J569" s="9">
        <v>1</v>
      </c>
      <c r="K569" s="9" t="s">
        <v>8689</v>
      </c>
      <c r="L569" s="9" t="s">
        <v>8730</v>
      </c>
      <c r="M569" s="9"/>
      <c r="N569" s="10"/>
      <c r="O569" s="9"/>
      <c r="P569" s="9">
        <v>10929</v>
      </c>
      <c r="Q569" s="9"/>
      <c r="R569" s="9" t="s">
        <v>9321</v>
      </c>
      <c r="S569" s="9" t="s">
        <v>9321</v>
      </c>
      <c r="T569" s="9"/>
      <c r="U569" s="9"/>
      <c r="V569" s="9"/>
      <c r="W569" s="9"/>
      <c r="X569" s="9"/>
      <c r="Y569" s="9"/>
      <c r="Z569" s="9"/>
      <c r="AA569" s="9"/>
      <c r="AB569" s="9"/>
      <c r="AC569" s="9"/>
    </row>
    <row r="570" spans="1:29" ht="29">
      <c r="A570" s="3" t="s">
        <v>996</v>
      </c>
      <c r="B570" s="3" t="s">
        <v>5810</v>
      </c>
      <c r="C570" s="3" t="s">
        <v>5811</v>
      </c>
      <c r="F570" t="s">
        <v>3884</v>
      </c>
      <c r="G570" s="9" t="s">
        <v>3885</v>
      </c>
      <c r="H570" s="9"/>
      <c r="I570" s="9">
        <v>1</v>
      </c>
      <c r="J570" s="9">
        <v>6</v>
      </c>
      <c r="K570" s="9" t="s">
        <v>8703</v>
      </c>
      <c r="L570" s="9" t="s">
        <v>8690</v>
      </c>
      <c r="M570" s="9"/>
      <c r="N570" s="10"/>
      <c r="O570" s="9"/>
      <c r="P570" s="9">
        <v>627</v>
      </c>
      <c r="Q570" s="9"/>
      <c r="R570" s="9" t="s">
        <v>9321</v>
      </c>
      <c r="S570" s="9" t="s">
        <v>9321</v>
      </c>
      <c r="T570" s="9"/>
      <c r="U570" s="9"/>
      <c r="V570" s="9"/>
      <c r="W570" s="9"/>
      <c r="X570" s="9"/>
      <c r="Y570" s="9"/>
      <c r="Z570" s="9"/>
      <c r="AA570" s="9"/>
      <c r="AB570" s="9"/>
      <c r="AC570" s="9"/>
    </row>
    <row r="571" spans="1:29" ht="29">
      <c r="A571" s="3" t="s">
        <v>1000</v>
      </c>
      <c r="B571" s="3" t="s">
        <v>5814</v>
      </c>
      <c r="C571" s="3" t="s">
        <v>5815</v>
      </c>
      <c r="G571" s="9" t="s">
        <v>8729</v>
      </c>
      <c r="H571" s="9"/>
      <c r="I571" s="9"/>
      <c r="J571" s="9"/>
      <c r="K571" s="9"/>
      <c r="L571" s="9"/>
      <c r="M571" s="9"/>
      <c r="N571" s="10"/>
      <c r="O571" s="9"/>
      <c r="P571" s="9"/>
      <c r="Q571" s="9">
        <v>-3158</v>
      </c>
      <c r="R571" s="9">
        <v>3678</v>
      </c>
      <c r="S571" s="9">
        <v>520</v>
      </c>
      <c r="T571" s="9"/>
      <c r="U571" s="9"/>
      <c r="V571" s="9"/>
      <c r="W571" s="9"/>
      <c r="X571" s="9"/>
      <c r="Y571" s="9"/>
      <c r="Z571" s="9"/>
      <c r="AA571" s="9"/>
      <c r="AB571" s="9"/>
      <c r="AC571" s="9"/>
    </row>
    <row r="572" spans="1:29" ht="29">
      <c r="A572" s="3" t="s">
        <v>1004</v>
      </c>
      <c r="B572" s="3" t="s">
        <v>3222</v>
      </c>
      <c r="C572" s="3" t="s">
        <v>3223</v>
      </c>
      <c r="G572" s="9" t="s">
        <v>8731</v>
      </c>
      <c r="H572" s="9"/>
      <c r="I572" s="9"/>
      <c r="J572" s="9"/>
      <c r="K572" s="9"/>
      <c r="L572" s="9"/>
      <c r="M572" s="9"/>
      <c r="N572" s="10"/>
      <c r="O572" s="9"/>
      <c r="P572" s="9"/>
      <c r="Q572" s="9"/>
      <c r="R572" s="9" t="s">
        <v>9321</v>
      </c>
      <c r="S572" s="9" t="s">
        <v>9321</v>
      </c>
      <c r="T572" s="9"/>
      <c r="U572" s="9"/>
      <c r="V572" s="9"/>
      <c r="W572" s="9"/>
      <c r="X572" s="9"/>
      <c r="Y572" s="9"/>
      <c r="Z572" s="9"/>
      <c r="AA572" s="9"/>
      <c r="AB572" s="9"/>
      <c r="AC572" s="9"/>
    </row>
    <row r="573" spans="1:29" ht="29">
      <c r="A573" s="3" t="s">
        <v>1007</v>
      </c>
      <c r="B573" s="3" t="s">
        <v>5832</v>
      </c>
      <c r="C573" s="3" t="s">
        <v>5833</v>
      </c>
      <c r="F573" t="s">
        <v>3884</v>
      </c>
      <c r="G573" s="9" t="s">
        <v>8731</v>
      </c>
      <c r="H573" s="9"/>
      <c r="I573" s="9"/>
      <c r="J573" s="9"/>
      <c r="K573" s="9"/>
      <c r="L573" s="9"/>
      <c r="M573" s="9"/>
      <c r="N573" s="10"/>
      <c r="O573" s="9"/>
      <c r="P573" s="9"/>
      <c r="Q573" s="9"/>
      <c r="R573" s="9" t="s">
        <v>9321</v>
      </c>
      <c r="S573" s="9" t="s">
        <v>9321</v>
      </c>
      <c r="T573" s="9"/>
      <c r="U573" s="9"/>
      <c r="V573" s="9"/>
      <c r="W573" s="9"/>
      <c r="X573" s="9"/>
      <c r="Y573" s="9"/>
      <c r="Z573" s="9"/>
      <c r="AA573" s="9"/>
      <c r="AB573" s="9"/>
      <c r="AC573" s="9"/>
    </row>
    <row r="574" spans="1:29" ht="29">
      <c r="A574" s="3" t="s">
        <v>1008</v>
      </c>
      <c r="B574" s="3" t="s">
        <v>5834</v>
      </c>
      <c r="C574" s="3" t="s">
        <v>5835</v>
      </c>
      <c r="G574" s="9" t="s">
        <v>8731</v>
      </c>
      <c r="H574" s="9"/>
      <c r="I574" s="9"/>
      <c r="J574" s="9"/>
      <c r="K574" s="9"/>
      <c r="L574" s="9"/>
      <c r="M574" s="9"/>
      <c r="N574" s="10"/>
      <c r="O574" s="9"/>
      <c r="P574" s="9"/>
      <c r="Q574" s="9"/>
      <c r="R574" s="9" t="s">
        <v>9321</v>
      </c>
      <c r="S574" s="9" t="s">
        <v>9321</v>
      </c>
      <c r="T574" s="9"/>
      <c r="U574" s="9"/>
      <c r="V574" s="9"/>
      <c r="W574" s="9"/>
      <c r="X574" s="9"/>
      <c r="Y574" s="9"/>
      <c r="Z574" s="9"/>
      <c r="AA574" s="9"/>
      <c r="AB574" s="9"/>
      <c r="AC574" s="9"/>
    </row>
    <row r="575" spans="1:29" ht="29">
      <c r="A575" s="3" t="s">
        <v>1009</v>
      </c>
      <c r="B575" s="3" t="s">
        <v>5839</v>
      </c>
      <c r="C575" s="3" t="s">
        <v>5838</v>
      </c>
      <c r="F575" t="s">
        <v>3884</v>
      </c>
      <c r="G575" s="9" t="s">
        <v>3889</v>
      </c>
      <c r="H575" s="9"/>
      <c r="I575" s="9">
        <v>2</v>
      </c>
      <c r="J575" s="9">
        <v>11</v>
      </c>
      <c r="K575" s="9"/>
      <c r="L575" s="9" t="s">
        <v>8690</v>
      </c>
      <c r="M575" s="9"/>
      <c r="N575" s="10"/>
      <c r="O575" s="9"/>
      <c r="P575" s="9">
        <v>65</v>
      </c>
      <c r="Q575" s="9"/>
      <c r="R575" s="9" t="s">
        <v>9321</v>
      </c>
      <c r="S575" s="9" t="s">
        <v>9321</v>
      </c>
      <c r="T575" s="9"/>
      <c r="U575" s="9"/>
      <c r="V575" s="9"/>
      <c r="W575" s="9"/>
      <c r="X575" s="9"/>
      <c r="Y575" s="9"/>
      <c r="Z575" s="9"/>
      <c r="AA575" s="9"/>
      <c r="AB575" s="9"/>
      <c r="AC575" s="9"/>
    </row>
    <row r="576" spans="1:29" ht="29">
      <c r="A576" s="3" t="s">
        <v>1009</v>
      </c>
      <c r="B576" s="3" t="s">
        <v>5842</v>
      </c>
      <c r="C576" s="3" t="s">
        <v>5843</v>
      </c>
      <c r="G576" s="9" t="s">
        <v>8729</v>
      </c>
      <c r="H576" s="9"/>
      <c r="I576" s="9"/>
      <c r="J576" s="9"/>
      <c r="K576" s="9"/>
      <c r="L576" s="9"/>
      <c r="M576" s="9"/>
      <c r="N576" s="10"/>
      <c r="O576" s="9"/>
      <c r="P576" s="9"/>
      <c r="Q576" s="9">
        <v>0</v>
      </c>
      <c r="R576" s="9">
        <v>5</v>
      </c>
      <c r="S576" s="9">
        <v>5</v>
      </c>
      <c r="T576" s="9"/>
      <c r="U576" s="9"/>
      <c r="V576" s="9"/>
      <c r="W576" s="9"/>
      <c r="X576" s="9"/>
      <c r="Y576" s="9"/>
      <c r="Z576" s="9"/>
      <c r="AA576" s="9"/>
      <c r="AB576" s="9"/>
      <c r="AC576" s="9"/>
    </row>
    <row r="577" spans="1:29" ht="29">
      <c r="A577" s="3" t="s">
        <v>1012</v>
      </c>
      <c r="B577" s="3" t="s">
        <v>5845</v>
      </c>
      <c r="C577" s="3" t="s">
        <v>5844</v>
      </c>
      <c r="G577" s="9" t="s">
        <v>3889</v>
      </c>
      <c r="H577" s="9"/>
      <c r="I577" s="9">
        <v>1</v>
      </c>
      <c r="J577" s="9">
        <v>8</v>
      </c>
      <c r="K577" s="9" t="s">
        <v>8703</v>
      </c>
      <c r="L577" s="9" t="s">
        <v>8684</v>
      </c>
      <c r="M577" s="9" t="s">
        <v>8771</v>
      </c>
      <c r="N577" s="10" t="s">
        <v>8778</v>
      </c>
      <c r="O577" s="9"/>
      <c r="P577" s="9">
        <v>1056</v>
      </c>
      <c r="Q577" s="9"/>
      <c r="R577" s="9" t="s">
        <v>9321</v>
      </c>
      <c r="S577" s="9" t="s">
        <v>9321</v>
      </c>
      <c r="T577" s="9" t="s">
        <v>4</v>
      </c>
      <c r="U577" s="9"/>
      <c r="V577" s="9"/>
      <c r="W577" s="9"/>
      <c r="X577" s="9"/>
      <c r="Y577" s="9"/>
      <c r="Z577" s="9"/>
      <c r="AA577" s="9"/>
      <c r="AB577" s="9"/>
      <c r="AC577" s="9"/>
    </row>
    <row r="578" spans="1:29" ht="29">
      <c r="A578" s="3" t="s">
        <v>1012</v>
      </c>
      <c r="B578" s="3" t="s">
        <v>5846</v>
      </c>
      <c r="C578" s="3" t="s">
        <v>5847</v>
      </c>
      <c r="F578" t="s">
        <v>3884</v>
      </c>
      <c r="G578" s="9" t="s">
        <v>3885</v>
      </c>
      <c r="H578" s="9"/>
      <c r="I578" s="9">
        <v>1</v>
      </c>
      <c r="J578" s="9">
        <v>1</v>
      </c>
      <c r="K578" s="9" t="s">
        <v>8683</v>
      </c>
      <c r="L578" s="9" t="s">
        <v>8730</v>
      </c>
      <c r="M578" s="9"/>
      <c r="N578" s="10"/>
      <c r="O578" s="9" t="s">
        <v>8685</v>
      </c>
      <c r="P578" s="9">
        <v>6</v>
      </c>
      <c r="Q578" s="9"/>
      <c r="R578" s="9" t="s">
        <v>9321</v>
      </c>
      <c r="S578" s="9" t="s">
        <v>9321</v>
      </c>
      <c r="T578" s="9"/>
      <c r="U578" s="9"/>
      <c r="V578" s="9"/>
      <c r="W578" s="9"/>
      <c r="X578" s="9"/>
      <c r="Y578" s="9"/>
      <c r="Z578" s="9"/>
      <c r="AA578" s="9"/>
      <c r="AB578" s="9"/>
      <c r="AC578" s="9"/>
    </row>
    <row r="579" spans="1:29" ht="29">
      <c r="A579" s="3" t="s">
        <v>1012</v>
      </c>
      <c r="B579" s="3" t="s">
        <v>5850</v>
      </c>
      <c r="C579" s="3" t="s">
        <v>5853</v>
      </c>
      <c r="G579" s="9" t="s">
        <v>3885</v>
      </c>
      <c r="H579" s="9"/>
      <c r="I579" s="9">
        <v>1</v>
      </c>
      <c r="J579" s="9">
        <v>3</v>
      </c>
      <c r="K579" s="9" t="s">
        <v>8689</v>
      </c>
      <c r="L579" s="9" t="s">
        <v>8690</v>
      </c>
      <c r="M579" s="9"/>
      <c r="N579" s="10"/>
      <c r="O579" s="9"/>
      <c r="P579" s="9">
        <v>10929</v>
      </c>
      <c r="Q579" s="9"/>
      <c r="R579" s="9" t="s">
        <v>9321</v>
      </c>
      <c r="S579" s="9" t="s">
        <v>9321</v>
      </c>
      <c r="T579" s="9"/>
      <c r="U579" s="9"/>
      <c r="V579" s="9"/>
      <c r="W579" s="9"/>
      <c r="X579" s="9"/>
      <c r="Y579" s="9"/>
      <c r="Z579" s="9"/>
      <c r="AA579" s="9"/>
      <c r="AB579" s="9"/>
      <c r="AC579" s="9"/>
    </row>
    <row r="580" spans="1:29" ht="29">
      <c r="A580" s="3" t="s">
        <v>1023</v>
      </c>
      <c r="B580" s="3" t="s">
        <v>5868</v>
      </c>
      <c r="C580" s="3" t="s">
        <v>5869</v>
      </c>
      <c r="G580" s="9" t="s">
        <v>8731</v>
      </c>
      <c r="H580" s="9"/>
      <c r="I580" s="9"/>
      <c r="J580" s="9"/>
      <c r="K580" s="9"/>
      <c r="L580" s="9"/>
      <c r="M580" s="9"/>
      <c r="N580" s="10"/>
      <c r="O580" s="9"/>
      <c r="P580" s="9"/>
      <c r="Q580" s="9"/>
      <c r="R580" s="9" t="s">
        <v>9321</v>
      </c>
      <c r="S580" s="9" t="s">
        <v>9321</v>
      </c>
      <c r="T580" s="9"/>
      <c r="U580" s="9"/>
      <c r="V580" s="9"/>
      <c r="W580" s="9"/>
      <c r="X580" s="9"/>
      <c r="Y580" s="9"/>
      <c r="Z580" s="9"/>
      <c r="AA580" s="9"/>
      <c r="AB580" s="9"/>
      <c r="AC580" s="9"/>
    </row>
    <row r="581" spans="1:29" ht="29">
      <c r="A581" s="3" t="s">
        <v>1024</v>
      </c>
      <c r="B581" s="3" t="s">
        <v>5870</v>
      </c>
      <c r="C581" s="3" t="s">
        <v>5871</v>
      </c>
      <c r="G581" s="9" t="s">
        <v>8729</v>
      </c>
      <c r="H581" s="9"/>
      <c r="I581" s="9"/>
      <c r="J581" s="9"/>
      <c r="K581" s="9"/>
      <c r="L581" s="9"/>
      <c r="M581" s="9"/>
      <c r="N581" s="10"/>
      <c r="O581" s="9"/>
      <c r="P581" s="9"/>
      <c r="Q581" s="9">
        <v>22</v>
      </c>
      <c r="R581" s="9">
        <v>335</v>
      </c>
      <c r="S581" s="9">
        <v>357</v>
      </c>
      <c r="T581" s="9"/>
      <c r="U581" s="9"/>
      <c r="V581" s="9"/>
      <c r="W581" s="9"/>
      <c r="X581" s="9"/>
      <c r="Y581" s="9"/>
      <c r="Z581" s="9"/>
      <c r="AA581" s="9"/>
      <c r="AB581" s="9"/>
      <c r="AC581" s="9"/>
    </row>
    <row r="582" spans="1:29" ht="29">
      <c r="A582" s="3" t="s">
        <v>1024</v>
      </c>
      <c r="B582" s="3" t="s">
        <v>5872</v>
      </c>
      <c r="C582" s="3" t="s">
        <v>5873</v>
      </c>
      <c r="G582" s="9" t="s">
        <v>8729</v>
      </c>
      <c r="H582" s="9"/>
      <c r="I582" s="9"/>
      <c r="J582" s="9"/>
      <c r="K582" s="9"/>
      <c r="L582" s="9"/>
      <c r="M582" s="9"/>
      <c r="N582" s="10"/>
      <c r="O582" s="9"/>
      <c r="P582" s="9"/>
      <c r="Q582" s="9">
        <v>198</v>
      </c>
      <c r="R582" s="9">
        <v>5</v>
      </c>
      <c r="S582" s="9">
        <v>203</v>
      </c>
      <c r="T582" s="9"/>
      <c r="U582" s="9"/>
      <c r="V582" s="9"/>
      <c r="W582" s="9"/>
      <c r="X582" s="9"/>
      <c r="Y582" s="9"/>
      <c r="Z582" s="9"/>
      <c r="AA582" s="9"/>
      <c r="AB582" s="9"/>
      <c r="AC582" s="9"/>
    </row>
    <row r="583" spans="1:29" ht="29">
      <c r="A583" s="3" t="s">
        <v>1025</v>
      </c>
      <c r="B583" s="3" t="s">
        <v>5875</v>
      </c>
      <c r="C583" s="4" t="s">
        <v>9632</v>
      </c>
      <c r="D583" t="s">
        <v>4197</v>
      </c>
      <c r="G583" s="9" t="s">
        <v>3885</v>
      </c>
      <c r="H583" s="9"/>
      <c r="I583" s="9">
        <v>1</v>
      </c>
      <c r="J583" s="9">
        <v>3</v>
      </c>
      <c r="K583" s="9" t="s">
        <v>8703</v>
      </c>
      <c r="L583" s="9" t="s">
        <v>8690</v>
      </c>
      <c r="M583" s="9"/>
      <c r="N583" s="10"/>
      <c r="O583" s="9" t="s">
        <v>8691</v>
      </c>
      <c r="P583" s="9">
        <v>9</v>
      </c>
      <c r="Q583" s="9"/>
      <c r="R583" s="9" t="s">
        <v>9321</v>
      </c>
      <c r="S583" s="9" t="s">
        <v>9321</v>
      </c>
      <c r="T583" s="9"/>
      <c r="U583" s="9"/>
      <c r="V583" s="9"/>
      <c r="W583" s="9"/>
      <c r="X583" s="9"/>
      <c r="Y583" s="9"/>
      <c r="Z583" s="9"/>
      <c r="AA583" s="9"/>
      <c r="AB583" s="9"/>
      <c r="AC583" s="9"/>
    </row>
    <row r="584" spans="1:29" ht="29">
      <c r="A584" s="3" t="s">
        <v>1026</v>
      </c>
      <c r="B584" s="3" t="s">
        <v>5877</v>
      </c>
      <c r="C584" s="3" t="s">
        <v>5878</v>
      </c>
      <c r="G584" s="9" t="s">
        <v>8729</v>
      </c>
      <c r="H584" s="9"/>
      <c r="I584" s="9"/>
      <c r="J584" s="9"/>
      <c r="K584" s="9"/>
      <c r="L584" s="9"/>
      <c r="M584" s="9"/>
      <c r="N584" s="10"/>
      <c r="O584" s="9"/>
      <c r="P584" s="9"/>
      <c r="Q584" s="9">
        <v>10686</v>
      </c>
      <c r="R584" s="9">
        <v>243</v>
      </c>
      <c r="S584" s="9">
        <v>10929</v>
      </c>
      <c r="T584" s="9"/>
      <c r="U584" s="9"/>
      <c r="V584" s="9"/>
      <c r="W584" s="9"/>
      <c r="X584" s="9"/>
      <c r="Y584" s="9"/>
      <c r="Z584" s="9"/>
      <c r="AA584" s="9"/>
      <c r="AB584" s="9"/>
      <c r="AC584" s="9"/>
    </row>
    <row r="585" spans="1:29" ht="29">
      <c r="A585" s="3" t="s">
        <v>1026</v>
      </c>
      <c r="B585" s="3" t="s">
        <v>2895</v>
      </c>
      <c r="C585" s="3" t="s">
        <v>3147</v>
      </c>
      <c r="G585" s="9" t="s">
        <v>8731</v>
      </c>
      <c r="H585" s="9"/>
      <c r="I585" s="9"/>
      <c r="J585" s="9"/>
      <c r="K585" s="9"/>
      <c r="L585" s="9"/>
      <c r="M585" s="9"/>
      <c r="N585" s="10"/>
      <c r="O585" s="9"/>
      <c r="P585" s="9"/>
      <c r="Q585" s="9"/>
      <c r="R585" s="9" t="s">
        <v>9321</v>
      </c>
      <c r="S585" s="9" t="s">
        <v>9321</v>
      </c>
      <c r="T585" s="9"/>
      <c r="U585" s="9"/>
      <c r="V585" s="9"/>
      <c r="W585" s="9"/>
      <c r="X585" s="9"/>
      <c r="Y585" s="9"/>
      <c r="Z585" s="9"/>
      <c r="AA585" s="9"/>
      <c r="AB585" s="9"/>
      <c r="AC585" s="9"/>
    </row>
    <row r="586" spans="1:29" ht="29">
      <c r="A586" s="3" t="s">
        <v>1026</v>
      </c>
      <c r="B586" s="3" t="s">
        <v>5879</v>
      </c>
      <c r="C586" s="3" t="s">
        <v>5880</v>
      </c>
      <c r="G586" s="9" t="s">
        <v>8729</v>
      </c>
      <c r="H586" s="9"/>
      <c r="I586" s="9"/>
      <c r="J586" s="9"/>
      <c r="K586" s="9"/>
      <c r="L586" s="9"/>
      <c r="M586" s="9"/>
      <c r="N586" s="10"/>
      <c r="O586" s="9"/>
      <c r="P586" s="9"/>
      <c r="Q586" s="9">
        <v>1511</v>
      </c>
      <c r="R586" s="9">
        <v>9418</v>
      </c>
      <c r="S586" s="9">
        <v>10929</v>
      </c>
      <c r="T586" s="9"/>
      <c r="U586" s="9"/>
      <c r="V586" s="9"/>
      <c r="W586" s="9"/>
      <c r="X586" s="9"/>
      <c r="Y586" s="9"/>
      <c r="Z586" s="9"/>
      <c r="AA586" s="9"/>
      <c r="AB586" s="9"/>
      <c r="AC586" s="9"/>
    </row>
    <row r="587" spans="1:29" ht="29">
      <c r="A587" s="3" t="s">
        <v>1029</v>
      </c>
      <c r="B587" s="3" t="s">
        <v>5883</v>
      </c>
      <c r="C587" s="3" t="s">
        <v>5885</v>
      </c>
      <c r="G587" s="9" t="s">
        <v>3885</v>
      </c>
      <c r="H587" s="9"/>
      <c r="I587" s="9">
        <v>1</v>
      </c>
      <c r="J587" s="9">
        <v>3</v>
      </c>
      <c r="K587" s="9" t="s">
        <v>8698</v>
      </c>
      <c r="L587" s="9" t="s">
        <v>8690</v>
      </c>
      <c r="M587" s="9"/>
      <c r="N587" s="10"/>
      <c r="O587" s="9"/>
      <c r="P587" s="9">
        <v>9418</v>
      </c>
      <c r="Q587" s="9"/>
      <c r="R587" s="9" t="s">
        <v>9321</v>
      </c>
      <c r="S587" s="9" t="s">
        <v>9321</v>
      </c>
      <c r="T587" s="9"/>
      <c r="U587" s="9"/>
      <c r="V587" s="9"/>
      <c r="W587" s="9"/>
      <c r="X587" s="9"/>
      <c r="Y587" s="9"/>
      <c r="Z587" s="9"/>
      <c r="AA587" s="9"/>
      <c r="AB587" s="9"/>
      <c r="AC587" s="9"/>
    </row>
    <row r="588" spans="1:29" ht="29">
      <c r="A588" s="3" t="s">
        <v>1029</v>
      </c>
      <c r="B588" s="3" t="s">
        <v>5886</v>
      </c>
      <c r="C588" s="3" t="s">
        <v>5884</v>
      </c>
      <c r="G588" s="9" t="s">
        <v>3889</v>
      </c>
      <c r="H588" s="9"/>
      <c r="I588" s="9">
        <v>1</v>
      </c>
      <c r="J588" s="9">
        <v>2</v>
      </c>
      <c r="K588" s="9" t="s">
        <v>8703</v>
      </c>
      <c r="L588" s="9" t="s">
        <v>8730</v>
      </c>
      <c r="M588" s="9"/>
      <c r="N588" s="10"/>
      <c r="O588" s="9"/>
      <c r="P588" s="9">
        <v>1225</v>
      </c>
      <c r="Q588" s="9"/>
      <c r="R588" s="9" t="s">
        <v>9321</v>
      </c>
      <c r="S588" s="9" t="s">
        <v>9321</v>
      </c>
      <c r="T588" s="9"/>
      <c r="U588" s="9"/>
      <c r="V588" s="9"/>
      <c r="W588" s="9"/>
      <c r="X588" s="9"/>
      <c r="Y588" s="9"/>
      <c r="Z588" s="9"/>
      <c r="AA588" s="9"/>
      <c r="AB588" s="9"/>
      <c r="AC588" s="9"/>
    </row>
    <row r="589" spans="1:29" ht="29">
      <c r="A589" s="3" t="s">
        <v>1029</v>
      </c>
      <c r="B589" s="3" t="s">
        <v>3257</v>
      </c>
      <c r="C589" s="3" t="s">
        <v>3258</v>
      </c>
      <c r="G589" s="9" t="s">
        <v>8729</v>
      </c>
      <c r="H589" s="9"/>
      <c r="I589" s="9"/>
      <c r="J589" s="9"/>
      <c r="K589" s="9"/>
      <c r="L589" s="9"/>
      <c r="M589" s="9"/>
      <c r="N589" s="10"/>
      <c r="O589" s="9"/>
      <c r="P589" s="9"/>
      <c r="Q589" s="9">
        <v>-1</v>
      </c>
      <c r="R589" s="9">
        <v>1</v>
      </c>
      <c r="S589" s="9">
        <v>0</v>
      </c>
      <c r="T589" s="9"/>
      <c r="U589" s="9"/>
      <c r="V589" s="9"/>
      <c r="W589" s="9"/>
      <c r="X589" s="9"/>
      <c r="Y589" s="9"/>
      <c r="Z589" s="9"/>
      <c r="AA589" s="9"/>
      <c r="AB589" s="9"/>
      <c r="AC589" s="9"/>
    </row>
    <row r="590" spans="1:29" ht="29">
      <c r="A590" s="3" t="s">
        <v>1030</v>
      </c>
      <c r="B590" s="3" t="s">
        <v>5887</v>
      </c>
      <c r="C590" s="3" t="s">
        <v>5888</v>
      </c>
      <c r="F590" t="s">
        <v>3884</v>
      </c>
      <c r="G590" s="9" t="s">
        <v>3885</v>
      </c>
      <c r="H590" s="9"/>
      <c r="I590" s="9">
        <v>1</v>
      </c>
      <c r="J590" s="9">
        <v>4</v>
      </c>
      <c r="K590" s="9" t="s">
        <v>8703</v>
      </c>
      <c r="L590" s="9" t="s">
        <v>8684</v>
      </c>
      <c r="M590" s="9" t="s">
        <v>8771</v>
      </c>
      <c r="N590" s="10" t="s">
        <v>8772</v>
      </c>
      <c r="O590" s="9"/>
      <c r="P590" s="9">
        <v>0</v>
      </c>
      <c r="Q590" s="9"/>
      <c r="R590" s="9" t="s">
        <v>9321</v>
      </c>
      <c r="S590" s="9" t="s">
        <v>9321</v>
      </c>
      <c r="T590" s="9"/>
      <c r="U590" s="9"/>
      <c r="V590" s="9"/>
      <c r="W590" s="9"/>
      <c r="X590" s="9"/>
      <c r="Y590" s="9"/>
      <c r="Z590" s="9"/>
      <c r="AA590" s="9"/>
      <c r="AB590" s="9"/>
      <c r="AC590" s="9"/>
    </row>
    <row r="591" spans="1:29" ht="29">
      <c r="A591" s="3" t="s">
        <v>1030</v>
      </c>
      <c r="B591" s="3" t="s">
        <v>5889</v>
      </c>
      <c r="C591" s="3" t="s">
        <v>5890</v>
      </c>
      <c r="G591" s="9" t="s">
        <v>3889</v>
      </c>
      <c r="H591" s="9"/>
      <c r="I591" s="9">
        <v>1</v>
      </c>
      <c r="J591" s="9">
        <v>1</v>
      </c>
      <c r="K591" s="9" t="s">
        <v>8698</v>
      </c>
      <c r="L591" s="9" t="s">
        <v>8730</v>
      </c>
      <c r="M591" s="9"/>
      <c r="N591" s="10"/>
      <c r="O591" s="9"/>
      <c r="P591" s="9">
        <v>73</v>
      </c>
      <c r="Q591" s="9"/>
      <c r="R591" s="9" t="s">
        <v>9321</v>
      </c>
      <c r="S591" s="9" t="s">
        <v>9321</v>
      </c>
      <c r="T591" s="9"/>
      <c r="U591" s="9"/>
      <c r="V591" s="9"/>
      <c r="W591" s="9"/>
      <c r="X591" s="9"/>
      <c r="Y591" s="9"/>
      <c r="Z591" s="9"/>
      <c r="AA591" s="9"/>
      <c r="AB591" s="9"/>
      <c r="AC591" s="9"/>
    </row>
    <row r="592" spans="1:29" ht="29">
      <c r="A592" s="3" t="s">
        <v>1033</v>
      </c>
      <c r="B592" s="3" t="s">
        <v>5898</v>
      </c>
      <c r="C592" s="3" t="s">
        <v>5899</v>
      </c>
      <c r="F592" t="s">
        <v>3884</v>
      </c>
      <c r="G592" s="9" t="s">
        <v>3885</v>
      </c>
      <c r="H592" s="9"/>
      <c r="I592" s="9">
        <v>1</v>
      </c>
      <c r="J592" s="9">
        <v>2</v>
      </c>
      <c r="K592" s="9" t="s">
        <v>8705</v>
      </c>
      <c r="L592" s="9" t="s">
        <v>8730</v>
      </c>
      <c r="M592" s="9"/>
      <c r="N592" s="10"/>
      <c r="O592" s="9"/>
      <c r="P592" s="9">
        <v>615</v>
      </c>
      <c r="Q592" s="9"/>
      <c r="R592" s="9" t="s">
        <v>9321</v>
      </c>
      <c r="S592" s="9" t="s">
        <v>9321</v>
      </c>
      <c r="T592" s="9"/>
      <c r="U592" s="9"/>
      <c r="V592" s="9"/>
      <c r="W592" s="9"/>
      <c r="X592" s="9"/>
      <c r="Y592" s="9"/>
      <c r="Z592" s="9"/>
      <c r="AA592" s="9"/>
      <c r="AB592" s="9"/>
      <c r="AC592" s="9"/>
    </row>
    <row r="593" spans="1:29">
      <c r="A593" s="3" t="s">
        <v>1039</v>
      </c>
      <c r="B593" s="3" t="s">
        <v>2229</v>
      </c>
      <c r="C593" s="3" t="s">
        <v>3263</v>
      </c>
      <c r="G593" s="9" t="s">
        <v>8731</v>
      </c>
      <c r="H593" s="9"/>
      <c r="I593" s="9"/>
      <c r="J593" s="9"/>
      <c r="K593" s="9"/>
      <c r="L593" s="9"/>
      <c r="M593" s="9"/>
      <c r="N593" s="10"/>
      <c r="O593" s="9"/>
      <c r="P593" s="9"/>
      <c r="Q593" s="9"/>
      <c r="R593" s="9" t="s">
        <v>9321</v>
      </c>
      <c r="S593" s="9" t="s">
        <v>9321</v>
      </c>
      <c r="T593" s="9"/>
      <c r="U593" s="9"/>
      <c r="V593" s="9"/>
      <c r="W593" s="9"/>
      <c r="X593" s="9"/>
      <c r="Y593" s="9"/>
      <c r="Z593" s="9"/>
      <c r="AA593" s="9"/>
      <c r="AB593" s="9"/>
      <c r="AC593" s="9"/>
    </row>
    <row r="594" spans="1:29" ht="29">
      <c r="A594" s="3" t="s">
        <v>1041</v>
      </c>
      <c r="B594" s="3" t="s">
        <v>5913</v>
      </c>
      <c r="C594" s="3" t="s">
        <v>5912</v>
      </c>
      <c r="G594" s="9" t="s">
        <v>3885</v>
      </c>
      <c r="H594" s="9"/>
      <c r="I594" s="9">
        <v>1</v>
      </c>
      <c r="J594" s="9">
        <v>5</v>
      </c>
      <c r="K594" s="9" t="s">
        <v>8705</v>
      </c>
      <c r="L594" s="9" t="s">
        <v>8690</v>
      </c>
      <c r="M594" s="9"/>
      <c r="N594" s="10"/>
      <c r="O594" s="9"/>
      <c r="P594" s="9">
        <v>3678</v>
      </c>
      <c r="Q594" s="9"/>
      <c r="R594" s="9" t="s">
        <v>9321</v>
      </c>
      <c r="S594" s="9" t="s">
        <v>9321</v>
      </c>
      <c r="T594" s="9"/>
      <c r="U594" s="9"/>
      <c r="V594" s="9"/>
      <c r="W594" s="9"/>
      <c r="X594" s="9"/>
      <c r="Y594" s="9"/>
      <c r="Z594" s="9"/>
      <c r="AA594" s="9"/>
      <c r="AB594" s="9"/>
      <c r="AC594" s="9"/>
    </row>
    <row r="595" spans="1:29">
      <c r="A595" s="3" t="s">
        <v>1045</v>
      </c>
      <c r="B595" s="3" t="s">
        <v>5921</v>
      </c>
      <c r="C595" s="3" t="s">
        <v>5922</v>
      </c>
      <c r="F595" t="s">
        <v>3884</v>
      </c>
      <c r="G595" s="9" t="s">
        <v>8731</v>
      </c>
      <c r="H595" s="9"/>
      <c r="I595" s="9"/>
      <c r="J595" s="9"/>
      <c r="K595" s="9"/>
      <c r="L595" s="9"/>
      <c r="M595" s="9"/>
      <c r="N595" s="10"/>
      <c r="O595" s="9"/>
      <c r="P595" s="9"/>
      <c r="Q595" s="9"/>
      <c r="R595" s="9" t="s">
        <v>9321</v>
      </c>
      <c r="S595" s="9" t="s">
        <v>9321</v>
      </c>
      <c r="T595" s="9" t="s">
        <v>8728</v>
      </c>
      <c r="U595" s="9"/>
      <c r="V595" s="9"/>
      <c r="W595" s="9"/>
      <c r="X595" s="9"/>
      <c r="Y595" s="9"/>
      <c r="Z595" s="9"/>
      <c r="AA595" s="9"/>
      <c r="AB595" s="9"/>
      <c r="AC595" s="9"/>
    </row>
    <row r="596" spans="1:29">
      <c r="A596" s="3" t="s">
        <v>1048</v>
      </c>
      <c r="B596" s="3" t="s">
        <v>5925</v>
      </c>
      <c r="C596" s="3" t="s">
        <v>5926</v>
      </c>
      <c r="G596" s="9" t="s">
        <v>8729</v>
      </c>
      <c r="H596" s="9"/>
      <c r="I596" s="9"/>
      <c r="J596" s="9"/>
      <c r="K596" s="9"/>
      <c r="L596" s="9"/>
      <c r="M596" s="9"/>
      <c r="N596" s="10"/>
      <c r="O596" s="9"/>
      <c r="P596" s="9"/>
      <c r="Q596" s="9">
        <v>10276</v>
      </c>
      <c r="R596" s="9">
        <v>653</v>
      </c>
      <c r="S596" s="9">
        <v>10929</v>
      </c>
      <c r="T596" s="9" t="s">
        <v>8728</v>
      </c>
      <c r="U596" s="9"/>
      <c r="V596" s="9"/>
      <c r="W596" s="9"/>
      <c r="X596" s="9"/>
      <c r="Y596" s="9"/>
      <c r="Z596" s="9"/>
      <c r="AA596" s="9"/>
      <c r="AB596" s="9"/>
      <c r="AC596" s="9"/>
    </row>
    <row r="597" spans="1:29">
      <c r="A597" s="3" t="s">
        <v>1048</v>
      </c>
      <c r="B597" s="3" t="s">
        <v>5921</v>
      </c>
      <c r="C597" s="3" t="s">
        <v>5922</v>
      </c>
      <c r="F597" t="s">
        <v>3884</v>
      </c>
      <c r="G597" s="9" t="s">
        <v>8731</v>
      </c>
      <c r="H597" s="9"/>
      <c r="I597" s="9"/>
      <c r="J597" s="9"/>
      <c r="K597" s="9"/>
      <c r="L597" s="9"/>
      <c r="M597" s="9"/>
      <c r="N597" s="10"/>
      <c r="O597" s="9"/>
      <c r="P597" s="9"/>
      <c r="Q597" s="9"/>
      <c r="R597" s="9" t="s">
        <v>9321</v>
      </c>
      <c r="S597" s="9" t="s">
        <v>9321</v>
      </c>
      <c r="T597" s="9" t="s">
        <v>8728</v>
      </c>
      <c r="U597" s="9"/>
      <c r="V597" s="9"/>
      <c r="W597" s="9"/>
      <c r="X597" s="9"/>
      <c r="Y597" s="9"/>
      <c r="Z597" s="9"/>
      <c r="AA597" s="9"/>
      <c r="AB597" s="9"/>
      <c r="AC597" s="9"/>
    </row>
    <row r="598" spans="1:29" ht="72.5">
      <c r="A598" s="3" t="s">
        <v>1054</v>
      </c>
      <c r="B598" s="3" t="s">
        <v>5944</v>
      </c>
      <c r="C598" s="3" t="s">
        <v>5945</v>
      </c>
      <c r="G598" s="9" t="s">
        <v>3889</v>
      </c>
      <c r="H598" s="9"/>
      <c r="I598" s="9">
        <v>8</v>
      </c>
      <c r="J598" s="9">
        <v>36</v>
      </c>
      <c r="K598" s="9"/>
      <c r="L598" s="9" t="s">
        <v>8684</v>
      </c>
      <c r="M598" s="9" t="s">
        <v>8777</v>
      </c>
      <c r="N598" s="10" t="s">
        <v>9072</v>
      </c>
      <c r="O598" s="9" t="s">
        <v>8685</v>
      </c>
      <c r="P598" s="9">
        <v>146</v>
      </c>
      <c r="Q598" s="9"/>
      <c r="R598" s="9" t="s">
        <v>9321</v>
      </c>
      <c r="S598" s="9" t="s">
        <v>9321</v>
      </c>
      <c r="T598" s="9"/>
      <c r="U598" s="9"/>
      <c r="V598" s="9"/>
      <c r="W598" s="9"/>
      <c r="X598" s="9"/>
      <c r="Y598" s="9"/>
      <c r="Z598" s="9"/>
      <c r="AA598" s="9"/>
      <c r="AB598" s="9"/>
      <c r="AC598" s="9"/>
    </row>
    <row r="599" spans="1:29" ht="29">
      <c r="A599" s="3" t="s">
        <v>1056</v>
      </c>
      <c r="B599" s="3" t="s">
        <v>5953</v>
      </c>
      <c r="C599" s="3" t="s">
        <v>5954</v>
      </c>
      <c r="F599" t="s">
        <v>3884</v>
      </c>
      <c r="G599" s="9" t="s">
        <v>3885</v>
      </c>
      <c r="H599" s="9"/>
      <c r="I599" s="9">
        <v>1</v>
      </c>
      <c r="J599" s="9">
        <v>3</v>
      </c>
      <c r="K599" s="9" t="s">
        <v>8698</v>
      </c>
      <c r="L599" s="9" t="s">
        <v>8690</v>
      </c>
      <c r="M599" s="9"/>
      <c r="N599" s="10"/>
      <c r="O599" s="9"/>
      <c r="P599" s="9">
        <v>9418</v>
      </c>
      <c r="Q599" s="9"/>
      <c r="R599" s="9" t="s">
        <v>9321</v>
      </c>
      <c r="S599" s="9" t="s">
        <v>9321</v>
      </c>
      <c r="T599" s="9"/>
      <c r="U599" s="9"/>
      <c r="V599" s="9"/>
      <c r="W599" s="9"/>
      <c r="X599" s="9"/>
      <c r="Y599" s="9"/>
      <c r="Z599" s="9"/>
      <c r="AA599" s="9"/>
      <c r="AB599" s="9"/>
      <c r="AC599" s="9"/>
    </row>
    <row r="600" spans="1:29">
      <c r="A600" s="3" t="s">
        <v>1057</v>
      </c>
      <c r="B600" s="3" t="s">
        <v>5957</v>
      </c>
      <c r="C600" s="3" t="s">
        <v>5958</v>
      </c>
      <c r="F600" t="s">
        <v>3884</v>
      </c>
      <c r="G600" s="9" t="s">
        <v>8731</v>
      </c>
      <c r="H600" s="9"/>
      <c r="I600" s="9"/>
      <c r="J600" s="9"/>
      <c r="K600" s="9"/>
      <c r="L600" s="9"/>
      <c r="M600" s="9"/>
      <c r="N600" s="10"/>
      <c r="O600" s="9"/>
      <c r="P600" s="9"/>
      <c r="Q600" s="9"/>
      <c r="R600" s="9" t="s">
        <v>9321</v>
      </c>
      <c r="S600" s="9" t="s">
        <v>9321</v>
      </c>
      <c r="T600" s="9"/>
      <c r="U600" s="9"/>
      <c r="V600" s="9"/>
      <c r="W600" s="9"/>
      <c r="X600" s="9"/>
      <c r="Y600" s="9"/>
      <c r="Z600" s="9"/>
      <c r="AA600" s="9"/>
      <c r="AB600" s="9"/>
      <c r="AC600" s="9"/>
    </row>
    <row r="601" spans="1:29" ht="29">
      <c r="A601" s="3" t="s">
        <v>1060</v>
      </c>
      <c r="B601" s="3" t="s">
        <v>5966</v>
      </c>
      <c r="C601" s="3" t="s">
        <v>5967</v>
      </c>
      <c r="G601" s="9" t="s">
        <v>8729</v>
      </c>
      <c r="H601" s="9"/>
      <c r="I601" s="9"/>
      <c r="J601" s="9"/>
      <c r="K601" s="9"/>
      <c r="L601" s="9"/>
      <c r="M601" s="9"/>
      <c r="N601" s="10"/>
      <c r="O601" s="9"/>
      <c r="P601" s="9"/>
      <c r="Q601" s="9">
        <v>-46</v>
      </c>
      <c r="R601" s="9">
        <v>206</v>
      </c>
      <c r="S601" s="9">
        <v>160</v>
      </c>
      <c r="T601" s="9"/>
      <c r="U601" s="9"/>
      <c r="V601" s="9"/>
      <c r="W601" s="9"/>
      <c r="X601" s="9"/>
      <c r="Y601" s="9"/>
      <c r="Z601" s="9"/>
      <c r="AA601" s="9"/>
      <c r="AB601" s="9"/>
      <c r="AC601" s="9"/>
    </row>
    <row r="602" spans="1:29">
      <c r="A602" s="3" t="s">
        <v>1062</v>
      </c>
      <c r="B602" s="3" t="s">
        <v>5975</v>
      </c>
      <c r="C602" s="3" t="s">
        <v>5972</v>
      </c>
      <c r="G602" s="9" t="s">
        <v>3889</v>
      </c>
      <c r="H602" s="9"/>
      <c r="I602" s="9">
        <v>1</v>
      </c>
      <c r="J602" s="9">
        <v>2</v>
      </c>
      <c r="K602" s="9" t="s">
        <v>8689</v>
      </c>
      <c r="L602" s="9" t="s">
        <v>8730</v>
      </c>
      <c r="M602" s="9"/>
      <c r="N602" s="10"/>
      <c r="O602" s="9"/>
      <c r="P602" s="9">
        <v>10929</v>
      </c>
      <c r="Q602" s="9"/>
      <c r="R602" s="9" t="s">
        <v>9321</v>
      </c>
      <c r="S602" s="9" t="s">
        <v>9321</v>
      </c>
      <c r="T602" s="9"/>
      <c r="U602" s="9"/>
      <c r="V602" s="9"/>
      <c r="W602" s="9"/>
      <c r="X602" s="9"/>
      <c r="Y602" s="9"/>
      <c r="Z602" s="9"/>
      <c r="AA602" s="9"/>
      <c r="AB602" s="9"/>
      <c r="AC602" s="9"/>
    </row>
    <row r="603" spans="1:29">
      <c r="A603" s="3" t="s">
        <v>1062</v>
      </c>
      <c r="B603" s="3" t="s">
        <v>5976</v>
      </c>
      <c r="C603" s="3" t="s">
        <v>5977</v>
      </c>
      <c r="G603" s="9" t="s">
        <v>3885</v>
      </c>
      <c r="H603" s="9"/>
      <c r="I603" s="9">
        <v>1</v>
      </c>
      <c r="J603" s="9">
        <v>2</v>
      </c>
      <c r="K603" s="9" t="s">
        <v>8705</v>
      </c>
      <c r="L603" s="9" t="s">
        <v>8730</v>
      </c>
      <c r="M603" s="9"/>
      <c r="N603" s="10"/>
      <c r="O603" s="9"/>
      <c r="P603" s="9">
        <v>615</v>
      </c>
      <c r="Q603" s="9"/>
      <c r="R603" s="9" t="s">
        <v>9321</v>
      </c>
      <c r="S603" s="9" t="s">
        <v>9321</v>
      </c>
      <c r="T603" s="9"/>
      <c r="U603" s="9"/>
      <c r="V603" s="9"/>
      <c r="W603" s="9"/>
      <c r="X603" s="9"/>
      <c r="Y603" s="9"/>
      <c r="Z603" s="9"/>
      <c r="AA603" s="9"/>
      <c r="AB603" s="9"/>
      <c r="AC603" s="9"/>
    </row>
    <row r="604" spans="1:29">
      <c r="A604" s="3" t="s">
        <v>1066</v>
      </c>
      <c r="B604" s="3" t="s">
        <v>5983</v>
      </c>
      <c r="C604" s="3" t="s">
        <v>5984</v>
      </c>
      <c r="F604" t="s">
        <v>3884</v>
      </c>
      <c r="G604" s="9" t="s">
        <v>3889</v>
      </c>
      <c r="H604" s="9"/>
      <c r="I604" s="9">
        <v>1</v>
      </c>
      <c r="J604" s="9">
        <v>3</v>
      </c>
      <c r="K604" s="9" t="s">
        <v>8689</v>
      </c>
      <c r="L604" s="9" t="s">
        <v>8690</v>
      </c>
      <c r="M604" s="9"/>
      <c r="N604" s="10"/>
      <c r="O604" s="9"/>
      <c r="P604" s="9">
        <v>10929</v>
      </c>
      <c r="Q604" s="9"/>
      <c r="R604" s="9" t="s">
        <v>9321</v>
      </c>
      <c r="S604" s="9" t="s">
        <v>9321</v>
      </c>
      <c r="T604" s="9"/>
      <c r="U604" s="9"/>
      <c r="V604" s="9"/>
      <c r="W604" s="9"/>
      <c r="X604" s="9"/>
      <c r="Y604" s="9"/>
      <c r="Z604" s="9"/>
      <c r="AA604" s="9"/>
      <c r="AB604" s="9"/>
      <c r="AC604" s="9"/>
    </row>
    <row r="605" spans="1:29" ht="217.5">
      <c r="A605" s="3" t="s">
        <v>1067</v>
      </c>
      <c r="B605" s="3" t="s">
        <v>9073</v>
      </c>
      <c r="C605" s="3" t="s">
        <v>9635</v>
      </c>
      <c r="G605" s="9" t="s">
        <v>3889</v>
      </c>
      <c r="H605" s="9"/>
      <c r="I605" s="9">
        <v>17</v>
      </c>
      <c r="J605" s="9">
        <v>98</v>
      </c>
      <c r="K605" s="9"/>
      <c r="L605" s="9" t="s">
        <v>8684</v>
      </c>
      <c r="M605" s="9" t="s">
        <v>8777</v>
      </c>
      <c r="N605" s="10" t="s">
        <v>9074</v>
      </c>
      <c r="O605" s="9" t="s">
        <v>8685</v>
      </c>
      <c r="P605" s="9"/>
      <c r="Q605" s="9"/>
      <c r="R605" s="9" t="s">
        <v>9321</v>
      </c>
      <c r="S605" s="9" t="s">
        <v>9321</v>
      </c>
      <c r="T605" s="9"/>
      <c r="U605" s="9"/>
      <c r="V605" s="9"/>
      <c r="W605" s="9"/>
      <c r="X605" s="9"/>
      <c r="Y605" s="9"/>
      <c r="Z605" s="9"/>
      <c r="AA605" s="9"/>
      <c r="AB605" s="9"/>
      <c r="AC605" s="9"/>
    </row>
    <row r="606" spans="1:29">
      <c r="A606" s="3" t="s">
        <v>1068</v>
      </c>
      <c r="B606" s="3" t="s">
        <v>3282</v>
      </c>
      <c r="C606" s="3" t="s">
        <v>3283</v>
      </c>
      <c r="G606" s="9" t="s">
        <v>8731</v>
      </c>
      <c r="H606" s="9"/>
      <c r="I606" s="9"/>
      <c r="J606" s="9"/>
      <c r="K606" s="9"/>
      <c r="L606" s="9"/>
      <c r="M606" s="9"/>
      <c r="N606" s="10"/>
      <c r="O606" s="9"/>
      <c r="P606" s="9"/>
      <c r="Q606" s="9"/>
      <c r="R606" s="9" t="s">
        <v>9321</v>
      </c>
      <c r="S606" s="9" t="s">
        <v>9321</v>
      </c>
      <c r="T606" s="9"/>
      <c r="U606" s="9"/>
      <c r="V606" s="9"/>
      <c r="W606" s="9"/>
      <c r="X606" s="9"/>
      <c r="Y606" s="9"/>
      <c r="Z606" s="9"/>
      <c r="AA606" s="9"/>
      <c r="AB606" s="9"/>
      <c r="AC606" s="9"/>
    </row>
    <row r="607" spans="1:29">
      <c r="A607" s="3" t="s">
        <v>1069</v>
      </c>
      <c r="B607" s="3" t="s">
        <v>5986</v>
      </c>
      <c r="C607" s="3" t="s">
        <v>5985</v>
      </c>
      <c r="G607" s="9" t="s">
        <v>3885</v>
      </c>
      <c r="H607" s="9"/>
      <c r="I607" s="9">
        <v>1</v>
      </c>
      <c r="J607" s="9">
        <v>2</v>
      </c>
      <c r="K607" s="9" t="s">
        <v>8689</v>
      </c>
      <c r="L607" s="9" t="s">
        <v>8730</v>
      </c>
      <c r="M607" s="9"/>
      <c r="N607" s="10"/>
      <c r="O607" s="9"/>
      <c r="P607" s="9">
        <v>10929</v>
      </c>
      <c r="Q607" s="9"/>
      <c r="R607" s="9" t="s">
        <v>9321</v>
      </c>
      <c r="S607" s="9" t="s">
        <v>9321</v>
      </c>
      <c r="T607" s="9"/>
      <c r="U607" s="9"/>
      <c r="V607" s="9"/>
      <c r="W607" s="9"/>
      <c r="X607" s="9"/>
      <c r="Y607" s="9"/>
      <c r="Z607" s="9"/>
      <c r="AA607" s="9"/>
      <c r="AB607" s="9"/>
      <c r="AC607" s="9"/>
    </row>
    <row r="608" spans="1:29">
      <c r="A608" s="3" t="s">
        <v>1070</v>
      </c>
      <c r="B608" s="4" t="s">
        <v>5987</v>
      </c>
      <c r="C608" s="3" t="s">
        <v>5988</v>
      </c>
      <c r="D608" t="s">
        <v>4196</v>
      </c>
      <c r="G608" s="9" t="s">
        <v>8729</v>
      </c>
      <c r="H608" s="9"/>
      <c r="I608" s="9"/>
      <c r="J608" s="9"/>
      <c r="K608" s="9"/>
      <c r="L608" s="9"/>
      <c r="M608" s="9"/>
      <c r="N608" s="10"/>
      <c r="O608" s="9"/>
      <c r="P608" s="9"/>
      <c r="Q608" s="9">
        <v>10409</v>
      </c>
      <c r="R608" s="9">
        <v>520</v>
      </c>
      <c r="S608" s="9">
        <v>10929</v>
      </c>
      <c r="T608" s="9"/>
      <c r="U608" s="9"/>
      <c r="V608" s="9"/>
      <c r="W608" s="9"/>
      <c r="X608" s="9"/>
      <c r="Y608" s="9"/>
      <c r="Z608" s="9"/>
      <c r="AA608" s="9"/>
      <c r="AB608" s="9"/>
      <c r="AC608" s="9"/>
    </row>
    <row r="609" spans="1:29" ht="29">
      <c r="A609" s="3" t="s">
        <v>1073</v>
      </c>
      <c r="B609" s="3" t="s">
        <v>6002</v>
      </c>
      <c r="C609" s="3" t="s">
        <v>6003</v>
      </c>
      <c r="G609" s="9" t="s">
        <v>3889</v>
      </c>
      <c r="H609" s="9"/>
      <c r="I609" s="9">
        <v>1</v>
      </c>
      <c r="J609" s="9">
        <v>3</v>
      </c>
      <c r="K609" s="9" t="s">
        <v>8689</v>
      </c>
      <c r="L609" s="9" t="s">
        <v>8684</v>
      </c>
      <c r="M609" s="9" t="s">
        <v>8771</v>
      </c>
      <c r="N609" s="10" t="s">
        <v>8778</v>
      </c>
      <c r="O609" s="9"/>
      <c r="P609" s="9">
        <v>10929</v>
      </c>
      <c r="Q609" s="9"/>
      <c r="R609" s="9" t="s">
        <v>9321</v>
      </c>
      <c r="S609" s="9" t="s">
        <v>9321</v>
      </c>
      <c r="T609" s="9"/>
      <c r="U609" s="9"/>
      <c r="V609" s="9"/>
      <c r="W609" s="9"/>
      <c r="X609" s="9"/>
      <c r="Y609" s="9"/>
      <c r="Z609" s="9"/>
      <c r="AA609" s="9"/>
      <c r="AB609" s="9"/>
      <c r="AC609" s="9"/>
    </row>
    <row r="610" spans="1:29">
      <c r="A610" s="3" t="s">
        <v>1074</v>
      </c>
      <c r="B610" s="3" t="s">
        <v>3288</v>
      </c>
      <c r="C610" s="3" t="s">
        <v>3145</v>
      </c>
      <c r="G610" s="9" t="s">
        <v>8731</v>
      </c>
      <c r="H610" s="9"/>
      <c r="I610" s="9"/>
      <c r="J610" s="9"/>
      <c r="K610" s="9"/>
      <c r="L610" s="9"/>
      <c r="M610" s="9"/>
      <c r="N610" s="10"/>
      <c r="O610" s="9"/>
      <c r="P610" s="9"/>
      <c r="Q610" s="9"/>
      <c r="R610" s="9" t="s">
        <v>9321</v>
      </c>
      <c r="S610" s="9" t="s">
        <v>9321</v>
      </c>
      <c r="T610" s="9"/>
      <c r="U610" s="9"/>
      <c r="V610" s="9"/>
      <c r="W610" s="9"/>
      <c r="X610" s="9"/>
      <c r="Y610" s="9"/>
      <c r="Z610" s="9"/>
      <c r="AA610" s="9"/>
      <c r="AB610" s="9"/>
      <c r="AC610" s="9"/>
    </row>
    <row r="611" spans="1:29" ht="29">
      <c r="A611" s="3" t="s">
        <v>1077</v>
      </c>
      <c r="B611" s="3" t="s">
        <v>6006</v>
      </c>
      <c r="C611" s="3" t="s">
        <v>6007</v>
      </c>
      <c r="F611" t="s">
        <v>3892</v>
      </c>
      <c r="G611" s="9" t="s">
        <v>8731</v>
      </c>
      <c r="H611" s="9"/>
      <c r="I611" s="9"/>
      <c r="J611" s="9"/>
      <c r="K611" s="9"/>
      <c r="L611" s="9"/>
      <c r="M611" s="9"/>
      <c r="N611" s="10"/>
      <c r="O611" s="9"/>
      <c r="P611" s="9"/>
      <c r="Q611" s="9"/>
      <c r="R611" s="9" t="s">
        <v>9321</v>
      </c>
      <c r="S611" s="9" t="s">
        <v>9321</v>
      </c>
      <c r="T611" s="9"/>
      <c r="U611" s="9"/>
      <c r="V611" s="9"/>
      <c r="W611" s="9"/>
      <c r="X611" s="9"/>
      <c r="Y611" s="9"/>
      <c r="Z611" s="9"/>
      <c r="AA611" s="9"/>
      <c r="AB611" s="9"/>
      <c r="AC611" s="9"/>
    </row>
    <row r="612" spans="1:29">
      <c r="A612" s="3" t="s">
        <v>1084</v>
      </c>
      <c r="B612" s="3" t="s">
        <v>6019</v>
      </c>
      <c r="C612" s="3" t="s">
        <v>6020</v>
      </c>
      <c r="G612" s="9" t="s">
        <v>8729</v>
      </c>
      <c r="H612" s="9"/>
      <c r="I612" s="9"/>
      <c r="J612" s="9"/>
      <c r="K612" s="9"/>
      <c r="L612" s="9"/>
      <c r="M612" s="9"/>
      <c r="N612" s="10"/>
      <c r="O612" s="9"/>
      <c r="P612" s="9"/>
      <c r="Q612" s="9">
        <v>79</v>
      </c>
      <c r="R612" s="9">
        <v>5</v>
      </c>
      <c r="S612" s="9">
        <v>84</v>
      </c>
      <c r="T612" s="9"/>
      <c r="U612" s="9"/>
      <c r="V612" s="9"/>
      <c r="W612" s="9"/>
      <c r="X612" s="9"/>
      <c r="Y612" s="9"/>
      <c r="Z612" s="9"/>
      <c r="AA612" s="9"/>
      <c r="AB612" s="9"/>
      <c r="AC612" s="9"/>
    </row>
    <row r="613" spans="1:29">
      <c r="A613" s="3" t="s">
        <v>1086</v>
      </c>
      <c r="B613" s="3" t="s">
        <v>5475</v>
      </c>
      <c r="C613" s="3" t="s">
        <v>5476</v>
      </c>
      <c r="F613" t="s">
        <v>3884</v>
      </c>
      <c r="G613" s="9" t="s">
        <v>3885</v>
      </c>
      <c r="H613" s="9"/>
      <c r="I613" s="9">
        <v>1</v>
      </c>
      <c r="J613" s="9">
        <v>3</v>
      </c>
      <c r="K613" s="9" t="s">
        <v>8689</v>
      </c>
      <c r="L613" s="9" t="s">
        <v>8690</v>
      </c>
      <c r="M613" s="9"/>
      <c r="N613" s="10"/>
      <c r="O613" s="9"/>
      <c r="P613" s="9">
        <v>10929</v>
      </c>
      <c r="Q613" s="9"/>
      <c r="R613" s="9" t="s">
        <v>9321</v>
      </c>
      <c r="S613" s="9" t="s">
        <v>9321</v>
      </c>
      <c r="T613" s="9"/>
      <c r="U613" s="9"/>
      <c r="V613" s="9"/>
      <c r="W613" s="9"/>
      <c r="X613" s="9"/>
      <c r="Y613" s="9"/>
      <c r="Z613" s="9"/>
      <c r="AA613" s="9"/>
      <c r="AB613" s="9"/>
      <c r="AC613" s="9"/>
    </row>
    <row r="614" spans="1:29">
      <c r="A614" s="3" t="s">
        <v>1087</v>
      </c>
      <c r="B614" s="3" t="s">
        <v>6023</v>
      </c>
      <c r="C614" s="3" t="s">
        <v>6024</v>
      </c>
      <c r="G614" s="9" t="s">
        <v>8731</v>
      </c>
      <c r="H614" s="9"/>
      <c r="I614" s="9"/>
      <c r="J614" s="9"/>
      <c r="K614" s="9"/>
      <c r="L614" s="9"/>
      <c r="M614" s="9"/>
      <c r="N614" s="10"/>
      <c r="O614" s="9"/>
      <c r="P614" s="9"/>
      <c r="Q614" s="9"/>
      <c r="R614" s="9" t="s">
        <v>9321</v>
      </c>
      <c r="S614" s="9" t="s">
        <v>9321</v>
      </c>
      <c r="T614" s="9" t="s">
        <v>4</v>
      </c>
      <c r="U614" s="9"/>
      <c r="V614" s="9"/>
      <c r="W614" s="9"/>
      <c r="X614" s="9"/>
      <c r="Y614" s="9"/>
      <c r="Z614" s="9"/>
      <c r="AA614" s="9"/>
      <c r="AB614" s="9"/>
      <c r="AC614" s="9"/>
    </row>
    <row r="615" spans="1:29" ht="29">
      <c r="A615" s="3" t="s">
        <v>1089</v>
      </c>
      <c r="B615" s="3" t="s">
        <v>6035</v>
      </c>
      <c r="C615" s="3" t="s">
        <v>6036</v>
      </c>
      <c r="F615" t="s">
        <v>3884</v>
      </c>
      <c r="G615" s="9" t="s">
        <v>3885</v>
      </c>
      <c r="H615" s="9"/>
      <c r="I615" s="9">
        <v>1</v>
      </c>
      <c r="J615" s="9">
        <v>5</v>
      </c>
      <c r="K615" s="9" t="s">
        <v>8703</v>
      </c>
      <c r="L615" s="9" t="s">
        <v>8690</v>
      </c>
      <c r="M615" s="9"/>
      <c r="N615" s="10"/>
      <c r="O615" s="9"/>
      <c r="P615" s="9">
        <v>655</v>
      </c>
      <c r="Q615" s="9"/>
      <c r="R615" s="9" t="s">
        <v>9321</v>
      </c>
      <c r="S615" s="9" t="s">
        <v>9321</v>
      </c>
      <c r="T615" s="9"/>
      <c r="U615" s="9"/>
      <c r="V615" s="9"/>
      <c r="W615" s="9"/>
      <c r="X615" s="9"/>
      <c r="Y615" s="9"/>
      <c r="Z615" s="9"/>
      <c r="AA615" s="9"/>
      <c r="AB615" s="9"/>
      <c r="AC615" s="9"/>
    </row>
    <row r="616" spans="1:29" ht="29">
      <c r="A616" s="3" t="s">
        <v>1091</v>
      </c>
      <c r="B616" s="3" t="s">
        <v>6054</v>
      </c>
      <c r="C616" s="3" t="s">
        <v>6055</v>
      </c>
      <c r="F616" t="s">
        <v>3884</v>
      </c>
      <c r="G616" s="9" t="s">
        <v>3889</v>
      </c>
      <c r="H616" s="9"/>
      <c r="I616" s="9">
        <v>1</v>
      </c>
      <c r="J616" s="9">
        <v>3</v>
      </c>
      <c r="K616" s="9" t="s">
        <v>8698</v>
      </c>
      <c r="L616" s="9" t="s">
        <v>8690</v>
      </c>
      <c r="M616" s="9"/>
      <c r="N616" s="10"/>
      <c r="O616" s="9"/>
      <c r="P616" s="9">
        <v>9418</v>
      </c>
      <c r="Q616" s="9"/>
      <c r="R616" s="9" t="s">
        <v>9321</v>
      </c>
      <c r="S616" s="9" t="s">
        <v>9321</v>
      </c>
      <c r="T616" s="9"/>
      <c r="U616" s="9"/>
      <c r="V616" s="9"/>
      <c r="W616" s="9"/>
      <c r="X616" s="9"/>
      <c r="Y616" s="9"/>
      <c r="Z616" s="9"/>
      <c r="AA616" s="9"/>
      <c r="AB616" s="9"/>
      <c r="AC616" s="9"/>
    </row>
    <row r="617" spans="1:29">
      <c r="A617" s="3" t="s">
        <v>1091</v>
      </c>
      <c r="B617" s="3" t="s">
        <v>3288</v>
      </c>
      <c r="C617" s="3" t="s">
        <v>3145</v>
      </c>
      <c r="G617" s="9" t="s">
        <v>8731</v>
      </c>
      <c r="H617" s="9"/>
      <c r="I617" s="9"/>
      <c r="J617" s="9"/>
      <c r="K617" s="9"/>
      <c r="L617" s="9"/>
      <c r="M617" s="9"/>
      <c r="N617" s="10"/>
      <c r="O617" s="9"/>
      <c r="P617" s="9"/>
      <c r="Q617" s="9"/>
      <c r="R617" s="9" t="s">
        <v>9321</v>
      </c>
      <c r="S617" s="9" t="s">
        <v>9321</v>
      </c>
      <c r="T617" s="9"/>
      <c r="U617" s="9"/>
      <c r="V617" s="9"/>
      <c r="W617" s="9"/>
      <c r="X617" s="9"/>
      <c r="Y617" s="9"/>
      <c r="Z617" s="9"/>
      <c r="AA617" s="9"/>
      <c r="AB617" s="9"/>
      <c r="AC617" s="9"/>
    </row>
    <row r="618" spans="1:29">
      <c r="A618" s="3" t="s">
        <v>1091</v>
      </c>
      <c r="B618" s="3" t="s">
        <v>6063</v>
      </c>
      <c r="C618" s="3" t="s">
        <v>9639</v>
      </c>
      <c r="G618" s="9" t="s">
        <v>8729</v>
      </c>
      <c r="H618" s="9"/>
      <c r="I618" s="9"/>
      <c r="J618" s="9"/>
      <c r="K618" s="9"/>
      <c r="L618" s="9"/>
      <c r="M618" s="9"/>
      <c r="N618" s="10"/>
      <c r="O618" s="9"/>
      <c r="P618" s="9"/>
      <c r="Q618" s="9">
        <v>-1443</v>
      </c>
      <c r="R618" s="9">
        <v>1443</v>
      </c>
      <c r="S618" s="9">
        <v>0</v>
      </c>
      <c r="T618" s="9"/>
      <c r="U618" s="9"/>
      <c r="V618" s="9"/>
      <c r="W618" s="9"/>
      <c r="X618" s="9"/>
      <c r="Y618" s="9"/>
      <c r="Z618" s="9"/>
      <c r="AA618" s="9"/>
      <c r="AB618" s="9"/>
      <c r="AC618" s="9"/>
    </row>
    <row r="619" spans="1:29" ht="29">
      <c r="A619" s="3" t="s">
        <v>1093</v>
      </c>
      <c r="B619" s="3" t="s">
        <v>9509</v>
      </c>
      <c r="C619" s="3" t="s">
        <v>9511</v>
      </c>
      <c r="G619" s="9" t="s">
        <v>8731</v>
      </c>
      <c r="H619" s="9"/>
      <c r="I619" s="9"/>
      <c r="J619" s="9"/>
      <c r="K619" s="9"/>
      <c r="L619" s="9"/>
      <c r="M619" s="9"/>
      <c r="N619" s="10"/>
      <c r="O619" s="9"/>
      <c r="P619" s="9"/>
      <c r="Q619" s="9"/>
      <c r="R619" s="9" t="s">
        <v>9321</v>
      </c>
      <c r="S619" s="9" t="s">
        <v>9321</v>
      </c>
      <c r="T619" s="9"/>
      <c r="U619" s="9"/>
      <c r="V619" s="9"/>
      <c r="W619" s="9"/>
      <c r="X619" s="9"/>
      <c r="Y619" s="9"/>
      <c r="Z619" s="9"/>
      <c r="AA619" s="9"/>
      <c r="AB619" s="9"/>
      <c r="AC619" s="9"/>
    </row>
    <row r="620" spans="1:29" ht="29">
      <c r="A620" s="3" t="s">
        <v>1093</v>
      </c>
      <c r="B620" s="3" t="s">
        <v>9510</v>
      </c>
      <c r="C620" s="3" t="s">
        <v>9512</v>
      </c>
      <c r="G620" s="9" t="s">
        <v>3885</v>
      </c>
      <c r="H620" s="9"/>
      <c r="I620" s="9">
        <v>1</v>
      </c>
      <c r="J620" s="9">
        <v>1</v>
      </c>
      <c r="K620" s="9" t="s">
        <v>8689</v>
      </c>
      <c r="L620" s="9" t="s">
        <v>8730</v>
      </c>
      <c r="M620" s="9"/>
      <c r="N620" s="10"/>
      <c r="O620" s="9"/>
      <c r="P620" s="9">
        <v>10929</v>
      </c>
      <c r="Q620" s="9"/>
      <c r="R620" s="9" t="s">
        <v>9321</v>
      </c>
      <c r="S620" s="9" t="s">
        <v>9321</v>
      </c>
      <c r="T620" s="9"/>
      <c r="U620" s="9"/>
      <c r="V620" s="9"/>
      <c r="W620" s="9"/>
      <c r="X620" s="9"/>
      <c r="Y620" s="9"/>
      <c r="Z620" s="9"/>
      <c r="AA620" s="9"/>
      <c r="AB620" s="9"/>
      <c r="AC620" s="9"/>
    </row>
    <row r="621" spans="1:29" ht="29">
      <c r="A621" s="3" t="s">
        <v>1093</v>
      </c>
      <c r="B621" s="3" t="s">
        <v>9079</v>
      </c>
      <c r="C621" s="3" t="s">
        <v>9078</v>
      </c>
      <c r="G621" s="9" t="s">
        <v>8731</v>
      </c>
      <c r="H621" s="9"/>
      <c r="I621" s="9"/>
      <c r="J621" s="9"/>
      <c r="K621" s="9"/>
      <c r="L621" s="9"/>
      <c r="M621" s="9"/>
      <c r="N621" s="10"/>
      <c r="O621" s="9"/>
      <c r="P621" s="9"/>
      <c r="Q621" s="9"/>
      <c r="R621" s="9" t="s">
        <v>9321</v>
      </c>
      <c r="S621" s="9" t="s">
        <v>9321</v>
      </c>
      <c r="T621" s="9"/>
      <c r="U621" s="9"/>
      <c r="V621" s="9"/>
      <c r="W621" s="9"/>
      <c r="X621" s="9"/>
      <c r="Y621" s="9"/>
      <c r="Z621" s="9"/>
      <c r="AA621" s="9"/>
      <c r="AB621" s="9"/>
      <c r="AC621" s="9"/>
    </row>
    <row r="622" spans="1:29">
      <c r="A622" s="3" t="s">
        <v>1098</v>
      </c>
      <c r="B622" s="3" t="s">
        <v>6078</v>
      </c>
      <c r="C622" s="3" t="s">
        <v>6079</v>
      </c>
      <c r="F622" t="s">
        <v>3884</v>
      </c>
      <c r="G622" s="9" t="s">
        <v>8729</v>
      </c>
      <c r="H622" s="9"/>
      <c r="I622" s="9"/>
      <c r="J622" s="9"/>
      <c r="K622" s="9"/>
      <c r="L622" s="9"/>
      <c r="M622" s="9"/>
      <c r="N622" s="10"/>
      <c r="O622" s="9"/>
      <c r="P622" s="9"/>
      <c r="Q622" s="9">
        <v>-134</v>
      </c>
      <c r="R622" s="9">
        <v>203</v>
      </c>
      <c r="S622" s="9">
        <v>69</v>
      </c>
      <c r="T622" s="9"/>
      <c r="U622" s="9"/>
      <c r="V622" s="9"/>
      <c r="W622" s="9"/>
      <c r="X622" s="9"/>
      <c r="Y622" s="9"/>
      <c r="Z622" s="9"/>
      <c r="AA622" s="9"/>
      <c r="AB622" s="9"/>
      <c r="AC622" s="9"/>
    </row>
    <row r="623" spans="1:29">
      <c r="A623" s="3" t="s">
        <v>1101</v>
      </c>
      <c r="B623" s="3" t="s">
        <v>6084</v>
      </c>
      <c r="C623" s="3" t="s">
        <v>6085</v>
      </c>
      <c r="G623" s="9" t="s">
        <v>8729</v>
      </c>
      <c r="H623" s="9"/>
      <c r="I623" s="9"/>
      <c r="J623" s="9"/>
      <c r="K623" s="9"/>
      <c r="L623" s="9"/>
      <c r="M623" s="9"/>
      <c r="N623" s="10"/>
      <c r="O623" s="9"/>
      <c r="P623" s="9"/>
      <c r="Q623" s="9">
        <v>150</v>
      </c>
      <c r="R623" s="9">
        <v>15</v>
      </c>
      <c r="S623" s="9">
        <v>165</v>
      </c>
      <c r="T623" s="9"/>
      <c r="U623" s="9"/>
      <c r="V623" s="9"/>
      <c r="W623" s="9"/>
      <c r="X623" s="9"/>
      <c r="Y623" s="9"/>
      <c r="Z623" s="9"/>
      <c r="AA623" s="9"/>
      <c r="AB623" s="9"/>
      <c r="AC623" s="9"/>
    </row>
    <row r="624" spans="1:29" ht="29">
      <c r="A624" s="3" t="s">
        <v>1102</v>
      </c>
      <c r="B624" s="3" t="s">
        <v>6086</v>
      </c>
      <c r="C624" s="3" t="s">
        <v>6087</v>
      </c>
      <c r="F624" t="s">
        <v>3884</v>
      </c>
      <c r="G624" s="9" t="s">
        <v>8731</v>
      </c>
      <c r="H624" s="9"/>
      <c r="I624" s="9"/>
      <c r="J624" s="9"/>
      <c r="K624" s="9"/>
      <c r="L624" s="9"/>
      <c r="M624" s="9"/>
      <c r="N624" s="10"/>
      <c r="O624" s="9"/>
      <c r="P624" s="9"/>
      <c r="Q624" s="9"/>
      <c r="R624" s="9" t="s">
        <v>9321</v>
      </c>
      <c r="S624" s="9" t="s">
        <v>9321</v>
      </c>
      <c r="T624" s="9"/>
      <c r="U624" s="9"/>
      <c r="V624" s="9"/>
      <c r="W624" s="9"/>
      <c r="X624" s="9"/>
      <c r="Y624" s="9"/>
      <c r="Z624" s="9"/>
      <c r="AA624" s="9"/>
      <c r="AB624" s="9"/>
      <c r="AC624" s="9"/>
    </row>
    <row r="625" spans="1:29" ht="29">
      <c r="A625" s="3" t="s">
        <v>1104</v>
      </c>
      <c r="B625" s="3" t="s">
        <v>6090</v>
      </c>
      <c r="C625" s="3" t="s">
        <v>6091</v>
      </c>
      <c r="F625" t="s">
        <v>3884</v>
      </c>
      <c r="G625" s="9" t="s">
        <v>3889</v>
      </c>
      <c r="H625" s="9"/>
      <c r="I625" s="9">
        <v>1</v>
      </c>
      <c r="J625" s="9">
        <v>3</v>
      </c>
      <c r="K625" s="9" t="s">
        <v>8698</v>
      </c>
      <c r="L625" s="9" t="s">
        <v>8690</v>
      </c>
      <c r="M625" s="9"/>
      <c r="N625" s="10"/>
      <c r="O625" s="9"/>
      <c r="P625" s="9">
        <v>9418</v>
      </c>
      <c r="Q625" s="9"/>
      <c r="R625" s="9" t="s">
        <v>9321</v>
      </c>
      <c r="S625" s="9" t="s">
        <v>9321</v>
      </c>
      <c r="T625" s="9"/>
      <c r="U625" s="9"/>
      <c r="V625" s="9"/>
      <c r="W625" s="9"/>
      <c r="X625" s="9"/>
      <c r="Y625" s="9"/>
      <c r="Z625" s="9"/>
      <c r="AA625" s="9"/>
      <c r="AB625" s="9"/>
      <c r="AC625" s="9"/>
    </row>
    <row r="626" spans="1:29" ht="29">
      <c r="A626" s="3" t="s">
        <v>1105</v>
      </c>
      <c r="B626" s="3" t="s">
        <v>6093</v>
      </c>
      <c r="C626" s="4" t="s">
        <v>6092</v>
      </c>
      <c r="D626" t="s">
        <v>4197</v>
      </c>
      <c r="G626" s="9" t="s">
        <v>8729</v>
      </c>
      <c r="H626" s="9"/>
      <c r="I626" s="9"/>
      <c r="J626" s="9"/>
      <c r="K626" s="9"/>
      <c r="L626" s="9"/>
      <c r="M626" s="9"/>
      <c r="N626" s="10"/>
      <c r="O626" s="9"/>
      <c r="P626" s="9"/>
      <c r="Q626" s="9">
        <v>-2193</v>
      </c>
      <c r="R626" s="9">
        <v>3678</v>
      </c>
      <c r="S626" s="9">
        <v>1485</v>
      </c>
      <c r="T626" s="9"/>
      <c r="U626" s="9"/>
      <c r="V626" s="9"/>
      <c r="W626" s="9"/>
      <c r="X626" s="9"/>
      <c r="Y626" s="9"/>
      <c r="Z626" s="9"/>
      <c r="AA626" s="9"/>
      <c r="AB626" s="9"/>
      <c r="AC626" s="9"/>
    </row>
    <row r="627" spans="1:29">
      <c r="A627" s="3" t="s">
        <v>1106</v>
      </c>
      <c r="B627" s="3" t="s">
        <v>6097</v>
      </c>
      <c r="C627" s="3" t="s">
        <v>6098</v>
      </c>
      <c r="F627" t="s">
        <v>3884</v>
      </c>
      <c r="G627" s="9" t="s">
        <v>3885</v>
      </c>
      <c r="H627" s="9"/>
      <c r="I627" s="9">
        <v>1</v>
      </c>
      <c r="J627" s="9">
        <v>3</v>
      </c>
      <c r="K627" s="9" t="s">
        <v>8698</v>
      </c>
      <c r="L627" s="9" t="s">
        <v>8690</v>
      </c>
      <c r="M627" s="9"/>
      <c r="N627" s="10"/>
      <c r="O627" s="9"/>
      <c r="P627" s="9">
        <v>9418</v>
      </c>
      <c r="Q627" s="9"/>
      <c r="R627" s="9" t="s">
        <v>9321</v>
      </c>
      <c r="S627" s="9" t="s">
        <v>9321</v>
      </c>
      <c r="T627" s="9"/>
      <c r="U627" s="9"/>
      <c r="V627" s="9"/>
      <c r="W627" s="9"/>
      <c r="X627" s="9"/>
      <c r="Y627" s="9"/>
      <c r="Z627" s="9"/>
      <c r="AA627" s="9"/>
      <c r="AB627" s="9"/>
      <c r="AC627" s="9"/>
    </row>
    <row r="628" spans="1:29" ht="29">
      <c r="A628" s="3" t="s">
        <v>1108</v>
      </c>
      <c r="B628" s="3" t="s">
        <v>6105</v>
      </c>
      <c r="C628" s="3" t="s">
        <v>6106</v>
      </c>
      <c r="F628" t="s">
        <v>3884</v>
      </c>
      <c r="G628" s="9" t="s">
        <v>8729</v>
      </c>
      <c r="H628" s="9"/>
      <c r="I628" s="9"/>
      <c r="J628" s="9"/>
      <c r="K628" s="9"/>
      <c r="L628" s="9"/>
      <c r="M628" s="9"/>
      <c r="N628" s="10"/>
      <c r="O628" s="9"/>
      <c r="P628" s="9"/>
      <c r="Q628" s="9">
        <v>264</v>
      </c>
      <c r="R628" s="9">
        <v>76</v>
      </c>
      <c r="S628" s="9">
        <v>340</v>
      </c>
      <c r="T628" s="9"/>
      <c r="U628" s="9"/>
      <c r="V628" s="9"/>
      <c r="W628" s="9"/>
      <c r="X628" s="9"/>
      <c r="Y628" s="9"/>
      <c r="Z628" s="9"/>
      <c r="AA628" s="9"/>
      <c r="AB628" s="9"/>
      <c r="AC628" s="9"/>
    </row>
    <row r="629" spans="1:29" ht="29">
      <c r="A629" s="3" t="s">
        <v>1109</v>
      </c>
      <c r="B629" s="3" t="s">
        <v>9513</v>
      </c>
      <c r="C629" s="3" t="s">
        <v>9514</v>
      </c>
      <c r="G629" s="9" t="s">
        <v>3889</v>
      </c>
      <c r="H629" s="9"/>
      <c r="I629" s="9">
        <v>1</v>
      </c>
      <c r="J629" s="9">
        <v>1</v>
      </c>
      <c r="K629" s="9" t="s">
        <v>8689</v>
      </c>
      <c r="L629" s="9" t="s">
        <v>8730</v>
      </c>
      <c r="M629" s="9"/>
      <c r="N629" s="10"/>
      <c r="O629" s="9" t="s">
        <v>8685</v>
      </c>
      <c r="P629" s="9">
        <v>10929</v>
      </c>
      <c r="Q629" s="9"/>
      <c r="R629" s="9" t="s">
        <v>9321</v>
      </c>
      <c r="S629" s="9" t="s">
        <v>9321</v>
      </c>
      <c r="T629" s="9"/>
      <c r="U629" s="9"/>
      <c r="V629" s="9"/>
      <c r="W629" s="9"/>
      <c r="X629" s="9"/>
      <c r="Y629" s="9"/>
      <c r="Z629" s="9"/>
      <c r="AA629" s="9"/>
      <c r="AB629" s="9"/>
      <c r="AC629" s="9"/>
    </row>
    <row r="630" spans="1:29">
      <c r="A630" s="3" t="s">
        <v>1109</v>
      </c>
      <c r="B630" s="3" t="s">
        <v>6107</v>
      </c>
      <c r="C630" s="3" t="s">
        <v>6108</v>
      </c>
      <c r="F630" t="s">
        <v>3884</v>
      </c>
      <c r="G630" s="9" t="s">
        <v>3885</v>
      </c>
      <c r="H630" s="9"/>
      <c r="I630" s="9">
        <v>1</v>
      </c>
      <c r="J630" s="9">
        <v>3</v>
      </c>
      <c r="K630" s="9" t="s">
        <v>8698</v>
      </c>
      <c r="L630" s="9" t="s">
        <v>8690</v>
      </c>
      <c r="M630" s="9"/>
      <c r="N630" s="10"/>
      <c r="O630" s="9"/>
      <c r="P630" s="9">
        <v>9418</v>
      </c>
      <c r="Q630" s="9"/>
      <c r="R630" s="9" t="s">
        <v>9321</v>
      </c>
      <c r="S630" s="9" t="s">
        <v>9321</v>
      </c>
      <c r="T630" s="9"/>
      <c r="U630" s="9"/>
      <c r="V630" s="9"/>
      <c r="W630" s="9"/>
      <c r="X630" s="9"/>
      <c r="Y630" s="9"/>
      <c r="Z630" s="9"/>
      <c r="AA630" s="9"/>
      <c r="AB630" s="9"/>
      <c r="AC630" s="9"/>
    </row>
    <row r="631" spans="1:29">
      <c r="A631" s="3" t="s">
        <v>1109</v>
      </c>
      <c r="B631" s="3" t="s">
        <v>6109</v>
      </c>
      <c r="C631" s="3" t="s">
        <v>6110</v>
      </c>
      <c r="F631" t="s">
        <v>3884</v>
      </c>
      <c r="G631" s="9" t="s">
        <v>8729</v>
      </c>
      <c r="H631" s="9"/>
      <c r="I631" s="9"/>
      <c r="J631" s="9"/>
      <c r="K631" s="9"/>
      <c r="L631" s="9"/>
      <c r="M631" s="9"/>
      <c r="N631" s="10"/>
      <c r="O631" s="9"/>
      <c r="P631" s="9"/>
      <c r="Q631" s="9">
        <v>-575</v>
      </c>
      <c r="R631" s="9">
        <v>653</v>
      </c>
      <c r="S631" s="9">
        <v>78</v>
      </c>
      <c r="T631" s="9"/>
      <c r="U631" s="9"/>
      <c r="V631" s="9"/>
      <c r="W631" s="9"/>
      <c r="X631" s="9"/>
      <c r="Y631" s="9"/>
      <c r="Z631" s="9"/>
      <c r="AA631" s="9"/>
      <c r="AB631" s="9"/>
      <c r="AC631" s="9"/>
    </row>
    <row r="632" spans="1:29">
      <c r="A632" s="3" t="s">
        <v>1114</v>
      </c>
      <c r="B632" s="3" t="s">
        <v>6118</v>
      </c>
      <c r="C632" s="3" t="s">
        <v>6119</v>
      </c>
      <c r="F632" t="s">
        <v>3884</v>
      </c>
      <c r="G632" s="9" t="s">
        <v>3889</v>
      </c>
      <c r="H632" s="9"/>
      <c r="I632" s="9">
        <v>1</v>
      </c>
      <c r="J632" s="9">
        <v>4</v>
      </c>
      <c r="K632" s="9" t="s">
        <v>8703</v>
      </c>
      <c r="L632" s="9" t="s">
        <v>8690</v>
      </c>
      <c r="M632" s="9"/>
      <c r="N632" s="10"/>
      <c r="O632" s="9"/>
      <c r="P632" s="9">
        <v>55</v>
      </c>
      <c r="Q632" s="9"/>
      <c r="R632" s="9" t="s">
        <v>9321</v>
      </c>
      <c r="S632" s="9" t="s">
        <v>9321</v>
      </c>
      <c r="T632" s="9"/>
      <c r="U632" s="9"/>
      <c r="V632" s="9"/>
      <c r="W632" s="9"/>
      <c r="X632" s="9"/>
      <c r="Y632" s="9"/>
      <c r="Z632" s="9"/>
      <c r="AA632" s="9"/>
      <c r="AB632" s="9"/>
      <c r="AC632" s="9"/>
    </row>
    <row r="633" spans="1:29" ht="29">
      <c r="A633" s="3" t="s">
        <v>1122</v>
      </c>
      <c r="B633" s="3" t="s">
        <v>6135</v>
      </c>
      <c r="C633" s="3" t="s">
        <v>6136</v>
      </c>
      <c r="G633" s="9" t="s">
        <v>3889</v>
      </c>
      <c r="H633" s="9"/>
      <c r="I633" s="9">
        <v>2</v>
      </c>
      <c r="J633" s="9">
        <v>4</v>
      </c>
      <c r="K633" s="9"/>
      <c r="L633" s="9" t="s">
        <v>8690</v>
      </c>
      <c r="M633" s="9"/>
      <c r="N633" s="10"/>
      <c r="O633" s="9"/>
      <c r="P633" s="9">
        <v>872</v>
      </c>
      <c r="Q633" s="9"/>
      <c r="R633" s="9" t="s">
        <v>9321</v>
      </c>
      <c r="S633" s="9" t="s">
        <v>9321</v>
      </c>
      <c r="T633" s="9"/>
      <c r="U633" s="9"/>
      <c r="V633" s="9"/>
      <c r="W633" s="9"/>
      <c r="X633" s="9"/>
      <c r="Y633" s="9"/>
      <c r="Z633" s="9"/>
      <c r="AA633" s="9"/>
      <c r="AB633" s="9"/>
      <c r="AC633" s="9"/>
    </row>
    <row r="634" spans="1:29" ht="29">
      <c r="A634" s="3" t="s">
        <v>1126</v>
      </c>
      <c r="B634" s="3" t="s">
        <v>6139</v>
      </c>
      <c r="C634" s="3" t="s">
        <v>6140</v>
      </c>
      <c r="F634" t="s">
        <v>3884</v>
      </c>
      <c r="G634" s="9" t="s">
        <v>3885</v>
      </c>
      <c r="H634" s="9"/>
      <c r="I634" s="9">
        <v>1</v>
      </c>
      <c r="J634" s="9">
        <v>2</v>
      </c>
      <c r="K634" s="9" t="s">
        <v>8734</v>
      </c>
      <c r="L634" s="9" t="s">
        <v>8730</v>
      </c>
      <c r="M634" s="9"/>
      <c r="N634" s="10"/>
      <c r="O634" s="9"/>
      <c r="P634" s="9">
        <v>698</v>
      </c>
      <c r="Q634" s="9"/>
      <c r="R634" s="9" t="s">
        <v>9321</v>
      </c>
      <c r="S634" s="9" t="s">
        <v>9321</v>
      </c>
      <c r="T634" s="9"/>
      <c r="U634" s="9"/>
      <c r="V634" s="9"/>
      <c r="W634" s="9"/>
      <c r="X634" s="9"/>
      <c r="Y634" s="9"/>
      <c r="Z634" s="9"/>
      <c r="AA634" s="9"/>
      <c r="AB634" s="9"/>
      <c r="AC634" s="9"/>
    </row>
    <row r="635" spans="1:29">
      <c r="A635" s="3" t="s">
        <v>1129</v>
      </c>
      <c r="B635" s="3" t="s">
        <v>6148</v>
      </c>
      <c r="C635" s="3" t="s">
        <v>6149</v>
      </c>
      <c r="G635" s="9" t="s">
        <v>8731</v>
      </c>
      <c r="H635" s="9"/>
      <c r="I635" s="9"/>
      <c r="J635" s="9"/>
      <c r="K635" s="9"/>
      <c r="L635" s="9"/>
      <c r="M635" s="9"/>
      <c r="N635" s="10"/>
      <c r="O635" s="9"/>
      <c r="P635" s="9"/>
      <c r="Q635" s="9"/>
      <c r="R635" s="9" t="s">
        <v>9321</v>
      </c>
      <c r="S635" s="9" t="s">
        <v>9321</v>
      </c>
      <c r="T635" s="9"/>
      <c r="U635" s="9"/>
      <c r="V635" s="9"/>
      <c r="W635" s="9"/>
      <c r="X635" s="9"/>
      <c r="Y635" s="9"/>
      <c r="Z635" s="9"/>
      <c r="AA635" s="9"/>
      <c r="AB635" s="9"/>
      <c r="AC635" s="9"/>
    </row>
    <row r="636" spans="1:29">
      <c r="A636" s="3" t="s">
        <v>1132</v>
      </c>
      <c r="B636" s="3" t="s">
        <v>6153</v>
      </c>
      <c r="C636" s="3" t="s">
        <v>6156</v>
      </c>
      <c r="F636" t="s">
        <v>3884</v>
      </c>
      <c r="G636" s="9" t="s">
        <v>3885</v>
      </c>
      <c r="H636" s="9"/>
      <c r="I636" s="9">
        <v>1</v>
      </c>
      <c r="J636" s="9">
        <v>1</v>
      </c>
      <c r="K636" s="9" t="s">
        <v>8689</v>
      </c>
      <c r="L636" s="9" t="s">
        <v>8730</v>
      </c>
      <c r="M636" s="9"/>
      <c r="N636" s="10"/>
      <c r="O636" s="9"/>
      <c r="P636" s="9">
        <v>10929</v>
      </c>
      <c r="Q636" s="9"/>
      <c r="R636" s="9" t="s">
        <v>9321</v>
      </c>
      <c r="S636" s="9" t="s">
        <v>9321</v>
      </c>
      <c r="T636" s="9"/>
      <c r="U636" s="9"/>
      <c r="V636" s="9"/>
      <c r="W636" s="9"/>
      <c r="X636" s="9"/>
      <c r="Y636" s="9"/>
      <c r="Z636" s="9"/>
      <c r="AA636" s="9"/>
      <c r="AB636" s="9"/>
      <c r="AC636" s="9"/>
    </row>
    <row r="637" spans="1:29">
      <c r="A637" s="3" t="s">
        <v>1133</v>
      </c>
      <c r="B637" s="3" t="s">
        <v>6158</v>
      </c>
      <c r="C637" s="3" t="s">
        <v>6159</v>
      </c>
      <c r="G637" s="9" t="s">
        <v>8731</v>
      </c>
      <c r="H637" s="9"/>
      <c r="I637" s="9"/>
      <c r="J637" s="9"/>
      <c r="K637" s="9"/>
      <c r="L637" s="9"/>
      <c r="M637" s="9"/>
      <c r="N637" s="10"/>
      <c r="O637" s="9"/>
      <c r="P637" s="9"/>
      <c r="Q637" s="9"/>
      <c r="R637" s="9" t="s">
        <v>9321</v>
      </c>
      <c r="S637" s="9" t="s">
        <v>9321</v>
      </c>
      <c r="T637" s="9"/>
      <c r="U637" s="9"/>
      <c r="V637" s="9"/>
      <c r="W637" s="9"/>
      <c r="X637" s="9"/>
      <c r="Y637" s="9"/>
      <c r="Z637" s="9"/>
      <c r="AA637" s="9"/>
      <c r="AB637" s="9"/>
      <c r="AC637" s="9"/>
    </row>
    <row r="638" spans="1:29">
      <c r="A638" s="3" t="s">
        <v>1133</v>
      </c>
      <c r="B638" s="3" t="s">
        <v>6160</v>
      </c>
      <c r="C638" s="3" t="s">
        <v>6161</v>
      </c>
      <c r="F638" t="s">
        <v>3884</v>
      </c>
      <c r="G638" s="9" t="s">
        <v>3889</v>
      </c>
      <c r="H638" s="9"/>
      <c r="I638" s="9">
        <v>1</v>
      </c>
      <c r="J638" s="9">
        <v>3</v>
      </c>
      <c r="K638" s="9" t="s">
        <v>8689</v>
      </c>
      <c r="L638" s="9" t="s">
        <v>8690</v>
      </c>
      <c r="M638" s="9"/>
      <c r="N638" s="10"/>
      <c r="O638" s="9"/>
      <c r="P638" s="9">
        <v>10929</v>
      </c>
      <c r="Q638" s="9"/>
      <c r="R638" s="9" t="s">
        <v>9321</v>
      </c>
      <c r="S638" s="9" t="s">
        <v>9321</v>
      </c>
      <c r="T638" s="9"/>
      <c r="U638" s="9"/>
      <c r="V638" s="9"/>
      <c r="W638" s="9"/>
      <c r="X638" s="9"/>
      <c r="Y638" s="9"/>
      <c r="Z638" s="9"/>
      <c r="AA638" s="9"/>
      <c r="AB638" s="9"/>
      <c r="AC638" s="9"/>
    </row>
    <row r="639" spans="1:29">
      <c r="A639" s="3" t="s">
        <v>1137</v>
      </c>
      <c r="B639" s="3" t="s">
        <v>6163</v>
      </c>
      <c r="C639" s="3" t="s">
        <v>6164</v>
      </c>
      <c r="G639" s="9" t="s">
        <v>3889</v>
      </c>
      <c r="H639" s="9"/>
      <c r="I639" s="9">
        <v>1</v>
      </c>
      <c r="J639" s="9">
        <v>2</v>
      </c>
      <c r="K639" s="9" t="s">
        <v>8689</v>
      </c>
      <c r="L639" s="9" t="s">
        <v>8730</v>
      </c>
      <c r="M639" s="9"/>
      <c r="N639" s="10"/>
      <c r="O639" s="9"/>
      <c r="P639" s="9">
        <v>10929</v>
      </c>
      <c r="Q639" s="9"/>
      <c r="R639" s="9" t="s">
        <v>9321</v>
      </c>
      <c r="S639" s="9" t="s">
        <v>9321</v>
      </c>
      <c r="T639" s="9" t="s">
        <v>8728</v>
      </c>
      <c r="U639" s="9"/>
      <c r="V639" s="9"/>
      <c r="W639" s="9"/>
      <c r="X639" s="9"/>
      <c r="Y639" s="9"/>
      <c r="Z639" s="9"/>
      <c r="AA639" s="9"/>
      <c r="AB639" s="9"/>
      <c r="AC639" s="9"/>
    </row>
    <row r="640" spans="1:29" ht="29">
      <c r="A640" s="3" t="s">
        <v>1140</v>
      </c>
      <c r="B640" s="3" t="s">
        <v>6167</v>
      </c>
      <c r="C640" s="3" t="s">
        <v>6168</v>
      </c>
      <c r="G640" s="9" t="s">
        <v>3885</v>
      </c>
      <c r="H640" s="9"/>
      <c r="I640" s="9">
        <v>1</v>
      </c>
      <c r="J640" s="9">
        <v>3</v>
      </c>
      <c r="K640" s="9" t="s">
        <v>8689</v>
      </c>
      <c r="L640" s="9" t="s">
        <v>8684</v>
      </c>
      <c r="M640" s="9" t="s">
        <v>9080</v>
      </c>
      <c r="N640" s="10" t="s">
        <v>9081</v>
      </c>
      <c r="O640" s="9"/>
      <c r="P640" s="9">
        <v>10929</v>
      </c>
      <c r="Q640" s="9"/>
      <c r="R640" s="9" t="s">
        <v>9321</v>
      </c>
      <c r="S640" s="9" t="s">
        <v>9321</v>
      </c>
      <c r="T640" s="9"/>
      <c r="U640" s="9"/>
      <c r="V640" s="9"/>
      <c r="W640" s="9"/>
      <c r="X640" s="9"/>
      <c r="Y640" s="9"/>
      <c r="Z640" s="9"/>
      <c r="AA640" s="9"/>
      <c r="AB640" s="9"/>
      <c r="AC640" s="9"/>
    </row>
    <row r="641" spans="1:29" ht="29">
      <c r="A641" s="3" t="s">
        <v>1143</v>
      </c>
      <c r="B641" s="3" t="s">
        <v>6170</v>
      </c>
      <c r="C641" s="3" t="s">
        <v>6171</v>
      </c>
      <c r="F641" t="s">
        <v>3884</v>
      </c>
      <c r="G641" s="9" t="s">
        <v>3889</v>
      </c>
      <c r="H641" s="9"/>
      <c r="I641" s="9">
        <v>1</v>
      </c>
      <c r="J641" s="9">
        <v>7</v>
      </c>
      <c r="K641" s="9" t="s">
        <v>8703</v>
      </c>
      <c r="L641" s="9" t="s">
        <v>8690</v>
      </c>
      <c r="M641" s="9"/>
      <c r="N641" s="10"/>
      <c r="O641" s="9"/>
      <c r="P641" s="9">
        <v>186</v>
      </c>
      <c r="Q641" s="9"/>
      <c r="R641" s="9" t="s">
        <v>9321</v>
      </c>
      <c r="S641" s="9" t="s">
        <v>9321</v>
      </c>
      <c r="T641" s="9"/>
      <c r="U641" s="9"/>
      <c r="V641" s="9"/>
      <c r="W641" s="9"/>
      <c r="X641" s="9"/>
      <c r="Y641" s="9"/>
      <c r="Z641" s="9"/>
      <c r="AA641" s="9"/>
      <c r="AB641" s="9"/>
      <c r="AC641" s="9"/>
    </row>
    <row r="642" spans="1:29">
      <c r="A642" s="3" t="s">
        <v>1145</v>
      </c>
      <c r="B642" s="3" t="s">
        <v>6174</v>
      </c>
      <c r="C642" s="3" t="s">
        <v>6175</v>
      </c>
      <c r="G642" s="9" t="s">
        <v>8729</v>
      </c>
      <c r="H642" s="9"/>
      <c r="I642" s="9"/>
      <c r="J642" s="9"/>
      <c r="K642" s="9"/>
      <c r="L642" s="9"/>
      <c r="M642" s="9"/>
      <c r="N642" s="10"/>
      <c r="O642" s="9"/>
      <c r="P642" s="9"/>
      <c r="Q642" s="9">
        <v>18</v>
      </c>
      <c r="R642" s="9">
        <v>0</v>
      </c>
      <c r="S642" s="9">
        <v>18</v>
      </c>
      <c r="T642" s="9"/>
      <c r="U642" s="9"/>
      <c r="V642" s="9"/>
      <c r="W642" s="9"/>
      <c r="X642" s="9"/>
      <c r="Y642" s="9"/>
      <c r="Z642" s="9"/>
      <c r="AA642" s="9"/>
      <c r="AB642" s="9"/>
      <c r="AC642" s="9"/>
    </row>
    <row r="643" spans="1:29">
      <c r="A643" s="3" t="s">
        <v>1146</v>
      </c>
      <c r="B643" s="3" t="s">
        <v>6176</v>
      </c>
      <c r="C643" s="3" t="s">
        <v>6177</v>
      </c>
      <c r="F643" t="s">
        <v>3884</v>
      </c>
      <c r="G643" s="9" t="s">
        <v>8729</v>
      </c>
      <c r="H643" s="9"/>
      <c r="I643" s="9"/>
      <c r="J643" s="9"/>
      <c r="K643" s="9"/>
      <c r="L643" s="9"/>
      <c r="M643" s="9"/>
      <c r="N643" s="10"/>
      <c r="O643" s="9"/>
      <c r="P643" s="9"/>
      <c r="Q643" s="9">
        <v>-3599</v>
      </c>
      <c r="R643" s="9">
        <v>3678</v>
      </c>
      <c r="S643" s="9">
        <v>79</v>
      </c>
      <c r="T643" s="9"/>
      <c r="U643" s="9"/>
      <c r="V643" s="9"/>
      <c r="W643" s="9"/>
      <c r="X643" s="9"/>
      <c r="Y643" s="9"/>
      <c r="Z643" s="9"/>
      <c r="AA643" s="9"/>
      <c r="AB643" s="9"/>
      <c r="AC643" s="9"/>
    </row>
    <row r="644" spans="1:29">
      <c r="A644" s="3" t="s">
        <v>1151</v>
      </c>
      <c r="B644" s="3" t="s">
        <v>6183</v>
      </c>
      <c r="C644" s="3" t="s">
        <v>6184</v>
      </c>
      <c r="F644" t="s">
        <v>3884</v>
      </c>
      <c r="G644" s="9" t="s">
        <v>3889</v>
      </c>
      <c r="H644" s="9"/>
      <c r="I644" s="9">
        <v>1</v>
      </c>
      <c r="J644" s="9">
        <v>2</v>
      </c>
      <c r="K644" s="9" t="s">
        <v>8707</v>
      </c>
      <c r="L644" s="9" t="s">
        <v>8730</v>
      </c>
      <c r="M644" s="9"/>
      <c r="N644" s="10"/>
      <c r="O644" s="9"/>
      <c r="P644" s="9">
        <v>1942</v>
      </c>
      <c r="Q644" s="9"/>
      <c r="R644" s="9" t="s">
        <v>9321</v>
      </c>
      <c r="S644" s="9" t="s">
        <v>9321</v>
      </c>
      <c r="T644" s="9"/>
      <c r="U644" s="9"/>
      <c r="V644" s="9"/>
      <c r="W644" s="9"/>
      <c r="X644" s="9"/>
      <c r="Y644" s="9"/>
      <c r="Z644" s="9"/>
      <c r="AA644" s="9"/>
      <c r="AB644" s="9"/>
      <c r="AC644" s="9"/>
    </row>
    <row r="645" spans="1:29">
      <c r="A645" s="3" t="s">
        <v>1157</v>
      </c>
      <c r="B645" s="3" t="s">
        <v>6191</v>
      </c>
      <c r="C645" s="3" t="s">
        <v>6192</v>
      </c>
      <c r="G645" s="9" t="s">
        <v>8729</v>
      </c>
      <c r="H645" s="9"/>
      <c r="I645" s="9"/>
      <c r="J645" s="9"/>
      <c r="K645" s="9"/>
      <c r="L645" s="9"/>
      <c r="M645" s="9"/>
      <c r="N645" s="10"/>
      <c r="O645" s="9"/>
      <c r="P645" s="9"/>
      <c r="Q645" s="9">
        <v>-20</v>
      </c>
      <c r="R645" s="9">
        <v>36</v>
      </c>
      <c r="S645" s="9">
        <v>16</v>
      </c>
      <c r="T645" s="9"/>
      <c r="U645" s="9"/>
      <c r="V645" s="9"/>
      <c r="W645" s="9"/>
      <c r="X645" s="9"/>
      <c r="Y645" s="9"/>
      <c r="Z645" s="9"/>
      <c r="AA645" s="9"/>
      <c r="AB645" s="9"/>
      <c r="AC645" s="9"/>
    </row>
    <row r="646" spans="1:29" ht="29">
      <c r="A646" s="3" t="s">
        <v>1164</v>
      </c>
      <c r="B646" s="3" t="s">
        <v>6203</v>
      </c>
      <c r="C646" s="3" t="s">
        <v>6204</v>
      </c>
      <c r="F646" t="s">
        <v>3884</v>
      </c>
      <c r="G646" s="9" t="s">
        <v>3885</v>
      </c>
      <c r="H646" s="9"/>
      <c r="I646" s="9">
        <v>1</v>
      </c>
      <c r="J646" s="9">
        <v>4</v>
      </c>
      <c r="K646" s="9" t="s">
        <v>8703</v>
      </c>
      <c r="L646" s="9" t="s">
        <v>8684</v>
      </c>
      <c r="M646" s="9" t="s">
        <v>8777</v>
      </c>
      <c r="N646" s="10" t="s">
        <v>8772</v>
      </c>
      <c r="O646" s="9" t="s">
        <v>8685</v>
      </c>
      <c r="P646" s="9">
        <v>0</v>
      </c>
      <c r="Q646" s="9"/>
      <c r="R646" s="9" t="s">
        <v>9321</v>
      </c>
      <c r="S646" s="9" t="s">
        <v>9321</v>
      </c>
      <c r="T646" s="9"/>
      <c r="U646" s="9"/>
      <c r="V646" s="9"/>
      <c r="W646" s="9"/>
      <c r="X646" s="9"/>
      <c r="Y646" s="9"/>
      <c r="Z646" s="9"/>
      <c r="AA646" s="9"/>
      <c r="AB646" s="9"/>
      <c r="AC646" s="9"/>
    </row>
    <row r="647" spans="1:29">
      <c r="A647" s="3" t="s">
        <v>1165</v>
      </c>
      <c r="B647" s="3" t="s">
        <v>6207</v>
      </c>
      <c r="C647" s="3" t="s">
        <v>6210</v>
      </c>
      <c r="F647" t="s">
        <v>3884</v>
      </c>
      <c r="G647" s="9" t="s">
        <v>3885</v>
      </c>
      <c r="H647" s="9"/>
      <c r="I647" s="9">
        <v>1</v>
      </c>
      <c r="J647" s="9">
        <v>3</v>
      </c>
      <c r="K647" s="9" t="s">
        <v>8698</v>
      </c>
      <c r="L647" s="9" t="s">
        <v>8690</v>
      </c>
      <c r="M647" s="9"/>
      <c r="N647" s="10"/>
      <c r="O647" s="9"/>
      <c r="P647" s="9">
        <v>9418</v>
      </c>
      <c r="Q647" s="9"/>
      <c r="R647" s="9" t="s">
        <v>9321</v>
      </c>
      <c r="S647" s="9" t="s">
        <v>9321</v>
      </c>
      <c r="T647" s="9"/>
      <c r="U647" s="9"/>
      <c r="V647" s="9"/>
      <c r="W647" s="9"/>
      <c r="X647" s="9"/>
      <c r="Y647" s="9"/>
      <c r="Z647" s="9"/>
      <c r="AA647" s="9"/>
      <c r="AB647" s="9"/>
      <c r="AC647" s="9"/>
    </row>
    <row r="648" spans="1:29" ht="29">
      <c r="A648" s="3" t="s">
        <v>1171</v>
      </c>
      <c r="B648" s="3" t="s">
        <v>6221</v>
      </c>
      <c r="C648" s="3" t="s">
        <v>6222</v>
      </c>
      <c r="F648" t="s">
        <v>3884</v>
      </c>
      <c r="G648" s="9" t="s">
        <v>3885</v>
      </c>
      <c r="H648" s="9"/>
      <c r="I648" s="9">
        <v>1</v>
      </c>
      <c r="J648" s="9">
        <v>5</v>
      </c>
      <c r="K648" s="9" t="s">
        <v>8705</v>
      </c>
      <c r="L648" s="9" t="s">
        <v>8690</v>
      </c>
      <c r="M648" s="9"/>
      <c r="N648" s="10"/>
      <c r="O648" s="9"/>
      <c r="P648" s="9">
        <v>3678</v>
      </c>
      <c r="Q648" s="9"/>
      <c r="R648" s="9" t="s">
        <v>9321</v>
      </c>
      <c r="S648" s="9" t="s">
        <v>9321</v>
      </c>
      <c r="T648" s="9"/>
      <c r="U648" s="9"/>
      <c r="V648" s="9"/>
      <c r="W648" s="9"/>
      <c r="X648" s="9"/>
      <c r="Y648" s="9"/>
      <c r="Z648" s="9"/>
      <c r="AA648" s="9"/>
      <c r="AB648" s="9"/>
      <c r="AC648" s="9"/>
    </row>
    <row r="649" spans="1:29" ht="43.5">
      <c r="A649" s="3" t="s">
        <v>1172</v>
      </c>
      <c r="B649" s="3" t="s">
        <v>6223</v>
      </c>
      <c r="C649" s="3" t="s">
        <v>6224</v>
      </c>
      <c r="F649" t="s">
        <v>3884</v>
      </c>
      <c r="G649" s="9" t="s">
        <v>8729</v>
      </c>
      <c r="H649" s="9"/>
      <c r="I649" s="9"/>
      <c r="J649" s="9"/>
      <c r="K649" s="9"/>
      <c r="L649" s="9"/>
      <c r="M649" s="9"/>
      <c r="N649" s="10"/>
      <c r="O649" s="9" t="s">
        <v>8691</v>
      </c>
      <c r="P649" s="9"/>
      <c r="Q649" s="9">
        <v>15</v>
      </c>
      <c r="R649" s="9">
        <v>12</v>
      </c>
      <c r="S649" s="9">
        <v>27</v>
      </c>
      <c r="T649" s="9"/>
      <c r="U649" s="9"/>
      <c r="V649" s="9"/>
      <c r="W649" s="9"/>
      <c r="X649" s="9"/>
      <c r="Y649" s="9"/>
      <c r="Z649" s="9"/>
      <c r="AA649" s="9"/>
      <c r="AB649" s="9"/>
      <c r="AC649" s="9"/>
    </row>
    <row r="650" spans="1:29">
      <c r="A650" s="3" t="s">
        <v>1183</v>
      </c>
      <c r="B650" s="3" t="s">
        <v>6240</v>
      </c>
      <c r="C650" s="3" t="s">
        <v>6241</v>
      </c>
      <c r="F650" t="s">
        <v>3884</v>
      </c>
      <c r="G650" s="9" t="s">
        <v>3885</v>
      </c>
      <c r="H650" s="9"/>
      <c r="I650" s="9">
        <v>1</v>
      </c>
      <c r="J650" s="9">
        <v>2</v>
      </c>
      <c r="K650" s="9" t="s">
        <v>8698</v>
      </c>
      <c r="L650" s="9" t="s">
        <v>8730</v>
      </c>
      <c r="M650" s="9"/>
      <c r="N650" s="10"/>
      <c r="O650" s="9" t="s">
        <v>8685</v>
      </c>
      <c r="P650" s="9">
        <v>1</v>
      </c>
      <c r="Q650" s="9"/>
      <c r="R650" s="9" t="s">
        <v>9321</v>
      </c>
      <c r="S650" s="9" t="s">
        <v>9321</v>
      </c>
      <c r="T650" s="9"/>
      <c r="U650" s="9"/>
      <c r="V650" s="9"/>
      <c r="W650" s="9"/>
      <c r="X650" s="9"/>
      <c r="Y650" s="9"/>
      <c r="Z650" s="9"/>
      <c r="AA650" s="9"/>
      <c r="AB650" s="9"/>
      <c r="AC650" s="9"/>
    </row>
    <row r="651" spans="1:29" ht="29">
      <c r="A651" s="3" t="s">
        <v>1185</v>
      </c>
      <c r="B651" s="3" t="s">
        <v>6247</v>
      </c>
      <c r="C651" s="3" t="s">
        <v>6248</v>
      </c>
      <c r="G651" s="9" t="s">
        <v>3885</v>
      </c>
      <c r="H651" s="9"/>
      <c r="I651" s="9">
        <v>1</v>
      </c>
      <c r="J651" s="9">
        <v>2</v>
      </c>
      <c r="K651" s="9" t="s">
        <v>8689</v>
      </c>
      <c r="L651" s="9" t="s">
        <v>8730</v>
      </c>
      <c r="M651" s="9"/>
      <c r="N651" s="10"/>
      <c r="O651" s="9"/>
      <c r="P651" s="9">
        <v>10929</v>
      </c>
      <c r="Q651" s="9"/>
      <c r="R651" s="9" t="s">
        <v>9321</v>
      </c>
      <c r="S651" s="9" t="s">
        <v>9321</v>
      </c>
      <c r="T651" s="9"/>
      <c r="U651" s="9"/>
      <c r="V651" s="9"/>
      <c r="W651" s="9"/>
      <c r="X651" s="9"/>
      <c r="Y651" s="9"/>
      <c r="Z651" s="9"/>
      <c r="AA651" s="9"/>
      <c r="AB651" s="9"/>
      <c r="AC651" s="9"/>
    </row>
    <row r="652" spans="1:29">
      <c r="A652" s="3" t="s">
        <v>1187</v>
      </c>
      <c r="B652" s="3" t="s">
        <v>6251</v>
      </c>
      <c r="C652" s="3" t="s">
        <v>6252</v>
      </c>
      <c r="F652" t="s">
        <v>3884</v>
      </c>
      <c r="G652" s="9" t="s">
        <v>3889</v>
      </c>
      <c r="H652" s="9"/>
      <c r="I652" s="9">
        <v>1</v>
      </c>
      <c r="J652" s="9">
        <v>2</v>
      </c>
      <c r="K652" s="9" t="s">
        <v>8689</v>
      </c>
      <c r="L652" s="9" t="s">
        <v>8730</v>
      </c>
      <c r="M652" s="9"/>
      <c r="N652" s="10"/>
      <c r="O652" s="9"/>
      <c r="P652" s="9">
        <v>10929</v>
      </c>
      <c r="Q652" s="9"/>
      <c r="R652" s="9" t="s">
        <v>9321</v>
      </c>
      <c r="S652" s="9" t="s">
        <v>9321</v>
      </c>
      <c r="T652" s="9"/>
      <c r="U652" s="9"/>
      <c r="V652" s="9"/>
      <c r="W652" s="9"/>
      <c r="X652" s="9"/>
      <c r="Y652" s="9"/>
      <c r="Z652" s="9"/>
      <c r="AA652" s="9"/>
      <c r="AB652" s="9"/>
      <c r="AC652" s="9"/>
    </row>
    <row r="653" spans="1:29">
      <c r="A653" s="3" t="s">
        <v>1193</v>
      </c>
      <c r="B653" s="3" t="s">
        <v>6263</v>
      </c>
      <c r="C653" s="3" t="s">
        <v>6264</v>
      </c>
      <c r="G653" s="9" t="s">
        <v>8729</v>
      </c>
      <c r="H653" s="9"/>
      <c r="I653" s="9"/>
      <c r="J653" s="9"/>
      <c r="K653" s="9"/>
      <c r="L653" s="9"/>
      <c r="M653" s="9"/>
      <c r="N653" s="10"/>
      <c r="O653" s="9"/>
      <c r="P653" s="9"/>
      <c r="Q653" s="9">
        <v>32</v>
      </c>
      <c r="R653" s="9">
        <v>0</v>
      </c>
      <c r="S653" s="9">
        <v>32</v>
      </c>
      <c r="T653" s="9"/>
      <c r="U653" s="9"/>
      <c r="V653" s="9"/>
      <c r="W653" s="9"/>
      <c r="X653" s="9"/>
      <c r="Y653" s="9"/>
      <c r="Z653" s="9"/>
      <c r="AA653" s="9"/>
      <c r="AB653" s="9"/>
      <c r="AC653" s="9"/>
    </row>
    <row r="654" spans="1:29">
      <c r="A654" s="3" t="s">
        <v>1194</v>
      </c>
      <c r="B654" s="3" t="s">
        <v>6265</v>
      </c>
      <c r="C654" s="3" t="s">
        <v>6266</v>
      </c>
      <c r="G654" s="9" t="s">
        <v>8729</v>
      </c>
      <c r="H654" s="9"/>
      <c r="I654" s="9"/>
      <c r="J654" s="9"/>
      <c r="K654" s="9"/>
      <c r="L654" s="9"/>
      <c r="M654" s="9"/>
      <c r="N654" s="10"/>
      <c r="O654" s="9"/>
      <c r="P654" s="9"/>
      <c r="Q654" s="9">
        <v>26</v>
      </c>
      <c r="R654" s="9">
        <v>11</v>
      </c>
      <c r="S654" s="9">
        <v>37</v>
      </c>
      <c r="T654" s="9"/>
      <c r="U654" s="9"/>
      <c r="V654" s="9"/>
      <c r="W654" s="9"/>
      <c r="X654" s="9"/>
      <c r="Y654" s="9"/>
      <c r="Z654" s="9"/>
      <c r="AA654" s="9"/>
      <c r="AB654" s="9"/>
      <c r="AC654" s="9"/>
    </row>
    <row r="655" spans="1:29" ht="29">
      <c r="A655" s="3" t="s">
        <v>1195</v>
      </c>
      <c r="B655" s="3" t="s">
        <v>6267</v>
      </c>
      <c r="C655" s="3" t="s">
        <v>6268</v>
      </c>
      <c r="G655" s="9" t="s">
        <v>3885</v>
      </c>
      <c r="H655" s="9"/>
      <c r="I655" s="9">
        <v>1</v>
      </c>
      <c r="J655" s="9">
        <v>1</v>
      </c>
      <c r="K655" s="9" t="s">
        <v>8698</v>
      </c>
      <c r="L655" s="9" t="s">
        <v>8730</v>
      </c>
      <c r="M655" s="9"/>
      <c r="N655" s="10"/>
      <c r="O655" s="9" t="s">
        <v>8685</v>
      </c>
      <c r="P655" s="9">
        <v>1</v>
      </c>
      <c r="Q655" s="9"/>
      <c r="R655" s="9" t="s">
        <v>9321</v>
      </c>
      <c r="S655" s="9" t="s">
        <v>9321</v>
      </c>
      <c r="T655" s="9"/>
      <c r="U655" s="9"/>
      <c r="V655" s="9"/>
      <c r="W655" s="9"/>
      <c r="X655" s="9"/>
      <c r="Y655" s="9"/>
      <c r="Z655" s="9"/>
      <c r="AA655" s="9"/>
      <c r="AB655" s="9"/>
      <c r="AC655" s="9"/>
    </row>
    <row r="656" spans="1:29" ht="43.5">
      <c r="A656" s="3" t="s">
        <v>1195</v>
      </c>
      <c r="B656" s="3" t="s">
        <v>6272</v>
      </c>
      <c r="C656" s="3" t="s">
        <v>6269</v>
      </c>
      <c r="F656" t="s">
        <v>3888</v>
      </c>
      <c r="G656" s="9" t="s">
        <v>3889</v>
      </c>
      <c r="H656" s="9"/>
      <c r="I656" s="9">
        <v>3</v>
      </c>
      <c r="J656" s="9">
        <v>18</v>
      </c>
      <c r="K656" s="9"/>
      <c r="L656" s="9" t="s">
        <v>8684</v>
      </c>
      <c r="M656" s="9" t="s">
        <v>8944</v>
      </c>
      <c r="N656" s="10" t="s">
        <v>9011</v>
      </c>
      <c r="O656" s="9"/>
      <c r="P656" s="9">
        <v>1</v>
      </c>
      <c r="Q656" s="9"/>
      <c r="R656" s="9" t="s">
        <v>9321</v>
      </c>
      <c r="S656" s="9" t="s">
        <v>9321</v>
      </c>
      <c r="T656" s="9"/>
      <c r="U656" s="9"/>
      <c r="V656" s="9"/>
      <c r="W656" s="9"/>
      <c r="X656" s="9"/>
      <c r="Y656" s="9"/>
      <c r="Z656" s="9"/>
      <c r="AA656" s="9"/>
      <c r="AB656" s="9"/>
      <c r="AC656" s="9"/>
    </row>
    <row r="657" spans="1:29" ht="29">
      <c r="A657" s="3" t="s">
        <v>1197</v>
      </c>
      <c r="B657" s="3" t="s">
        <v>6283</v>
      </c>
      <c r="C657" s="3" t="s">
        <v>6284</v>
      </c>
      <c r="F657" t="s">
        <v>3884</v>
      </c>
      <c r="G657" s="9" t="s">
        <v>3885</v>
      </c>
      <c r="H657" s="9"/>
      <c r="I657" s="9">
        <v>1</v>
      </c>
      <c r="J657" s="9">
        <v>3</v>
      </c>
      <c r="K657" s="9" t="s">
        <v>8689</v>
      </c>
      <c r="L657" s="9" t="s">
        <v>8690</v>
      </c>
      <c r="M657" s="9"/>
      <c r="N657" s="10"/>
      <c r="O657" s="9"/>
      <c r="P657" s="9">
        <v>10929</v>
      </c>
      <c r="Q657" s="9"/>
      <c r="R657" s="9" t="s">
        <v>9321</v>
      </c>
      <c r="S657" s="9" t="s">
        <v>9321</v>
      </c>
      <c r="T657" s="9"/>
      <c r="U657" s="9"/>
      <c r="V657" s="9"/>
      <c r="W657" s="9"/>
      <c r="X657" s="9"/>
      <c r="Y657" s="9"/>
      <c r="Z657" s="9"/>
      <c r="AA657" s="9"/>
      <c r="AB657" s="9"/>
      <c r="AC657" s="9"/>
    </row>
    <row r="658" spans="1:29" ht="29">
      <c r="A658" s="3" t="s">
        <v>1198</v>
      </c>
      <c r="B658" s="3" t="s">
        <v>6287</v>
      </c>
      <c r="C658" s="3" t="s">
        <v>6288</v>
      </c>
      <c r="F658" t="s">
        <v>3884</v>
      </c>
      <c r="G658" s="9" t="s">
        <v>3885</v>
      </c>
      <c r="H658" s="9"/>
      <c r="I658" s="9">
        <v>1</v>
      </c>
      <c r="J658" s="9">
        <v>2</v>
      </c>
      <c r="K658" s="9" t="s">
        <v>8707</v>
      </c>
      <c r="L658" s="9" t="s">
        <v>8730</v>
      </c>
      <c r="M658" s="9"/>
      <c r="N658" s="10"/>
      <c r="O658" s="9"/>
      <c r="P658" s="9">
        <v>1942</v>
      </c>
      <c r="Q658" s="9"/>
      <c r="R658" s="9" t="s">
        <v>9321</v>
      </c>
      <c r="S658" s="9" t="s">
        <v>9321</v>
      </c>
      <c r="T658" s="9"/>
      <c r="U658" s="9"/>
      <c r="V658" s="9"/>
      <c r="W658" s="9"/>
      <c r="X658" s="9"/>
      <c r="Y658" s="9"/>
      <c r="Z658" s="9"/>
      <c r="AA658" s="9"/>
      <c r="AB658" s="9"/>
      <c r="AC658" s="9"/>
    </row>
    <row r="659" spans="1:29" ht="29">
      <c r="A659" s="3" t="s">
        <v>1198</v>
      </c>
      <c r="B659" s="3" t="s">
        <v>6291</v>
      </c>
      <c r="C659" s="3" t="s">
        <v>6292</v>
      </c>
      <c r="F659" t="s">
        <v>3892</v>
      </c>
      <c r="G659" s="9" t="s">
        <v>3885</v>
      </c>
      <c r="H659" s="9"/>
      <c r="I659" s="9">
        <v>1</v>
      </c>
      <c r="J659" s="9">
        <v>1</v>
      </c>
      <c r="K659" s="9" t="s">
        <v>8689</v>
      </c>
      <c r="L659" s="9" t="s">
        <v>8730</v>
      </c>
      <c r="M659" s="9"/>
      <c r="N659" s="10"/>
      <c r="O659" s="9"/>
      <c r="P659" s="9">
        <v>10929</v>
      </c>
      <c r="Q659" s="9"/>
      <c r="R659" s="9" t="s">
        <v>9321</v>
      </c>
      <c r="S659" s="9" t="s">
        <v>9321</v>
      </c>
      <c r="T659" s="9"/>
      <c r="U659" s="9"/>
      <c r="V659" s="9"/>
      <c r="W659" s="9"/>
      <c r="X659" s="9"/>
      <c r="Y659" s="9"/>
      <c r="Z659" s="9"/>
      <c r="AA659" s="9"/>
      <c r="AB659" s="9"/>
      <c r="AC659" s="9"/>
    </row>
    <row r="660" spans="1:29" ht="58">
      <c r="A660" s="3" t="s">
        <v>1201</v>
      </c>
      <c r="B660" s="3" t="s">
        <v>6296</v>
      </c>
      <c r="C660" s="3" t="s">
        <v>6297</v>
      </c>
      <c r="F660" t="s">
        <v>3884</v>
      </c>
      <c r="G660" s="9" t="s">
        <v>8729</v>
      </c>
      <c r="H660" s="9"/>
      <c r="I660" s="9"/>
      <c r="J660" s="9"/>
      <c r="K660" s="9"/>
      <c r="L660" s="9"/>
      <c r="M660" s="9"/>
      <c r="N660" s="10"/>
      <c r="O660" s="9"/>
      <c r="P660" s="9"/>
      <c r="Q660" s="9">
        <v>-54</v>
      </c>
      <c r="R660" s="9">
        <v>74</v>
      </c>
      <c r="S660" s="9">
        <v>20</v>
      </c>
      <c r="T660" s="9"/>
      <c r="U660" s="9"/>
      <c r="V660" s="9"/>
      <c r="W660" s="9"/>
      <c r="X660" s="9"/>
      <c r="Y660" s="9"/>
      <c r="Z660" s="9"/>
      <c r="AA660" s="9"/>
      <c r="AB660" s="9"/>
      <c r="AC660" s="9"/>
    </row>
    <row r="661" spans="1:29">
      <c r="A661" s="3" t="s">
        <v>1203</v>
      </c>
      <c r="B661" s="3" t="s">
        <v>6303</v>
      </c>
      <c r="C661" s="3" t="s">
        <v>6304</v>
      </c>
      <c r="G661" s="9" t="s">
        <v>8731</v>
      </c>
      <c r="H661" s="9"/>
      <c r="I661" s="9"/>
      <c r="J661" s="9"/>
      <c r="K661" s="9"/>
      <c r="L661" s="9"/>
      <c r="M661" s="9"/>
      <c r="N661" s="10"/>
      <c r="O661" s="9"/>
      <c r="P661" s="9"/>
      <c r="Q661" s="9"/>
      <c r="R661" s="9" t="s">
        <v>9321</v>
      </c>
      <c r="S661" s="9" t="s">
        <v>9321</v>
      </c>
      <c r="T661" s="9"/>
      <c r="U661" s="9"/>
      <c r="V661" s="9"/>
      <c r="W661" s="9"/>
      <c r="X661" s="9"/>
      <c r="Y661" s="9"/>
      <c r="Z661" s="9"/>
      <c r="AA661" s="9"/>
      <c r="AB661" s="9"/>
      <c r="AC661" s="9"/>
    </row>
    <row r="662" spans="1:29">
      <c r="A662" s="3" t="s">
        <v>1203</v>
      </c>
      <c r="B662" s="3" t="s">
        <v>6305</v>
      </c>
      <c r="C662" s="3" t="s">
        <v>6306</v>
      </c>
      <c r="G662" s="9" t="s">
        <v>3885</v>
      </c>
      <c r="H662" s="9"/>
      <c r="I662" s="9">
        <v>1</v>
      </c>
      <c r="J662" s="9">
        <v>3</v>
      </c>
      <c r="K662" s="9" t="s">
        <v>8689</v>
      </c>
      <c r="L662" s="9" t="s">
        <v>8690</v>
      </c>
      <c r="M662" s="9"/>
      <c r="N662" s="10"/>
      <c r="O662" s="9"/>
      <c r="P662" s="9">
        <v>10929</v>
      </c>
      <c r="Q662" s="9"/>
      <c r="R662" s="9" t="s">
        <v>9321</v>
      </c>
      <c r="S662" s="9" t="s">
        <v>9321</v>
      </c>
      <c r="T662" s="9"/>
      <c r="U662" s="9"/>
      <c r="V662" s="9"/>
      <c r="W662" s="9"/>
      <c r="X662" s="9"/>
      <c r="Y662" s="9"/>
      <c r="Z662" s="9"/>
      <c r="AA662" s="9"/>
      <c r="AB662" s="9"/>
      <c r="AC662" s="9"/>
    </row>
    <row r="663" spans="1:29">
      <c r="A663" s="3" t="s">
        <v>1210</v>
      </c>
      <c r="B663" s="3" t="s">
        <v>6316</v>
      </c>
      <c r="C663" s="3" t="s">
        <v>6317</v>
      </c>
      <c r="F663" t="s">
        <v>3884</v>
      </c>
      <c r="G663" s="9" t="s">
        <v>3889</v>
      </c>
      <c r="H663" s="9"/>
      <c r="I663" s="9">
        <v>1</v>
      </c>
      <c r="J663" s="9">
        <v>3</v>
      </c>
      <c r="K663" s="9" t="s">
        <v>8689</v>
      </c>
      <c r="L663" s="9" t="s">
        <v>8690</v>
      </c>
      <c r="M663" s="9"/>
      <c r="N663" s="10"/>
      <c r="O663" s="9"/>
      <c r="P663" s="9">
        <v>10929</v>
      </c>
      <c r="Q663" s="9"/>
      <c r="R663" s="9" t="s">
        <v>9321</v>
      </c>
      <c r="S663" s="9" t="s">
        <v>9321</v>
      </c>
      <c r="T663" s="9"/>
      <c r="U663" s="9"/>
      <c r="V663" s="9"/>
      <c r="W663" s="9"/>
      <c r="X663" s="9"/>
      <c r="Y663" s="9"/>
      <c r="Z663" s="9"/>
      <c r="AA663" s="9"/>
      <c r="AB663" s="9"/>
      <c r="AC663" s="9"/>
    </row>
    <row r="664" spans="1:29" ht="246.5">
      <c r="A664" s="3" t="s">
        <v>1213</v>
      </c>
      <c r="B664" s="3" t="s">
        <v>9095</v>
      </c>
      <c r="C664" s="3" t="s">
        <v>9643</v>
      </c>
      <c r="F664" t="s">
        <v>3884</v>
      </c>
      <c r="G664" s="9" t="s">
        <v>3889</v>
      </c>
      <c r="H664" s="9"/>
      <c r="I664" s="9">
        <v>46</v>
      </c>
      <c r="J664" s="9">
        <v>204</v>
      </c>
      <c r="K664" s="9"/>
      <c r="L664" s="9" t="s">
        <v>8684</v>
      </c>
      <c r="M664" s="9" t="s">
        <v>8740</v>
      </c>
      <c r="N664" s="10" t="s">
        <v>9018</v>
      </c>
      <c r="O664" s="9"/>
      <c r="P664" s="9">
        <v>23</v>
      </c>
      <c r="Q664" s="9"/>
      <c r="R664" s="9" t="s">
        <v>9321</v>
      </c>
      <c r="S664" s="9" t="s">
        <v>9321</v>
      </c>
      <c r="T664" s="9"/>
      <c r="U664" s="9"/>
      <c r="V664" s="9"/>
      <c r="W664" s="9"/>
      <c r="X664" s="9"/>
      <c r="Y664" s="9"/>
      <c r="Z664" s="9"/>
      <c r="AA664" s="9"/>
      <c r="AB664" s="9"/>
      <c r="AC664" s="9"/>
    </row>
    <row r="665" spans="1:29" ht="29">
      <c r="A665" s="3" t="s">
        <v>1215</v>
      </c>
      <c r="B665" s="3" t="s">
        <v>6329</v>
      </c>
      <c r="C665" s="3" t="s">
        <v>6330</v>
      </c>
      <c r="G665" s="9" t="s">
        <v>3885</v>
      </c>
      <c r="H665" s="9"/>
      <c r="I665" s="9">
        <v>1</v>
      </c>
      <c r="J665" s="9">
        <v>1</v>
      </c>
      <c r="K665" s="9" t="s">
        <v>8689</v>
      </c>
      <c r="L665" s="9" t="s">
        <v>8730</v>
      </c>
      <c r="M665" s="9"/>
      <c r="N665" s="10"/>
      <c r="O665" s="9" t="s">
        <v>8685</v>
      </c>
      <c r="P665" s="9">
        <v>10929</v>
      </c>
      <c r="Q665" s="9"/>
      <c r="R665" s="9" t="s">
        <v>9321</v>
      </c>
      <c r="S665" s="9" t="s">
        <v>9321</v>
      </c>
      <c r="T665" s="9"/>
      <c r="U665" s="9"/>
      <c r="V665" s="9"/>
      <c r="W665" s="9"/>
      <c r="X665" s="9"/>
      <c r="Y665" s="9"/>
      <c r="Z665" s="9"/>
      <c r="AA665" s="9"/>
      <c r="AB665" s="9"/>
      <c r="AC665" s="9"/>
    </row>
    <row r="666" spans="1:29" ht="29">
      <c r="A666" s="3" t="s">
        <v>1218</v>
      </c>
      <c r="B666" s="3" t="s">
        <v>6334</v>
      </c>
      <c r="C666" s="3" t="s">
        <v>6335</v>
      </c>
      <c r="F666" t="s">
        <v>3884</v>
      </c>
      <c r="G666" s="9" t="s">
        <v>3885</v>
      </c>
      <c r="H666" s="9"/>
      <c r="I666" s="9">
        <v>1</v>
      </c>
      <c r="J666" s="9">
        <v>1</v>
      </c>
      <c r="K666" s="9" t="s">
        <v>8698</v>
      </c>
      <c r="L666" s="9" t="s">
        <v>8730</v>
      </c>
      <c r="M666" s="9"/>
      <c r="N666" s="10"/>
      <c r="O666" s="9"/>
      <c r="P666" s="9">
        <v>55</v>
      </c>
      <c r="Q666" s="9"/>
      <c r="R666" s="9" t="s">
        <v>9321</v>
      </c>
      <c r="S666" s="9" t="s">
        <v>9321</v>
      </c>
      <c r="T666" s="9"/>
      <c r="U666" s="9"/>
      <c r="V666" s="9"/>
      <c r="W666" s="9"/>
      <c r="X666" s="9"/>
      <c r="Y666" s="9"/>
      <c r="Z666" s="9"/>
      <c r="AA666" s="9"/>
      <c r="AB666" s="9"/>
      <c r="AC666" s="9"/>
    </row>
    <row r="667" spans="1:29" ht="29">
      <c r="A667" s="3" t="s">
        <v>1221</v>
      </c>
      <c r="B667" s="3" t="s">
        <v>6345</v>
      </c>
      <c r="C667" s="3" t="s">
        <v>6344</v>
      </c>
      <c r="F667" t="s">
        <v>3884</v>
      </c>
      <c r="G667" s="9" t="s">
        <v>3889</v>
      </c>
      <c r="H667" s="9"/>
      <c r="I667" s="9">
        <v>1</v>
      </c>
      <c r="J667" s="9">
        <v>3</v>
      </c>
      <c r="K667" s="9" t="s">
        <v>8703</v>
      </c>
      <c r="L667" s="9" t="s">
        <v>8690</v>
      </c>
      <c r="M667" s="9"/>
      <c r="N667" s="10"/>
      <c r="O667" s="9"/>
      <c r="P667" s="9">
        <v>627</v>
      </c>
      <c r="Q667" s="9"/>
      <c r="R667" s="9" t="s">
        <v>9321</v>
      </c>
      <c r="S667" s="9" t="s">
        <v>9321</v>
      </c>
      <c r="T667" s="9"/>
      <c r="U667" s="9"/>
      <c r="V667" s="9"/>
      <c r="W667" s="9"/>
      <c r="X667" s="9"/>
      <c r="Y667" s="9"/>
      <c r="Z667" s="9"/>
      <c r="AA667" s="9"/>
      <c r="AB667" s="9"/>
      <c r="AC667" s="9"/>
    </row>
    <row r="668" spans="1:29" ht="29">
      <c r="A668" s="3" t="s">
        <v>1223</v>
      </c>
      <c r="B668" s="3" t="s">
        <v>6349</v>
      </c>
      <c r="C668" s="3" t="s">
        <v>6348</v>
      </c>
      <c r="G668" s="9" t="s">
        <v>3889</v>
      </c>
      <c r="H668" s="9"/>
      <c r="I668" s="9">
        <v>1</v>
      </c>
      <c r="J668" s="9">
        <v>5</v>
      </c>
      <c r="K668" s="9" t="s">
        <v>8705</v>
      </c>
      <c r="L668" s="9" t="s">
        <v>8684</v>
      </c>
      <c r="M668" s="9" t="s">
        <v>8777</v>
      </c>
      <c r="N668" s="10" t="s">
        <v>8772</v>
      </c>
      <c r="O668" s="9"/>
      <c r="P668" s="9">
        <v>3678</v>
      </c>
      <c r="Q668" s="9"/>
      <c r="R668" s="9" t="s">
        <v>9321</v>
      </c>
      <c r="S668" s="9" t="s">
        <v>9321</v>
      </c>
      <c r="T668" s="9"/>
      <c r="U668" s="9"/>
      <c r="V668" s="9"/>
      <c r="W668" s="9"/>
      <c r="X668" s="9"/>
      <c r="Y668" s="9"/>
      <c r="Z668" s="9"/>
      <c r="AA668" s="9"/>
      <c r="AB668" s="9"/>
      <c r="AC668" s="9"/>
    </row>
    <row r="669" spans="1:29" ht="29">
      <c r="A669" s="3" t="s">
        <v>1225</v>
      </c>
      <c r="B669" s="3" t="s">
        <v>9096</v>
      </c>
      <c r="C669" s="3" t="s">
        <v>9097</v>
      </c>
      <c r="F669" t="s">
        <v>3884</v>
      </c>
      <c r="G669" s="9" t="s">
        <v>8731</v>
      </c>
      <c r="H669" s="9"/>
      <c r="I669" s="9"/>
      <c r="J669" s="9"/>
      <c r="K669" s="9"/>
      <c r="L669" s="9"/>
      <c r="M669" s="9"/>
      <c r="N669" s="10"/>
      <c r="O669" s="9"/>
      <c r="P669" s="9"/>
      <c r="Q669" s="9"/>
      <c r="R669" s="9" t="s">
        <v>9321</v>
      </c>
      <c r="S669" s="9" t="s">
        <v>9321</v>
      </c>
      <c r="T669" s="9"/>
      <c r="U669" s="9"/>
      <c r="V669" s="9"/>
      <c r="W669" s="9"/>
      <c r="X669" s="9"/>
      <c r="Y669" s="9"/>
      <c r="Z669" s="9"/>
      <c r="AA669" s="9"/>
      <c r="AB669" s="9"/>
      <c r="AC669" s="9"/>
    </row>
    <row r="670" spans="1:29">
      <c r="A670" s="3" t="s">
        <v>1226</v>
      </c>
      <c r="B670" s="4" t="s">
        <v>3406</v>
      </c>
      <c r="C670" s="3" t="s">
        <v>3406</v>
      </c>
      <c r="D670" t="s">
        <v>4196</v>
      </c>
      <c r="G670" s="9" t="s">
        <v>8731</v>
      </c>
      <c r="H670" s="9"/>
      <c r="I670" s="9"/>
      <c r="J670" s="9"/>
      <c r="K670" s="9"/>
      <c r="L670" s="9"/>
      <c r="M670" s="9"/>
      <c r="N670" s="10"/>
      <c r="O670" s="9"/>
      <c r="P670" s="9"/>
      <c r="Q670" s="9"/>
      <c r="R670" s="9" t="s">
        <v>9321</v>
      </c>
      <c r="S670" s="9" t="s">
        <v>9321</v>
      </c>
      <c r="T670" s="9"/>
      <c r="U670" s="9"/>
      <c r="V670" s="9"/>
      <c r="W670" s="9"/>
      <c r="X670" s="9"/>
      <c r="Y670" s="9"/>
      <c r="Z670" s="9"/>
      <c r="AA670" s="9"/>
      <c r="AB670" s="9"/>
      <c r="AC670" s="9"/>
    </row>
    <row r="671" spans="1:29" ht="29">
      <c r="A671" s="3" t="s">
        <v>1227</v>
      </c>
      <c r="B671" s="3" t="s">
        <v>6358</v>
      </c>
      <c r="C671" s="3" t="s">
        <v>6359</v>
      </c>
      <c r="G671" s="9" t="s">
        <v>3885</v>
      </c>
      <c r="H671" s="9"/>
      <c r="I671" s="9">
        <v>1</v>
      </c>
      <c r="J671" s="9">
        <v>3</v>
      </c>
      <c r="K671" s="9" t="s">
        <v>8689</v>
      </c>
      <c r="L671" s="9" t="s">
        <v>8684</v>
      </c>
      <c r="M671" s="9" t="s">
        <v>8777</v>
      </c>
      <c r="N671" s="10" t="s">
        <v>8778</v>
      </c>
      <c r="O671" s="9" t="s">
        <v>8685</v>
      </c>
      <c r="P671" s="9">
        <v>10929</v>
      </c>
      <c r="Q671" s="9"/>
      <c r="R671" s="9" t="s">
        <v>9321</v>
      </c>
      <c r="S671" s="9" t="s">
        <v>9321</v>
      </c>
      <c r="T671" s="9"/>
      <c r="U671" s="9"/>
      <c r="V671" s="9"/>
      <c r="W671" s="9"/>
      <c r="X671" s="9"/>
      <c r="Y671" s="9"/>
      <c r="Z671" s="9"/>
      <c r="AA671" s="9"/>
      <c r="AB671" s="9"/>
      <c r="AC671" s="9"/>
    </row>
    <row r="672" spans="1:29" ht="29">
      <c r="A672" s="3" t="s">
        <v>1228</v>
      </c>
      <c r="B672" s="3" t="s">
        <v>6362</v>
      </c>
      <c r="C672" s="3" t="s">
        <v>6361</v>
      </c>
      <c r="F672" t="s">
        <v>3884</v>
      </c>
      <c r="G672" s="9" t="s">
        <v>3889</v>
      </c>
      <c r="H672" s="9"/>
      <c r="I672" s="9">
        <v>1</v>
      </c>
      <c r="J672" s="9">
        <v>3</v>
      </c>
      <c r="K672" s="9" t="s">
        <v>8689</v>
      </c>
      <c r="L672" s="9" t="s">
        <v>8690</v>
      </c>
      <c r="M672" s="9"/>
      <c r="N672" s="10"/>
      <c r="O672" s="9"/>
      <c r="P672" s="9">
        <v>10929</v>
      </c>
      <c r="Q672" s="9"/>
      <c r="R672" s="9" t="s">
        <v>9321</v>
      </c>
      <c r="S672" s="9" t="s">
        <v>9321</v>
      </c>
      <c r="T672" s="9"/>
      <c r="U672" s="9"/>
      <c r="V672" s="9"/>
      <c r="W672" s="9"/>
      <c r="X672" s="9"/>
      <c r="Y672" s="9"/>
      <c r="Z672" s="9"/>
      <c r="AA672" s="9"/>
      <c r="AB672" s="9"/>
      <c r="AC672" s="9"/>
    </row>
    <row r="673" spans="1:29" ht="29">
      <c r="A673" s="3" t="s">
        <v>1228</v>
      </c>
      <c r="B673" s="3" t="s">
        <v>6360</v>
      </c>
      <c r="C673" s="3" t="s">
        <v>6363</v>
      </c>
      <c r="G673" s="9" t="s">
        <v>3885</v>
      </c>
      <c r="H673" s="9"/>
      <c r="I673" s="9">
        <v>1</v>
      </c>
      <c r="J673" s="9">
        <v>2</v>
      </c>
      <c r="K673" s="9" t="s">
        <v>8705</v>
      </c>
      <c r="L673" s="9" t="s">
        <v>8730</v>
      </c>
      <c r="M673" s="9"/>
      <c r="N673" s="10"/>
      <c r="O673" s="9" t="s">
        <v>8685</v>
      </c>
      <c r="P673" s="9">
        <v>615</v>
      </c>
      <c r="Q673" s="9"/>
      <c r="R673" s="9" t="s">
        <v>9321</v>
      </c>
      <c r="S673" s="9" t="s">
        <v>9321</v>
      </c>
      <c r="T673" s="9"/>
      <c r="U673" s="9"/>
      <c r="V673" s="9"/>
      <c r="W673" s="9"/>
      <c r="X673" s="9"/>
      <c r="Y673" s="9"/>
      <c r="Z673" s="9"/>
      <c r="AA673" s="9"/>
      <c r="AB673" s="9"/>
      <c r="AC673" s="9"/>
    </row>
    <row r="674" spans="1:29" ht="29">
      <c r="A674" s="3" t="s">
        <v>1229</v>
      </c>
      <c r="B674" s="3" t="s">
        <v>6365</v>
      </c>
      <c r="C674" s="3" t="s">
        <v>6366</v>
      </c>
      <c r="G674" s="9" t="s">
        <v>8729</v>
      </c>
      <c r="H674" s="9"/>
      <c r="I674" s="9"/>
      <c r="J674" s="9"/>
      <c r="K674" s="9"/>
      <c r="L674" s="9"/>
      <c r="M674" s="9"/>
      <c r="N674" s="10"/>
      <c r="O674" s="9"/>
      <c r="P674" s="9"/>
      <c r="Q674" s="9">
        <v>190</v>
      </c>
      <c r="R674" s="9">
        <v>329</v>
      </c>
      <c r="S674" s="9">
        <v>519</v>
      </c>
      <c r="T674" s="9"/>
      <c r="U674" s="9"/>
      <c r="V674" s="9"/>
      <c r="W674" s="9"/>
      <c r="X674" s="9"/>
      <c r="Y674" s="9"/>
      <c r="Z674" s="9"/>
      <c r="AA674" s="9"/>
      <c r="AB674" s="9"/>
      <c r="AC674" s="9"/>
    </row>
    <row r="675" spans="1:29" ht="29">
      <c r="A675" s="3" t="s">
        <v>1229</v>
      </c>
      <c r="B675" s="3" t="s">
        <v>6364</v>
      </c>
      <c r="C675" s="3" t="s">
        <v>6367</v>
      </c>
      <c r="G675" s="9" t="s">
        <v>3885</v>
      </c>
      <c r="H675" s="9"/>
      <c r="I675" s="9">
        <v>1</v>
      </c>
      <c r="J675" s="9">
        <v>3</v>
      </c>
      <c r="K675" s="9" t="s">
        <v>8689</v>
      </c>
      <c r="L675" s="9" t="s">
        <v>8690</v>
      </c>
      <c r="M675" s="9"/>
      <c r="N675" s="10"/>
      <c r="O675" s="9"/>
      <c r="P675" s="9">
        <v>10929</v>
      </c>
      <c r="Q675" s="9"/>
      <c r="R675" s="9" t="s">
        <v>9321</v>
      </c>
      <c r="S675" s="9" t="s">
        <v>9321</v>
      </c>
      <c r="T675" s="9"/>
      <c r="U675" s="9"/>
      <c r="V675" s="9"/>
      <c r="W675" s="9"/>
      <c r="X675" s="9"/>
      <c r="Y675" s="9"/>
      <c r="Z675" s="9"/>
      <c r="AA675" s="9"/>
      <c r="AB675" s="9"/>
      <c r="AC675" s="9"/>
    </row>
    <row r="676" spans="1:29">
      <c r="A676" s="3" t="s">
        <v>1229</v>
      </c>
      <c r="B676" s="3" t="s">
        <v>6368</v>
      </c>
      <c r="C676" s="3" t="s">
        <v>6369</v>
      </c>
      <c r="G676" s="9" t="s">
        <v>8731</v>
      </c>
      <c r="H676" s="9"/>
      <c r="I676" s="9"/>
      <c r="J676" s="9"/>
      <c r="K676" s="9"/>
      <c r="L676" s="9"/>
      <c r="M676" s="9"/>
      <c r="N676" s="10"/>
      <c r="O676" s="9"/>
      <c r="P676" s="9"/>
      <c r="Q676" s="9"/>
      <c r="R676" s="9" t="s">
        <v>9321</v>
      </c>
      <c r="S676" s="9" t="s">
        <v>9321</v>
      </c>
      <c r="T676" s="9"/>
      <c r="U676" s="9"/>
      <c r="V676" s="9"/>
      <c r="W676" s="9"/>
      <c r="X676" s="9"/>
      <c r="Y676" s="9"/>
      <c r="Z676" s="9"/>
      <c r="AA676" s="9"/>
      <c r="AB676" s="9"/>
      <c r="AC676" s="9"/>
    </row>
    <row r="677" spans="1:29">
      <c r="A677" s="3" t="s">
        <v>1230</v>
      </c>
      <c r="B677" s="3" t="s">
        <v>3407</v>
      </c>
      <c r="C677" s="3" t="s">
        <v>3408</v>
      </c>
      <c r="G677" s="9" t="s">
        <v>8729</v>
      </c>
      <c r="H677" s="9"/>
      <c r="I677" s="9"/>
      <c r="J677" s="9"/>
      <c r="K677" s="9"/>
      <c r="L677" s="9"/>
      <c r="M677" s="9"/>
      <c r="N677" s="10"/>
      <c r="O677" s="9"/>
      <c r="P677" s="9"/>
      <c r="Q677" s="9">
        <v>-15</v>
      </c>
      <c r="R677" s="9">
        <v>15</v>
      </c>
      <c r="S677" s="9">
        <v>0</v>
      </c>
      <c r="T677" s="9" t="s">
        <v>8728</v>
      </c>
      <c r="U677" s="9"/>
      <c r="V677" s="9"/>
      <c r="W677" s="9"/>
      <c r="X677" s="9"/>
      <c r="Y677" s="9"/>
      <c r="Z677" s="9"/>
      <c r="AA677" s="9"/>
      <c r="AB677" s="9"/>
      <c r="AC677" s="9"/>
    </row>
    <row r="678" spans="1:29" ht="29">
      <c r="A678" s="3" t="s">
        <v>1230</v>
      </c>
      <c r="B678" s="3" t="s">
        <v>6370</v>
      </c>
      <c r="C678" s="3" t="s">
        <v>6371</v>
      </c>
      <c r="G678" s="9" t="s">
        <v>8731</v>
      </c>
      <c r="H678" s="9"/>
      <c r="I678" s="9"/>
      <c r="J678" s="9"/>
      <c r="K678" s="9"/>
      <c r="L678" s="9"/>
      <c r="M678" s="9"/>
      <c r="N678" s="10"/>
      <c r="O678" s="9"/>
      <c r="P678" s="9"/>
      <c r="Q678" s="9"/>
      <c r="R678" s="9" t="s">
        <v>9321</v>
      </c>
      <c r="S678" s="9" t="s">
        <v>9321</v>
      </c>
      <c r="T678" s="9"/>
      <c r="U678" s="9"/>
      <c r="V678" s="9"/>
      <c r="W678" s="9"/>
      <c r="X678" s="9"/>
      <c r="Y678" s="9"/>
      <c r="Z678" s="9"/>
      <c r="AA678" s="9"/>
      <c r="AB678" s="9"/>
      <c r="AC678" s="9"/>
    </row>
    <row r="679" spans="1:29" ht="29">
      <c r="A679" s="3" t="s">
        <v>1233</v>
      </c>
      <c r="B679" s="3" t="s">
        <v>6380</v>
      </c>
      <c r="C679" s="3" t="s">
        <v>6381</v>
      </c>
      <c r="F679" t="s">
        <v>3884</v>
      </c>
      <c r="G679" s="9" t="s">
        <v>8731</v>
      </c>
      <c r="H679" s="9"/>
      <c r="I679" s="9"/>
      <c r="J679" s="9"/>
      <c r="K679" s="9"/>
      <c r="L679" s="9"/>
      <c r="M679" s="9"/>
      <c r="N679" s="10"/>
      <c r="O679" s="9"/>
      <c r="P679" s="9"/>
      <c r="Q679" s="9"/>
      <c r="R679" s="9" t="s">
        <v>9321</v>
      </c>
      <c r="S679" s="9" t="s">
        <v>9321</v>
      </c>
      <c r="T679" s="9"/>
      <c r="U679" s="9"/>
      <c r="V679" s="9"/>
      <c r="W679" s="9"/>
      <c r="X679" s="9"/>
      <c r="Y679" s="9"/>
      <c r="Z679" s="9"/>
      <c r="AA679" s="9"/>
      <c r="AB679" s="9"/>
      <c r="AC679" s="9"/>
    </row>
    <row r="680" spans="1:29" ht="29">
      <c r="A680" s="3" t="s">
        <v>1234</v>
      </c>
      <c r="B680" s="3" t="s">
        <v>6382</v>
      </c>
      <c r="C680" s="3" t="s">
        <v>6383</v>
      </c>
      <c r="G680" s="9" t="s">
        <v>3885</v>
      </c>
      <c r="H680" s="9"/>
      <c r="I680" s="9">
        <v>1</v>
      </c>
      <c r="J680" s="9">
        <v>2</v>
      </c>
      <c r="K680" s="9" t="s">
        <v>8689</v>
      </c>
      <c r="L680" s="9" t="s">
        <v>8730</v>
      </c>
      <c r="M680" s="9"/>
      <c r="N680" s="10"/>
      <c r="O680" s="9"/>
      <c r="P680" s="9">
        <v>10929</v>
      </c>
      <c r="Q680" s="9"/>
      <c r="R680" s="9" t="s">
        <v>9321</v>
      </c>
      <c r="S680" s="9" t="s">
        <v>9321</v>
      </c>
      <c r="T680" s="9"/>
      <c r="U680" s="9"/>
      <c r="V680" s="9"/>
      <c r="W680" s="9"/>
      <c r="X680" s="9"/>
      <c r="Y680" s="9"/>
      <c r="Z680" s="9"/>
      <c r="AA680" s="9"/>
      <c r="AB680" s="9"/>
      <c r="AC680" s="9"/>
    </row>
    <row r="681" spans="1:29">
      <c r="A681" s="3" t="s">
        <v>1236</v>
      </c>
      <c r="B681" s="3" t="s">
        <v>6387</v>
      </c>
      <c r="C681" s="3" t="s">
        <v>6388</v>
      </c>
      <c r="G681" s="9" t="s">
        <v>3885</v>
      </c>
      <c r="H681" s="9"/>
      <c r="I681" s="9">
        <v>1</v>
      </c>
      <c r="J681" s="9">
        <v>3</v>
      </c>
      <c r="K681" s="9" t="s">
        <v>8689</v>
      </c>
      <c r="L681" s="9" t="s">
        <v>8690</v>
      </c>
      <c r="M681" s="9"/>
      <c r="N681" s="10"/>
      <c r="O681" s="9"/>
      <c r="P681" s="9">
        <v>10929</v>
      </c>
      <c r="Q681" s="9"/>
      <c r="R681" s="9" t="s">
        <v>9321</v>
      </c>
      <c r="S681" s="9" t="s">
        <v>9321</v>
      </c>
      <c r="T681" s="9"/>
      <c r="U681" s="9"/>
      <c r="V681" s="9"/>
      <c r="W681" s="9"/>
      <c r="X681" s="9"/>
      <c r="Y681" s="9"/>
      <c r="Z681" s="9"/>
      <c r="AA681" s="9"/>
      <c r="AB681" s="9"/>
      <c r="AC681" s="9"/>
    </row>
    <row r="682" spans="1:29" ht="29">
      <c r="A682" s="3" t="s">
        <v>1238</v>
      </c>
      <c r="B682" s="3" t="s">
        <v>6389</v>
      </c>
      <c r="C682" s="3" t="s">
        <v>6390</v>
      </c>
      <c r="G682" s="9" t="s">
        <v>3885</v>
      </c>
      <c r="H682" s="9"/>
      <c r="I682" s="9">
        <v>2</v>
      </c>
      <c r="J682" s="9">
        <v>10</v>
      </c>
      <c r="K682" s="9"/>
      <c r="L682" s="9" t="s">
        <v>8690</v>
      </c>
      <c r="M682" s="9"/>
      <c r="N682" s="10"/>
      <c r="O682" s="9"/>
      <c r="P682" s="9">
        <v>1225</v>
      </c>
      <c r="Q682" s="9"/>
      <c r="R682" s="9" t="s">
        <v>9321</v>
      </c>
      <c r="S682" s="9" t="s">
        <v>9321</v>
      </c>
      <c r="T682" s="9"/>
      <c r="U682" s="9"/>
      <c r="V682" s="9"/>
      <c r="W682" s="9"/>
      <c r="X682" s="9"/>
      <c r="Y682" s="9"/>
      <c r="Z682" s="9"/>
      <c r="AA682" s="9"/>
      <c r="AB682" s="9"/>
      <c r="AC682" s="9"/>
    </row>
    <row r="683" spans="1:29" ht="29">
      <c r="A683" s="3" t="s">
        <v>1239</v>
      </c>
      <c r="B683" s="3" t="s">
        <v>6392</v>
      </c>
      <c r="C683" s="3" t="s">
        <v>6393</v>
      </c>
      <c r="G683" s="9" t="s">
        <v>3889</v>
      </c>
      <c r="H683" s="9"/>
      <c r="I683" s="9">
        <v>1</v>
      </c>
      <c r="J683" s="9">
        <v>2</v>
      </c>
      <c r="K683" s="9" t="s">
        <v>8703</v>
      </c>
      <c r="L683" s="9" t="s">
        <v>8730</v>
      </c>
      <c r="M683" s="9"/>
      <c r="N683" s="10"/>
      <c r="O683" s="9"/>
      <c r="P683" s="9">
        <v>1225</v>
      </c>
      <c r="Q683" s="9"/>
      <c r="R683" s="9" t="s">
        <v>9321</v>
      </c>
      <c r="S683" s="9" t="s">
        <v>9321</v>
      </c>
      <c r="T683" s="9"/>
      <c r="U683" s="9"/>
      <c r="V683" s="9"/>
      <c r="W683" s="9"/>
      <c r="X683" s="9"/>
      <c r="Y683" s="9"/>
      <c r="Z683" s="9"/>
      <c r="AA683" s="9"/>
      <c r="AB683" s="9"/>
      <c r="AC683" s="9"/>
    </row>
    <row r="684" spans="1:29">
      <c r="A684" s="3" t="s">
        <v>1243</v>
      </c>
      <c r="B684" s="3" t="s">
        <v>6402</v>
      </c>
      <c r="C684" s="3" t="s">
        <v>9098</v>
      </c>
      <c r="G684" s="9" t="s">
        <v>3889</v>
      </c>
      <c r="H684" s="9"/>
      <c r="I684" s="9">
        <v>1</v>
      </c>
      <c r="J684" s="9">
        <v>1</v>
      </c>
      <c r="K684" s="9" t="s">
        <v>8689</v>
      </c>
      <c r="L684" s="9" t="s">
        <v>8730</v>
      </c>
      <c r="M684" s="9"/>
      <c r="N684" s="10"/>
      <c r="O684" s="9" t="s">
        <v>8685</v>
      </c>
      <c r="P684" s="9">
        <v>10929</v>
      </c>
      <c r="Q684" s="9"/>
      <c r="R684" s="9" t="s">
        <v>9321</v>
      </c>
      <c r="S684" s="9" t="s">
        <v>9321</v>
      </c>
      <c r="T684" s="9"/>
      <c r="U684" s="9"/>
      <c r="V684" s="9"/>
      <c r="W684" s="9"/>
      <c r="X684" s="9"/>
      <c r="Y684" s="9"/>
      <c r="Z684" s="9"/>
      <c r="AA684" s="9"/>
      <c r="AB684" s="9"/>
      <c r="AC684" s="9"/>
    </row>
    <row r="685" spans="1:29" ht="29">
      <c r="A685" s="3" t="s">
        <v>1244</v>
      </c>
      <c r="B685" s="3" t="s">
        <v>6405</v>
      </c>
      <c r="C685" s="3" t="s">
        <v>6406</v>
      </c>
      <c r="F685" t="s">
        <v>3884</v>
      </c>
      <c r="G685" s="9" t="s">
        <v>3889</v>
      </c>
      <c r="H685" s="9"/>
      <c r="I685" s="9">
        <v>1</v>
      </c>
      <c r="J685" s="9">
        <v>6</v>
      </c>
      <c r="K685" s="9" t="s">
        <v>8683</v>
      </c>
      <c r="L685" s="9" t="s">
        <v>8684</v>
      </c>
      <c r="M685" s="9" t="s">
        <v>9080</v>
      </c>
      <c r="N685" s="10" t="s">
        <v>9081</v>
      </c>
      <c r="O685" s="9"/>
      <c r="P685" s="9">
        <v>24</v>
      </c>
      <c r="Q685" s="9"/>
      <c r="R685" s="9" t="s">
        <v>9321</v>
      </c>
      <c r="S685" s="9" t="s">
        <v>9321</v>
      </c>
      <c r="T685" s="9"/>
      <c r="U685" s="9"/>
      <c r="V685" s="9"/>
      <c r="W685" s="9"/>
      <c r="X685" s="9"/>
      <c r="Y685" s="9"/>
      <c r="Z685" s="9"/>
      <c r="AA685" s="9"/>
      <c r="AB685" s="9"/>
      <c r="AC685" s="9"/>
    </row>
    <row r="686" spans="1:29">
      <c r="A686" s="3" t="s">
        <v>1247</v>
      </c>
      <c r="B686" s="3" t="s">
        <v>6417</v>
      </c>
      <c r="C686" s="3" t="s">
        <v>6418</v>
      </c>
      <c r="G686" s="9" t="s">
        <v>8729</v>
      </c>
      <c r="H686" s="9"/>
      <c r="I686" s="9"/>
      <c r="J686" s="9"/>
      <c r="K686" s="9"/>
      <c r="L686" s="9"/>
      <c r="M686" s="9"/>
      <c r="N686" s="10"/>
      <c r="O686" s="9"/>
      <c r="P686" s="9"/>
      <c r="Q686" s="9">
        <v>1070</v>
      </c>
      <c r="R686" s="9">
        <v>872</v>
      </c>
      <c r="S686" s="9">
        <v>1942</v>
      </c>
      <c r="T686" s="9"/>
      <c r="U686" s="9"/>
      <c r="V686" s="9"/>
      <c r="W686" s="9"/>
      <c r="X686" s="9"/>
      <c r="Y686" s="9"/>
      <c r="Z686" s="9"/>
      <c r="AA686" s="9"/>
      <c r="AB686" s="9"/>
      <c r="AC686" s="9"/>
    </row>
    <row r="687" spans="1:29">
      <c r="A687" s="3" t="s">
        <v>1250</v>
      </c>
      <c r="B687" s="3" t="s">
        <v>6423</v>
      </c>
      <c r="C687" s="3" t="s">
        <v>6424</v>
      </c>
      <c r="F687" t="s">
        <v>3884</v>
      </c>
      <c r="G687" s="9" t="s">
        <v>3885</v>
      </c>
      <c r="H687" s="9"/>
      <c r="I687" s="9">
        <v>1</v>
      </c>
      <c r="J687" s="9">
        <v>3</v>
      </c>
      <c r="K687" s="9" t="s">
        <v>8705</v>
      </c>
      <c r="L687" s="9" t="s">
        <v>8690</v>
      </c>
      <c r="M687" s="9"/>
      <c r="N687" s="10"/>
      <c r="O687" s="9"/>
      <c r="P687" s="9">
        <v>1485</v>
      </c>
      <c r="Q687" s="9"/>
      <c r="R687" s="9" t="s">
        <v>9321</v>
      </c>
      <c r="S687" s="9" t="s">
        <v>9321</v>
      </c>
      <c r="T687" s="9"/>
      <c r="U687" s="9"/>
      <c r="V687" s="9"/>
      <c r="W687" s="9"/>
      <c r="X687" s="9"/>
      <c r="Y687" s="9"/>
      <c r="Z687" s="9"/>
      <c r="AA687" s="9"/>
      <c r="AB687" s="9"/>
      <c r="AC687" s="9"/>
    </row>
    <row r="688" spans="1:29" ht="29">
      <c r="A688" s="3" t="s">
        <v>1251</v>
      </c>
      <c r="B688" s="3" t="s">
        <v>6427</v>
      </c>
      <c r="C688" s="3" t="s">
        <v>6428</v>
      </c>
      <c r="G688" s="9" t="s">
        <v>8731</v>
      </c>
      <c r="H688" s="9"/>
      <c r="I688" s="9"/>
      <c r="J688" s="9"/>
      <c r="K688" s="9"/>
      <c r="L688" s="9"/>
      <c r="M688" s="9"/>
      <c r="N688" s="10"/>
      <c r="O688" s="9"/>
      <c r="P688" s="9"/>
      <c r="Q688" s="9"/>
      <c r="R688" s="9" t="s">
        <v>9321</v>
      </c>
      <c r="S688" s="9" t="s">
        <v>9321</v>
      </c>
      <c r="T688" s="9"/>
      <c r="U688" s="9"/>
      <c r="V688" s="9"/>
      <c r="W688" s="9"/>
      <c r="X688" s="9"/>
      <c r="Y688" s="9"/>
      <c r="Z688" s="9"/>
      <c r="AA688" s="9"/>
      <c r="AB688" s="9"/>
      <c r="AC688" s="9"/>
    </row>
    <row r="689" spans="1:29" ht="87">
      <c r="A689" s="3" t="s">
        <v>1253</v>
      </c>
      <c r="B689" s="3" t="s">
        <v>6433</v>
      </c>
      <c r="C689" s="3" t="s">
        <v>9644</v>
      </c>
      <c r="G689" s="9" t="s">
        <v>3889</v>
      </c>
      <c r="H689" s="9"/>
      <c r="I689" s="9">
        <v>10</v>
      </c>
      <c r="J689" s="9">
        <v>36</v>
      </c>
      <c r="K689" s="9"/>
      <c r="L689" s="9" t="s">
        <v>8684</v>
      </c>
      <c r="M689" s="9" t="s">
        <v>9101</v>
      </c>
      <c r="N689" s="10" t="s">
        <v>9102</v>
      </c>
      <c r="O689" s="9" t="s">
        <v>8685</v>
      </c>
      <c r="P689" s="9">
        <v>23</v>
      </c>
      <c r="Q689" s="9"/>
      <c r="R689" s="9" t="s">
        <v>9321</v>
      </c>
      <c r="S689" s="9" t="s">
        <v>9321</v>
      </c>
      <c r="T689" s="9"/>
      <c r="U689" s="9"/>
      <c r="V689" s="9"/>
      <c r="W689" s="9"/>
      <c r="X689" s="9"/>
      <c r="Y689" s="9"/>
      <c r="Z689" s="9"/>
      <c r="AA689" s="9"/>
      <c r="AB689" s="9"/>
      <c r="AC689" s="9"/>
    </row>
    <row r="690" spans="1:29">
      <c r="A690" s="3" t="s">
        <v>1254</v>
      </c>
      <c r="B690" s="3" t="s">
        <v>6434</v>
      </c>
      <c r="C690" s="3" t="s">
        <v>6435</v>
      </c>
      <c r="G690" s="9" t="s">
        <v>8729</v>
      </c>
      <c r="H690" s="9"/>
      <c r="I690" s="9"/>
      <c r="J690" s="9"/>
      <c r="K690" s="9"/>
      <c r="L690" s="9"/>
      <c r="M690" s="9"/>
      <c r="N690" s="10"/>
      <c r="O690" s="9"/>
      <c r="P690" s="9"/>
      <c r="Q690" s="9">
        <v>-1</v>
      </c>
      <c r="R690" s="9">
        <v>1</v>
      </c>
      <c r="S690" s="9">
        <v>0</v>
      </c>
      <c r="T690" s="9"/>
      <c r="U690" s="9"/>
      <c r="V690" s="9"/>
      <c r="W690" s="9"/>
      <c r="X690" s="9"/>
      <c r="Y690" s="9"/>
      <c r="Z690" s="9"/>
      <c r="AA690" s="9"/>
      <c r="AB690" s="9"/>
      <c r="AC690" s="9"/>
    </row>
    <row r="691" spans="1:29">
      <c r="A691" s="3" t="s">
        <v>1255</v>
      </c>
      <c r="B691" s="3" t="s">
        <v>9521</v>
      </c>
      <c r="C691" s="3" t="s">
        <v>6437</v>
      </c>
      <c r="F691" t="s">
        <v>3884</v>
      </c>
      <c r="G691" s="9" t="s">
        <v>8729</v>
      </c>
      <c r="H691" s="9"/>
      <c r="I691" s="9"/>
      <c r="J691" s="9"/>
      <c r="K691" s="9"/>
      <c r="L691" s="9"/>
      <c r="M691" s="9"/>
      <c r="N691" s="10"/>
      <c r="O691" s="9"/>
      <c r="P691" s="9"/>
      <c r="Q691" s="9">
        <v>-10928</v>
      </c>
      <c r="R691" s="9">
        <v>10929</v>
      </c>
      <c r="S691" s="9">
        <v>1</v>
      </c>
      <c r="T691" s="9"/>
      <c r="U691" s="9"/>
      <c r="V691" s="9"/>
      <c r="W691" s="9"/>
      <c r="X691" s="9"/>
      <c r="Y691" s="9"/>
      <c r="Z691" s="9"/>
      <c r="AA691" s="9"/>
      <c r="AB691" s="9"/>
      <c r="AC691" s="9"/>
    </row>
    <row r="692" spans="1:29" ht="29">
      <c r="A692" s="3" t="s">
        <v>1255</v>
      </c>
      <c r="B692" s="3" t="s">
        <v>6443</v>
      </c>
      <c r="C692" s="3" t="s">
        <v>6444</v>
      </c>
      <c r="G692" s="9" t="s">
        <v>8729</v>
      </c>
      <c r="H692" s="9"/>
      <c r="I692" s="9"/>
      <c r="J692" s="9"/>
      <c r="K692" s="9"/>
      <c r="L692" s="9"/>
      <c r="M692" s="9"/>
      <c r="N692" s="10"/>
      <c r="O692" s="9"/>
      <c r="P692" s="9"/>
      <c r="Q692" s="9">
        <v>-3599</v>
      </c>
      <c r="R692" s="9">
        <v>3678</v>
      </c>
      <c r="S692" s="9">
        <v>79</v>
      </c>
      <c r="T692" s="9"/>
      <c r="U692" s="9"/>
      <c r="V692" s="9"/>
      <c r="W692" s="9"/>
      <c r="X692" s="9"/>
      <c r="Y692" s="9"/>
      <c r="Z692" s="9"/>
      <c r="AA692" s="9"/>
      <c r="AB692" s="9"/>
      <c r="AC692" s="9"/>
    </row>
    <row r="693" spans="1:29" ht="29">
      <c r="A693" s="3" t="s">
        <v>1256</v>
      </c>
      <c r="B693" s="3" t="s">
        <v>6445</v>
      </c>
      <c r="C693" s="3" t="s">
        <v>6446</v>
      </c>
      <c r="F693" t="s">
        <v>3884</v>
      </c>
      <c r="G693" s="9" t="s">
        <v>3889</v>
      </c>
      <c r="H693" s="9"/>
      <c r="I693" s="9">
        <v>1</v>
      </c>
      <c r="J693" s="9">
        <v>3</v>
      </c>
      <c r="K693" s="9" t="s">
        <v>8689</v>
      </c>
      <c r="L693" s="9" t="s">
        <v>8690</v>
      </c>
      <c r="M693" s="9"/>
      <c r="N693" s="10"/>
      <c r="O693" s="9"/>
      <c r="P693" s="9">
        <v>10929</v>
      </c>
      <c r="Q693" s="9"/>
      <c r="R693" s="9" t="s">
        <v>9321</v>
      </c>
      <c r="S693" s="9" t="s">
        <v>9321</v>
      </c>
      <c r="T693" s="9"/>
      <c r="U693" s="9"/>
      <c r="V693" s="9"/>
      <c r="W693" s="9"/>
      <c r="X693" s="9"/>
      <c r="Y693" s="9"/>
      <c r="Z693" s="9"/>
      <c r="AA693" s="9"/>
      <c r="AB693" s="9"/>
      <c r="AC693" s="9"/>
    </row>
    <row r="694" spans="1:29" ht="29">
      <c r="A694" s="3" t="s">
        <v>1258</v>
      </c>
      <c r="B694" s="3" t="s">
        <v>6453</v>
      </c>
      <c r="C694" s="3" t="s">
        <v>6454</v>
      </c>
      <c r="F694" t="s">
        <v>3884</v>
      </c>
      <c r="G694" s="9" t="s">
        <v>8731</v>
      </c>
      <c r="H694" s="9"/>
      <c r="I694" s="9"/>
      <c r="J694" s="9"/>
      <c r="K694" s="9"/>
      <c r="L694" s="9"/>
      <c r="M694" s="9"/>
      <c r="N694" s="10"/>
      <c r="O694" s="9"/>
      <c r="P694" s="9"/>
      <c r="Q694" s="9"/>
      <c r="R694" s="9" t="s">
        <v>9321</v>
      </c>
      <c r="S694" s="9" t="s">
        <v>9321</v>
      </c>
      <c r="T694" s="9"/>
      <c r="U694" s="9"/>
      <c r="V694" s="9"/>
      <c r="W694" s="9"/>
      <c r="X694" s="9"/>
      <c r="Y694" s="9"/>
      <c r="Z694" s="9"/>
      <c r="AA694" s="9"/>
      <c r="AB694" s="9"/>
      <c r="AC694" s="9"/>
    </row>
    <row r="695" spans="1:29" ht="58">
      <c r="A695" s="3" t="s">
        <v>1260</v>
      </c>
      <c r="B695" s="3" t="s">
        <v>6456</v>
      </c>
      <c r="C695" s="3" t="s">
        <v>6457</v>
      </c>
      <c r="F695" t="s">
        <v>3884</v>
      </c>
      <c r="G695" s="9" t="s">
        <v>3889</v>
      </c>
      <c r="H695" s="9"/>
      <c r="I695" s="9">
        <v>9</v>
      </c>
      <c r="J695" s="9">
        <v>37</v>
      </c>
      <c r="K695" s="9"/>
      <c r="L695" s="9" t="s">
        <v>8684</v>
      </c>
      <c r="M695" s="9" t="s">
        <v>8740</v>
      </c>
      <c r="N695" s="10" t="s">
        <v>9103</v>
      </c>
      <c r="O695" s="9"/>
      <c r="P695" s="9">
        <v>58</v>
      </c>
      <c r="Q695" s="9"/>
      <c r="R695" s="9" t="s">
        <v>9321</v>
      </c>
      <c r="S695" s="9" t="s">
        <v>9321</v>
      </c>
      <c r="T695" s="9"/>
      <c r="U695" s="9"/>
      <c r="V695" s="9"/>
      <c r="W695" s="9"/>
      <c r="X695" s="9"/>
      <c r="Y695" s="9"/>
      <c r="Z695" s="9"/>
      <c r="AA695" s="9"/>
      <c r="AB695" s="9"/>
      <c r="AC695" s="9"/>
    </row>
    <row r="696" spans="1:29">
      <c r="A696" s="3" t="s">
        <v>1260</v>
      </c>
      <c r="B696" s="3" t="s">
        <v>6460</v>
      </c>
      <c r="C696" s="3" t="s">
        <v>6461</v>
      </c>
      <c r="F696" t="s">
        <v>3884</v>
      </c>
      <c r="G696" s="9" t="s">
        <v>3889</v>
      </c>
      <c r="H696" s="9"/>
      <c r="I696" s="9">
        <v>1</v>
      </c>
      <c r="J696" s="9">
        <v>2</v>
      </c>
      <c r="K696" s="9" t="s">
        <v>8689</v>
      </c>
      <c r="L696" s="9" t="s">
        <v>8730</v>
      </c>
      <c r="M696" s="9"/>
      <c r="N696" s="10"/>
      <c r="O696" s="9"/>
      <c r="P696" s="9">
        <v>10929</v>
      </c>
      <c r="Q696" s="9"/>
      <c r="R696" s="9" t="s">
        <v>9321</v>
      </c>
      <c r="S696" s="9" t="s">
        <v>9321</v>
      </c>
      <c r="T696" s="9"/>
      <c r="U696" s="9"/>
      <c r="V696" s="9"/>
      <c r="W696" s="9"/>
      <c r="X696" s="9"/>
      <c r="Y696" s="9"/>
      <c r="Z696" s="9"/>
      <c r="AA696" s="9"/>
      <c r="AB696" s="9"/>
      <c r="AC696" s="9"/>
    </row>
    <row r="697" spans="1:29" ht="29">
      <c r="A697" s="3" t="s">
        <v>1261</v>
      </c>
      <c r="B697" s="3" t="s">
        <v>6463</v>
      </c>
      <c r="C697" s="3" t="s">
        <v>6462</v>
      </c>
      <c r="F697" t="s">
        <v>3884</v>
      </c>
      <c r="G697" s="9" t="s">
        <v>3889</v>
      </c>
      <c r="H697" s="9"/>
      <c r="I697" s="9">
        <v>1</v>
      </c>
      <c r="J697" s="9">
        <v>3</v>
      </c>
      <c r="K697" s="9" t="s">
        <v>8689</v>
      </c>
      <c r="L697" s="9" t="s">
        <v>8690</v>
      </c>
      <c r="M697" s="9"/>
      <c r="N697" s="10"/>
      <c r="O697" s="9"/>
      <c r="P697" s="9">
        <v>10929</v>
      </c>
      <c r="Q697" s="9"/>
      <c r="R697" s="9" t="s">
        <v>9321</v>
      </c>
      <c r="S697" s="9" t="s">
        <v>9321</v>
      </c>
      <c r="T697" s="9"/>
      <c r="U697" s="9"/>
      <c r="V697" s="9"/>
      <c r="W697" s="9"/>
      <c r="X697" s="9"/>
      <c r="Y697" s="9"/>
      <c r="Z697" s="9"/>
      <c r="AA697" s="9"/>
      <c r="AB697" s="9"/>
      <c r="AC697" s="9"/>
    </row>
    <row r="698" spans="1:29" ht="29">
      <c r="A698" s="3" t="s">
        <v>1262</v>
      </c>
      <c r="B698" s="3" t="s">
        <v>6472</v>
      </c>
      <c r="C698" s="3" t="s">
        <v>6471</v>
      </c>
      <c r="G698" s="9" t="s">
        <v>3889</v>
      </c>
      <c r="H698" s="9"/>
      <c r="I698" s="9">
        <v>1</v>
      </c>
      <c r="J698" s="9">
        <v>3</v>
      </c>
      <c r="K698" s="9" t="s">
        <v>8683</v>
      </c>
      <c r="L698" s="9" t="s">
        <v>8690</v>
      </c>
      <c r="M698" s="9"/>
      <c r="N698" s="10"/>
      <c r="O698" s="9"/>
      <c r="P698" s="9">
        <v>99</v>
      </c>
      <c r="Q698" s="9"/>
      <c r="R698" s="9" t="s">
        <v>9321</v>
      </c>
      <c r="S698" s="9" t="s">
        <v>9321</v>
      </c>
      <c r="T698" s="9"/>
      <c r="U698" s="9"/>
      <c r="V698" s="9"/>
      <c r="W698" s="9"/>
      <c r="X698" s="9"/>
      <c r="Y698" s="9"/>
      <c r="Z698" s="9"/>
      <c r="AA698" s="9"/>
      <c r="AB698" s="9"/>
      <c r="AC698" s="9"/>
    </row>
    <row r="699" spans="1:29" ht="29">
      <c r="A699" s="3" t="s">
        <v>1262</v>
      </c>
      <c r="B699" s="3" t="s">
        <v>6473</v>
      </c>
      <c r="C699" s="3" t="s">
        <v>6474</v>
      </c>
      <c r="G699" s="9" t="s">
        <v>8729</v>
      </c>
      <c r="H699" s="9"/>
      <c r="I699" s="9"/>
      <c r="J699" s="9"/>
      <c r="K699" s="9"/>
      <c r="L699" s="9"/>
      <c r="M699" s="9"/>
      <c r="N699" s="10"/>
      <c r="O699" s="9"/>
      <c r="P699" s="9"/>
      <c r="Q699" s="9">
        <v>0</v>
      </c>
      <c r="R699" s="9">
        <v>3678</v>
      </c>
      <c r="S699" s="9">
        <v>3678</v>
      </c>
      <c r="T699" s="9"/>
      <c r="U699" s="9"/>
      <c r="V699" s="9"/>
      <c r="W699" s="9"/>
      <c r="X699" s="9"/>
      <c r="Y699" s="9"/>
      <c r="Z699" s="9"/>
      <c r="AA699" s="9"/>
      <c r="AB699" s="9"/>
      <c r="AC699" s="9"/>
    </row>
    <row r="700" spans="1:29" ht="43.5">
      <c r="A700" s="3" t="s">
        <v>1275</v>
      </c>
      <c r="B700" s="3" t="s">
        <v>6491</v>
      </c>
      <c r="C700" s="3" t="s">
        <v>9104</v>
      </c>
      <c r="F700" t="s">
        <v>3884</v>
      </c>
      <c r="G700" s="9" t="s">
        <v>3885</v>
      </c>
      <c r="H700" s="9"/>
      <c r="I700" s="9">
        <v>2</v>
      </c>
      <c r="J700" s="9">
        <v>11</v>
      </c>
      <c r="K700" s="9"/>
      <c r="L700" s="9" t="s">
        <v>8684</v>
      </c>
      <c r="M700" s="9" t="s">
        <v>9092</v>
      </c>
      <c r="N700" s="10" t="s">
        <v>9103</v>
      </c>
      <c r="O700" s="9"/>
      <c r="P700" s="9">
        <v>100</v>
      </c>
      <c r="Q700" s="9"/>
      <c r="R700" s="9" t="s">
        <v>9321</v>
      </c>
      <c r="S700" s="9" t="s">
        <v>9321</v>
      </c>
      <c r="T700" s="9"/>
      <c r="U700" s="9"/>
      <c r="V700" s="9"/>
      <c r="W700" s="9"/>
      <c r="X700" s="9"/>
      <c r="Y700" s="9"/>
      <c r="Z700" s="9"/>
      <c r="AA700" s="9"/>
      <c r="AB700" s="9"/>
      <c r="AC700" s="9"/>
    </row>
    <row r="701" spans="1:29" ht="29">
      <c r="A701" s="3" t="s">
        <v>1275</v>
      </c>
      <c r="B701" s="3" t="s">
        <v>6494</v>
      </c>
      <c r="C701" s="3" t="s">
        <v>9105</v>
      </c>
      <c r="G701" s="9" t="s">
        <v>8731</v>
      </c>
      <c r="H701" s="9"/>
      <c r="I701" s="9"/>
      <c r="J701" s="9"/>
      <c r="K701" s="9"/>
      <c r="L701" s="9"/>
      <c r="M701" s="9"/>
      <c r="N701" s="10"/>
      <c r="O701" s="9"/>
      <c r="P701" s="9"/>
      <c r="Q701" s="9"/>
      <c r="R701" s="9" t="s">
        <v>9321</v>
      </c>
      <c r="S701" s="9" t="s">
        <v>9321</v>
      </c>
      <c r="T701" s="9"/>
      <c r="U701" s="9"/>
      <c r="V701" s="9"/>
      <c r="W701" s="9"/>
      <c r="X701" s="9"/>
      <c r="Y701" s="9"/>
      <c r="Z701" s="9"/>
      <c r="AA701" s="9"/>
      <c r="AB701" s="9"/>
      <c r="AC701" s="9"/>
    </row>
    <row r="702" spans="1:29" ht="29">
      <c r="A702" s="3" t="s">
        <v>1277</v>
      </c>
      <c r="B702" s="3" t="s">
        <v>6500</v>
      </c>
      <c r="C702" s="3" t="s">
        <v>6501</v>
      </c>
      <c r="F702" t="s">
        <v>3892</v>
      </c>
      <c r="G702" s="9" t="s">
        <v>8729</v>
      </c>
      <c r="H702" s="9"/>
      <c r="I702" s="9"/>
      <c r="J702" s="9"/>
      <c r="K702" s="9"/>
      <c r="L702" s="9"/>
      <c r="M702" s="9"/>
      <c r="N702" s="10"/>
      <c r="O702" s="9"/>
      <c r="P702" s="9"/>
      <c r="Q702" s="9">
        <v>312</v>
      </c>
      <c r="R702" s="9">
        <v>17</v>
      </c>
      <c r="S702" s="9">
        <v>329</v>
      </c>
      <c r="T702" s="9"/>
      <c r="U702" s="9"/>
      <c r="V702" s="9"/>
      <c r="W702" s="9"/>
      <c r="X702" s="9"/>
      <c r="Y702" s="9"/>
      <c r="Z702" s="9"/>
      <c r="AA702" s="9"/>
      <c r="AB702" s="9"/>
      <c r="AC702" s="9"/>
    </row>
    <row r="703" spans="1:29" ht="29">
      <c r="A703" s="3" t="s">
        <v>1278</v>
      </c>
      <c r="B703" s="3" t="s">
        <v>6503</v>
      </c>
      <c r="C703" s="3" t="s">
        <v>6504</v>
      </c>
      <c r="G703" s="9" t="s">
        <v>8731</v>
      </c>
      <c r="H703" s="9"/>
      <c r="I703" s="9"/>
      <c r="J703" s="9"/>
      <c r="K703" s="9"/>
      <c r="L703" s="9"/>
      <c r="M703" s="9"/>
      <c r="N703" s="10"/>
      <c r="O703" s="9"/>
      <c r="P703" s="9"/>
      <c r="Q703" s="9"/>
      <c r="R703" s="9" t="s">
        <v>9321</v>
      </c>
      <c r="S703" s="9" t="s">
        <v>9321</v>
      </c>
      <c r="T703" s="9"/>
      <c r="U703" s="9"/>
      <c r="V703" s="9"/>
      <c r="W703" s="9"/>
      <c r="X703" s="9"/>
      <c r="Y703" s="9"/>
      <c r="Z703" s="9"/>
      <c r="AA703" s="9"/>
      <c r="AB703" s="9"/>
      <c r="AC703" s="9"/>
    </row>
    <row r="704" spans="1:29" ht="43.5">
      <c r="A704" s="3" t="s">
        <v>1282</v>
      </c>
      <c r="B704" s="3" t="s">
        <v>6520</v>
      </c>
      <c r="C704" s="3" t="s">
        <v>6521</v>
      </c>
      <c r="F704" t="s">
        <v>3884</v>
      </c>
      <c r="G704" s="9" t="s">
        <v>8731</v>
      </c>
      <c r="H704" s="9"/>
      <c r="I704" s="9"/>
      <c r="J704" s="9"/>
      <c r="K704" s="9"/>
      <c r="L704" s="9"/>
      <c r="M704" s="9"/>
      <c r="N704" s="10"/>
      <c r="O704" s="9"/>
      <c r="P704" s="9"/>
      <c r="Q704" s="9"/>
      <c r="R704" s="9" t="s">
        <v>9321</v>
      </c>
      <c r="S704" s="9" t="s">
        <v>9321</v>
      </c>
      <c r="T704" s="9"/>
      <c r="U704" s="9"/>
      <c r="V704" s="9"/>
      <c r="W704" s="9"/>
      <c r="X704" s="9"/>
      <c r="Y704" s="9"/>
      <c r="Z704" s="9"/>
      <c r="AA704" s="9"/>
      <c r="AB704" s="9"/>
      <c r="AC704" s="9"/>
    </row>
    <row r="705" spans="1:29" ht="29">
      <c r="A705" s="3" t="s">
        <v>1286</v>
      </c>
      <c r="B705" s="3" t="s">
        <v>6538</v>
      </c>
      <c r="C705" s="3" t="s">
        <v>9106</v>
      </c>
      <c r="F705" t="s">
        <v>3884</v>
      </c>
      <c r="G705" s="9" t="s">
        <v>3889</v>
      </c>
      <c r="H705" s="9"/>
      <c r="I705" s="9">
        <v>1</v>
      </c>
      <c r="J705" s="9">
        <v>3</v>
      </c>
      <c r="K705" s="9" t="s">
        <v>8689</v>
      </c>
      <c r="L705" s="9" t="s">
        <v>8684</v>
      </c>
      <c r="M705" s="9" t="s">
        <v>8771</v>
      </c>
      <c r="N705" s="10" t="s">
        <v>8778</v>
      </c>
      <c r="O705" s="9"/>
      <c r="P705" s="9">
        <v>10929</v>
      </c>
      <c r="Q705" s="9"/>
      <c r="R705" s="9" t="s">
        <v>9321</v>
      </c>
      <c r="S705" s="9" t="s">
        <v>9321</v>
      </c>
      <c r="T705" s="9"/>
      <c r="U705" s="9"/>
      <c r="V705" s="9"/>
      <c r="W705" s="9"/>
      <c r="X705" s="9"/>
      <c r="Y705" s="9"/>
      <c r="Z705" s="9"/>
      <c r="AA705" s="9"/>
      <c r="AB705" s="9"/>
      <c r="AC705" s="9"/>
    </row>
    <row r="706" spans="1:29" ht="29">
      <c r="A706" s="3" t="s">
        <v>1291</v>
      </c>
      <c r="B706" s="3" t="s">
        <v>6548</v>
      </c>
      <c r="C706" s="3" t="s">
        <v>6551</v>
      </c>
      <c r="F706" t="s">
        <v>3884</v>
      </c>
      <c r="G706" s="9" t="s">
        <v>3885</v>
      </c>
      <c r="H706" s="9"/>
      <c r="I706" s="9">
        <v>1</v>
      </c>
      <c r="J706" s="9">
        <v>3</v>
      </c>
      <c r="K706" s="9" t="s">
        <v>8689</v>
      </c>
      <c r="L706" s="9" t="s">
        <v>8690</v>
      </c>
      <c r="M706" s="9"/>
      <c r="N706" s="10"/>
      <c r="O706" s="9"/>
      <c r="P706" s="9">
        <v>10929</v>
      </c>
      <c r="Q706" s="9"/>
      <c r="R706" s="9" t="s">
        <v>9321</v>
      </c>
      <c r="S706" s="9" t="s">
        <v>9321</v>
      </c>
      <c r="T706" s="9"/>
      <c r="U706" s="9"/>
      <c r="V706" s="9"/>
      <c r="W706" s="9"/>
      <c r="X706" s="9"/>
      <c r="Y706" s="9"/>
      <c r="Z706" s="9"/>
      <c r="AA706" s="9"/>
      <c r="AB706" s="9"/>
      <c r="AC706" s="9"/>
    </row>
    <row r="707" spans="1:29" ht="29">
      <c r="A707" s="3" t="s">
        <v>1292</v>
      </c>
      <c r="B707" s="3" t="s">
        <v>6554</v>
      </c>
      <c r="C707" s="3" t="s">
        <v>6555</v>
      </c>
      <c r="G707" s="9" t="s">
        <v>3889</v>
      </c>
      <c r="H707" s="9"/>
      <c r="I707" s="9">
        <v>1</v>
      </c>
      <c r="J707" s="9">
        <v>3</v>
      </c>
      <c r="K707" s="9" t="s">
        <v>8689</v>
      </c>
      <c r="L707" s="9" t="s">
        <v>8690</v>
      </c>
      <c r="M707" s="9"/>
      <c r="N707" s="10"/>
      <c r="O707" s="9"/>
      <c r="P707" s="9">
        <v>10929</v>
      </c>
      <c r="Q707" s="9"/>
      <c r="R707" s="9" t="s">
        <v>9321</v>
      </c>
      <c r="S707" s="9" t="s">
        <v>9321</v>
      </c>
      <c r="T707" s="9"/>
      <c r="U707" s="9"/>
      <c r="V707" s="9"/>
      <c r="W707" s="9"/>
      <c r="X707" s="9"/>
      <c r="Y707" s="9"/>
      <c r="Z707" s="9"/>
      <c r="AA707" s="9"/>
      <c r="AB707" s="9"/>
      <c r="AC707" s="9"/>
    </row>
    <row r="708" spans="1:29">
      <c r="A708" s="3" t="s">
        <v>1294</v>
      </c>
      <c r="B708" s="3" t="s">
        <v>3456</v>
      </c>
      <c r="C708" s="3" t="s">
        <v>3457</v>
      </c>
      <c r="G708" s="9" t="s">
        <v>8731</v>
      </c>
      <c r="H708" s="9"/>
      <c r="I708" s="9"/>
      <c r="J708" s="9"/>
      <c r="K708" s="9"/>
      <c r="L708" s="9"/>
      <c r="M708" s="9"/>
      <c r="N708" s="10"/>
      <c r="O708" s="9"/>
      <c r="P708" s="9"/>
      <c r="Q708" s="9"/>
      <c r="R708" s="9" t="s">
        <v>9321</v>
      </c>
      <c r="S708" s="9" t="s">
        <v>9321</v>
      </c>
      <c r="T708" s="9"/>
      <c r="U708" s="9"/>
      <c r="V708" s="9"/>
      <c r="W708" s="9"/>
      <c r="X708" s="9"/>
      <c r="Y708" s="9"/>
      <c r="Z708" s="9"/>
      <c r="AA708" s="9"/>
      <c r="AB708" s="9"/>
      <c r="AC708" s="9"/>
    </row>
    <row r="709" spans="1:29" ht="29">
      <c r="A709" s="3" t="s">
        <v>1296</v>
      </c>
      <c r="B709" s="3" t="s">
        <v>6565</v>
      </c>
      <c r="C709" s="3" t="s">
        <v>6566</v>
      </c>
      <c r="G709" s="9" t="s">
        <v>8731</v>
      </c>
      <c r="H709" s="9"/>
      <c r="I709" s="9"/>
      <c r="J709" s="9"/>
      <c r="K709" s="9"/>
      <c r="L709" s="9"/>
      <c r="M709" s="9"/>
      <c r="N709" s="10"/>
      <c r="O709" s="9"/>
      <c r="P709" s="9"/>
      <c r="Q709" s="9"/>
      <c r="R709" s="9" t="s">
        <v>9321</v>
      </c>
      <c r="S709" s="9" t="s">
        <v>9321</v>
      </c>
      <c r="T709" s="9"/>
      <c r="U709" s="9"/>
      <c r="V709" s="9"/>
      <c r="W709" s="9"/>
      <c r="X709" s="9"/>
      <c r="Y709" s="9"/>
      <c r="Z709" s="9"/>
      <c r="AA709" s="9"/>
      <c r="AB709" s="9"/>
      <c r="AC709" s="9"/>
    </row>
    <row r="710" spans="1:29">
      <c r="A710" s="3" t="s">
        <v>1297</v>
      </c>
      <c r="B710" s="3" t="s">
        <v>6567</v>
      </c>
      <c r="C710" s="3" t="s">
        <v>6568</v>
      </c>
      <c r="F710" t="s">
        <v>3884</v>
      </c>
      <c r="G710" s="9" t="s">
        <v>8731</v>
      </c>
      <c r="H710" s="9"/>
      <c r="I710" s="9"/>
      <c r="J710" s="9"/>
      <c r="K710" s="9"/>
      <c r="L710" s="9"/>
      <c r="M710" s="9"/>
      <c r="N710" s="10"/>
      <c r="O710" s="9"/>
      <c r="P710" s="9"/>
      <c r="Q710" s="9"/>
      <c r="R710" s="9" t="s">
        <v>9321</v>
      </c>
      <c r="S710" s="9" t="s">
        <v>9321</v>
      </c>
      <c r="T710" s="9"/>
      <c r="U710" s="9"/>
      <c r="V710" s="9"/>
      <c r="W710" s="9"/>
      <c r="X710" s="9"/>
      <c r="Y710" s="9"/>
      <c r="Z710" s="9"/>
      <c r="AA710" s="9"/>
      <c r="AB710" s="9"/>
      <c r="AC710" s="9"/>
    </row>
    <row r="711" spans="1:29" ht="29">
      <c r="A711" s="3" t="s">
        <v>1300</v>
      </c>
      <c r="B711" s="3" t="s">
        <v>6573</v>
      </c>
      <c r="C711" s="3" t="s">
        <v>6574</v>
      </c>
      <c r="F711" t="s">
        <v>3884</v>
      </c>
      <c r="G711" s="9" t="s">
        <v>3885</v>
      </c>
      <c r="H711" s="9"/>
      <c r="I711" s="9">
        <v>1</v>
      </c>
      <c r="J711" s="9">
        <v>1</v>
      </c>
      <c r="K711" s="9" t="s">
        <v>8698</v>
      </c>
      <c r="L711" s="9" t="s">
        <v>8730</v>
      </c>
      <c r="M711" s="9"/>
      <c r="N711" s="10"/>
      <c r="O711" s="9"/>
      <c r="P711" s="9">
        <v>1</v>
      </c>
      <c r="Q711" s="9"/>
      <c r="R711" s="9" t="s">
        <v>9321</v>
      </c>
      <c r="S711" s="9" t="s">
        <v>9321</v>
      </c>
      <c r="T711" s="9" t="s">
        <v>8728</v>
      </c>
      <c r="U711" s="9"/>
      <c r="V711" s="9"/>
      <c r="W711" s="9"/>
      <c r="X711" s="9"/>
      <c r="Y711" s="9"/>
      <c r="Z711" s="9"/>
      <c r="AA711" s="9"/>
      <c r="AB711" s="9"/>
      <c r="AC711" s="9"/>
    </row>
    <row r="712" spans="1:29" ht="29">
      <c r="A712" s="3" t="s">
        <v>1301</v>
      </c>
      <c r="B712" s="3" t="s">
        <v>6575</v>
      </c>
      <c r="C712" s="3" t="s">
        <v>6576</v>
      </c>
      <c r="G712" s="9" t="s">
        <v>8731</v>
      </c>
      <c r="H712" s="9"/>
      <c r="I712" s="9"/>
      <c r="J712" s="9"/>
      <c r="K712" s="9"/>
      <c r="L712" s="9"/>
      <c r="M712" s="9"/>
      <c r="N712" s="10"/>
      <c r="O712" s="9"/>
      <c r="P712" s="9"/>
      <c r="Q712" s="9"/>
      <c r="R712" s="9" t="s">
        <v>9321</v>
      </c>
      <c r="S712" s="9" t="s">
        <v>9321</v>
      </c>
      <c r="T712" s="9"/>
      <c r="U712" s="9"/>
      <c r="V712" s="9"/>
      <c r="W712" s="9"/>
      <c r="X712" s="9"/>
      <c r="Y712" s="9"/>
      <c r="Z712" s="9"/>
      <c r="AA712" s="9"/>
      <c r="AB712" s="9"/>
      <c r="AC712" s="9"/>
    </row>
    <row r="713" spans="1:29" ht="29">
      <c r="A713" s="3" t="s">
        <v>1302</v>
      </c>
      <c r="B713" s="3" t="s">
        <v>6577</v>
      </c>
      <c r="C713" s="3" t="s">
        <v>6578</v>
      </c>
      <c r="F713" t="s">
        <v>3884</v>
      </c>
      <c r="G713" s="9" t="s">
        <v>3885</v>
      </c>
      <c r="H713" s="9"/>
      <c r="I713" s="9">
        <v>1</v>
      </c>
      <c r="J713" s="9">
        <v>3</v>
      </c>
      <c r="K713" s="9" t="s">
        <v>8698</v>
      </c>
      <c r="L713" s="9" t="s">
        <v>8690</v>
      </c>
      <c r="M713" s="9"/>
      <c r="N713" s="10"/>
      <c r="O713" s="9"/>
      <c r="P713" s="9">
        <v>9418</v>
      </c>
      <c r="Q713" s="9"/>
      <c r="R713" s="9" t="s">
        <v>9321</v>
      </c>
      <c r="S713" s="9" t="s">
        <v>9321</v>
      </c>
      <c r="T713" s="9"/>
      <c r="U713" s="9"/>
      <c r="V713" s="9"/>
      <c r="W713" s="9"/>
      <c r="X713" s="9"/>
      <c r="Y713" s="9"/>
      <c r="Z713" s="9"/>
      <c r="AA713" s="9"/>
      <c r="AB713" s="9"/>
      <c r="AC713" s="9"/>
    </row>
    <row r="714" spans="1:29" ht="29">
      <c r="A714" s="3" t="s">
        <v>1304</v>
      </c>
      <c r="B714" s="3" t="s">
        <v>6581</v>
      </c>
      <c r="C714" s="3" t="s">
        <v>6582</v>
      </c>
      <c r="G714" s="9" t="s">
        <v>8731</v>
      </c>
      <c r="H714" s="9"/>
      <c r="I714" s="9"/>
      <c r="J714" s="9"/>
      <c r="K714" s="9"/>
      <c r="L714" s="9"/>
      <c r="M714" s="9"/>
      <c r="N714" s="10"/>
      <c r="O714" s="9"/>
      <c r="P714" s="9"/>
      <c r="Q714" s="9"/>
      <c r="R714" s="9" t="s">
        <v>9321</v>
      </c>
      <c r="S714" s="9" t="s">
        <v>9321</v>
      </c>
      <c r="T714" s="9"/>
      <c r="U714" s="9"/>
      <c r="V714" s="9"/>
      <c r="W714" s="9"/>
      <c r="X714" s="9"/>
      <c r="Y714" s="9"/>
      <c r="Z714" s="9"/>
      <c r="AA714" s="9"/>
      <c r="AB714" s="9"/>
      <c r="AC714" s="9"/>
    </row>
    <row r="715" spans="1:29" ht="29">
      <c r="A715" s="3" t="s">
        <v>1304</v>
      </c>
      <c r="B715" s="3" t="s">
        <v>6583</v>
      </c>
      <c r="C715" s="3" t="s">
        <v>6584</v>
      </c>
      <c r="G715" s="9" t="s">
        <v>8731</v>
      </c>
      <c r="H715" s="9"/>
      <c r="I715" s="9"/>
      <c r="J715" s="9"/>
      <c r="K715" s="9"/>
      <c r="L715" s="9"/>
      <c r="M715" s="9"/>
      <c r="N715" s="10"/>
      <c r="O715" s="9"/>
      <c r="P715" s="9"/>
      <c r="Q715" s="9"/>
      <c r="R715" s="9" t="s">
        <v>9321</v>
      </c>
      <c r="S715" s="9" t="s">
        <v>9321</v>
      </c>
      <c r="T715" s="9"/>
      <c r="U715" s="9"/>
      <c r="V715" s="9"/>
      <c r="W715" s="9"/>
      <c r="X715" s="9"/>
      <c r="Y715" s="9"/>
      <c r="Z715" s="9"/>
      <c r="AA715" s="9"/>
      <c r="AB715" s="9"/>
      <c r="AC715" s="9"/>
    </row>
    <row r="716" spans="1:29" ht="29">
      <c r="A716" s="3" t="s">
        <v>1306</v>
      </c>
      <c r="B716" s="3" t="s">
        <v>9107</v>
      </c>
      <c r="C716" s="3" t="s">
        <v>9645</v>
      </c>
      <c r="G716" s="9" t="s">
        <v>3889</v>
      </c>
      <c r="H716" s="9"/>
      <c r="I716" s="9">
        <v>1</v>
      </c>
      <c r="J716" s="9">
        <v>1</v>
      </c>
      <c r="K716" s="9" t="s">
        <v>8689</v>
      </c>
      <c r="L716" s="9" t="s">
        <v>8730</v>
      </c>
      <c r="M716" s="9"/>
      <c r="N716" s="10"/>
      <c r="O716" s="9"/>
      <c r="P716" s="9">
        <v>10929</v>
      </c>
      <c r="Q716" s="9"/>
      <c r="R716" s="9" t="s">
        <v>9321</v>
      </c>
      <c r="S716" s="9" t="s">
        <v>9321</v>
      </c>
      <c r="T716" s="9"/>
      <c r="U716" s="9"/>
      <c r="V716" s="9"/>
      <c r="W716" s="9"/>
      <c r="X716" s="9"/>
      <c r="Y716" s="9"/>
      <c r="Z716" s="9"/>
      <c r="AA716" s="9"/>
      <c r="AB716" s="9"/>
      <c r="AC716" s="9"/>
    </row>
    <row r="717" spans="1:29" ht="29">
      <c r="A717" s="3" t="s">
        <v>1316</v>
      </c>
      <c r="B717" s="3" t="s">
        <v>6607</v>
      </c>
      <c r="C717" s="3" t="s">
        <v>6608</v>
      </c>
      <c r="F717" t="s">
        <v>3884</v>
      </c>
      <c r="G717" s="9" t="s">
        <v>3885</v>
      </c>
      <c r="H717" s="9"/>
      <c r="I717" s="9">
        <v>1</v>
      </c>
      <c r="J717" s="9">
        <v>1</v>
      </c>
      <c r="K717" s="9" t="s">
        <v>8698</v>
      </c>
      <c r="L717" s="9" t="s">
        <v>8730</v>
      </c>
      <c r="M717" s="9"/>
      <c r="N717" s="10"/>
      <c r="O717" s="9"/>
      <c r="P717" s="9">
        <v>55</v>
      </c>
      <c r="Q717" s="9"/>
      <c r="R717" s="9" t="s">
        <v>9321</v>
      </c>
      <c r="S717" s="9" t="s">
        <v>9321</v>
      </c>
      <c r="T717" s="9"/>
      <c r="U717" s="9"/>
      <c r="V717" s="9"/>
      <c r="W717" s="9"/>
      <c r="X717" s="9"/>
      <c r="Y717" s="9"/>
      <c r="Z717" s="9"/>
      <c r="AA717" s="9"/>
      <c r="AB717" s="9"/>
      <c r="AC717" s="9"/>
    </row>
    <row r="718" spans="1:29" ht="29">
      <c r="A718" s="3" t="s">
        <v>1316</v>
      </c>
      <c r="B718" s="3" t="s">
        <v>6615</v>
      </c>
      <c r="C718" s="3" t="s">
        <v>6616</v>
      </c>
      <c r="G718" s="9" t="s">
        <v>8731</v>
      </c>
      <c r="H718" s="9"/>
      <c r="I718" s="9"/>
      <c r="J718" s="9"/>
      <c r="K718" s="9"/>
      <c r="L718" s="9"/>
      <c r="M718" s="9"/>
      <c r="N718" s="10"/>
      <c r="O718" s="9"/>
      <c r="P718" s="9"/>
      <c r="Q718" s="9"/>
      <c r="R718" s="9" t="s">
        <v>9321</v>
      </c>
      <c r="S718" s="9" t="s">
        <v>9321</v>
      </c>
      <c r="T718" s="9"/>
      <c r="U718" s="9"/>
      <c r="V718" s="9"/>
      <c r="W718" s="9"/>
      <c r="X718" s="9"/>
      <c r="Y718" s="9"/>
      <c r="Z718" s="9"/>
      <c r="AA718" s="9"/>
      <c r="AB718" s="9"/>
      <c r="AC718" s="9"/>
    </row>
    <row r="719" spans="1:29" ht="29">
      <c r="A719" s="3" t="s">
        <v>1317</v>
      </c>
      <c r="B719" s="3" t="s">
        <v>6619</v>
      </c>
      <c r="C719" s="3" t="s">
        <v>6620</v>
      </c>
      <c r="F719" t="s">
        <v>3884</v>
      </c>
      <c r="G719" s="9" t="s">
        <v>3885</v>
      </c>
      <c r="H719" s="9"/>
      <c r="I719" s="9">
        <v>1</v>
      </c>
      <c r="J719" s="9">
        <v>3</v>
      </c>
      <c r="K719" s="9" t="s">
        <v>8689</v>
      </c>
      <c r="L719" s="9" t="s">
        <v>8684</v>
      </c>
      <c r="M719" s="9" t="s">
        <v>8771</v>
      </c>
      <c r="N719" s="10" t="s">
        <v>8778</v>
      </c>
      <c r="O719" s="9"/>
      <c r="P719" s="9">
        <v>10929</v>
      </c>
      <c r="Q719" s="9"/>
      <c r="R719" s="9" t="s">
        <v>9321</v>
      </c>
      <c r="S719" s="9" t="s">
        <v>9321</v>
      </c>
      <c r="T719" s="9"/>
      <c r="U719" s="9"/>
      <c r="V719" s="9"/>
      <c r="W719" s="9"/>
      <c r="X719" s="9"/>
      <c r="Y719" s="9"/>
      <c r="Z719" s="9"/>
      <c r="AA719" s="9"/>
      <c r="AB719" s="9"/>
      <c r="AC719" s="9"/>
    </row>
    <row r="720" spans="1:29" ht="29">
      <c r="A720" s="3" t="s">
        <v>1318</v>
      </c>
      <c r="B720" s="3" t="s">
        <v>6621</v>
      </c>
      <c r="C720" s="3" t="s">
        <v>6622</v>
      </c>
      <c r="F720" t="s">
        <v>3884</v>
      </c>
      <c r="G720" s="9" t="s">
        <v>3885</v>
      </c>
      <c r="H720" s="9"/>
      <c r="I720" s="9">
        <v>1</v>
      </c>
      <c r="J720" s="9">
        <v>2</v>
      </c>
      <c r="K720" s="9" t="s">
        <v>8695</v>
      </c>
      <c r="L720" s="9" t="s">
        <v>8730</v>
      </c>
      <c r="M720" s="9"/>
      <c r="N720" s="10"/>
      <c r="O720" s="9"/>
      <c r="P720" s="9">
        <v>0</v>
      </c>
      <c r="Q720" s="9"/>
      <c r="R720" s="9" t="s">
        <v>9321</v>
      </c>
      <c r="S720" s="9" t="s">
        <v>9321</v>
      </c>
      <c r="T720" s="9"/>
      <c r="U720" s="9"/>
      <c r="V720" s="9"/>
      <c r="W720" s="9"/>
      <c r="X720" s="9"/>
      <c r="Y720" s="9"/>
      <c r="Z720" s="9"/>
      <c r="AA720" s="9"/>
      <c r="AB720" s="9"/>
      <c r="AC720" s="9"/>
    </row>
    <row r="721" spans="1:29" ht="29">
      <c r="A721" s="3" t="s">
        <v>1321</v>
      </c>
      <c r="B721" s="3" t="s">
        <v>6625</v>
      </c>
      <c r="C721" s="3" t="s">
        <v>6626</v>
      </c>
      <c r="G721" s="9" t="s">
        <v>8731</v>
      </c>
      <c r="H721" s="9"/>
      <c r="I721" s="9"/>
      <c r="J721" s="9"/>
      <c r="K721" s="9"/>
      <c r="L721" s="9"/>
      <c r="M721" s="9"/>
      <c r="N721" s="10"/>
      <c r="O721" s="9"/>
      <c r="P721" s="9"/>
      <c r="Q721" s="9"/>
      <c r="R721" s="9" t="s">
        <v>9321</v>
      </c>
      <c r="S721" s="9" t="s">
        <v>9321</v>
      </c>
      <c r="T721" s="9" t="s">
        <v>4</v>
      </c>
      <c r="U721" s="9"/>
      <c r="V721" s="9"/>
      <c r="W721" s="9"/>
      <c r="X721" s="9"/>
      <c r="Y721" s="9"/>
      <c r="Z721" s="9"/>
      <c r="AA721" s="9"/>
      <c r="AB721" s="9"/>
      <c r="AC721" s="9"/>
    </row>
    <row r="722" spans="1:29" ht="29">
      <c r="A722" s="3" t="s">
        <v>1322</v>
      </c>
      <c r="B722" s="3" t="s">
        <v>6628</v>
      </c>
      <c r="C722" s="3" t="s">
        <v>6629</v>
      </c>
      <c r="F722" t="s">
        <v>3884</v>
      </c>
      <c r="G722" s="9" t="s">
        <v>3889</v>
      </c>
      <c r="H722" s="9"/>
      <c r="I722" s="9">
        <v>1</v>
      </c>
      <c r="J722" s="9">
        <v>2</v>
      </c>
      <c r="K722" s="9" t="s">
        <v>8689</v>
      </c>
      <c r="L722" s="9" t="s">
        <v>8730</v>
      </c>
      <c r="M722" s="9"/>
      <c r="N722" s="10"/>
      <c r="O722" s="9"/>
      <c r="P722" s="9">
        <v>10929</v>
      </c>
      <c r="Q722" s="9"/>
      <c r="R722" s="9" t="s">
        <v>9321</v>
      </c>
      <c r="S722" s="9" t="s">
        <v>9321</v>
      </c>
      <c r="T722" s="9"/>
      <c r="U722" s="9"/>
      <c r="V722" s="9"/>
      <c r="W722" s="9"/>
      <c r="X722" s="9"/>
      <c r="Y722" s="9"/>
      <c r="Z722" s="9"/>
      <c r="AA722" s="9"/>
      <c r="AB722" s="9"/>
      <c r="AC722" s="9"/>
    </row>
    <row r="723" spans="1:29" ht="29">
      <c r="A723" s="3" t="s">
        <v>1326</v>
      </c>
      <c r="B723" s="3" t="s">
        <v>6640</v>
      </c>
      <c r="C723" s="3" t="s">
        <v>6641</v>
      </c>
      <c r="G723" s="9" t="s">
        <v>8729</v>
      </c>
      <c r="H723" s="9"/>
      <c r="I723" s="9"/>
      <c r="J723" s="9"/>
      <c r="K723" s="9"/>
      <c r="L723" s="9"/>
      <c r="M723" s="9"/>
      <c r="N723" s="10"/>
      <c r="O723" s="9" t="s">
        <v>8685</v>
      </c>
      <c r="P723" s="9"/>
      <c r="Q723" s="9">
        <v>10409</v>
      </c>
      <c r="R723" s="9">
        <v>520</v>
      </c>
      <c r="S723" s="9">
        <v>10929</v>
      </c>
      <c r="T723" s="9"/>
      <c r="U723" s="9"/>
      <c r="V723" s="9"/>
      <c r="W723" s="9"/>
      <c r="X723" s="9"/>
      <c r="Y723" s="9"/>
      <c r="Z723" s="9"/>
      <c r="AA723" s="9"/>
      <c r="AB723" s="9"/>
      <c r="AC723" s="9"/>
    </row>
    <row r="724" spans="1:29">
      <c r="A724" s="3" t="s">
        <v>1331</v>
      </c>
      <c r="B724" s="3" t="s">
        <v>6655</v>
      </c>
      <c r="C724" s="3" t="s">
        <v>6656</v>
      </c>
      <c r="G724" s="9" t="s">
        <v>3889</v>
      </c>
      <c r="H724" s="9"/>
      <c r="I724" s="9">
        <v>1</v>
      </c>
      <c r="J724" s="9">
        <v>2</v>
      </c>
      <c r="K724" s="9" t="s">
        <v>8705</v>
      </c>
      <c r="L724" s="9" t="s">
        <v>8730</v>
      </c>
      <c r="M724" s="9"/>
      <c r="N724" s="10"/>
      <c r="O724" s="9"/>
      <c r="P724" s="9">
        <v>231</v>
      </c>
      <c r="Q724" s="9"/>
      <c r="R724" s="9" t="s">
        <v>9321</v>
      </c>
      <c r="S724" s="9" t="s">
        <v>9321</v>
      </c>
      <c r="T724" s="9" t="s">
        <v>4</v>
      </c>
      <c r="U724" s="9"/>
      <c r="V724" s="9"/>
      <c r="W724" s="9"/>
      <c r="X724" s="9"/>
      <c r="Y724" s="9"/>
      <c r="Z724" s="9"/>
      <c r="AA724" s="9"/>
      <c r="AB724" s="9"/>
      <c r="AC724" s="9"/>
    </row>
    <row r="725" spans="1:29" ht="29">
      <c r="A725" s="3" t="s">
        <v>1335</v>
      </c>
      <c r="B725" s="3" t="s">
        <v>6666</v>
      </c>
      <c r="C725" s="3" t="s">
        <v>6667</v>
      </c>
      <c r="G725" s="9" t="s">
        <v>3889</v>
      </c>
      <c r="H725" s="9"/>
      <c r="I725" s="9">
        <v>1</v>
      </c>
      <c r="J725" s="9">
        <v>3</v>
      </c>
      <c r="K725" s="9" t="s">
        <v>8734</v>
      </c>
      <c r="L725" s="9" t="s">
        <v>8690</v>
      </c>
      <c r="M725" s="9"/>
      <c r="N725" s="10"/>
      <c r="O725" s="9"/>
      <c r="P725" s="9">
        <v>698</v>
      </c>
      <c r="Q725" s="9"/>
      <c r="R725" s="9" t="s">
        <v>9321</v>
      </c>
      <c r="S725" s="9" t="s">
        <v>9321</v>
      </c>
      <c r="T725" s="9"/>
      <c r="U725" s="9"/>
      <c r="V725" s="9"/>
      <c r="W725" s="9"/>
      <c r="X725" s="9"/>
      <c r="Y725" s="9"/>
      <c r="Z725" s="9"/>
      <c r="AA725" s="9"/>
      <c r="AB725" s="9"/>
      <c r="AC725" s="9"/>
    </row>
    <row r="726" spans="1:29" ht="29">
      <c r="A726" s="3" t="s">
        <v>1338</v>
      </c>
      <c r="B726" s="3" t="s">
        <v>6679</v>
      </c>
      <c r="C726" s="3" t="s">
        <v>6680</v>
      </c>
      <c r="D726" t="s">
        <v>4397</v>
      </c>
      <c r="F726" t="s">
        <v>3884</v>
      </c>
      <c r="G726" s="9" t="s">
        <v>8731</v>
      </c>
      <c r="H726" s="9"/>
      <c r="I726" s="9"/>
      <c r="J726" s="9"/>
      <c r="K726" s="9"/>
      <c r="L726" s="9"/>
      <c r="M726" s="9"/>
      <c r="N726" s="10"/>
      <c r="O726" s="9"/>
      <c r="P726" s="9"/>
      <c r="Q726" s="9"/>
      <c r="R726" s="9" t="s">
        <v>9321</v>
      </c>
      <c r="S726" s="9" t="s">
        <v>9321</v>
      </c>
      <c r="T726" s="9"/>
      <c r="U726" s="9"/>
      <c r="V726" s="9"/>
      <c r="W726" s="9"/>
      <c r="X726" s="9"/>
      <c r="Y726" s="9"/>
      <c r="Z726" s="9"/>
      <c r="AA726" s="9"/>
      <c r="AB726" s="9"/>
      <c r="AC726" s="9"/>
    </row>
    <row r="727" spans="1:29" ht="29">
      <c r="A727" s="3" t="s">
        <v>1339</v>
      </c>
      <c r="B727" s="3" t="s">
        <v>6683</v>
      </c>
      <c r="C727" s="3" t="s">
        <v>5389</v>
      </c>
      <c r="F727" t="s">
        <v>3892</v>
      </c>
      <c r="G727" s="9" t="s">
        <v>8729</v>
      </c>
      <c r="H727" s="9"/>
      <c r="I727" s="9"/>
      <c r="J727" s="9"/>
      <c r="K727" s="9"/>
      <c r="L727" s="9"/>
      <c r="M727" s="9"/>
      <c r="N727" s="10"/>
      <c r="O727" s="9"/>
      <c r="P727" s="9"/>
      <c r="Q727" s="9">
        <v>4</v>
      </c>
      <c r="R727" s="9">
        <v>19</v>
      </c>
      <c r="S727" s="9">
        <v>23</v>
      </c>
      <c r="T727" s="9"/>
      <c r="U727" s="9"/>
      <c r="V727" s="9"/>
      <c r="W727" s="9"/>
      <c r="X727" s="9"/>
      <c r="Y727" s="9"/>
      <c r="Z727" s="9"/>
      <c r="AA727" s="9"/>
      <c r="AB727" s="9"/>
      <c r="AC727" s="9"/>
    </row>
    <row r="728" spans="1:29" ht="29">
      <c r="A728" s="3" t="s">
        <v>1339</v>
      </c>
      <c r="B728" s="3" t="s">
        <v>6685</v>
      </c>
      <c r="C728" s="3" t="s">
        <v>6686</v>
      </c>
      <c r="G728" s="9" t="s">
        <v>8731</v>
      </c>
      <c r="H728" s="9"/>
      <c r="I728" s="9"/>
      <c r="J728" s="9"/>
      <c r="K728" s="9"/>
      <c r="L728" s="9"/>
      <c r="M728" s="9"/>
      <c r="N728" s="10"/>
      <c r="O728" s="9"/>
      <c r="P728" s="9"/>
      <c r="Q728" s="9"/>
      <c r="R728" s="9" t="s">
        <v>9321</v>
      </c>
      <c r="S728" s="9" t="s">
        <v>9321</v>
      </c>
      <c r="T728" s="9"/>
      <c r="U728" s="9"/>
      <c r="V728" s="9"/>
      <c r="W728" s="9"/>
      <c r="X728" s="9"/>
      <c r="Y728" s="9"/>
      <c r="Z728" s="9"/>
      <c r="AA728" s="9"/>
      <c r="AB728" s="9"/>
      <c r="AC728" s="9"/>
    </row>
    <row r="729" spans="1:29" ht="29">
      <c r="A729" s="3" t="s">
        <v>1340</v>
      </c>
      <c r="B729" s="3" t="s">
        <v>6687</v>
      </c>
      <c r="C729" s="3" t="s">
        <v>6688</v>
      </c>
      <c r="F729" t="s">
        <v>3884</v>
      </c>
      <c r="G729" s="9" t="s">
        <v>3889</v>
      </c>
      <c r="H729" s="9"/>
      <c r="I729" s="9">
        <v>1</v>
      </c>
      <c r="J729" s="9">
        <v>5</v>
      </c>
      <c r="K729" s="9" t="s">
        <v>8703</v>
      </c>
      <c r="L729" s="9" t="s">
        <v>8690</v>
      </c>
      <c r="M729" s="9"/>
      <c r="N729" s="10"/>
      <c r="O729" s="9"/>
      <c r="P729" s="9">
        <v>494</v>
      </c>
      <c r="Q729" s="9"/>
      <c r="R729" s="9" t="s">
        <v>9321</v>
      </c>
      <c r="S729" s="9" t="s">
        <v>9321</v>
      </c>
      <c r="T729" s="9"/>
      <c r="U729" s="9"/>
      <c r="V729" s="9"/>
      <c r="W729" s="9"/>
      <c r="X729" s="9"/>
      <c r="Y729" s="9"/>
      <c r="Z729" s="9"/>
      <c r="AA729" s="9"/>
      <c r="AB729" s="9"/>
      <c r="AC729" s="9"/>
    </row>
    <row r="730" spans="1:29" ht="29">
      <c r="A730" s="3" t="s">
        <v>1344</v>
      </c>
      <c r="B730" s="3" t="s">
        <v>9113</v>
      </c>
      <c r="C730" s="3" t="s">
        <v>6695</v>
      </c>
      <c r="G730" s="9" t="s">
        <v>8729</v>
      </c>
      <c r="H730" s="9"/>
      <c r="I730" s="9"/>
      <c r="J730" s="9"/>
      <c r="K730" s="9"/>
      <c r="L730" s="9"/>
      <c r="M730" s="9"/>
      <c r="N730" s="10"/>
      <c r="O730" s="9"/>
      <c r="P730" s="9"/>
      <c r="Q730" s="9">
        <v>1484</v>
      </c>
      <c r="R730" s="9">
        <v>1</v>
      </c>
      <c r="S730" s="9">
        <v>1485</v>
      </c>
      <c r="T730" s="9"/>
      <c r="U730" s="9"/>
      <c r="V730" s="9"/>
      <c r="W730" s="9"/>
      <c r="X730" s="9"/>
      <c r="Y730" s="9"/>
      <c r="Z730" s="9"/>
      <c r="AA730" s="9"/>
      <c r="AB730" s="9"/>
      <c r="AC730" s="9"/>
    </row>
    <row r="731" spans="1:29" ht="29">
      <c r="A731" s="3" t="s">
        <v>1345</v>
      </c>
      <c r="B731" s="3" t="s">
        <v>6696</v>
      </c>
      <c r="C731" s="3" t="s">
        <v>6697</v>
      </c>
      <c r="G731" s="9" t="s">
        <v>3889</v>
      </c>
      <c r="H731" s="9"/>
      <c r="I731" s="9">
        <v>1</v>
      </c>
      <c r="J731" s="9">
        <v>3</v>
      </c>
      <c r="K731" s="9" t="s">
        <v>8707</v>
      </c>
      <c r="L731" s="9" t="s">
        <v>8690</v>
      </c>
      <c r="M731" s="9"/>
      <c r="N731" s="10"/>
      <c r="O731" s="9"/>
      <c r="P731" s="9">
        <v>872</v>
      </c>
      <c r="Q731" s="9"/>
      <c r="R731" s="9" t="s">
        <v>9321</v>
      </c>
      <c r="S731" s="9" t="s">
        <v>9321</v>
      </c>
      <c r="T731" s="9"/>
      <c r="U731" s="9"/>
      <c r="V731" s="9"/>
      <c r="W731" s="9"/>
      <c r="X731" s="9"/>
      <c r="Y731" s="9"/>
      <c r="Z731" s="9"/>
      <c r="AA731" s="9"/>
      <c r="AB731" s="9"/>
      <c r="AC731" s="9"/>
    </row>
    <row r="732" spans="1:29">
      <c r="A732" s="3" t="s">
        <v>1349</v>
      </c>
      <c r="B732" s="3" t="s">
        <v>6706</v>
      </c>
      <c r="C732" s="3" t="s">
        <v>6707</v>
      </c>
      <c r="F732" t="s">
        <v>3884</v>
      </c>
      <c r="G732" s="9" t="s">
        <v>8731</v>
      </c>
      <c r="H732" s="9"/>
      <c r="I732" s="9"/>
      <c r="J732" s="9"/>
      <c r="K732" s="9"/>
      <c r="L732" s="9"/>
      <c r="M732" s="9"/>
      <c r="N732" s="10"/>
      <c r="O732" s="9"/>
      <c r="P732" s="9"/>
      <c r="Q732" s="9"/>
      <c r="R732" s="9" t="s">
        <v>9321</v>
      </c>
      <c r="S732" s="9" t="s">
        <v>9321</v>
      </c>
      <c r="T732" s="9"/>
      <c r="U732" s="9"/>
      <c r="V732" s="9"/>
      <c r="W732" s="9"/>
      <c r="X732" s="9"/>
      <c r="Y732" s="9"/>
      <c r="Z732" s="9"/>
      <c r="AA732" s="9"/>
      <c r="AB732" s="9"/>
      <c r="AC732" s="9"/>
    </row>
    <row r="733" spans="1:29">
      <c r="A733" s="3" t="s">
        <v>1349</v>
      </c>
      <c r="B733" s="3" t="s">
        <v>6708</v>
      </c>
      <c r="C733" s="3" t="s">
        <v>6709</v>
      </c>
      <c r="G733" s="9" t="s">
        <v>3889</v>
      </c>
      <c r="H733" s="9"/>
      <c r="I733" s="9">
        <v>1</v>
      </c>
      <c r="J733" s="9">
        <v>1</v>
      </c>
      <c r="K733" s="9" t="s">
        <v>8683</v>
      </c>
      <c r="L733" s="9" t="s">
        <v>8730</v>
      </c>
      <c r="M733" s="9"/>
      <c r="N733" s="10"/>
      <c r="O733" s="9"/>
      <c r="P733" s="9">
        <v>15</v>
      </c>
      <c r="Q733" s="9"/>
      <c r="R733" s="9" t="s">
        <v>9321</v>
      </c>
      <c r="S733" s="9" t="s">
        <v>9321</v>
      </c>
      <c r="T733" s="9"/>
      <c r="U733" s="9"/>
      <c r="V733" s="9"/>
      <c r="W733" s="9"/>
      <c r="X733" s="9"/>
      <c r="Y733" s="9"/>
      <c r="Z733" s="9"/>
      <c r="AA733" s="9"/>
      <c r="AB733" s="9"/>
      <c r="AC733" s="9"/>
    </row>
    <row r="734" spans="1:29" ht="29">
      <c r="A734" s="3" t="s">
        <v>1351</v>
      </c>
      <c r="B734" s="3" t="s">
        <v>6713</v>
      </c>
      <c r="C734" s="3" t="s">
        <v>6714</v>
      </c>
      <c r="F734" t="s">
        <v>3884</v>
      </c>
      <c r="G734" s="9" t="s">
        <v>8731</v>
      </c>
      <c r="H734" s="9"/>
      <c r="I734" s="9"/>
      <c r="J734" s="9"/>
      <c r="K734" s="9"/>
      <c r="L734" s="9"/>
      <c r="M734" s="9"/>
      <c r="N734" s="10"/>
      <c r="O734" s="9"/>
      <c r="P734" s="9"/>
      <c r="Q734" s="9"/>
      <c r="R734" s="9" t="s">
        <v>9321</v>
      </c>
      <c r="S734" s="9" t="s">
        <v>9321</v>
      </c>
      <c r="T734" s="9"/>
      <c r="U734" s="9"/>
      <c r="V734" s="9"/>
      <c r="W734" s="9"/>
      <c r="X734" s="9"/>
      <c r="Y734" s="9"/>
      <c r="Z734" s="9"/>
      <c r="AA734" s="9"/>
      <c r="AB734" s="9"/>
      <c r="AC734" s="9"/>
    </row>
    <row r="735" spans="1:29" ht="29">
      <c r="A735" s="3" t="s">
        <v>1352</v>
      </c>
      <c r="B735" s="3" t="s">
        <v>6719</v>
      </c>
      <c r="C735" s="3" t="s">
        <v>6720</v>
      </c>
      <c r="G735" s="9" t="s">
        <v>3885</v>
      </c>
      <c r="H735" s="9"/>
      <c r="I735" s="9">
        <v>1</v>
      </c>
      <c r="J735" s="9">
        <v>1</v>
      </c>
      <c r="K735" s="9" t="s">
        <v>8705</v>
      </c>
      <c r="L735" s="9" t="s">
        <v>8730</v>
      </c>
      <c r="M735" s="9"/>
      <c r="N735" s="10"/>
      <c r="O735" s="9"/>
      <c r="P735" s="9">
        <v>615</v>
      </c>
      <c r="Q735" s="9"/>
      <c r="R735" s="9" t="s">
        <v>9321</v>
      </c>
      <c r="S735" s="9" t="s">
        <v>9321</v>
      </c>
      <c r="T735" s="9"/>
      <c r="U735" s="9"/>
      <c r="V735" s="9"/>
      <c r="W735" s="9"/>
      <c r="X735" s="9"/>
      <c r="Y735" s="9"/>
      <c r="Z735" s="9"/>
      <c r="AA735" s="9"/>
      <c r="AB735" s="9"/>
      <c r="AC735" s="9"/>
    </row>
    <row r="736" spans="1:29" ht="29">
      <c r="A736" s="3" t="s">
        <v>1356</v>
      </c>
      <c r="B736" s="3" t="s">
        <v>6733</v>
      </c>
      <c r="C736" s="3" t="s">
        <v>6734</v>
      </c>
      <c r="G736" s="9" t="s">
        <v>3885</v>
      </c>
      <c r="H736" s="9"/>
      <c r="I736" s="9">
        <v>1</v>
      </c>
      <c r="J736" s="9">
        <v>3</v>
      </c>
      <c r="K736" s="9" t="s">
        <v>8689</v>
      </c>
      <c r="L736" s="9" t="s">
        <v>8730</v>
      </c>
      <c r="M736" s="9"/>
      <c r="N736" s="10"/>
      <c r="O736" s="9"/>
      <c r="P736" s="9">
        <v>10929</v>
      </c>
      <c r="Q736" s="9"/>
      <c r="R736" s="9" t="s">
        <v>9321</v>
      </c>
      <c r="S736" s="9" t="s">
        <v>9321</v>
      </c>
      <c r="T736" s="9"/>
      <c r="U736" s="9"/>
      <c r="V736" s="9"/>
      <c r="W736" s="9"/>
      <c r="X736" s="9"/>
      <c r="Y736" s="9"/>
      <c r="Z736" s="9"/>
      <c r="AA736" s="9"/>
      <c r="AB736" s="9"/>
      <c r="AC736" s="9"/>
    </row>
    <row r="737" spans="1:29" ht="29">
      <c r="A737" s="3" t="s">
        <v>1357</v>
      </c>
      <c r="B737" s="3" t="s">
        <v>6737</v>
      </c>
      <c r="C737" s="3" t="s">
        <v>6738</v>
      </c>
      <c r="F737" t="s">
        <v>3892</v>
      </c>
      <c r="G737" s="9" t="s">
        <v>8731</v>
      </c>
      <c r="H737" s="9"/>
      <c r="I737" s="9"/>
      <c r="J737" s="9"/>
      <c r="K737" s="9"/>
      <c r="L737" s="9"/>
      <c r="M737" s="9"/>
      <c r="N737" s="10"/>
      <c r="O737" s="9"/>
      <c r="P737" s="9"/>
      <c r="Q737" s="9"/>
      <c r="R737" s="9" t="s">
        <v>9321</v>
      </c>
      <c r="S737" s="9" t="s">
        <v>9321</v>
      </c>
      <c r="T737" s="9"/>
      <c r="U737" s="9"/>
      <c r="V737" s="9"/>
      <c r="W737" s="9"/>
      <c r="X737" s="9"/>
      <c r="Y737" s="9"/>
      <c r="Z737" s="9"/>
      <c r="AA737" s="9"/>
      <c r="AB737" s="9"/>
      <c r="AC737" s="9"/>
    </row>
    <row r="738" spans="1:29" ht="29">
      <c r="A738" s="3" t="s">
        <v>1358</v>
      </c>
      <c r="B738" s="3" t="s">
        <v>6740</v>
      </c>
      <c r="C738" s="3" t="s">
        <v>6741</v>
      </c>
      <c r="G738" s="9" t="s">
        <v>8731</v>
      </c>
      <c r="H738" s="9"/>
      <c r="I738" s="9"/>
      <c r="J738" s="9"/>
      <c r="K738" s="9"/>
      <c r="L738" s="9"/>
      <c r="M738" s="9"/>
      <c r="N738" s="10"/>
      <c r="O738" s="9"/>
      <c r="P738" s="9"/>
      <c r="Q738" s="9"/>
      <c r="R738" s="9" t="s">
        <v>9321</v>
      </c>
      <c r="S738" s="9" t="s">
        <v>9321</v>
      </c>
      <c r="T738" s="9"/>
      <c r="U738" s="9"/>
      <c r="V738" s="9"/>
      <c r="W738" s="9"/>
      <c r="X738" s="9"/>
      <c r="Y738" s="9"/>
      <c r="Z738" s="9"/>
      <c r="AA738" s="9"/>
      <c r="AB738" s="9"/>
      <c r="AC738" s="9"/>
    </row>
    <row r="739" spans="1:29" ht="29">
      <c r="A739" s="3" t="s">
        <v>1361</v>
      </c>
      <c r="B739" s="3" t="s">
        <v>6753</v>
      </c>
      <c r="C739" s="3" t="s">
        <v>6754</v>
      </c>
      <c r="G739" s="9" t="s">
        <v>8729</v>
      </c>
      <c r="H739" s="9"/>
      <c r="I739" s="9"/>
      <c r="J739" s="9"/>
      <c r="K739" s="9"/>
      <c r="L739" s="9"/>
      <c r="M739" s="9"/>
      <c r="N739" s="10"/>
      <c r="O739" s="9"/>
      <c r="P739" s="9"/>
      <c r="Q739" s="9">
        <v>-3609</v>
      </c>
      <c r="R739" s="9">
        <v>3678</v>
      </c>
      <c r="S739" s="9">
        <v>69</v>
      </c>
      <c r="T739" s="9"/>
      <c r="U739" s="9"/>
      <c r="V739" s="9"/>
      <c r="W739" s="9"/>
      <c r="X739" s="9"/>
      <c r="Y739" s="9"/>
      <c r="Z739" s="9"/>
      <c r="AA739" s="9"/>
      <c r="AB739" s="9"/>
      <c r="AC739" s="9"/>
    </row>
    <row r="740" spans="1:29" ht="29">
      <c r="A740" s="3" t="s">
        <v>1362</v>
      </c>
      <c r="B740" s="3" t="s">
        <v>6757</v>
      </c>
      <c r="C740" s="3" t="s">
        <v>6758</v>
      </c>
      <c r="F740" t="s">
        <v>3884</v>
      </c>
      <c r="G740" s="9" t="s">
        <v>8729</v>
      </c>
      <c r="H740" s="9"/>
      <c r="I740" s="9"/>
      <c r="J740" s="9"/>
      <c r="K740" s="9"/>
      <c r="L740" s="9"/>
      <c r="M740" s="9"/>
      <c r="N740" s="10"/>
      <c r="O740" s="9"/>
      <c r="P740" s="9"/>
      <c r="Q740" s="9">
        <v>62</v>
      </c>
      <c r="R740" s="9">
        <v>146</v>
      </c>
      <c r="S740" s="9">
        <v>208</v>
      </c>
      <c r="T740" s="9"/>
      <c r="U740" s="9"/>
      <c r="V740" s="9"/>
      <c r="W740" s="9"/>
      <c r="X740" s="9"/>
      <c r="Y740" s="9"/>
      <c r="Z740" s="9"/>
      <c r="AA740" s="9"/>
      <c r="AB740" s="9"/>
      <c r="AC740" s="9"/>
    </row>
    <row r="741" spans="1:29" ht="29">
      <c r="A741" s="3" t="s">
        <v>1364</v>
      </c>
      <c r="B741" s="3" t="s">
        <v>6768</v>
      </c>
      <c r="C741" s="3" t="s">
        <v>6769</v>
      </c>
      <c r="G741" s="9" t="s">
        <v>3885</v>
      </c>
      <c r="H741" s="9"/>
      <c r="I741" s="9">
        <v>1</v>
      </c>
      <c r="J741" s="9">
        <v>1</v>
      </c>
      <c r="K741" s="9" t="s">
        <v>8689</v>
      </c>
      <c r="L741" s="9" t="s">
        <v>8730</v>
      </c>
      <c r="M741" s="9"/>
      <c r="N741" s="10"/>
      <c r="O741" s="9" t="s">
        <v>8685</v>
      </c>
      <c r="P741" s="9">
        <v>10929</v>
      </c>
      <c r="Q741" s="9"/>
      <c r="R741" s="9" t="s">
        <v>9321</v>
      </c>
      <c r="S741" s="9" t="s">
        <v>9321</v>
      </c>
      <c r="T741" s="9"/>
      <c r="U741" s="9"/>
      <c r="V741" s="9"/>
      <c r="W741" s="9"/>
      <c r="X741" s="9"/>
      <c r="Y741" s="9"/>
      <c r="Z741" s="9"/>
      <c r="AA741" s="9"/>
      <c r="AB741" s="9"/>
      <c r="AC741" s="9"/>
    </row>
    <row r="742" spans="1:29" ht="29">
      <c r="A742" s="3" t="s">
        <v>1365</v>
      </c>
      <c r="B742" s="3" t="s">
        <v>6771</v>
      </c>
      <c r="C742" s="3" t="s">
        <v>6772</v>
      </c>
      <c r="G742" s="9" t="s">
        <v>8729</v>
      </c>
      <c r="H742" s="9"/>
      <c r="I742" s="9"/>
      <c r="J742" s="9"/>
      <c r="K742" s="9"/>
      <c r="L742" s="9"/>
      <c r="M742" s="9"/>
      <c r="N742" s="10"/>
      <c r="O742" s="9"/>
      <c r="P742" s="9"/>
      <c r="Q742" s="9">
        <v>412</v>
      </c>
      <c r="R742" s="9">
        <v>203</v>
      </c>
      <c r="S742" s="9">
        <v>615</v>
      </c>
      <c r="T742" s="9"/>
      <c r="U742" s="9"/>
      <c r="V742" s="9"/>
      <c r="W742" s="9"/>
      <c r="X742" s="9"/>
      <c r="Y742" s="9"/>
      <c r="Z742" s="9"/>
      <c r="AA742" s="9"/>
      <c r="AB742" s="9"/>
      <c r="AC742" s="9"/>
    </row>
    <row r="743" spans="1:29" ht="29">
      <c r="A743" s="3" t="s">
        <v>1365</v>
      </c>
      <c r="B743" s="3" t="s">
        <v>6770</v>
      </c>
      <c r="C743" s="3" t="s">
        <v>6773</v>
      </c>
      <c r="F743" t="s">
        <v>3884</v>
      </c>
      <c r="G743" s="9" t="s">
        <v>3885</v>
      </c>
      <c r="H743" s="9"/>
      <c r="I743" s="9">
        <v>1</v>
      </c>
      <c r="J743" s="9">
        <v>3</v>
      </c>
      <c r="K743" s="9" t="s">
        <v>8705</v>
      </c>
      <c r="L743" s="9" t="s">
        <v>8690</v>
      </c>
      <c r="M743" s="9"/>
      <c r="N743" s="10"/>
      <c r="O743" s="9"/>
      <c r="P743" s="9">
        <v>1485</v>
      </c>
      <c r="Q743" s="9"/>
      <c r="R743" s="9" t="s">
        <v>9321</v>
      </c>
      <c r="S743" s="9" t="s">
        <v>9321</v>
      </c>
      <c r="T743" s="9"/>
      <c r="U743" s="9"/>
      <c r="V743" s="9"/>
      <c r="W743" s="9"/>
      <c r="X743" s="9"/>
      <c r="Y743" s="9"/>
      <c r="Z743" s="9"/>
      <c r="AA743" s="9"/>
      <c r="AB743" s="9"/>
      <c r="AC743" s="9"/>
    </row>
    <row r="744" spans="1:29" ht="29">
      <c r="A744" s="3" t="s">
        <v>1366</v>
      </c>
      <c r="B744" s="3" t="s">
        <v>6780</v>
      </c>
      <c r="C744" s="3" t="s">
        <v>6781</v>
      </c>
      <c r="F744" t="s">
        <v>3892</v>
      </c>
      <c r="G744" s="9" t="s">
        <v>3885</v>
      </c>
      <c r="H744" s="9"/>
      <c r="I744" s="9">
        <v>1</v>
      </c>
      <c r="J744" s="9">
        <v>4</v>
      </c>
      <c r="K744" s="9" t="s">
        <v>8705</v>
      </c>
      <c r="L744" s="9" t="s">
        <v>8690</v>
      </c>
      <c r="M744" s="9"/>
      <c r="N744" s="10"/>
      <c r="O744" s="9"/>
      <c r="P744" s="9">
        <v>3678</v>
      </c>
      <c r="Q744" s="9"/>
      <c r="R744" s="9" t="s">
        <v>9321</v>
      </c>
      <c r="S744" s="9" t="s">
        <v>9321</v>
      </c>
      <c r="T744" s="9"/>
      <c r="U744" s="9"/>
      <c r="V744" s="9"/>
      <c r="W744" s="9"/>
      <c r="X744" s="9"/>
      <c r="Y744" s="9"/>
      <c r="Z744" s="9"/>
      <c r="AA744" s="9"/>
      <c r="AB744" s="9"/>
      <c r="AC744" s="9"/>
    </row>
    <row r="745" spans="1:29">
      <c r="A745" s="3" t="s">
        <v>1374</v>
      </c>
      <c r="B745" s="3" t="s">
        <v>6806</v>
      </c>
      <c r="C745" s="3" t="s">
        <v>6807</v>
      </c>
      <c r="G745" s="9" t="s">
        <v>3889</v>
      </c>
      <c r="H745" s="9"/>
      <c r="I745" s="9">
        <v>1</v>
      </c>
      <c r="J745" s="9">
        <v>1</v>
      </c>
      <c r="K745" s="9" t="s">
        <v>8689</v>
      </c>
      <c r="L745" s="9" t="s">
        <v>8730</v>
      </c>
      <c r="M745" s="9"/>
      <c r="N745" s="10"/>
      <c r="O745" s="9"/>
      <c r="P745" s="9">
        <v>10929</v>
      </c>
      <c r="Q745" s="9"/>
      <c r="R745" s="9" t="s">
        <v>9321</v>
      </c>
      <c r="S745" s="9" t="s">
        <v>9321</v>
      </c>
      <c r="T745" s="9"/>
      <c r="U745" s="9"/>
      <c r="V745" s="9"/>
      <c r="W745" s="9"/>
      <c r="X745" s="9"/>
      <c r="Y745" s="9"/>
      <c r="Z745" s="9"/>
      <c r="AA745" s="9"/>
      <c r="AB745" s="9"/>
      <c r="AC745" s="9"/>
    </row>
    <row r="746" spans="1:29">
      <c r="A746" s="3" t="s">
        <v>1374</v>
      </c>
      <c r="B746" s="3" t="s">
        <v>6810</v>
      </c>
      <c r="C746" s="3" t="s">
        <v>6811</v>
      </c>
      <c r="G746" s="9" t="s">
        <v>3889</v>
      </c>
      <c r="H746" s="9"/>
      <c r="I746" s="9">
        <v>1</v>
      </c>
      <c r="J746" s="9">
        <v>3</v>
      </c>
      <c r="K746" s="9" t="s">
        <v>8689</v>
      </c>
      <c r="L746" s="9" t="s">
        <v>8690</v>
      </c>
      <c r="M746" s="9"/>
      <c r="N746" s="10"/>
      <c r="O746" s="9"/>
      <c r="P746" s="9">
        <v>10929</v>
      </c>
      <c r="Q746" s="9"/>
      <c r="R746" s="9" t="s">
        <v>9321</v>
      </c>
      <c r="S746" s="9" t="s">
        <v>9321</v>
      </c>
      <c r="T746" s="9"/>
      <c r="U746" s="9"/>
      <c r="V746" s="9"/>
      <c r="W746" s="9"/>
      <c r="X746" s="9"/>
      <c r="Y746" s="9"/>
      <c r="Z746" s="9"/>
      <c r="AA746" s="9"/>
      <c r="AB746" s="9"/>
      <c r="AC746" s="9"/>
    </row>
    <row r="747" spans="1:29">
      <c r="A747" s="3" t="s">
        <v>1376</v>
      </c>
      <c r="B747" s="3" t="s">
        <v>6815</v>
      </c>
      <c r="C747" s="3" t="s">
        <v>6816</v>
      </c>
      <c r="F747" t="s">
        <v>3884</v>
      </c>
      <c r="G747" s="9" t="s">
        <v>8729</v>
      </c>
      <c r="H747" s="9"/>
      <c r="I747" s="9"/>
      <c r="J747" s="9"/>
      <c r="K747" s="9"/>
      <c r="L747" s="9"/>
      <c r="M747" s="9"/>
      <c r="N747" s="10"/>
      <c r="O747" s="9"/>
      <c r="P747" s="9"/>
      <c r="Q747" s="9">
        <v>-164</v>
      </c>
      <c r="R747" s="9">
        <v>165</v>
      </c>
      <c r="S747" s="9">
        <v>1</v>
      </c>
      <c r="T747" s="9"/>
      <c r="U747" s="9"/>
      <c r="V747" s="9"/>
      <c r="W747" s="9"/>
      <c r="X747" s="9"/>
      <c r="Y747" s="9"/>
      <c r="Z747" s="9"/>
      <c r="AA747" s="9"/>
      <c r="AB747" s="9"/>
      <c r="AC747" s="9"/>
    </row>
    <row r="748" spans="1:29">
      <c r="A748" s="3" t="s">
        <v>1377</v>
      </c>
      <c r="B748" s="3" t="s">
        <v>6817</v>
      </c>
      <c r="C748" s="3" t="s">
        <v>6818</v>
      </c>
      <c r="G748" s="9" t="s">
        <v>3889</v>
      </c>
      <c r="H748" s="9"/>
      <c r="I748" s="9">
        <v>1</v>
      </c>
      <c r="J748" s="9">
        <v>3</v>
      </c>
      <c r="K748" s="9" t="s">
        <v>8689</v>
      </c>
      <c r="L748" s="9" t="s">
        <v>8690</v>
      </c>
      <c r="M748" s="9"/>
      <c r="N748" s="10"/>
      <c r="O748" s="9"/>
      <c r="P748" s="9">
        <v>10929</v>
      </c>
      <c r="Q748" s="9"/>
      <c r="R748" s="9" t="s">
        <v>9321</v>
      </c>
      <c r="S748" s="9" t="s">
        <v>9321</v>
      </c>
      <c r="T748" s="9"/>
      <c r="U748" s="9"/>
      <c r="V748" s="9"/>
      <c r="W748" s="9"/>
      <c r="X748" s="9"/>
      <c r="Y748" s="9"/>
      <c r="Z748" s="9"/>
      <c r="AA748" s="9"/>
      <c r="AB748" s="9"/>
      <c r="AC748" s="9"/>
    </row>
    <row r="749" spans="1:29">
      <c r="A749" s="3" t="s">
        <v>1379</v>
      </c>
      <c r="B749" s="3" t="s">
        <v>6823</v>
      </c>
      <c r="C749" s="3" t="s">
        <v>6824</v>
      </c>
      <c r="G749" s="9" t="s">
        <v>8731</v>
      </c>
      <c r="H749" s="9"/>
      <c r="I749" s="9"/>
      <c r="J749" s="9"/>
      <c r="K749" s="9"/>
      <c r="L749" s="9"/>
      <c r="M749" s="9"/>
      <c r="N749" s="10"/>
      <c r="O749" s="9"/>
      <c r="P749" s="9"/>
      <c r="Q749" s="9"/>
      <c r="R749" s="9" t="s">
        <v>9321</v>
      </c>
      <c r="S749" s="9" t="s">
        <v>9321</v>
      </c>
      <c r="T749" s="9"/>
      <c r="U749" s="9"/>
      <c r="V749" s="9"/>
      <c r="W749" s="9"/>
      <c r="X749" s="9"/>
      <c r="Y749" s="9"/>
      <c r="Z749" s="9"/>
      <c r="AA749" s="9"/>
      <c r="AB749" s="9"/>
      <c r="AC749" s="9"/>
    </row>
    <row r="750" spans="1:29" ht="29">
      <c r="A750" s="3" t="s">
        <v>1379</v>
      </c>
      <c r="B750" s="3" t="s">
        <v>6827</v>
      </c>
      <c r="C750" s="3" t="s">
        <v>6825</v>
      </c>
      <c r="G750" s="9" t="s">
        <v>3889</v>
      </c>
      <c r="H750" s="9"/>
      <c r="I750" s="9">
        <v>1</v>
      </c>
      <c r="J750" s="9">
        <v>3</v>
      </c>
      <c r="K750" s="9" t="s">
        <v>8689</v>
      </c>
      <c r="L750" s="9" t="s">
        <v>8690</v>
      </c>
      <c r="M750" s="9"/>
      <c r="N750" s="10"/>
      <c r="O750" s="9"/>
      <c r="P750" s="9">
        <v>10929</v>
      </c>
      <c r="Q750" s="9"/>
      <c r="R750" s="9" t="s">
        <v>9321</v>
      </c>
      <c r="S750" s="9" t="s">
        <v>9321</v>
      </c>
      <c r="T750" s="9"/>
      <c r="U750" s="9"/>
      <c r="V750" s="9"/>
      <c r="W750" s="9"/>
      <c r="X750" s="9"/>
      <c r="Y750" s="9"/>
      <c r="Z750" s="9"/>
      <c r="AA750" s="9"/>
      <c r="AB750" s="9"/>
      <c r="AC750" s="9"/>
    </row>
    <row r="751" spans="1:29" ht="29">
      <c r="A751" s="3" t="s">
        <v>1382</v>
      </c>
      <c r="B751" s="3" t="s">
        <v>6842</v>
      </c>
      <c r="C751" s="3" t="s">
        <v>6843</v>
      </c>
      <c r="G751" s="9" t="s">
        <v>8731</v>
      </c>
      <c r="H751" s="9"/>
      <c r="I751" s="9"/>
      <c r="J751" s="9"/>
      <c r="K751" s="9"/>
      <c r="L751" s="9"/>
      <c r="M751" s="9"/>
      <c r="N751" s="10"/>
      <c r="O751" s="9"/>
      <c r="P751" s="9"/>
      <c r="Q751" s="9"/>
      <c r="R751" s="9" t="s">
        <v>9321</v>
      </c>
      <c r="S751" s="9" t="s">
        <v>9321</v>
      </c>
      <c r="T751" s="9"/>
      <c r="U751" s="9"/>
      <c r="V751" s="9"/>
      <c r="W751" s="9"/>
      <c r="X751" s="9"/>
      <c r="Y751" s="9"/>
      <c r="Z751" s="9"/>
      <c r="AA751" s="9"/>
      <c r="AB751" s="9"/>
      <c r="AC751" s="9"/>
    </row>
    <row r="752" spans="1:29" ht="29">
      <c r="A752" s="3" t="s">
        <v>1384</v>
      </c>
      <c r="B752" s="3" t="s">
        <v>6846</v>
      </c>
      <c r="C752" s="3" t="s">
        <v>6847</v>
      </c>
      <c r="F752" t="s">
        <v>3892</v>
      </c>
      <c r="G752" s="9" t="s">
        <v>3889</v>
      </c>
      <c r="H752" s="9"/>
      <c r="I752" s="9">
        <v>1</v>
      </c>
      <c r="J752" s="9">
        <v>2</v>
      </c>
      <c r="K752" s="9" t="s">
        <v>8703</v>
      </c>
      <c r="L752" s="9" t="s">
        <v>8730</v>
      </c>
      <c r="M752" s="9"/>
      <c r="N752" s="10"/>
      <c r="O752" s="9"/>
      <c r="P752" s="9">
        <v>1225</v>
      </c>
      <c r="Q752" s="9"/>
      <c r="R752" s="9" t="s">
        <v>9321</v>
      </c>
      <c r="S752" s="9" t="s">
        <v>9321</v>
      </c>
      <c r="T752" s="9"/>
      <c r="U752" s="9"/>
      <c r="V752" s="9"/>
      <c r="W752" s="9"/>
      <c r="X752" s="9"/>
      <c r="Y752" s="9"/>
      <c r="Z752" s="9"/>
      <c r="AA752" s="9"/>
      <c r="AB752" s="9"/>
      <c r="AC752" s="9"/>
    </row>
    <row r="753" spans="1:29" ht="29">
      <c r="A753" s="3" t="s">
        <v>1385</v>
      </c>
      <c r="B753" s="3" t="s">
        <v>6853</v>
      </c>
      <c r="C753" s="3" t="s">
        <v>6854</v>
      </c>
      <c r="F753" t="s">
        <v>3892</v>
      </c>
      <c r="G753" s="9" t="s">
        <v>8729</v>
      </c>
      <c r="H753" s="9"/>
      <c r="I753" s="9"/>
      <c r="J753" s="9"/>
      <c r="K753" s="9"/>
      <c r="L753" s="9"/>
      <c r="M753" s="9"/>
      <c r="N753" s="10"/>
      <c r="O753" s="9"/>
      <c r="P753" s="9"/>
      <c r="Q753" s="9">
        <v>10686</v>
      </c>
      <c r="R753" s="9">
        <v>243</v>
      </c>
      <c r="S753" s="9">
        <v>10929</v>
      </c>
      <c r="T753" s="9"/>
      <c r="U753" s="9"/>
      <c r="V753" s="9"/>
      <c r="W753" s="9"/>
      <c r="X753" s="9"/>
      <c r="Y753" s="9"/>
      <c r="Z753" s="9"/>
      <c r="AA753" s="9"/>
      <c r="AB753" s="9"/>
      <c r="AC753" s="9"/>
    </row>
    <row r="754" spans="1:29" ht="43.5">
      <c r="A754" s="3" t="s">
        <v>1386</v>
      </c>
      <c r="B754" s="3" t="s">
        <v>9114</v>
      </c>
      <c r="C754" s="3" t="s">
        <v>9115</v>
      </c>
      <c r="F754" t="s">
        <v>3892</v>
      </c>
      <c r="G754" s="9" t="s">
        <v>3889</v>
      </c>
      <c r="H754" s="9"/>
      <c r="I754" s="9">
        <v>3</v>
      </c>
      <c r="J754" s="9">
        <v>15</v>
      </c>
      <c r="K754" s="9"/>
      <c r="L754" s="9" t="s">
        <v>8684</v>
      </c>
      <c r="M754" s="9" t="s">
        <v>8777</v>
      </c>
      <c r="N754" s="10" t="s">
        <v>9116</v>
      </c>
      <c r="O754" s="9"/>
      <c r="P754" s="9">
        <v>15</v>
      </c>
      <c r="Q754" s="9"/>
      <c r="R754" s="9" t="s">
        <v>9321</v>
      </c>
      <c r="S754" s="9" t="s">
        <v>9321</v>
      </c>
      <c r="T754" s="9"/>
      <c r="U754" s="9"/>
      <c r="V754" s="9"/>
      <c r="W754" s="9"/>
      <c r="X754" s="9"/>
      <c r="Y754" s="9"/>
      <c r="Z754" s="9"/>
      <c r="AA754" s="9"/>
      <c r="AB754" s="9"/>
      <c r="AC754" s="9"/>
    </row>
    <row r="755" spans="1:29" ht="29">
      <c r="A755" s="3" t="s">
        <v>1388</v>
      </c>
      <c r="B755" s="3" t="s">
        <v>6858</v>
      </c>
      <c r="C755" s="3" t="s">
        <v>6859</v>
      </c>
      <c r="F755" t="s">
        <v>3884</v>
      </c>
      <c r="G755" s="9" t="s">
        <v>3885</v>
      </c>
      <c r="H755" s="9"/>
      <c r="I755" s="9">
        <v>1</v>
      </c>
      <c r="J755" s="9">
        <v>3</v>
      </c>
      <c r="K755" s="9" t="s">
        <v>8689</v>
      </c>
      <c r="L755" s="9" t="s">
        <v>8690</v>
      </c>
      <c r="M755" s="9"/>
      <c r="N755" s="10"/>
      <c r="O755" s="9"/>
      <c r="P755" s="9">
        <v>10929</v>
      </c>
      <c r="Q755" s="9"/>
      <c r="R755" s="9" t="s">
        <v>9321</v>
      </c>
      <c r="S755" s="9" t="s">
        <v>9321</v>
      </c>
      <c r="T755" s="9"/>
      <c r="U755" s="9"/>
      <c r="V755" s="9"/>
      <c r="W755" s="9"/>
      <c r="X755" s="9"/>
      <c r="Y755" s="9"/>
      <c r="Z755" s="9"/>
      <c r="AA755" s="9"/>
      <c r="AB755" s="9"/>
      <c r="AC755" s="9"/>
    </row>
    <row r="756" spans="1:29" ht="29">
      <c r="A756" s="3" t="s">
        <v>1388</v>
      </c>
      <c r="B756" s="3" t="s">
        <v>6862</v>
      </c>
      <c r="C756" s="3" t="s">
        <v>6863</v>
      </c>
      <c r="G756" s="9" t="s">
        <v>8731</v>
      </c>
      <c r="H756" s="9"/>
      <c r="I756" s="9"/>
      <c r="J756" s="9"/>
      <c r="K756" s="9"/>
      <c r="L756" s="9"/>
      <c r="M756" s="9"/>
      <c r="N756" s="10"/>
      <c r="O756" s="9"/>
      <c r="P756" s="9"/>
      <c r="Q756" s="9"/>
      <c r="R756" s="9" t="s">
        <v>9321</v>
      </c>
      <c r="S756" s="9" t="s">
        <v>9321</v>
      </c>
      <c r="T756" s="9" t="s">
        <v>8728</v>
      </c>
      <c r="U756" s="9"/>
      <c r="V756" s="9"/>
      <c r="W756" s="9"/>
      <c r="X756" s="9"/>
      <c r="Y756" s="9"/>
      <c r="Z756" s="9"/>
      <c r="AA756" s="9"/>
      <c r="AB756" s="9"/>
      <c r="AC756" s="9"/>
    </row>
    <row r="757" spans="1:29" ht="29">
      <c r="A757" s="3" t="s">
        <v>1390</v>
      </c>
      <c r="B757" s="3" t="s">
        <v>6867</v>
      </c>
      <c r="C757" s="3" t="s">
        <v>6868</v>
      </c>
      <c r="G757" s="9" t="s">
        <v>8731</v>
      </c>
      <c r="H757" s="9"/>
      <c r="I757" s="9"/>
      <c r="J757" s="9"/>
      <c r="K757" s="9"/>
      <c r="L757" s="9"/>
      <c r="M757" s="9"/>
      <c r="N757" s="10"/>
      <c r="O757" s="9"/>
      <c r="P757" s="9"/>
      <c r="Q757" s="9"/>
      <c r="R757" s="9" t="s">
        <v>9321</v>
      </c>
      <c r="S757" s="9" t="s">
        <v>9321</v>
      </c>
      <c r="T757" s="9"/>
      <c r="U757" s="9"/>
      <c r="V757" s="9"/>
      <c r="W757" s="9"/>
      <c r="X757" s="9"/>
      <c r="Y757" s="9"/>
      <c r="Z757" s="9"/>
      <c r="AA757" s="9"/>
      <c r="AB757" s="9"/>
      <c r="AC757" s="9"/>
    </row>
    <row r="758" spans="1:29" ht="29">
      <c r="A758" s="3" t="s">
        <v>1391</v>
      </c>
      <c r="B758" s="3" t="s">
        <v>6869</v>
      </c>
      <c r="C758" s="3" t="s">
        <v>6870</v>
      </c>
      <c r="F758" t="s">
        <v>3884</v>
      </c>
      <c r="G758" s="9" t="s">
        <v>3885</v>
      </c>
      <c r="H758" s="9"/>
      <c r="I758" s="9">
        <v>1</v>
      </c>
      <c r="J758" s="9">
        <v>5</v>
      </c>
      <c r="K758" s="9" t="s">
        <v>8683</v>
      </c>
      <c r="L758" s="9" t="s">
        <v>8690</v>
      </c>
      <c r="M758" s="9"/>
      <c r="N758" s="10"/>
      <c r="O758" s="9"/>
      <c r="P758" s="9">
        <v>0</v>
      </c>
      <c r="Q758" s="9"/>
      <c r="R758" s="9" t="s">
        <v>9321</v>
      </c>
      <c r="S758" s="9" t="s">
        <v>9321</v>
      </c>
      <c r="T758" s="9"/>
      <c r="U758" s="9"/>
      <c r="V758" s="9"/>
      <c r="W758" s="9"/>
      <c r="X758" s="9"/>
      <c r="Y758" s="9"/>
      <c r="Z758" s="9"/>
      <c r="AA758" s="9"/>
      <c r="AB758" s="9"/>
      <c r="AC758" s="9"/>
    </row>
    <row r="759" spans="1:29" ht="29">
      <c r="A759" s="3" t="s">
        <v>1393</v>
      </c>
      <c r="B759" s="3" t="s">
        <v>6879</v>
      </c>
      <c r="C759" s="3" t="s">
        <v>6880</v>
      </c>
      <c r="F759" t="s">
        <v>3884</v>
      </c>
      <c r="G759" s="9" t="s">
        <v>8729</v>
      </c>
      <c r="H759" s="9"/>
      <c r="I759" s="9"/>
      <c r="J759" s="9"/>
      <c r="K759" s="9"/>
      <c r="L759" s="9"/>
      <c r="M759" s="9"/>
      <c r="N759" s="10"/>
      <c r="O759" s="9"/>
      <c r="P759" s="9"/>
      <c r="Q759" s="9">
        <v>625</v>
      </c>
      <c r="R759" s="9">
        <v>2</v>
      </c>
      <c r="S759" s="9">
        <v>627</v>
      </c>
      <c r="T759" s="9" t="s">
        <v>8728</v>
      </c>
      <c r="U759" s="9"/>
      <c r="V759" s="9"/>
      <c r="W759" s="9"/>
      <c r="X759" s="9"/>
      <c r="Y759" s="9"/>
      <c r="Z759" s="9"/>
      <c r="AA759" s="9"/>
      <c r="AB759" s="9"/>
      <c r="AC759" s="9" t="s">
        <v>3884</v>
      </c>
    </row>
    <row r="760" spans="1:29">
      <c r="A760" s="3" t="s">
        <v>1398</v>
      </c>
      <c r="B760" s="3" t="s">
        <v>6890</v>
      </c>
      <c r="C760" s="3" t="s">
        <v>6891</v>
      </c>
      <c r="F760" t="s">
        <v>3884</v>
      </c>
      <c r="G760" s="9" t="s">
        <v>3889</v>
      </c>
      <c r="H760" s="9"/>
      <c r="I760" s="9">
        <v>1</v>
      </c>
      <c r="J760" s="9">
        <v>2</v>
      </c>
      <c r="K760" s="9" t="s">
        <v>8689</v>
      </c>
      <c r="L760" s="9" t="s">
        <v>8730</v>
      </c>
      <c r="M760" s="9"/>
      <c r="N760" s="10"/>
      <c r="O760" s="9"/>
      <c r="P760" s="9">
        <v>10929</v>
      </c>
      <c r="Q760" s="9"/>
      <c r="R760" s="9" t="s">
        <v>9321</v>
      </c>
      <c r="S760" s="9" t="s">
        <v>9321</v>
      </c>
      <c r="T760" s="9" t="s">
        <v>8728</v>
      </c>
      <c r="U760" s="9"/>
      <c r="V760" s="9"/>
      <c r="W760" s="9"/>
      <c r="X760" s="9"/>
      <c r="Y760" s="9"/>
      <c r="Z760" s="9"/>
      <c r="AA760" s="9"/>
      <c r="AB760" s="9"/>
      <c r="AC760" s="9"/>
    </row>
    <row r="761" spans="1:29" ht="29">
      <c r="A761" s="3" t="s">
        <v>1400</v>
      </c>
      <c r="B761" s="3" t="s">
        <v>6896</v>
      </c>
      <c r="C761" s="3" t="s">
        <v>6897</v>
      </c>
      <c r="G761" s="9" t="s">
        <v>3889</v>
      </c>
      <c r="H761" s="9"/>
      <c r="I761" s="9">
        <v>1</v>
      </c>
      <c r="J761" s="9">
        <v>3</v>
      </c>
      <c r="K761" s="9" t="s">
        <v>8689</v>
      </c>
      <c r="L761" s="9" t="s">
        <v>8690</v>
      </c>
      <c r="M761" s="9"/>
      <c r="N761" s="10"/>
      <c r="O761" s="9"/>
      <c r="P761" s="9">
        <v>10929</v>
      </c>
      <c r="Q761" s="9"/>
      <c r="R761" s="9" t="s">
        <v>9321</v>
      </c>
      <c r="S761" s="9" t="s">
        <v>9321</v>
      </c>
      <c r="T761" s="9"/>
      <c r="U761" s="9"/>
      <c r="V761" s="9"/>
      <c r="W761" s="9"/>
      <c r="X761" s="9"/>
      <c r="Y761" s="9"/>
      <c r="Z761" s="9"/>
      <c r="AA761" s="9"/>
      <c r="AB761" s="9"/>
      <c r="AC761" s="9"/>
    </row>
    <row r="762" spans="1:29" ht="29">
      <c r="A762" s="3" t="s">
        <v>1404</v>
      </c>
      <c r="B762" s="3" t="s">
        <v>6902</v>
      </c>
      <c r="C762" s="3" t="s">
        <v>6903</v>
      </c>
      <c r="G762" s="9" t="s">
        <v>8731</v>
      </c>
      <c r="H762" s="9"/>
      <c r="I762" s="9"/>
      <c r="J762" s="9"/>
      <c r="K762" s="9"/>
      <c r="L762" s="9"/>
      <c r="M762" s="9"/>
      <c r="N762" s="10"/>
      <c r="O762" s="9"/>
      <c r="P762" s="9"/>
      <c r="Q762" s="9"/>
      <c r="R762" s="9" t="s">
        <v>9321</v>
      </c>
      <c r="S762" s="9" t="s">
        <v>9321</v>
      </c>
      <c r="T762" s="9"/>
      <c r="U762" s="9"/>
      <c r="V762" s="9"/>
      <c r="W762" s="9"/>
      <c r="X762" s="9"/>
      <c r="Y762" s="9"/>
      <c r="Z762" s="9"/>
      <c r="AA762" s="9"/>
      <c r="AB762" s="9"/>
      <c r="AC762" s="9"/>
    </row>
    <row r="763" spans="1:29" ht="29">
      <c r="A763" s="3" t="s">
        <v>1405</v>
      </c>
      <c r="B763" s="3" t="s">
        <v>6910</v>
      </c>
      <c r="C763" s="3" t="s">
        <v>6907</v>
      </c>
      <c r="F763" t="s">
        <v>3884</v>
      </c>
      <c r="G763" s="9" t="s">
        <v>3889</v>
      </c>
      <c r="H763" s="9"/>
      <c r="I763" s="9">
        <v>1</v>
      </c>
      <c r="J763" s="9">
        <v>3</v>
      </c>
      <c r="K763" s="9" t="s">
        <v>8689</v>
      </c>
      <c r="L763" s="9" t="s">
        <v>8690</v>
      </c>
      <c r="M763" s="9"/>
      <c r="N763" s="10"/>
      <c r="O763" s="9"/>
      <c r="P763" s="9">
        <v>10929</v>
      </c>
      <c r="Q763" s="9"/>
      <c r="R763" s="9" t="s">
        <v>9321</v>
      </c>
      <c r="S763" s="9" t="s">
        <v>9321</v>
      </c>
      <c r="T763" s="9"/>
      <c r="U763" s="9"/>
      <c r="V763" s="9"/>
      <c r="W763" s="9"/>
      <c r="X763" s="9"/>
      <c r="Y763" s="9"/>
      <c r="Z763" s="9"/>
      <c r="AA763" s="9"/>
      <c r="AB763" s="9"/>
      <c r="AC763" s="9"/>
    </row>
    <row r="764" spans="1:29" ht="29">
      <c r="A764" s="3" t="s">
        <v>1408</v>
      </c>
      <c r="B764" s="3" t="s">
        <v>6921</v>
      </c>
      <c r="C764" s="3" t="s">
        <v>6922</v>
      </c>
      <c r="F764" t="s">
        <v>3884</v>
      </c>
      <c r="G764" s="9" t="s">
        <v>3885</v>
      </c>
      <c r="H764" s="9"/>
      <c r="I764" s="9">
        <v>1</v>
      </c>
      <c r="J764" s="9">
        <v>5</v>
      </c>
      <c r="K764" s="9" t="s">
        <v>8705</v>
      </c>
      <c r="L764" s="9" t="s">
        <v>8690</v>
      </c>
      <c r="M764" s="9"/>
      <c r="N764" s="10"/>
      <c r="O764" s="9"/>
      <c r="P764" s="9">
        <v>3678</v>
      </c>
      <c r="Q764" s="9"/>
      <c r="R764" s="9" t="s">
        <v>9321</v>
      </c>
      <c r="S764" s="9" t="s">
        <v>9321</v>
      </c>
      <c r="T764" s="9"/>
      <c r="U764" s="9"/>
      <c r="V764" s="9"/>
      <c r="W764" s="9"/>
      <c r="X764" s="9"/>
      <c r="Y764" s="9"/>
      <c r="Z764" s="9"/>
      <c r="AA764" s="9"/>
      <c r="AB764" s="9"/>
      <c r="AC764" s="9"/>
    </row>
    <row r="765" spans="1:29" ht="29">
      <c r="A765" s="3" t="s">
        <v>1408</v>
      </c>
      <c r="B765" s="3" t="s">
        <v>6923</v>
      </c>
      <c r="C765" s="3" t="s">
        <v>6924</v>
      </c>
      <c r="G765" s="9" t="s">
        <v>8729</v>
      </c>
      <c r="H765" s="9"/>
      <c r="I765" s="9"/>
      <c r="J765" s="9"/>
      <c r="K765" s="9"/>
      <c r="L765" s="9"/>
      <c r="M765" s="9"/>
      <c r="N765" s="10"/>
      <c r="O765" s="9"/>
      <c r="P765" s="9"/>
      <c r="Q765" s="9">
        <v>56</v>
      </c>
      <c r="R765" s="9">
        <v>11</v>
      </c>
      <c r="S765" s="9">
        <v>67</v>
      </c>
      <c r="T765" s="9"/>
      <c r="U765" s="9"/>
      <c r="V765" s="9"/>
      <c r="W765" s="9"/>
      <c r="X765" s="9"/>
      <c r="Y765" s="9"/>
      <c r="Z765" s="9"/>
      <c r="AA765" s="9"/>
      <c r="AB765" s="9"/>
      <c r="AC765" s="9"/>
    </row>
    <row r="766" spans="1:29" ht="29">
      <c r="A766" s="3" t="s">
        <v>1409</v>
      </c>
      <c r="B766" s="3" t="s">
        <v>6928</v>
      </c>
      <c r="C766" s="3" t="s">
        <v>6929</v>
      </c>
      <c r="F766" t="s">
        <v>3884</v>
      </c>
      <c r="G766" s="9" t="s">
        <v>3885</v>
      </c>
      <c r="H766" s="9"/>
      <c r="I766" s="9">
        <v>1</v>
      </c>
      <c r="J766" s="9">
        <v>2</v>
      </c>
      <c r="K766" s="9" t="s">
        <v>8734</v>
      </c>
      <c r="L766" s="9" t="s">
        <v>8730</v>
      </c>
      <c r="M766" s="9"/>
      <c r="N766" s="10"/>
      <c r="O766" s="9" t="s">
        <v>8685</v>
      </c>
      <c r="P766" s="9">
        <v>49</v>
      </c>
      <c r="Q766" s="9"/>
      <c r="R766" s="9" t="s">
        <v>9321</v>
      </c>
      <c r="S766" s="9" t="s">
        <v>9321</v>
      </c>
      <c r="T766" s="9"/>
      <c r="U766" s="9"/>
      <c r="V766" s="9"/>
      <c r="W766" s="9"/>
      <c r="X766" s="9"/>
      <c r="Y766" s="9"/>
      <c r="Z766" s="9"/>
      <c r="AA766" s="9"/>
      <c r="AB766" s="9"/>
      <c r="AC766" s="9"/>
    </row>
    <row r="767" spans="1:29" ht="29">
      <c r="A767" s="3" t="s">
        <v>1409</v>
      </c>
      <c r="B767" s="3" t="s">
        <v>6931</v>
      </c>
      <c r="C767" s="3" t="s">
        <v>6932</v>
      </c>
      <c r="F767" t="s">
        <v>3884</v>
      </c>
      <c r="G767" s="9" t="s">
        <v>8729</v>
      </c>
      <c r="H767" s="9"/>
      <c r="I767" s="9"/>
      <c r="J767" s="9"/>
      <c r="K767" s="9"/>
      <c r="L767" s="9"/>
      <c r="M767" s="9"/>
      <c r="N767" s="10"/>
      <c r="O767" s="9"/>
      <c r="P767" s="9"/>
      <c r="Q767" s="9">
        <v>-802</v>
      </c>
      <c r="R767" s="9">
        <v>872</v>
      </c>
      <c r="S767" s="9">
        <v>70</v>
      </c>
      <c r="T767" s="9"/>
      <c r="U767" s="9"/>
      <c r="V767" s="9"/>
      <c r="W767" s="9"/>
      <c r="X767" s="9"/>
      <c r="Y767" s="9"/>
      <c r="Z767" s="9"/>
      <c r="AA767" s="9"/>
      <c r="AB767" s="9"/>
      <c r="AC767" s="9"/>
    </row>
    <row r="768" spans="1:29" ht="29">
      <c r="A768" s="3" t="s">
        <v>1411</v>
      </c>
      <c r="B768" s="3" t="s">
        <v>6942</v>
      </c>
      <c r="C768" s="3" t="s">
        <v>6943</v>
      </c>
      <c r="F768" t="s">
        <v>3892</v>
      </c>
      <c r="G768" s="9" t="s">
        <v>8729</v>
      </c>
      <c r="H768" s="9"/>
      <c r="I768" s="9"/>
      <c r="J768" s="9"/>
      <c r="K768" s="9"/>
      <c r="L768" s="9"/>
      <c r="M768" s="9"/>
      <c r="N768" s="10"/>
      <c r="O768" s="9"/>
      <c r="P768" s="9"/>
      <c r="Q768" s="9">
        <v>-193</v>
      </c>
      <c r="R768" s="9">
        <v>203</v>
      </c>
      <c r="S768" s="9">
        <v>10</v>
      </c>
      <c r="T768" s="9"/>
      <c r="U768" s="9"/>
      <c r="V768" s="9"/>
      <c r="W768" s="9"/>
      <c r="X768" s="9"/>
      <c r="Y768" s="9"/>
      <c r="Z768" s="9"/>
      <c r="AA768" s="9"/>
      <c r="AB768" s="9"/>
      <c r="AC768" s="9"/>
    </row>
    <row r="769" spans="1:29" ht="29">
      <c r="A769" s="3" t="s">
        <v>1411</v>
      </c>
      <c r="B769" s="3" t="s">
        <v>6944</v>
      </c>
      <c r="C769" s="3" t="s">
        <v>6941</v>
      </c>
      <c r="G769" s="9" t="s">
        <v>3889</v>
      </c>
      <c r="H769" s="9"/>
      <c r="I769" s="9">
        <v>1</v>
      </c>
      <c r="J769" s="9">
        <v>3</v>
      </c>
      <c r="K769" s="9" t="s">
        <v>8689</v>
      </c>
      <c r="L769" s="9" t="s">
        <v>8690</v>
      </c>
      <c r="M769" s="9"/>
      <c r="N769" s="10"/>
      <c r="O769" s="9"/>
      <c r="P769" s="9">
        <v>10929</v>
      </c>
      <c r="Q769" s="9"/>
      <c r="R769" s="9" t="s">
        <v>9321</v>
      </c>
      <c r="S769" s="9" t="s">
        <v>9321</v>
      </c>
      <c r="T769" s="9"/>
      <c r="U769" s="9"/>
      <c r="V769" s="9"/>
      <c r="W769" s="9"/>
      <c r="X769" s="9"/>
      <c r="Y769" s="9"/>
      <c r="Z769" s="9"/>
      <c r="AA769" s="9"/>
      <c r="AB769" s="9"/>
      <c r="AC769" s="9"/>
    </row>
    <row r="770" spans="1:29" ht="29">
      <c r="A770" s="3" t="s">
        <v>1412</v>
      </c>
      <c r="B770" s="3" t="s">
        <v>6945</v>
      </c>
      <c r="C770" s="3" t="s">
        <v>6946</v>
      </c>
      <c r="F770" t="s">
        <v>3884</v>
      </c>
      <c r="G770" s="9" t="s">
        <v>3885</v>
      </c>
      <c r="H770" s="9"/>
      <c r="I770" s="9">
        <v>1</v>
      </c>
      <c r="J770" s="9">
        <v>4</v>
      </c>
      <c r="K770" s="9" t="s">
        <v>8710</v>
      </c>
      <c r="L770" s="9" t="s">
        <v>8690</v>
      </c>
      <c r="M770" s="9"/>
      <c r="N770" s="10"/>
      <c r="O770" s="9"/>
      <c r="P770" s="9">
        <v>266</v>
      </c>
      <c r="Q770" s="9"/>
      <c r="R770" s="9" t="s">
        <v>9321</v>
      </c>
      <c r="S770" s="9" t="s">
        <v>9321</v>
      </c>
      <c r="T770" s="9"/>
      <c r="U770" s="9"/>
      <c r="V770" s="9"/>
      <c r="W770" s="9"/>
      <c r="X770" s="9"/>
      <c r="Y770" s="9"/>
      <c r="Z770" s="9"/>
      <c r="AA770" s="9"/>
      <c r="AB770" s="9"/>
      <c r="AC770" s="9"/>
    </row>
    <row r="771" spans="1:29" ht="29">
      <c r="A771" s="3" t="s">
        <v>1416</v>
      </c>
      <c r="B771" s="3" t="s">
        <v>6956</v>
      </c>
      <c r="C771" s="3" t="s">
        <v>6957</v>
      </c>
      <c r="G771" s="9" t="s">
        <v>3885</v>
      </c>
      <c r="H771" s="9"/>
      <c r="I771" s="9">
        <v>1</v>
      </c>
      <c r="J771" s="9">
        <v>6</v>
      </c>
      <c r="K771" s="9" t="s">
        <v>8703</v>
      </c>
      <c r="L771" s="9" t="s">
        <v>8690</v>
      </c>
      <c r="M771" s="9"/>
      <c r="N771" s="10"/>
      <c r="O771" s="9"/>
      <c r="P771" s="9">
        <v>627</v>
      </c>
      <c r="Q771" s="9"/>
      <c r="R771" s="9" t="s">
        <v>9321</v>
      </c>
      <c r="S771" s="9" t="s">
        <v>9321</v>
      </c>
      <c r="T771" s="9"/>
      <c r="U771" s="9"/>
      <c r="V771" s="9"/>
      <c r="W771" s="9"/>
      <c r="X771" s="9"/>
      <c r="Y771" s="9"/>
      <c r="Z771" s="9"/>
      <c r="AA771" s="9"/>
      <c r="AB771" s="9"/>
      <c r="AC771" s="9"/>
    </row>
    <row r="772" spans="1:29">
      <c r="A772" s="3" t="s">
        <v>1418</v>
      </c>
      <c r="B772" s="3" t="s">
        <v>6958</v>
      </c>
      <c r="C772" s="3" t="s">
        <v>6961</v>
      </c>
      <c r="F772" t="s">
        <v>3884</v>
      </c>
      <c r="G772" s="9" t="s">
        <v>3885</v>
      </c>
      <c r="H772" s="9"/>
      <c r="I772" s="9">
        <v>1</v>
      </c>
      <c r="J772" s="9">
        <v>4</v>
      </c>
      <c r="K772" s="9" t="s">
        <v>8703</v>
      </c>
      <c r="L772" s="9" t="s">
        <v>8690</v>
      </c>
      <c r="M772" s="9"/>
      <c r="N772" s="10"/>
      <c r="O772" s="9"/>
      <c r="P772" s="9">
        <v>797</v>
      </c>
      <c r="Q772" s="9"/>
      <c r="R772" s="9" t="s">
        <v>9321</v>
      </c>
      <c r="S772" s="9" t="s">
        <v>9321</v>
      </c>
      <c r="T772" s="9" t="s">
        <v>8728</v>
      </c>
      <c r="U772" s="9"/>
      <c r="V772" s="9"/>
      <c r="W772" s="9"/>
      <c r="X772" s="9"/>
      <c r="Y772" s="9"/>
      <c r="Z772" s="9"/>
      <c r="AA772" s="9"/>
      <c r="AB772" s="9"/>
      <c r="AC772" s="9"/>
    </row>
    <row r="773" spans="1:29" ht="29">
      <c r="A773" s="3" t="s">
        <v>1427</v>
      </c>
      <c r="B773" s="3" t="s">
        <v>3876</v>
      </c>
      <c r="C773" s="3" t="s">
        <v>2918</v>
      </c>
      <c r="F773" t="s">
        <v>3884</v>
      </c>
      <c r="G773" s="9" t="s">
        <v>8731</v>
      </c>
      <c r="H773" s="9"/>
      <c r="I773" s="9"/>
      <c r="J773" s="9"/>
      <c r="K773" s="9"/>
      <c r="L773" s="9"/>
      <c r="M773" s="9"/>
      <c r="N773" s="10"/>
      <c r="O773" s="9"/>
      <c r="P773" s="9"/>
      <c r="Q773" s="9"/>
      <c r="R773" s="9" t="s">
        <v>9321</v>
      </c>
      <c r="S773" s="9" t="s">
        <v>9321</v>
      </c>
      <c r="T773" s="9"/>
      <c r="U773" s="9"/>
      <c r="V773" s="9"/>
      <c r="W773" s="9"/>
      <c r="X773" s="9"/>
      <c r="Y773" s="9"/>
      <c r="Z773" s="9"/>
      <c r="AA773" s="9"/>
      <c r="AB773" s="9"/>
      <c r="AC773" s="9"/>
    </row>
    <row r="774" spans="1:29" ht="29">
      <c r="A774" s="3" t="s">
        <v>1429</v>
      </c>
      <c r="B774" s="3" t="s">
        <v>7005</v>
      </c>
      <c r="C774" s="3" t="s">
        <v>7006</v>
      </c>
      <c r="F774" t="s">
        <v>3884</v>
      </c>
      <c r="G774" s="9" t="s">
        <v>8729</v>
      </c>
      <c r="H774" s="9"/>
      <c r="I774" s="9"/>
      <c r="J774" s="9"/>
      <c r="K774" s="9"/>
      <c r="L774" s="9"/>
      <c r="M774" s="9"/>
      <c r="N774" s="10"/>
      <c r="O774" s="9"/>
      <c r="P774" s="9"/>
      <c r="Q774" s="9">
        <v>8765</v>
      </c>
      <c r="R774" s="9">
        <v>653</v>
      </c>
      <c r="S774" s="9">
        <v>9418</v>
      </c>
      <c r="T774" s="9"/>
      <c r="U774" s="9"/>
      <c r="V774" s="9"/>
      <c r="W774" s="9"/>
      <c r="X774" s="9"/>
      <c r="Y774" s="9"/>
      <c r="Z774" s="9"/>
      <c r="AA774" s="9"/>
      <c r="AB774" s="9"/>
      <c r="AC774" s="9"/>
    </row>
    <row r="775" spans="1:29" ht="29">
      <c r="A775" s="3" t="s">
        <v>1433</v>
      </c>
      <c r="B775" s="3" t="s">
        <v>7023</v>
      </c>
      <c r="C775" s="3" t="s">
        <v>7024</v>
      </c>
      <c r="G775" s="9" t="s">
        <v>3885</v>
      </c>
      <c r="H775" s="9"/>
      <c r="I775" s="9">
        <v>1</v>
      </c>
      <c r="J775" s="9">
        <v>1</v>
      </c>
      <c r="K775" s="9" t="s">
        <v>8689</v>
      </c>
      <c r="L775" s="9" t="s">
        <v>8730</v>
      </c>
      <c r="M775" s="9"/>
      <c r="N775" s="10"/>
      <c r="O775" s="9"/>
      <c r="P775" s="9">
        <v>10929</v>
      </c>
      <c r="Q775" s="9"/>
      <c r="R775" s="9" t="s">
        <v>9321</v>
      </c>
      <c r="S775" s="9" t="s">
        <v>9321</v>
      </c>
      <c r="T775" s="9"/>
      <c r="U775" s="9"/>
      <c r="V775" s="9"/>
      <c r="W775" s="9"/>
      <c r="X775" s="9"/>
      <c r="Y775" s="9"/>
      <c r="Z775" s="9"/>
      <c r="AA775" s="9"/>
      <c r="AB775" s="9"/>
      <c r="AC775" s="9"/>
    </row>
    <row r="776" spans="1:29" ht="29">
      <c r="A776" s="3" t="s">
        <v>1435</v>
      </c>
      <c r="B776" s="3" t="s">
        <v>7040</v>
      </c>
      <c r="C776" s="3" t="s">
        <v>7041</v>
      </c>
      <c r="G776" s="9" t="s">
        <v>8729</v>
      </c>
      <c r="H776" s="9"/>
      <c r="I776" s="9"/>
      <c r="J776" s="9"/>
      <c r="K776" s="9"/>
      <c r="L776" s="9"/>
      <c r="M776" s="9"/>
      <c r="N776" s="10"/>
      <c r="O776" s="9"/>
      <c r="P776" s="9"/>
      <c r="Q776" s="9">
        <v>-7251</v>
      </c>
      <c r="R776" s="9">
        <v>10929</v>
      </c>
      <c r="S776" s="9">
        <v>3678</v>
      </c>
      <c r="T776" s="9"/>
      <c r="U776" s="9"/>
      <c r="V776" s="9"/>
      <c r="W776" s="9"/>
      <c r="X776" s="9"/>
      <c r="Y776" s="9"/>
      <c r="Z776" s="9"/>
      <c r="AA776" s="9"/>
      <c r="AB776" s="9"/>
      <c r="AC776" s="9"/>
    </row>
    <row r="777" spans="1:29" ht="43.5">
      <c r="A777" s="3" t="s">
        <v>1436</v>
      </c>
      <c r="B777" s="3" t="s">
        <v>9363</v>
      </c>
      <c r="C777" s="3" t="s">
        <v>9364</v>
      </c>
      <c r="F777" t="s">
        <v>3884</v>
      </c>
      <c r="G777" s="9" t="s">
        <v>3885</v>
      </c>
      <c r="H777" s="9"/>
      <c r="I777" s="9">
        <v>1</v>
      </c>
      <c r="J777" s="9">
        <v>8</v>
      </c>
      <c r="K777" s="9" t="s">
        <v>8683</v>
      </c>
      <c r="L777" s="9" t="s">
        <v>8684</v>
      </c>
      <c r="M777" s="9" t="s">
        <v>8771</v>
      </c>
      <c r="N777" s="10" t="s">
        <v>8983</v>
      </c>
      <c r="O777" s="9" t="s">
        <v>8685</v>
      </c>
      <c r="P777" s="9">
        <v>59</v>
      </c>
      <c r="Q777" s="9"/>
      <c r="R777" s="9" t="s">
        <v>9321</v>
      </c>
      <c r="S777" s="9" t="s">
        <v>9321</v>
      </c>
      <c r="T777" s="9" t="s">
        <v>8728</v>
      </c>
      <c r="U777" s="9"/>
      <c r="V777" s="9"/>
      <c r="W777" s="9"/>
      <c r="X777" s="9"/>
      <c r="Y777" s="9"/>
      <c r="Z777" s="9"/>
      <c r="AA777" s="9"/>
      <c r="AB777" s="9"/>
      <c r="AC777" s="9"/>
    </row>
    <row r="778" spans="1:29" ht="29">
      <c r="A778" s="3" t="s">
        <v>1440</v>
      </c>
      <c r="B778" s="3" t="s">
        <v>9524</v>
      </c>
      <c r="C778" s="3" t="s">
        <v>9650</v>
      </c>
      <c r="G778" s="9" t="s">
        <v>3885</v>
      </c>
      <c r="H778" s="9"/>
      <c r="I778" s="9">
        <v>1</v>
      </c>
      <c r="J778" s="9">
        <v>1</v>
      </c>
      <c r="K778" s="9" t="s">
        <v>8689</v>
      </c>
      <c r="L778" s="9" t="s">
        <v>8730</v>
      </c>
      <c r="M778" s="9"/>
      <c r="N778" s="10"/>
      <c r="O778" s="9"/>
      <c r="P778" s="9">
        <v>10929</v>
      </c>
      <c r="Q778" s="9"/>
      <c r="R778" s="9" t="s">
        <v>9321</v>
      </c>
      <c r="S778" s="9" t="s">
        <v>9321</v>
      </c>
      <c r="T778" s="9"/>
      <c r="U778" s="9"/>
      <c r="V778" s="9"/>
      <c r="W778" s="9"/>
      <c r="X778" s="9"/>
      <c r="Y778" s="9"/>
      <c r="Z778" s="9"/>
      <c r="AA778" s="9"/>
      <c r="AB778" s="9"/>
      <c r="AC778" s="9"/>
    </row>
    <row r="779" spans="1:29" ht="87">
      <c r="A779" s="3" t="s">
        <v>1441</v>
      </c>
      <c r="B779" s="3" t="s">
        <v>7055</v>
      </c>
      <c r="C779" s="3" t="s">
        <v>7056</v>
      </c>
      <c r="G779" s="9" t="s">
        <v>3889</v>
      </c>
      <c r="H779" s="9"/>
      <c r="I779" s="9">
        <v>8</v>
      </c>
      <c r="J779" s="9">
        <v>47</v>
      </c>
      <c r="K779" s="9"/>
      <c r="L779" s="9" t="s">
        <v>8684</v>
      </c>
      <c r="M779" s="9" t="s">
        <v>8740</v>
      </c>
      <c r="N779" s="10" t="s">
        <v>8838</v>
      </c>
      <c r="O779" s="9"/>
      <c r="P779" s="9">
        <v>39</v>
      </c>
      <c r="Q779" s="9"/>
      <c r="R779" s="9" t="s">
        <v>9321</v>
      </c>
      <c r="S779" s="9" t="s">
        <v>9321</v>
      </c>
      <c r="T779" s="9"/>
      <c r="U779" s="9"/>
      <c r="V779" s="9"/>
      <c r="W779" s="9"/>
      <c r="X779" s="9"/>
      <c r="Y779" s="9"/>
      <c r="Z779" s="9"/>
      <c r="AA779" s="9"/>
      <c r="AB779" s="9"/>
      <c r="AC779" s="9"/>
    </row>
    <row r="780" spans="1:29" ht="29">
      <c r="A780" s="3" t="s">
        <v>1443</v>
      </c>
      <c r="B780" s="3" t="s">
        <v>7060</v>
      </c>
      <c r="C780" s="3" t="s">
        <v>7061</v>
      </c>
      <c r="G780" s="9" t="s">
        <v>3889</v>
      </c>
      <c r="H780" s="9"/>
      <c r="I780" s="9">
        <v>1</v>
      </c>
      <c r="J780" s="9">
        <v>3</v>
      </c>
      <c r="K780" s="9" t="s">
        <v>8689</v>
      </c>
      <c r="L780" s="9" t="s">
        <v>8690</v>
      </c>
      <c r="M780" s="9"/>
      <c r="N780" s="10"/>
      <c r="O780" s="9"/>
      <c r="P780" s="9">
        <v>10929</v>
      </c>
      <c r="Q780" s="9"/>
      <c r="R780" s="9" t="s">
        <v>9321</v>
      </c>
      <c r="S780" s="9" t="s">
        <v>9321</v>
      </c>
      <c r="T780" s="9" t="s">
        <v>8728</v>
      </c>
      <c r="U780" s="9"/>
      <c r="V780" s="9"/>
      <c r="W780" s="9"/>
      <c r="X780" s="9"/>
      <c r="Y780" s="9"/>
      <c r="Z780" s="9"/>
      <c r="AA780" s="9"/>
      <c r="AB780" s="9"/>
      <c r="AC780" s="9"/>
    </row>
    <row r="781" spans="1:29">
      <c r="A781" s="3" t="s">
        <v>1445</v>
      </c>
      <c r="B781" s="3" t="s">
        <v>7062</v>
      </c>
      <c r="C781" s="3" t="s">
        <v>7063</v>
      </c>
      <c r="F781" t="s">
        <v>3884</v>
      </c>
      <c r="G781" s="9" t="s">
        <v>3885</v>
      </c>
      <c r="H781" s="9"/>
      <c r="I781" s="9">
        <v>1</v>
      </c>
      <c r="J781" s="9">
        <v>3</v>
      </c>
      <c r="K781" s="9" t="s">
        <v>8695</v>
      </c>
      <c r="L781" s="9" t="s">
        <v>8690</v>
      </c>
      <c r="M781" s="9"/>
      <c r="N781" s="10"/>
      <c r="O781" s="9"/>
      <c r="P781" s="9">
        <v>78</v>
      </c>
      <c r="Q781" s="9"/>
      <c r="R781" s="9" t="s">
        <v>9321</v>
      </c>
      <c r="S781" s="9" t="s">
        <v>9321</v>
      </c>
      <c r="T781" s="9"/>
      <c r="U781" s="9"/>
      <c r="V781" s="9"/>
      <c r="W781" s="9"/>
      <c r="X781" s="9"/>
      <c r="Y781" s="9"/>
      <c r="Z781" s="9"/>
      <c r="AA781" s="9"/>
      <c r="AB781" s="9"/>
      <c r="AC781" s="9"/>
    </row>
    <row r="782" spans="1:29" ht="29">
      <c r="A782" s="3" t="s">
        <v>1450</v>
      </c>
      <c r="B782" s="3" t="s">
        <v>7075</v>
      </c>
      <c r="C782" s="3" t="s">
        <v>7076</v>
      </c>
      <c r="G782" s="9" t="s">
        <v>8731</v>
      </c>
      <c r="H782" s="9"/>
      <c r="I782" s="9"/>
      <c r="J782" s="9"/>
      <c r="K782" s="9"/>
      <c r="L782" s="9"/>
      <c r="M782" s="9"/>
      <c r="N782" s="10"/>
      <c r="O782" s="9"/>
      <c r="P782" s="9"/>
      <c r="Q782" s="9"/>
      <c r="R782" s="9" t="s">
        <v>9321</v>
      </c>
      <c r="S782" s="9" t="s">
        <v>9321</v>
      </c>
      <c r="T782" s="9"/>
      <c r="U782" s="9"/>
      <c r="V782" s="9"/>
      <c r="W782" s="9"/>
      <c r="X782" s="9"/>
      <c r="Y782" s="9"/>
      <c r="Z782" s="9"/>
      <c r="AA782" s="9"/>
      <c r="AB782" s="9"/>
      <c r="AC782" s="9"/>
    </row>
    <row r="783" spans="1:29" ht="29">
      <c r="A783" s="3" t="s">
        <v>1455</v>
      </c>
      <c r="B783" s="3" t="s">
        <v>7090</v>
      </c>
      <c r="C783" s="3" t="s">
        <v>7091</v>
      </c>
      <c r="G783" s="9" t="s">
        <v>8731</v>
      </c>
      <c r="H783" s="9"/>
      <c r="I783" s="9"/>
      <c r="J783" s="9"/>
      <c r="K783" s="9"/>
      <c r="L783" s="9"/>
      <c r="M783" s="9"/>
      <c r="N783" s="10"/>
      <c r="O783" s="9"/>
      <c r="P783" s="9"/>
      <c r="Q783" s="9"/>
      <c r="R783" s="9" t="s">
        <v>9321</v>
      </c>
      <c r="S783" s="9" t="s">
        <v>9321</v>
      </c>
      <c r="T783" s="9"/>
      <c r="U783" s="9"/>
      <c r="V783" s="9"/>
      <c r="W783" s="9"/>
      <c r="X783" s="9"/>
      <c r="Y783" s="9"/>
      <c r="Z783" s="9"/>
      <c r="AA783" s="9"/>
      <c r="AB783" s="9"/>
      <c r="AC783" s="9"/>
    </row>
    <row r="784" spans="1:29" ht="29">
      <c r="A784" s="3" t="s">
        <v>1459</v>
      </c>
      <c r="B784" s="3" t="s">
        <v>7100</v>
      </c>
      <c r="C784" s="3" t="s">
        <v>7101</v>
      </c>
      <c r="F784" t="s">
        <v>3884</v>
      </c>
      <c r="G784" s="9" t="s">
        <v>8731</v>
      </c>
      <c r="H784" s="9"/>
      <c r="I784" s="9"/>
      <c r="J784" s="9"/>
      <c r="K784" s="9"/>
      <c r="L784" s="9"/>
      <c r="M784" s="9"/>
      <c r="N784" s="10"/>
      <c r="O784" s="9"/>
      <c r="P784" s="9"/>
      <c r="Q784" s="9"/>
      <c r="R784" s="9" t="s">
        <v>9321</v>
      </c>
      <c r="S784" s="9" t="s">
        <v>9321</v>
      </c>
      <c r="T784" s="9"/>
      <c r="U784" s="9"/>
      <c r="V784" s="9"/>
      <c r="W784" s="9"/>
      <c r="X784" s="9"/>
      <c r="Y784" s="9"/>
      <c r="Z784" s="9"/>
      <c r="AA784" s="9"/>
      <c r="AB784" s="9"/>
      <c r="AC784" s="9"/>
    </row>
    <row r="785" spans="1:29">
      <c r="A785" s="3" t="s">
        <v>1463</v>
      </c>
      <c r="B785" s="3" t="s">
        <v>7120</v>
      </c>
      <c r="C785" s="3" t="s">
        <v>7121</v>
      </c>
      <c r="G785" s="9" t="s">
        <v>8729</v>
      </c>
      <c r="H785" s="9"/>
      <c r="I785" s="9"/>
      <c r="J785" s="9"/>
      <c r="K785" s="9"/>
      <c r="L785" s="9"/>
      <c r="M785" s="9"/>
      <c r="N785" s="10"/>
      <c r="O785" s="9"/>
      <c r="P785" s="9"/>
      <c r="Q785" s="9">
        <v>-5</v>
      </c>
      <c r="R785" s="9">
        <v>6</v>
      </c>
      <c r="S785" s="9">
        <v>1</v>
      </c>
      <c r="T785" s="9"/>
      <c r="U785" s="9"/>
      <c r="V785" s="9"/>
      <c r="W785" s="9"/>
      <c r="X785" s="9"/>
      <c r="Y785" s="9"/>
      <c r="Z785" s="9"/>
      <c r="AA785" s="9"/>
      <c r="AB785" s="9"/>
      <c r="AC785" s="9"/>
    </row>
    <row r="786" spans="1:29">
      <c r="A786" s="3" t="s">
        <v>1464</v>
      </c>
      <c r="B786" s="3" t="s">
        <v>7122</v>
      </c>
      <c r="C786" s="3" t="s">
        <v>7123</v>
      </c>
      <c r="G786" s="9" t="s">
        <v>3889</v>
      </c>
      <c r="H786" s="9"/>
      <c r="I786" s="9">
        <v>1</v>
      </c>
      <c r="J786" s="9">
        <v>3</v>
      </c>
      <c r="K786" s="9" t="s">
        <v>8698</v>
      </c>
      <c r="L786" s="9" t="s">
        <v>8690</v>
      </c>
      <c r="M786" s="9"/>
      <c r="N786" s="10"/>
      <c r="O786" s="9"/>
      <c r="P786" s="9">
        <v>9418</v>
      </c>
      <c r="Q786" s="9"/>
      <c r="R786" s="9" t="s">
        <v>9321</v>
      </c>
      <c r="S786" s="9" t="s">
        <v>9321</v>
      </c>
      <c r="T786" s="9"/>
      <c r="U786" s="9"/>
      <c r="V786" s="9"/>
      <c r="W786" s="9"/>
      <c r="X786" s="9"/>
      <c r="Y786" s="9"/>
      <c r="Z786" s="9"/>
      <c r="AA786" s="9"/>
      <c r="AB786" s="9"/>
      <c r="AC786" s="9"/>
    </row>
    <row r="787" spans="1:29">
      <c r="A787" s="3" t="s">
        <v>1465</v>
      </c>
      <c r="B787" s="3" t="s">
        <v>7130</v>
      </c>
      <c r="C787" s="3" t="s">
        <v>7131</v>
      </c>
      <c r="G787" s="9" t="s">
        <v>8729</v>
      </c>
      <c r="H787" s="9"/>
      <c r="I787" s="9"/>
      <c r="J787" s="9"/>
      <c r="K787" s="9"/>
      <c r="L787" s="9"/>
      <c r="M787" s="9"/>
      <c r="N787" s="10"/>
      <c r="O787" s="9"/>
      <c r="P787" s="9"/>
      <c r="Q787" s="9">
        <v>-3599</v>
      </c>
      <c r="R787" s="9">
        <v>3678</v>
      </c>
      <c r="S787" s="9">
        <v>79</v>
      </c>
      <c r="T787" s="9"/>
      <c r="U787" s="9"/>
      <c r="V787" s="9"/>
      <c r="W787" s="9"/>
      <c r="X787" s="9"/>
      <c r="Y787" s="9"/>
      <c r="Z787" s="9"/>
      <c r="AA787" s="9"/>
      <c r="AB787" s="9"/>
      <c r="AC787" s="9"/>
    </row>
    <row r="788" spans="1:29" ht="29">
      <c r="A788" s="3" t="s">
        <v>1466</v>
      </c>
      <c r="B788" s="3" t="s">
        <v>7134</v>
      </c>
      <c r="C788" s="3" t="s">
        <v>9121</v>
      </c>
      <c r="F788" t="s">
        <v>3884</v>
      </c>
      <c r="G788" s="9" t="s">
        <v>3885</v>
      </c>
      <c r="H788" s="9"/>
      <c r="I788" s="9">
        <v>1</v>
      </c>
      <c r="J788" s="9">
        <v>2</v>
      </c>
      <c r="K788" s="9" t="s">
        <v>8736</v>
      </c>
      <c r="L788" s="9" t="s">
        <v>8730</v>
      </c>
      <c r="M788" s="9"/>
      <c r="N788" s="10"/>
      <c r="O788" s="9"/>
      <c r="P788" s="9">
        <v>645</v>
      </c>
      <c r="Q788" s="9"/>
      <c r="R788" s="9" t="s">
        <v>9321</v>
      </c>
      <c r="S788" s="9" t="s">
        <v>9321</v>
      </c>
      <c r="T788" s="9"/>
      <c r="U788" s="9"/>
      <c r="V788" s="9"/>
      <c r="W788" s="9"/>
      <c r="X788" s="9"/>
      <c r="Y788" s="9"/>
      <c r="Z788" s="9"/>
      <c r="AA788" s="9"/>
      <c r="AB788" s="9"/>
      <c r="AC788" s="9"/>
    </row>
    <row r="789" spans="1:29" ht="29">
      <c r="A789" s="3" t="s">
        <v>1470</v>
      </c>
      <c r="B789" s="3" t="s">
        <v>3461</v>
      </c>
      <c r="C789" s="3" t="s">
        <v>3558</v>
      </c>
      <c r="G789" s="9" t="s">
        <v>8731</v>
      </c>
      <c r="H789" s="9"/>
      <c r="I789" s="9"/>
      <c r="J789" s="9"/>
      <c r="K789" s="9"/>
      <c r="L789" s="9"/>
      <c r="M789" s="9"/>
      <c r="N789" s="10"/>
      <c r="O789" s="9"/>
      <c r="P789" s="9"/>
      <c r="Q789" s="9"/>
      <c r="R789" s="9" t="s">
        <v>9321</v>
      </c>
      <c r="S789" s="9" t="s">
        <v>9321</v>
      </c>
      <c r="T789" s="9"/>
      <c r="U789" s="9"/>
      <c r="V789" s="9"/>
      <c r="W789" s="9"/>
      <c r="X789" s="9"/>
      <c r="Y789" s="9"/>
      <c r="Z789" s="9" t="s">
        <v>9280</v>
      </c>
      <c r="AA789" s="9" t="s">
        <v>3891</v>
      </c>
      <c r="AB789" s="9"/>
      <c r="AC789" s="9"/>
    </row>
    <row r="790" spans="1:29" ht="29">
      <c r="A790" s="3" t="s">
        <v>1476</v>
      </c>
      <c r="B790" s="3" t="s">
        <v>7189</v>
      </c>
      <c r="C790" s="3" t="s">
        <v>7190</v>
      </c>
      <c r="G790" s="9" t="s">
        <v>8731</v>
      </c>
      <c r="H790" s="9"/>
      <c r="I790" s="9"/>
      <c r="J790" s="9"/>
      <c r="K790" s="9"/>
      <c r="L790" s="9"/>
      <c r="M790" s="9"/>
      <c r="N790" s="10"/>
      <c r="O790" s="9"/>
      <c r="P790" s="9"/>
      <c r="Q790" s="9"/>
      <c r="R790" s="9" t="s">
        <v>9321</v>
      </c>
      <c r="S790" s="9" t="s">
        <v>9321</v>
      </c>
      <c r="T790" s="9"/>
      <c r="U790" s="9"/>
      <c r="V790" s="9"/>
      <c r="W790" s="9"/>
      <c r="X790" s="9"/>
      <c r="Y790" s="9"/>
      <c r="Z790" s="9"/>
      <c r="AA790" s="9"/>
      <c r="AB790" s="9"/>
      <c r="AC790" s="9"/>
    </row>
    <row r="791" spans="1:29" ht="43.5">
      <c r="A791" s="3" t="s">
        <v>1486</v>
      </c>
      <c r="B791" s="3" t="s">
        <v>7208</v>
      </c>
      <c r="C791" s="3" t="s">
        <v>7209</v>
      </c>
      <c r="F791" t="s">
        <v>3884</v>
      </c>
      <c r="G791" s="9" t="s">
        <v>8731</v>
      </c>
      <c r="H791" s="9"/>
      <c r="I791" s="9"/>
      <c r="J791" s="9"/>
      <c r="K791" s="9"/>
      <c r="L791" s="9"/>
      <c r="M791" s="9"/>
      <c r="N791" s="10"/>
      <c r="O791" s="9"/>
      <c r="P791" s="9"/>
      <c r="Q791" s="9"/>
      <c r="R791" s="9" t="s">
        <v>9321</v>
      </c>
      <c r="S791" s="9" t="s">
        <v>9321</v>
      </c>
      <c r="T791" s="9"/>
      <c r="U791" s="9"/>
      <c r="V791" s="9"/>
      <c r="W791" s="9"/>
      <c r="X791" s="9"/>
      <c r="Y791" s="9"/>
      <c r="Z791" s="9"/>
      <c r="AA791" s="9"/>
      <c r="AB791" s="9"/>
      <c r="AC791" s="9"/>
    </row>
    <row r="792" spans="1:29" ht="29">
      <c r="A792" s="3" t="s">
        <v>1489</v>
      </c>
      <c r="B792" s="3" t="s">
        <v>9123</v>
      </c>
      <c r="C792" s="3" t="s">
        <v>7214</v>
      </c>
      <c r="G792" s="9" t="s">
        <v>3889</v>
      </c>
      <c r="H792" s="9"/>
      <c r="I792" s="9">
        <v>1</v>
      </c>
      <c r="J792" s="9">
        <v>3</v>
      </c>
      <c r="K792" s="9" t="s">
        <v>8689</v>
      </c>
      <c r="L792" s="9" t="s">
        <v>8690</v>
      </c>
      <c r="M792" s="9"/>
      <c r="N792" s="10"/>
      <c r="O792" s="9"/>
      <c r="P792" s="9">
        <v>10929</v>
      </c>
      <c r="Q792" s="9"/>
      <c r="R792" s="9" t="s">
        <v>9321</v>
      </c>
      <c r="S792" s="9" t="s">
        <v>9321</v>
      </c>
      <c r="T792" s="9"/>
      <c r="U792" s="9"/>
      <c r="V792" s="9"/>
      <c r="W792" s="9"/>
      <c r="X792" s="9"/>
      <c r="Y792" s="9"/>
      <c r="Z792" s="9"/>
      <c r="AA792" s="9"/>
      <c r="AB792" s="9"/>
      <c r="AC792" s="9"/>
    </row>
    <row r="793" spans="1:29" ht="29">
      <c r="A793" s="3" t="s">
        <v>1489</v>
      </c>
      <c r="B793" s="3" t="s">
        <v>9124</v>
      </c>
      <c r="C793" s="3" t="s">
        <v>9125</v>
      </c>
      <c r="G793" s="9" t="s">
        <v>8729</v>
      </c>
      <c r="H793" s="9"/>
      <c r="I793" s="9"/>
      <c r="J793" s="9"/>
      <c r="K793" s="9"/>
      <c r="L793" s="9"/>
      <c r="M793" s="9"/>
      <c r="N793" s="10"/>
      <c r="O793" s="9"/>
      <c r="P793" s="9"/>
      <c r="Q793" s="9">
        <v>3</v>
      </c>
      <c r="R793" s="9">
        <v>31</v>
      </c>
      <c r="S793" s="9">
        <v>34</v>
      </c>
      <c r="T793" s="9"/>
      <c r="U793" s="9"/>
      <c r="V793" s="9"/>
      <c r="W793" s="9"/>
      <c r="X793" s="9"/>
      <c r="Y793" s="9"/>
      <c r="Z793" s="9"/>
      <c r="AA793" s="9"/>
      <c r="AB793" s="9"/>
      <c r="AC793" s="9"/>
    </row>
    <row r="794" spans="1:29" ht="29">
      <c r="A794" s="3" t="s">
        <v>1491</v>
      </c>
      <c r="B794" s="3" t="s">
        <v>7220</v>
      </c>
      <c r="C794" s="3" t="s">
        <v>7221</v>
      </c>
      <c r="G794" s="9" t="s">
        <v>3889</v>
      </c>
      <c r="H794" s="9"/>
      <c r="I794" s="9">
        <v>2</v>
      </c>
      <c r="J794" s="9">
        <v>11</v>
      </c>
      <c r="K794" s="9"/>
      <c r="L794" s="9" t="s">
        <v>8684</v>
      </c>
      <c r="M794" s="9" t="s">
        <v>9082</v>
      </c>
      <c r="N794" s="10" t="s">
        <v>8778</v>
      </c>
      <c r="O794" s="9"/>
      <c r="P794" s="9">
        <v>152</v>
      </c>
      <c r="Q794" s="9"/>
      <c r="R794" s="9" t="s">
        <v>9321</v>
      </c>
      <c r="S794" s="9" t="s">
        <v>9321</v>
      </c>
      <c r="T794" s="9" t="s">
        <v>8728</v>
      </c>
      <c r="U794" s="9"/>
      <c r="V794" s="9"/>
      <c r="W794" s="9"/>
      <c r="X794" s="9"/>
      <c r="Y794" s="9"/>
      <c r="Z794" s="9"/>
      <c r="AA794" s="9"/>
      <c r="AB794" s="9"/>
      <c r="AC794" s="9"/>
    </row>
    <row r="795" spans="1:29" ht="29">
      <c r="A795" s="3" t="s">
        <v>1506</v>
      </c>
      <c r="B795" s="3" t="s">
        <v>7261</v>
      </c>
      <c r="C795" s="3" t="s">
        <v>9128</v>
      </c>
      <c r="G795" s="9" t="s">
        <v>3885</v>
      </c>
      <c r="H795" s="9"/>
      <c r="I795" s="9">
        <v>1</v>
      </c>
      <c r="J795" s="9">
        <v>3</v>
      </c>
      <c r="K795" s="9" t="s">
        <v>8707</v>
      </c>
      <c r="L795" s="9" t="s">
        <v>8684</v>
      </c>
      <c r="M795" s="9" t="s">
        <v>8777</v>
      </c>
      <c r="N795" s="10" t="s">
        <v>8778</v>
      </c>
      <c r="O795" s="9" t="s">
        <v>8685</v>
      </c>
      <c r="P795" s="9">
        <v>991</v>
      </c>
      <c r="Q795" s="9"/>
      <c r="R795" s="9" t="s">
        <v>9321</v>
      </c>
      <c r="S795" s="9" t="s">
        <v>9321</v>
      </c>
      <c r="T795" s="9"/>
      <c r="U795" s="9"/>
      <c r="V795" s="9"/>
      <c r="W795" s="9"/>
      <c r="X795" s="9"/>
      <c r="Y795" s="9"/>
      <c r="Z795" s="9"/>
      <c r="AA795" s="9"/>
      <c r="AB795" s="9"/>
      <c r="AC795" s="9"/>
    </row>
    <row r="796" spans="1:29" ht="29">
      <c r="A796" s="3" t="s">
        <v>1509</v>
      </c>
      <c r="B796" s="3" t="s">
        <v>7271</v>
      </c>
      <c r="C796" s="3" t="s">
        <v>7272</v>
      </c>
      <c r="F796" t="s">
        <v>3884</v>
      </c>
      <c r="G796" s="9" t="s">
        <v>8731</v>
      </c>
      <c r="H796" s="9"/>
      <c r="I796" s="9"/>
      <c r="J796" s="9"/>
      <c r="K796" s="9"/>
      <c r="L796" s="9"/>
      <c r="M796" s="9"/>
      <c r="N796" s="10"/>
      <c r="O796" s="9"/>
      <c r="P796" s="9"/>
      <c r="Q796" s="9"/>
      <c r="R796" s="9" t="s">
        <v>9321</v>
      </c>
      <c r="S796" s="9" t="s">
        <v>9321</v>
      </c>
      <c r="T796" s="9"/>
      <c r="U796" s="9"/>
      <c r="V796" s="9"/>
      <c r="W796" s="9"/>
      <c r="X796" s="9"/>
      <c r="Y796" s="9"/>
      <c r="Z796" s="9"/>
      <c r="AA796" s="9"/>
      <c r="AB796" s="9"/>
      <c r="AC796" s="9"/>
    </row>
    <row r="797" spans="1:29" ht="29">
      <c r="A797" s="3" t="s">
        <v>1510</v>
      </c>
      <c r="B797" s="3" t="s">
        <v>7273</v>
      </c>
      <c r="C797" s="3" t="s">
        <v>7274</v>
      </c>
      <c r="F797" t="s">
        <v>3884</v>
      </c>
      <c r="G797" s="9" t="s">
        <v>8729</v>
      </c>
      <c r="H797" s="9"/>
      <c r="I797" s="9"/>
      <c r="J797" s="9"/>
      <c r="K797" s="9"/>
      <c r="L797" s="9"/>
      <c r="M797" s="9"/>
      <c r="N797" s="10"/>
      <c r="O797" s="9"/>
      <c r="P797" s="9"/>
      <c r="Q797" s="9">
        <v>1</v>
      </c>
      <c r="R797" s="9">
        <v>0</v>
      </c>
      <c r="S797" s="9">
        <v>1</v>
      </c>
      <c r="T797" s="9"/>
      <c r="U797" s="9"/>
      <c r="V797" s="9"/>
      <c r="W797" s="9"/>
      <c r="X797" s="9"/>
      <c r="Y797" s="9"/>
      <c r="Z797" s="9"/>
      <c r="AA797" s="9"/>
      <c r="AB797" s="9"/>
      <c r="AC797" s="9"/>
    </row>
    <row r="798" spans="1:29">
      <c r="A798" s="3" t="s">
        <v>1512</v>
      </c>
      <c r="B798" s="3" t="s">
        <v>3595</v>
      </c>
      <c r="C798" s="3" t="s">
        <v>3599</v>
      </c>
      <c r="G798" s="9" t="s">
        <v>8731</v>
      </c>
      <c r="H798" s="9"/>
      <c r="I798" s="9"/>
      <c r="J798" s="9"/>
      <c r="K798" s="9"/>
      <c r="L798" s="9"/>
      <c r="M798" s="9"/>
      <c r="N798" s="10"/>
      <c r="O798" s="9"/>
      <c r="P798" s="9"/>
      <c r="Q798" s="9"/>
      <c r="R798" s="9" t="s">
        <v>9321</v>
      </c>
      <c r="S798" s="9" t="s">
        <v>9321</v>
      </c>
      <c r="T798" s="9"/>
      <c r="U798" s="9"/>
      <c r="V798" s="9"/>
      <c r="W798" s="9"/>
      <c r="X798" s="9"/>
      <c r="Y798" s="9"/>
      <c r="Z798" s="9"/>
      <c r="AA798" s="9"/>
      <c r="AB798" s="9"/>
      <c r="AC798" s="9"/>
    </row>
    <row r="799" spans="1:29" ht="29">
      <c r="A799" s="3" t="s">
        <v>1513</v>
      </c>
      <c r="B799" s="3" t="s">
        <v>7285</v>
      </c>
      <c r="C799" s="3" t="s">
        <v>7286</v>
      </c>
      <c r="F799" t="s">
        <v>3884</v>
      </c>
      <c r="G799" s="9" t="s">
        <v>3885</v>
      </c>
      <c r="H799" s="9"/>
      <c r="I799" s="9">
        <v>1</v>
      </c>
      <c r="J799" s="9">
        <v>1</v>
      </c>
      <c r="K799" s="9" t="s">
        <v>8683</v>
      </c>
      <c r="L799" s="9" t="s">
        <v>8730</v>
      </c>
      <c r="M799" s="9"/>
      <c r="N799" s="10"/>
      <c r="O799" s="9"/>
      <c r="P799" s="9">
        <v>4</v>
      </c>
      <c r="Q799" s="9"/>
      <c r="R799" s="9" t="s">
        <v>9321</v>
      </c>
      <c r="S799" s="9" t="s">
        <v>9321</v>
      </c>
      <c r="T799" s="9"/>
      <c r="U799" s="9"/>
      <c r="V799" s="9"/>
      <c r="W799" s="9"/>
      <c r="X799" s="9"/>
      <c r="Y799" s="9"/>
      <c r="Z799" s="9"/>
      <c r="AA799" s="9"/>
      <c r="AB799" s="9"/>
      <c r="AC799" s="9"/>
    </row>
    <row r="800" spans="1:29" ht="43.5">
      <c r="A800" s="3" t="s">
        <v>1515</v>
      </c>
      <c r="B800" s="3" t="s">
        <v>7294</v>
      </c>
      <c r="C800" s="3" t="s">
        <v>7297</v>
      </c>
      <c r="F800" t="s">
        <v>3884</v>
      </c>
      <c r="G800" s="9" t="s">
        <v>3885</v>
      </c>
      <c r="H800" s="9"/>
      <c r="I800" s="9">
        <v>1</v>
      </c>
      <c r="J800" s="9">
        <v>3</v>
      </c>
      <c r="K800" s="9" t="s">
        <v>8689</v>
      </c>
      <c r="L800" s="9" t="s">
        <v>8690</v>
      </c>
      <c r="M800" s="9"/>
      <c r="N800" s="10"/>
      <c r="O800" s="9"/>
      <c r="P800" s="9">
        <v>10929</v>
      </c>
      <c r="Q800" s="9"/>
      <c r="R800" s="9" t="s">
        <v>9321</v>
      </c>
      <c r="S800" s="9" t="s">
        <v>9321</v>
      </c>
      <c r="T800" s="9"/>
      <c r="U800" s="9"/>
      <c r="V800" s="9"/>
      <c r="W800" s="9"/>
      <c r="X800" s="9"/>
      <c r="Y800" s="9"/>
      <c r="Z800" s="9"/>
      <c r="AA800" s="9"/>
      <c r="AB800" s="9"/>
      <c r="AC800" s="9"/>
    </row>
    <row r="801" spans="1:29" ht="29">
      <c r="A801" s="3" t="s">
        <v>1515</v>
      </c>
      <c r="B801" s="3" t="s">
        <v>7301</v>
      </c>
      <c r="C801" s="3" t="s">
        <v>7300</v>
      </c>
      <c r="F801" t="s">
        <v>3884</v>
      </c>
      <c r="G801" s="9" t="s">
        <v>3889</v>
      </c>
      <c r="H801" s="9"/>
      <c r="I801" s="9">
        <v>1</v>
      </c>
      <c r="J801" s="9">
        <v>3</v>
      </c>
      <c r="K801" s="9" t="s">
        <v>8698</v>
      </c>
      <c r="L801" s="9" t="s">
        <v>8690</v>
      </c>
      <c r="M801" s="9"/>
      <c r="N801" s="10"/>
      <c r="O801" s="9"/>
      <c r="P801" s="9">
        <v>9418</v>
      </c>
      <c r="Q801" s="9"/>
      <c r="R801" s="9" t="s">
        <v>9321</v>
      </c>
      <c r="S801" s="9" t="s">
        <v>9321</v>
      </c>
      <c r="T801" s="9"/>
      <c r="U801" s="9"/>
      <c r="V801" s="9"/>
      <c r="W801" s="9"/>
      <c r="X801" s="9"/>
      <c r="Y801" s="9"/>
      <c r="Z801" s="9"/>
      <c r="AA801" s="9"/>
      <c r="AB801" s="9"/>
      <c r="AC801" s="9"/>
    </row>
    <row r="802" spans="1:29">
      <c r="A802" s="3" t="s">
        <v>1516</v>
      </c>
      <c r="B802" s="3" t="s">
        <v>7308</v>
      </c>
      <c r="C802" s="3" t="s">
        <v>7309</v>
      </c>
      <c r="G802" s="9" t="s">
        <v>8729</v>
      </c>
      <c r="H802" s="9"/>
      <c r="I802" s="9"/>
      <c r="J802" s="9"/>
      <c r="K802" s="9"/>
      <c r="L802" s="9"/>
      <c r="M802" s="9"/>
      <c r="N802" s="10"/>
      <c r="O802" s="9"/>
      <c r="P802" s="9"/>
      <c r="Q802" s="9">
        <v>-691</v>
      </c>
      <c r="R802" s="9">
        <v>797</v>
      </c>
      <c r="S802" s="9">
        <v>106</v>
      </c>
      <c r="T802" s="9"/>
      <c r="U802" s="9"/>
      <c r="V802" s="9"/>
      <c r="W802" s="9"/>
      <c r="X802" s="9"/>
      <c r="Y802" s="9"/>
      <c r="Z802" s="9"/>
      <c r="AA802" s="9"/>
      <c r="AB802" s="9"/>
      <c r="AC802" s="9"/>
    </row>
    <row r="803" spans="1:29">
      <c r="A803" s="3" t="s">
        <v>1517</v>
      </c>
      <c r="B803" s="3" t="s">
        <v>7310</v>
      </c>
      <c r="C803" s="3" t="s">
        <v>7311</v>
      </c>
      <c r="G803" s="9" t="s">
        <v>8731</v>
      </c>
      <c r="H803" s="9"/>
      <c r="I803" s="9"/>
      <c r="J803" s="9"/>
      <c r="K803" s="9"/>
      <c r="L803" s="9"/>
      <c r="M803" s="9"/>
      <c r="N803" s="10"/>
      <c r="O803" s="9"/>
      <c r="P803" s="9"/>
      <c r="Q803" s="9"/>
      <c r="R803" s="9" t="s">
        <v>9321</v>
      </c>
      <c r="S803" s="9" t="s">
        <v>9321</v>
      </c>
      <c r="T803" s="9"/>
      <c r="U803" s="9"/>
      <c r="V803" s="9"/>
      <c r="W803" s="9"/>
      <c r="X803" s="9"/>
      <c r="Y803" s="9"/>
      <c r="Z803" s="9"/>
      <c r="AA803" s="9"/>
      <c r="AB803" s="9"/>
      <c r="AC803" s="9"/>
    </row>
    <row r="804" spans="1:29" ht="29">
      <c r="A804" s="3" t="s">
        <v>1519</v>
      </c>
      <c r="B804" s="3" t="s">
        <v>7316</v>
      </c>
      <c r="C804" s="3" t="s">
        <v>7317</v>
      </c>
      <c r="G804" s="9" t="s">
        <v>3885</v>
      </c>
      <c r="H804" s="9"/>
      <c r="I804" s="9">
        <v>1</v>
      </c>
      <c r="J804" s="9">
        <v>1</v>
      </c>
      <c r="K804" s="9" t="s">
        <v>8689</v>
      </c>
      <c r="L804" s="9" t="s">
        <v>8730</v>
      </c>
      <c r="M804" s="9"/>
      <c r="N804" s="10"/>
      <c r="O804" s="9"/>
      <c r="P804" s="9">
        <v>10929</v>
      </c>
      <c r="Q804" s="9"/>
      <c r="R804" s="9" t="s">
        <v>9321</v>
      </c>
      <c r="S804" s="9" t="s">
        <v>9321</v>
      </c>
      <c r="T804" s="9" t="s">
        <v>4</v>
      </c>
      <c r="U804" s="9"/>
      <c r="V804" s="9"/>
      <c r="W804" s="9"/>
      <c r="X804" s="9"/>
      <c r="Y804" s="9"/>
      <c r="Z804" s="9"/>
      <c r="AA804" s="9"/>
      <c r="AB804" s="9"/>
      <c r="AC804" s="9"/>
    </row>
    <row r="805" spans="1:29" ht="29">
      <c r="A805" s="3" t="s">
        <v>1520</v>
      </c>
      <c r="B805" s="3" t="s">
        <v>7318</v>
      </c>
      <c r="C805" s="3" t="s">
        <v>7319</v>
      </c>
      <c r="G805" s="9" t="s">
        <v>3889</v>
      </c>
      <c r="H805" s="9"/>
      <c r="I805" s="9">
        <v>1</v>
      </c>
      <c r="J805" s="9">
        <v>3</v>
      </c>
      <c r="K805" s="9" t="s">
        <v>8698</v>
      </c>
      <c r="L805" s="9" t="s">
        <v>8690</v>
      </c>
      <c r="M805" s="9"/>
      <c r="N805" s="10"/>
      <c r="O805" s="9"/>
      <c r="P805" s="9">
        <v>9418</v>
      </c>
      <c r="Q805" s="9"/>
      <c r="R805" s="9" t="s">
        <v>9321</v>
      </c>
      <c r="S805" s="9" t="s">
        <v>9321</v>
      </c>
      <c r="T805" s="9"/>
      <c r="U805" s="9"/>
      <c r="V805" s="9"/>
      <c r="W805" s="9"/>
      <c r="X805" s="9"/>
      <c r="Y805" s="9"/>
      <c r="Z805" s="9"/>
      <c r="AA805" s="9"/>
      <c r="AB805" s="9"/>
      <c r="AC805" s="9"/>
    </row>
    <row r="806" spans="1:29" ht="29">
      <c r="A806" s="3" t="s">
        <v>1523</v>
      </c>
      <c r="B806" s="3" t="s">
        <v>7284</v>
      </c>
      <c r="C806" s="3" t="s">
        <v>7282</v>
      </c>
      <c r="G806" s="9" t="s">
        <v>3889</v>
      </c>
      <c r="H806" s="9"/>
      <c r="I806" s="9">
        <v>1</v>
      </c>
      <c r="J806" s="9">
        <v>3</v>
      </c>
      <c r="K806" s="9" t="s">
        <v>8698</v>
      </c>
      <c r="L806" s="9" t="s">
        <v>8690</v>
      </c>
      <c r="M806" s="9"/>
      <c r="N806" s="10"/>
      <c r="O806" s="9"/>
      <c r="P806" s="9">
        <v>9418</v>
      </c>
      <c r="Q806" s="9"/>
      <c r="R806" s="9" t="s">
        <v>9321</v>
      </c>
      <c r="S806" s="9" t="s">
        <v>9321</v>
      </c>
      <c r="T806" s="9"/>
      <c r="U806" s="9"/>
      <c r="V806" s="9"/>
      <c r="W806" s="9"/>
      <c r="X806" s="9"/>
      <c r="Y806" s="9"/>
      <c r="Z806" s="9"/>
      <c r="AA806" s="9"/>
      <c r="AB806" s="9"/>
      <c r="AC806" s="9"/>
    </row>
    <row r="807" spans="1:29" ht="29">
      <c r="A807" s="3" t="s">
        <v>1524</v>
      </c>
      <c r="B807" s="3" t="s">
        <v>7326</v>
      </c>
      <c r="C807" s="3" t="s">
        <v>7327</v>
      </c>
      <c r="F807" t="s">
        <v>3884</v>
      </c>
      <c r="G807" s="9" t="s">
        <v>3885</v>
      </c>
      <c r="H807" s="9"/>
      <c r="I807" s="9">
        <v>1</v>
      </c>
      <c r="J807" s="9">
        <v>3</v>
      </c>
      <c r="K807" s="9" t="s">
        <v>8689</v>
      </c>
      <c r="L807" s="9" t="s">
        <v>8684</v>
      </c>
      <c r="M807" s="9" t="s">
        <v>8771</v>
      </c>
      <c r="N807" s="10" t="s">
        <v>8778</v>
      </c>
      <c r="O807" s="9"/>
      <c r="P807" s="9">
        <v>10929</v>
      </c>
      <c r="Q807" s="9"/>
      <c r="R807" s="9" t="s">
        <v>9321</v>
      </c>
      <c r="S807" s="9" t="s">
        <v>9321</v>
      </c>
      <c r="T807" s="9"/>
      <c r="U807" s="9"/>
      <c r="V807" s="9"/>
      <c r="W807" s="9"/>
      <c r="X807" s="9"/>
      <c r="Y807" s="9"/>
      <c r="Z807" s="9"/>
      <c r="AA807" s="9"/>
      <c r="AB807" s="9"/>
      <c r="AC807" s="9"/>
    </row>
    <row r="808" spans="1:29" ht="29">
      <c r="A808" s="3" t="s">
        <v>1525</v>
      </c>
      <c r="B808" s="3" t="s">
        <v>9132</v>
      </c>
      <c r="C808" s="3" t="s">
        <v>9133</v>
      </c>
      <c r="F808" t="s">
        <v>3884</v>
      </c>
      <c r="G808" s="9" t="s">
        <v>3894</v>
      </c>
      <c r="H808" s="9"/>
      <c r="I808" s="9"/>
      <c r="J808" s="9"/>
      <c r="K808" s="9"/>
      <c r="L808" s="9"/>
      <c r="M808" s="9"/>
      <c r="N808" s="10"/>
      <c r="O808" s="9"/>
      <c r="P808" s="9"/>
      <c r="Q808" s="9"/>
      <c r="R808" s="9" t="s">
        <v>9321</v>
      </c>
      <c r="S808" s="9" t="s">
        <v>9321</v>
      </c>
      <c r="T808" s="9"/>
      <c r="U808" s="9"/>
      <c r="V808" s="9"/>
      <c r="W808" s="9"/>
      <c r="X808" s="9"/>
      <c r="Y808" s="9"/>
      <c r="Z808" s="9"/>
      <c r="AA808" s="9"/>
      <c r="AB808" s="9"/>
      <c r="AC808" s="9"/>
    </row>
    <row r="809" spans="1:29" ht="29">
      <c r="A809" s="3" t="s">
        <v>1527</v>
      </c>
      <c r="B809" s="3" t="s">
        <v>7334</v>
      </c>
      <c r="C809" s="3" t="s">
        <v>7335</v>
      </c>
      <c r="G809" s="9" t="s">
        <v>8732</v>
      </c>
      <c r="H809" s="9"/>
      <c r="I809" s="9"/>
      <c r="J809" s="9"/>
      <c r="K809" s="9"/>
      <c r="L809" s="9"/>
      <c r="M809" s="9"/>
      <c r="N809" s="10"/>
      <c r="O809" s="9"/>
      <c r="P809" s="9"/>
      <c r="Q809" s="9">
        <v>331</v>
      </c>
      <c r="R809" s="9">
        <v>91</v>
      </c>
      <c r="S809" s="9">
        <v>422</v>
      </c>
      <c r="T809" s="9"/>
      <c r="U809" s="9"/>
      <c r="V809" s="9"/>
      <c r="W809" s="9"/>
      <c r="X809" s="9"/>
      <c r="Y809" s="9"/>
      <c r="Z809" s="9"/>
      <c r="AA809" s="9"/>
      <c r="AB809" s="9"/>
      <c r="AC809" s="9"/>
    </row>
    <row r="810" spans="1:29" ht="29">
      <c r="A810" s="3" t="s">
        <v>1527</v>
      </c>
      <c r="B810" s="3" t="s">
        <v>7336</v>
      </c>
      <c r="C810" s="3" t="s">
        <v>7337</v>
      </c>
      <c r="G810" s="9" t="s">
        <v>3894</v>
      </c>
      <c r="H810" s="9"/>
      <c r="I810" s="9"/>
      <c r="J810" s="9"/>
      <c r="K810" s="9"/>
      <c r="L810" s="9"/>
      <c r="M810" s="9"/>
      <c r="N810" s="10"/>
      <c r="O810" s="9"/>
      <c r="P810" s="9"/>
      <c r="Q810" s="9"/>
      <c r="R810" s="9" t="s">
        <v>9321</v>
      </c>
      <c r="S810" s="9" t="s">
        <v>9321</v>
      </c>
      <c r="T810" s="9"/>
      <c r="U810" s="9"/>
      <c r="V810" s="9"/>
      <c r="W810" s="9"/>
      <c r="X810" s="9"/>
      <c r="Y810" s="9"/>
      <c r="Z810" s="9"/>
      <c r="AA810" s="9"/>
      <c r="AB810" s="9"/>
      <c r="AC810" s="9"/>
    </row>
    <row r="811" spans="1:29" ht="29">
      <c r="A811" s="3" t="s">
        <v>1527</v>
      </c>
      <c r="B811" s="3" t="s">
        <v>7338</v>
      </c>
      <c r="C811" s="3" t="s">
        <v>7339</v>
      </c>
      <c r="F811" t="s">
        <v>3892</v>
      </c>
      <c r="G811" s="9" t="s">
        <v>8731</v>
      </c>
      <c r="H811" s="9"/>
      <c r="I811" s="9"/>
      <c r="J811" s="9"/>
      <c r="K811" s="9"/>
      <c r="L811" s="9"/>
      <c r="M811" s="9"/>
      <c r="N811" s="10"/>
      <c r="O811" s="9"/>
      <c r="P811" s="9"/>
      <c r="Q811" s="9"/>
      <c r="R811" s="9" t="s">
        <v>9321</v>
      </c>
      <c r="S811" s="9" t="s">
        <v>9321</v>
      </c>
      <c r="T811" s="9"/>
      <c r="U811" s="9"/>
      <c r="V811" s="9"/>
      <c r="W811" s="9"/>
      <c r="X811" s="9"/>
      <c r="Y811" s="9"/>
      <c r="Z811" s="9"/>
      <c r="AA811" s="9"/>
      <c r="AB811" s="9"/>
      <c r="AC811" s="9"/>
    </row>
    <row r="812" spans="1:29" ht="29">
      <c r="A812" s="3" t="s">
        <v>1529</v>
      </c>
      <c r="B812" s="3" t="s">
        <v>7346</v>
      </c>
      <c r="C812" s="3" t="s">
        <v>7347</v>
      </c>
      <c r="G812" s="9" t="s">
        <v>8729</v>
      </c>
      <c r="H812" s="9"/>
      <c r="I812" s="9"/>
      <c r="J812" s="9"/>
      <c r="K812" s="9"/>
      <c r="L812" s="9"/>
      <c r="M812" s="9"/>
      <c r="N812" s="10"/>
      <c r="O812" s="9"/>
      <c r="P812" s="9"/>
      <c r="Q812" s="9">
        <v>-210</v>
      </c>
      <c r="R812" s="9">
        <v>245</v>
      </c>
      <c r="S812" s="9">
        <v>35</v>
      </c>
      <c r="T812" s="9"/>
      <c r="U812" s="9"/>
      <c r="V812" s="9"/>
      <c r="W812" s="9"/>
      <c r="X812" s="9"/>
      <c r="Y812" s="9"/>
      <c r="Z812" s="9"/>
      <c r="AA812" s="9"/>
      <c r="AB812" s="9"/>
      <c r="AC812" s="9"/>
    </row>
    <row r="813" spans="1:29" ht="29">
      <c r="A813" s="3" t="s">
        <v>1530</v>
      </c>
      <c r="B813" s="3" t="s">
        <v>7350</v>
      </c>
      <c r="C813" s="3" t="s">
        <v>6667</v>
      </c>
      <c r="G813" s="9" t="s">
        <v>8731</v>
      </c>
      <c r="H813" s="9"/>
      <c r="I813" s="9"/>
      <c r="J813" s="9"/>
      <c r="K813" s="9"/>
      <c r="L813" s="9"/>
      <c r="M813" s="9"/>
      <c r="N813" s="10"/>
      <c r="O813" s="9"/>
      <c r="P813" s="9"/>
      <c r="Q813" s="9"/>
      <c r="R813" s="9" t="s">
        <v>9321</v>
      </c>
      <c r="S813" s="9" t="s">
        <v>9321</v>
      </c>
      <c r="T813" s="9"/>
      <c r="U813" s="9"/>
      <c r="V813" s="9"/>
      <c r="W813" s="9"/>
      <c r="X813" s="9"/>
      <c r="Y813" s="9"/>
      <c r="Z813" s="9"/>
      <c r="AA813" s="9"/>
      <c r="AB813" s="9"/>
      <c r="AC813" s="9"/>
    </row>
    <row r="814" spans="1:29" ht="29">
      <c r="A814" s="3" t="s">
        <v>1535</v>
      </c>
      <c r="B814" s="3" t="s">
        <v>7365</v>
      </c>
      <c r="C814" s="3" t="s">
        <v>7366</v>
      </c>
      <c r="F814" t="s">
        <v>3884</v>
      </c>
      <c r="G814" s="9" t="s">
        <v>3885</v>
      </c>
      <c r="H814" s="9"/>
      <c r="I814" s="9">
        <v>1</v>
      </c>
      <c r="J814" s="9">
        <v>3</v>
      </c>
      <c r="K814" s="9" t="s">
        <v>8698</v>
      </c>
      <c r="L814" s="9" t="s">
        <v>8690</v>
      </c>
      <c r="M814" s="9"/>
      <c r="N814" s="10"/>
      <c r="O814" s="9"/>
      <c r="P814" s="9">
        <v>9418</v>
      </c>
      <c r="Q814" s="9"/>
      <c r="R814" s="9" t="s">
        <v>9321</v>
      </c>
      <c r="S814" s="9" t="s">
        <v>9321</v>
      </c>
      <c r="T814" s="9"/>
      <c r="U814" s="9"/>
      <c r="V814" s="9"/>
      <c r="W814" s="9"/>
      <c r="X814" s="9"/>
      <c r="Y814" s="9"/>
      <c r="Z814" s="9"/>
      <c r="AA814" s="9"/>
      <c r="AB814" s="9"/>
      <c r="AC814" s="9"/>
    </row>
    <row r="815" spans="1:29" ht="29">
      <c r="A815" s="3" t="s">
        <v>1535</v>
      </c>
      <c r="B815" s="3" t="s">
        <v>7367</v>
      </c>
      <c r="C815" s="3" t="s">
        <v>7368</v>
      </c>
      <c r="F815" t="s">
        <v>3884</v>
      </c>
      <c r="G815" s="9" t="s">
        <v>3885</v>
      </c>
      <c r="H815" s="9"/>
      <c r="I815" s="9">
        <v>1</v>
      </c>
      <c r="J815" s="9">
        <v>3</v>
      </c>
      <c r="K815" s="9" t="s">
        <v>8698</v>
      </c>
      <c r="L815" s="9" t="s">
        <v>8690</v>
      </c>
      <c r="M815" s="9"/>
      <c r="N815" s="10"/>
      <c r="O815" s="9"/>
      <c r="P815" s="9">
        <v>9418</v>
      </c>
      <c r="Q815" s="9"/>
      <c r="R815" s="9" t="s">
        <v>9321</v>
      </c>
      <c r="S815" s="9" t="s">
        <v>9321</v>
      </c>
      <c r="T815" s="9"/>
      <c r="U815" s="9"/>
      <c r="V815" s="9"/>
      <c r="W815" s="9"/>
      <c r="X815" s="9"/>
      <c r="Y815" s="9"/>
      <c r="Z815" s="9"/>
      <c r="AA815" s="9"/>
      <c r="AB815" s="9"/>
      <c r="AC815" s="9"/>
    </row>
    <row r="816" spans="1:29" ht="29">
      <c r="A816" s="3" t="s">
        <v>1536</v>
      </c>
      <c r="B816" s="3" t="s">
        <v>7371</v>
      </c>
      <c r="C816" s="3" t="s">
        <v>7372</v>
      </c>
      <c r="F816" t="s">
        <v>3884</v>
      </c>
      <c r="G816" s="9" t="s">
        <v>3889</v>
      </c>
      <c r="H816" s="9"/>
      <c r="I816" s="9">
        <v>1</v>
      </c>
      <c r="J816" s="9">
        <v>5</v>
      </c>
      <c r="K816" s="9" t="s">
        <v>8703</v>
      </c>
      <c r="L816" s="9" t="s">
        <v>8690</v>
      </c>
      <c r="M816" s="9"/>
      <c r="N816" s="10"/>
      <c r="O816" s="9"/>
      <c r="P816" s="9">
        <v>494</v>
      </c>
      <c r="Q816" s="9"/>
      <c r="R816" s="9" t="s">
        <v>9321</v>
      </c>
      <c r="S816" s="9" t="s">
        <v>9321</v>
      </c>
      <c r="T816" s="9"/>
      <c r="U816" s="9"/>
      <c r="V816" s="9"/>
      <c r="W816" s="9"/>
      <c r="X816" s="9"/>
      <c r="Y816" s="9"/>
      <c r="Z816" s="9"/>
      <c r="AA816" s="9"/>
      <c r="AB816" s="9"/>
      <c r="AC816" s="9"/>
    </row>
    <row r="817" spans="1:29" ht="29">
      <c r="A817" s="3" t="s">
        <v>1537</v>
      </c>
      <c r="B817" s="3" t="s">
        <v>7376</v>
      </c>
      <c r="C817" s="3" t="s">
        <v>7377</v>
      </c>
      <c r="G817" s="9" t="s">
        <v>3889</v>
      </c>
      <c r="H817" s="9"/>
      <c r="I817" s="9">
        <v>1</v>
      </c>
      <c r="J817" s="9">
        <v>2</v>
      </c>
      <c r="K817" s="9" t="s">
        <v>8698</v>
      </c>
      <c r="L817" s="9" t="s">
        <v>8730</v>
      </c>
      <c r="M817" s="9"/>
      <c r="N817" s="10"/>
      <c r="O817" s="9"/>
      <c r="P817" s="9">
        <v>159</v>
      </c>
      <c r="Q817" s="9"/>
      <c r="R817" s="9" t="s">
        <v>9321</v>
      </c>
      <c r="S817" s="9" t="s">
        <v>9321</v>
      </c>
      <c r="T817" s="9"/>
      <c r="U817" s="9"/>
      <c r="V817" s="9"/>
      <c r="W817" s="9"/>
      <c r="X817" s="9"/>
      <c r="Y817" s="9"/>
      <c r="Z817" s="9"/>
      <c r="AA817" s="9"/>
      <c r="AB817" s="9"/>
      <c r="AC817" s="9"/>
    </row>
    <row r="818" spans="1:29" ht="29">
      <c r="A818" s="3" t="s">
        <v>1544</v>
      </c>
      <c r="B818" s="3" t="s">
        <v>7395</v>
      </c>
      <c r="C818" s="3" t="s">
        <v>7396</v>
      </c>
      <c r="F818" t="s">
        <v>3884</v>
      </c>
      <c r="G818" s="9" t="s">
        <v>3885</v>
      </c>
      <c r="H818" s="9"/>
      <c r="I818" s="9">
        <v>1</v>
      </c>
      <c r="J818" s="9">
        <v>2</v>
      </c>
      <c r="K818" s="9" t="s">
        <v>8707</v>
      </c>
      <c r="L818" s="9" t="s">
        <v>8730</v>
      </c>
      <c r="M818" s="9"/>
      <c r="N818" s="10"/>
      <c r="O818" s="9" t="s">
        <v>8685</v>
      </c>
      <c r="P818" s="9">
        <v>329</v>
      </c>
      <c r="Q818" s="9"/>
      <c r="R818" s="9" t="s">
        <v>9321</v>
      </c>
      <c r="S818" s="9" t="s">
        <v>9321</v>
      </c>
      <c r="T818" s="9"/>
      <c r="U818" s="9"/>
      <c r="V818" s="9"/>
      <c r="W818" s="9"/>
      <c r="X818" s="9"/>
      <c r="Y818" s="9"/>
      <c r="Z818" s="9"/>
      <c r="AA818" s="9"/>
      <c r="AB818" s="9"/>
      <c r="AC818" s="9"/>
    </row>
    <row r="819" spans="1:29" ht="29">
      <c r="A819" s="3" t="s">
        <v>1544</v>
      </c>
      <c r="B819" s="3" t="s">
        <v>7400</v>
      </c>
      <c r="C819" s="3" t="s">
        <v>7401</v>
      </c>
      <c r="D819" t="s">
        <v>3886</v>
      </c>
      <c r="G819" s="9" t="s">
        <v>8729</v>
      </c>
      <c r="H819" s="9"/>
      <c r="I819" s="9"/>
      <c r="J819" s="9"/>
      <c r="K819" s="9"/>
      <c r="L819" s="9"/>
      <c r="M819" s="9"/>
      <c r="N819" s="10"/>
      <c r="O819" s="9"/>
      <c r="P819" s="9"/>
      <c r="Q819" s="9">
        <v>277</v>
      </c>
      <c r="R819" s="9">
        <v>520</v>
      </c>
      <c r="S819" s="9">
        <v>797</v>
      </c>
      <c r="T819" s="9"/>
      <c r="U819" s="9"/>
      <c r="V819" s="9"/>
      <c r="W819" s="9"/>
      <c r="X819" s="9"/>
      <c r="Y819" s="9"/>
      <c r="Z819" s="9"/>
      <c r="AA819" s="9"/>
      <c r="AB819" s="9"/>
      <c r="AC819" s="9"/>
    </row>
    <row r="820" spans="1:29" ht="29">
      <c r="A820" s="3" t="s">
        <v>1546</v>
      </c>
      <c r="B820" s="3" t="s">
        <v>7410</v>
      </c>
      <c r="C820" s="3" t="s">
        <v>7411</v>
      </c>
      <c r="F820" t="s">
        <v>3884</v>
      </c>
      <c r="G820" s="9" t="s">
        <v>3885</v>
      </c>
      <c r="H820" s="9"/>
      <c r="I820" s="9">
        <v>1</v>
      </c>
      <c r="J820" s="9">
        <v>6</v>
      </c>
      <c r="K820" s="9" t="s">
        <v>8703</v>
      </c>
      <c r="L820" s="9" t="s">
        <v>8684</v>
      </c>
      <c r="M820" s="9" t="s">
        <v>8771</v>
      </c>
      <c r="N820" s="10" t="s">
        <v>8982</v>
      </c>
      <c r="O820" s="9"/>
      <c r="P820" s="9">
        <v>0</v>
      </c>
      <c r="Q820" s="9"/>
      <c r="R820" s="9" t="s">
        <v>9321</v>
      </c>
      <c r="S820" s="9" t="s">
        <v>9321</v>
      </c>
      <c r="T820" s="9"/>
      <c r="U820" s="9"/>
      <c r="V820" s="9"/>
      <c r="W820" s="9"/>
      <c r="X820" s="9"/>
      <c r="Y820" s="9"/>
      <c r="Z820" s="9"/>
      <c r="AA820" s="9"/>
      <c r="AB820" s="9"/>
      <c r="AC820" s="9"/>
    </row>
    <row r="821" spans="1:29" ht="29">
      <c r="A821" s="3" t="s">
        <v>1548</v>
      </c>
      <c r="B821" s="3" t="s">
        <v>7416</v>
      </c>
      <c r="C821" s="3" t="s">
        <v>7417</v>
      </c>
      <c r="G821" s="9" t="s">
        <v>8729</v>
      </c>
      <c r="H821" s="9"/>
      <c r="I821" s="9"/>
      <c r="J821" s="9"/>
      <c r="K821" s="9"/>
      <c r="L821" s="9"/>
      <c r="M821" s="9"/>
      <c r="N821" s="10"/>
      <c r="O821" s="9"/>
      <c r="P821" s="9"/>
      <c r="Q821" s="9">
        <v>9</v>
      </c>
      <c r="R821" s="9">
        <v>2</v>
      </c>
      <c r="S821" s="9">
        <v>11</v>
      </c>
      <c r="T821" s="9" t="s">
        <v>8728</v>
      </c>
      <c r="U821" s="9"/>
      <c r="V821" s="9"/>
      <c r="W821" s="9"/>
      <c r="X821" s="9"/>
      <c r="Y821" s="9"/>
      <c r="Z821" s="9"/>
      <c r="AA821" s="9"/>
      <c r="AB821" s="9"/>
      <c r="AC821" s="9"/>
    </row>
    <row r="822" spans="1:29" ht="29">
      <c r="A822" s="3" t="s">
        <v>1555</v>
      </c>
      <c r="B822" s="3" t="s">
        <v>7433</v>
      </c>
      <c r="C822" s="3" t="s">
        <v>7434</v>
      </c>
      <c r="G822" s="9" t="s">
        <v>3889</v>
      </c>
      <c r="H822" s="9"/>
      <c r="I822" s="9">
        <v>1</v>
      </c>
      <c r="J822" s="9">
        <v>2</v>
      </c>
      <c r="K822" s="9" t="s">
        <v>8689</v>
      </c>
      <c r="L822" s="9" t="s">
        <v>8730</v>
      </c>
      <c r="M822" s="9"/>
      <c r="N822" s="10"/>
      <c r="O822" s="9" t="s">
        <v>8685</v>
      </c>
      <c r="P822" s="9">
        <v>10929</v>
      </c>
      <c r="Q822" s="9"/>
      <c r="R822" s="9" t="s">
        <v>9321</v>
      </c>
      <c r="S822" s="9" t="s">
        <v>9321</v>
      </c>
      <c r="T822" s="9"/>
      <c r="U822" s="9"/>
      <c r="V822" s="9"/>
      <c r="W822" s="9"/>
      <c r="X822" s="9"/>
      <c r="Y822" s="9"/>
      <c r="Z822" s="9"/>
      <c r="AA822" s="9"/>
      <c r="AB822" s="9"/>
      <c r="AC822" s="9"/>
    </row>
    <row r="823" spans="1:29" ht="29">
      <c r="A823" s="3" t="s">
        <v>1556</v>
      </c>
      <c r="B823" s="3" t="s">
        <v>7440</v>
      </c>
      <c r="C823" s="3" t="s">
        <v>7435</v>
      </c>
      <c r="F823" t="s">
        <v>3884</v>
      </c>
      <c r="G823" s="9" t="s">
        <v>3889</v>
      </c>
      <c r="H823" s="9"/>
      <c r="I823" s="9">
        <v>1</v>
      </c>
      <c r="J823" s="9">
        <v>3</v>
      </c>
      <c r="K823" s="9" t="s">
        <v>8689</v>
      </c>
      <c r="L823" s="9" t="s">
        <v>8690</v>
      </c>
      <c r="M823" s="9"/>
      <c r="N823" s="10"/>
      <c r="O823" s="9"/>
      <c r="P823" s="9">
        <v>10929</v>
      </c>
      <c r="Q823" s="9"/>
      <c r="R823" s="9" t="s">
        <v>9321</v>
      </c>
      <c r="S823" s="9" t="s">
        <v>9321</v>
      </c>
      <c r="T823" s="9"/>
      <c r="U823" s="9"/>
      <c r="V823" s="9"/>
      <c r="W823" s="9"/>
      <c r="X823" s="9"/>
      <c r="Y823" s="9"/>
      <c r="Z823" s="9"/>
      <c r="AA823" s="9"/>
      <c r="AB823" s="9"/>
      <c r="AC823" s="9"/>
    </row>
    <row r="824" spans="1:29" ht="29">
      <c r="A824" s="3" t="s">
        <v>1557</v>
      </c>
      <c r="B824" s="3" t="s">
        <v>7442</v>
      </c>
      <c r="C824" s="3" t="s">
        <v>7443</v>
      </c>
      <c r="G824" s="9" t="s">
        <v>3889</v>
      </c>
      <c r="H824" s="9"/>
      <c r="I824" s="9">
        <v>1</v>
      </c>
      <c r="J824" s="9">
        <v>2</v>
      </c>
      <c r="K824" s="9" t="s">
        <v>8689</v>
      </c>
      <c r="L824" s="9" t="s">
        <v>8730</v>
      </c>
      <c r="M824" s="9"/>
      <c r="N824" s="10"/>
      <c r="O824" s="9"/>
      <c r="P824" s="9">
        <v>10929</v>
      </c>
      <c r="Q824" s="9"/>
      <c r="R824" s="9" t="s">
        <v>9321</v>
      </c>
      <c r="S824" s="9" t="s">
        <v>9321</v>
      </c>
      <c r="T824" s="9"/>
      <c r="U824" s="9"/>
      <c r="V824" s="9"/>
      <c r="W824" s="9"/>
      <c r="X824" s="9"/>
      <c r="Y824" s="9"/>
      <c r="Z824" s="9"/>
      <c r="AA824" s="9"/>
      <c r="AB824" s="9"/>
      <c r="AC824" s="9"/>
    </row>
    <row r="825" spans="1:29" ht="29">
      <c r="A825" s="3" t="s">
        <v>1559</v>
      </c>
      <c r="B825" s="3" t="s">
        <v>2370</v>
      </c>
      <c r="C825" s="3" t="s">
        <v>3615</v>
      </c>
      <c r="G825" s="9" t="s">
        <v>8729</v>
      </c>
      <c r="H825" s="9"/>
      <c r="I825" s="9"/>
      <c r="J825" s="9"/>
      <c r="K825" s="9"/>
      <c r="L825" s="9"/>
      <c r="M825" s="9"/>
      <c r="N825" s="10"/>
      <c r="O825" s="9"/>
      <c r="P825" s="9"/>
      <c r="Q825" s="9">
        <v>-73</v>
      </c>
      <c r="R825" s="9">
        <v>114</v>
      </c>
      <c r="S825" s="9">
        <v>41</v>
      </c>
      <c r="T825" s="9"/>
      <c r="U825" s="9"/>
      <c r="V825" s="9"/>
      <c r="W825" s="9"/>
      <c r="X825" s="9"/>
      <c r="Y825" s="9"/>
      <c r="Z825" s="9"/>
      <c r="AA825" s="9"/>
      <c r="AB825" s="9"/>
      <c r="AC825" s="9"/>
    </row>
    <row r="826" spans="1:29" ht="29">
      <c r="A826" s="3" t="s">
        <v>1562</v>
      </c>
      <c r="B826" s="3" t="s">
        <v>7456</v>
      </c>
      <c r="C826" s="3" t="s">
        <v>7457</v>
      </c>
      <c r="F826" t="s">
        <v>3884</v>
      </c>
      <c r="G826" s="9" t="s">
        <v>3889</v>
      </c>
      <c r="H826" s="9"/>
      <c r="I826" s="9">
        <v>1</v>
      </c>
      <c r="J826" s="9">
        <v>2</v>
      </c>
      <c r="K826" s="9" t="s">
        <v>8698</v>
      </c>
      <c r="L826" s="9" t="s">
        <v>8730</v>
      </c>
      <c r="M826" s="9"/>
      <c r="N826" s="10"/>
      <c r="O826" s="9"/>
      <c r="P826" s="9">
        <v>203</v>
      </c>
      <c r="Q826" s="9"/>
      <c r="R826" s="9" t="s">
        <v>9321</v>
      </c>
      <c r="S826" s="9" t="s">
        <v>9321</v>
      </c>
      <c r="T826" s="9"/>
      <c r="U826" s="9"/>
      <c r="V826" s="9"/>
      <c r="W826" s="9"/>
      <c r="X826" s="9"/>
      <c r="Y826" s="9"/>
      <c r="Z826" s="9"/>
      <c r="AA826" s="9"/>
      <c r="AB826" s="9"/>
      <c r="AC826" s="9"/>
    </row>
    <row r="827" spans="1:29" ht="29">
      <c r="A827" s="3" t="s">
        <v>1568</v>
      </c>
      <c r="B827" s="3" t="s">
        <v>7473</v>
      </c>
      <c r="C827" s="3" t="s">
        <v>7474</v>
      </c>
      <c r="G827" s="9" t="s">
        <v>3889</v>
      </c>
      <c r="H827" s="9"/>
      <c r="I827" s="9">
        <v>1</v>
      </c>
      <c r="J827" s="9">
        <v>3</v>
      </c>
      <c r="K827" s="9" t="s">
        <v>8689</v>
      </c>
      <c r="L827" s="9" t="s">
        <v>8690</v>
      </c>
      <c r="M827" s="9"/>
      <c r="N827" s="10"/>
      <c r="O827" s="9"/>
      <c r="P827" s="9">
        <v>10929</v>
      </c>
      <c r="Q827" s="9"/>
      <c r="R827" s="9" t="s">
        <v>9321</v>
      </c>
      <c r="S827" s="9" t="s">
        <v>9321</v>
      </c>
      <c r="T827" s="9"/>
      <c r="U827" s="9"/>
      <c r="V827" s="9"/>
      <c r="W827" s="9"/>
      <c r="X827" s="9"/>
      <c r="Y827" s="9"/>
      <c r="Z827" s="9"/>
      <c r="AA827" s="9"/>
      <c r="AB827" s="9"/>
      <c r="AC827" s="9"/>
    </row>
    <row r="828" spans="1:29" ht="29">
      <c r="A828" s="3" t="s">
        <v>1571</v>
      </c>
      <c r="B828" s="3" t="s">
        <v>7479</v>
      </c>
      <c r="C828" s="3" t="s">
        <v>7480</v>
      </c>
      <c r="D828" t="s">
        <v>3886</v>
      </c>
      <c r="F828" t="s">
        <v>3892</v>
      </c>
      <c r="G828" s="9" t="s">
        <v>3889</v>
      </c>
      <c r="H828" s="9"/>
      <c r="I828" s="9">
        <v>1</v>
      </c>
      <c r="J828" s="9">
        <v>4</v>
      </c>
      <c r="K828" s="9" t="s">
        <v>8695</v>
      </c>
      <c r="L828" s="9" t="s">
        <v>8690</v>
      </c>
      <c r="M828" s="9"/>
      <c r="N828" s="10"/>
      <c r="O828" s="9"/>
      <c r="P828" s="9">
        <v>9</v>
      </c>
      <c r="Q828" s="9"/>
      <c r="R828" s="9" t="s">
        <v>9321</v>
      </c>
      <c r="S828" s="9" t="s">
        <v>9321</v>
      </c>
      <c r="T828" s="9"/>
      <c r="U828" s="9"/>
      <c r="V828" s="9"/>
      <c r="W828" s="9"/>
      <c r="X828" s="9"/>
      <c r="Y828" s="9"/>
      <c r="Z828" s="9"/>
      <c r="AA828" s="9"/>
      <c r="AB828" s="9"/>
      <c r="AC828" s="9"/>
    </row>
    <row r="829" spans="1:29" ht="29">
      <c r="A829" s="3" t="s">
        <v>1572</v>
      </c>
      <c r="B829" s="3" t="s">
        <v>7486</v>
      </c>
      <c r="C829" s="3" t="s">
        <v>7487</v>
      </c>
      <c r="G829" s="9" t="s">
        <v>8729</v>
      </c>
      <c r="H829" s="9"/>
      <c r="I829" s="9"/>
      <c r="J829" s="9"/>
      <c r="K829" s="9"/>
      <c r="L829" s="9"/>
      <c r="M829" s="9"/>
      <c r="N829" s="10"/>
      <c r="O829" s="9"/>
      <c r="P829" s="9"/>
      <c r="Q829" s="9">
        <v>644</v>
      </c>
      <c r="R829" s="9">
        <v>1</v>
      </c>
      <c r="S829" s="9">
        <v>645</v>
      </c>
      <c r="T829" s="9"/>
      <c r="U829" s="9"/>
      <c r="V829" s="9"/>
      <c r="W829" s="9"/>
      <c r="X829" s="9"/>
      <c r="Y829" s="9"/>
      <c r="Z829" s="9"/>
      <c r="AA829" s="9"/>
      <c r="AB829" s="9"/>
      <c r="AC829" s="9"/>
    </row>
    <row r="830" spans="1:29" ht="29">
      <c r="A830" s="3" t="s">
        <v>1576</v>
      </c>
      <c r="B830" s="3" t="s">
        <v>7498</v>
      </c>
      <c r="C830" s="3" t="s">
        <v>7499</v>
      </c>
      <c r="G830" s="9" t="s">
        <v>8729</v>
      </c>
      <c r="H830" s="9"/>
      <c r="I830" s="9"/>
      <c r="J830" s="9"/>
      <c r="K830" s="9"/>
      <c r="L830" s="9"/>
      <c r="M830" s="9"/>
      <c r="N830" s="10"/>
      <c r="O830" s="9"/>
      <c r="P830" s="9"/>
      <c r="Q830" s="9">
        <v>-3599</v>
      </c>
      <c r="R830" s="9">
        <v>3678</v>
      </c>
      <c r="S830" s="9">
        <v>79</v>
      </c>
      <c r="T830" s="9"/>
      <c r="U830" s="9"/>
      <c r="V830" s="9"/>
      <c r="W830" s="9"/>
      <c r="X830" s="9"/>
      <c r="Y830" s="9"/>
      <c r="Z830" s="9"/>
      <c r="AA830" s="9"/>
      <c r="AB830" s="9"/>
      <c r="AC830" s="9"/>
    </row>
    <row r="831" spans="1:29" ht="29">
      <c r="A831" s="3" t="s">
        <v>1577</v>
      </c>
      <c r="B831" s="3" t="s">
        <v>7500</v>
      </c>
      <c r="C831" s="3" t="s">
        <v>7501</v>
      </c>
      <c r="G831" s="9" t="s">
        <v>8731</v>
      </c>
      <c r="H831" s="9"/>
      <c r="I831" s="9"/>
      <c r="J831" s="9"/>
      <c r="K831" s="9"/>
      <c r="L831" s="9"/>
      <c r="M831" s="9"/>
      <c r="N831" s="10"/>
      <c r="O831" s="9"/>
      <c r="P831" s="9"/>
      <c r="Q831" s="9"/>
      <c r="R831" s="9" t="s">
        <v>9321</v>
      </c>
      <c r="S831" s="9" t="s">
        <v>9321</v>
      </c>
      <c r="T831" s="9" t="s">
        <v>4</v>
      </c>
      <c r="U831" s="9"/>
      <c r="V831" s="9"/>
      <c r="W831" s="9"/>
      <c r="X831" s="9"/>
      <c r="Y831" s="9"/>
      <c r="Z831" s="9"/>
      <c r="AA831" s="9"/>
      <c r="AB831" s="9"/>
      <c r="AC831" s="9"/>
    </row>
    <row r="832" spans="1:29" ht="29">
      <c r="A832" s="3" t="s">
        <v>1578</v>
      </c>
      <c r="B832" s="3" t="s">
        <v>7504</v>
      </c>
      <c r="C832" s="3" t="s">
        <v>7505</v>
      </c>
      <c r="F832" t="s">
        <v>3892</v>
      </c>
      <c r="G832" s="9" t="s">
        <v>8729</v>
      </c>
      <c r="H832" s="9"/>
      <c r="I832" s="9"/>
      <c r="J832" s="9"/>
      <c r="K832" s="9"/>
      <c r="L832" s="9"/>
      <c r="M832" s="9"/>
      <c r="N832" s="10"/>
      <c r="O832" s="9"/>
      <c r="P832" s="9"/>
      <c r="Q832" s="9">
        <v>9938</v>
      </c>
      <c r="R832" s="9">
        <v>991</v>
      </c>
      <c r="S832" s="9">
        <v>10929</v>
      </c>
      <c r="T832" s="9"/>
      <c r="U832" s="9"/>
      <c r="V832" s="9"/>
      <c r="W832" s="9"/>
      <c r="X832" s="9"/>
      <c r="Y832" s="9"/>
      <c r="Z832" s="9"/>
      <c r="AA832" s="9"/>
      <c r="AB832" s="9"/>
      <c r="AC832" s="9"/>
    </row>
    <row r="833" spans="1:29" ht="29">
      <c r="A833" s="3" t="s">
        <v>1579</v>
      </c>
      <c r="B833" s="3" t="s">
        <v>3651</v>
      </c>
      <c r="C833" s="3" t="s">
        <v>2334</v>
      </c>
      <c r="F833" t="s">
        <v>3884</v>
      </c>
      <c r="G833" s="9" t="s">
        <v>8731</v>
      </c>
      <c r="H833" s="9"/>
      <c r="I833" s="9"/>
      <c r="J833" s="9"/>
      <c r="K833" s="9"/>
      <c r="L833" s="9"/>
      <c r="M833" s="9"/>
      <c r="N833" s="10"/>
      <c r="O833" s="9"/>
      <c r="P833" s="9"/>
      <c r="Q833" s="9"/>
      <c r="R833" s="9" t="s">
        <v>9321</v>
      </c>
      <c r="S833" s="9" t="s">
        <v>9321</v>
      </c>
      <c r="T833" s="9"/>
      <c r="U833" s="9"/>
      <c r="V833" s="9"/>
      <c r="W833" s="9"/>
      <c r="X833" s="9"/>
      <c r="Y833" s="9"/>
      <c r="Z833" s="9"/>
      <c r="AA833" s="9"/>
      <c r="AB833" s="9"/>
      <c r="AC833" s="9"/>
    </row>
    <row r="834" spans="1:29" ht="29">
      <c r="A834" s="3" t="s">
        <v>1580</v>
      </c>
      <c r="B834" s="4" t="s">
        <v>7509</v>
      </c>
      <c r="C834" s="3" t="s">
        <v>7510</v>
      </c>
      <c r="D834" t="s">
        <v>4196</v>
      </c>
      <c r="F834" t="s">
        <v>3884</v>
      </c>
      <c r="G834" s="9" t="s">
        <v>8731</v>
      </c>
      <c r="H834" s="9"/>
      <c r="I834" s="9"/>
      <c r="J834" s="9"/>
      <c r="K834" s="9"/>
      <c r="L834" s="9"/>
      <c r="M834" s="9"/>
      <c r="N834" s="10"/>
      <c r="O834" s="9"/>
      <c r="P834" s="9"/>
      <c r="Q834" s="9"/>
      <c r="R834" s="9" t="s">
        <v>9321</v>
      </c>
      <c r="S834" s="9" t="s">
        <v>9321</v>
      </c>
      <c r="T834" s="9"/>
      <c r="U834" s="9"/>
      <c r="V834" s="9"/>
      <c r="W834" s="9"/>
      <c r="X834" s="9"/>
      <c r="Y834" s="9"/>
      <c r="Z834" s="9"/>
      <c r="AA834" s="9"/>
      <c r="AB834" s="9"/>
      <c r="AC834" s="9"/>
    </row>
    <row r="835" spans="1:29" ht="29">
      <c r="A835" s="3" t="s">
        <v>1585</v>
      </c>
      <c r="B835" s="3" t="s">
        <v>7526</v>
      </c>
      <c r="C835" s="3" t="s">
        <v>7527</v>
      </c>
      <c r="F835" t="s">
        <v>3884</v>
      </c>
      <c r="G835" s="9" t="s">
        <v>3885</v>
      </c>
      <c r="H835" s="9"/>
      <c r="I835" s="9">
        <v>1</v>
      </c>
      <c r="J835" s="9">
        <v>1</v>
      </c>
      <c r="K835" s="9" t="s">
        <v>8683</v>
      </c>
      <c r="L835" s="9" t="s">
        <v>8730</v>
      </c>
      <c r="M835" s="9"/>
      <c r="N835" s="10"/>
      <c r="O835" s="9"/>
      <c r="P835" s="9">
        <v>1</v>
      </c>
      <c r="Q835" s="9"/>
      <c r="R835" s="9" t="s">
        <v>9321</v>
      </c>
      <c r="S835" s="9" t="s">
        <v>9321</v>
      </c>
      <c r="T835" s="9" t="s">
        <v>8728</v>
      </c>
      <c r="U835" s="9"/>
      <c r="V835" s="9"/>
      <c r="W835" s="9"/>
      <c r="X835" s="9"/>
      <c r="Y835" s="9"/>
      <c r="Z835" s="9"/>
      <c r="AA835" s="9"/>
      <c r="AB835" s="9"/>
      <c r="AC835" s="9"/>
    </row>
    <row r="836" spans="1:29" ht="29">
      <c r="A836" s="3" t="s">
        <v>1586</v>
      </c>
      <c r="B836" s="3" t="s">
        <v>7528</v>
      </c>
      <c r="C836" s="3" t="s">
        <v>7529</v>
      </c>
      <c r="F836" t="s">
        <v>3884</v>
      </c>
      <c r="G836" s="9" t="s">
        <v>8731</v>
      </c>
      <c r="H836" s="9"/>
      <c r="I836" s="9"/>
      <c r="J836" s="9"/>
      <c r="K836" s="9"/>
      <c r="L836" s="9"/>
      <c r="M836" s="9"/>
      <c r="N836" s="10"/>
      <c r="O836" s="9"/>
      <c r="P836" s="9"/>
      <c r="Q836" s="9"/>
      <c r="R836" s="9" t="s">
        <v>9321</v>
      </c>
      <c r="S836" s="9" t="s">
        <v>9321</v>
      </c>
      <c r="T836" s="9"/>
      <c r="U836" s="9"/>
      <c r="V836" s="9"/>
      <c r="W836" s="9"/>
      <c r="X836" s="9"/>
      <c r="Y836" s="9"/>
      <c r="Z836" s="9"/>
      <c r="AA836" s="9"/>
      <c r="AB836" s="9"/>
      <c r="AC836" s="9"/>
    </row>
    <row r="837" spans="1:29" ht="29">
      <c r="A837" s="3" t="s">
        <v>1586</v>
      </c>
      <c r="B837" s="3" t="s">
        <v>7530</v>
      </c>
      <c r="C837" s="3" t="s">
        <v>7531</v>
      </c>
      <c r="G837" s="9" t="s">
        <v>8731</v>
      </c>
      <c r="H837" s="9"/>
      <c r="I837" s="9"/>
      <c r="J837" s="9"/>
      <c r="K837" s="9"/>
      <c r="L837" s="9"/>
      <c r="M837" s="9"/>
      <c r="N837" s="10"/>
      <c r="O837" s="9"/>
      <c r="P837" s="9"/>
      <c r="Q837" s="9"/>
      <c r="R837" s="9" t="s">
        <v>9321</v>
      </c>
      <c r="S837" s="9" t="s">
        <v>9321</v>
      </c>
      <c r="T837" s="9"/>
      <c r="U837" s="9"/>
      <c r="V837" s="9"/>
      <c r="W837" s="9"/>
      <c r="X837" s="9"/>
      <c r="Y837" s="9"/>
      <c r="Z837" s="9"/>
      <c r="AA837" s="9"/>
      <c r="AB837" s="9"/>
      <c r="AC837" s="9"/>
    </row>
    <row r="838" spans="1:29" ht="29">
      <c r="A838" s="3" t="s">
        <v>1587</v>
      </c>
      <c r="B838" s="3" t="s">
        <v>7537</v>
      </c>
      <c r="C838" s="3" t="s">
        <v>7534</v>
      </c>
      <c r="G838" s="9" t="s">
        <v>3889</v>
      </c>
      <c r="H838" s="9"/>
      <c r="I838" s="9">
        <v>1</v>
      </c>
      <c r="J838" s="9">
        <v>2</v>
      </c>
      <c r="K838" s="9" t="s">
        <v>8707</v>
      </c>
      <c r="L838" s="9" t="s">
        <v>8730</v>
      </c>
      <c r="M838" s="9"/>
      <c r="N838" s="10"/>
      <c r="O838" s="9"/>
      <c r="P838" s="9">
        <v>1942</v>
      </c>
      <c r="Q838" s="9"/>
      <c r="R838" s="9" t="s">
        <v>9321</v>
      </c>
      <c r="S838" s="9" t="s">
        <v>9321</v>
      </c>
      <c r="T838" s="9"/>
      <c r="U838" s="9"/>
      <c r="V838" s="9"/>
      <c r="W838" s="9"/>
      <c r="X838" s="9"/>
      <c r="Y838" s="9"/>
      <c r="Z838" s="9"/>
      <c r="AA838" s="9"/>
      <c r="AB838" s="9"/>
      <c r="AC838" s="9"/>
    </row>
    <row r="839" spans="1:29" ht="29">
      <c r="A839" s="3" t="s">
        <v>1590</v>
      </c>
      <c r="B839" s="3" t="s">
        <v>7547</v>
      </c>
      <c r="C839" s="3" t="s">
        <v>9138</v>
      </c>
      <c r="G839" s="9" t="s">
        <v>8729</v>
      </c>
      <c r="H839" s="9"/>
      <c r="I839" s="9"/>
      <c r="J839" s="9"/>
      <c r="K839" s="9"/>
      <c r="L839" s="9"/>
      <c r="M839" s="9"/>
      <c r="N839" s="10"/>
      <c r="O839" s="9"/>
      <c r="P839" s="9"/>
      <c r="Q839" s="9">
        <v>-86</v>
      </c>
      <c r="R839" s="9">
        <v>128</v>
      </c>
      <c r="S839" s="9">
        <v>42</v>
      </c>
      <c r="T839" s="9"/>
      <c r="U839" s="9"/>
      <c r="V839" s="9"/>
      <c r="W839" s="9"/>
      <c r="X839" s="9"/>
      <c r="Y839" s="9"/>
      <c r="Z839" s="9"/>
      <c r="AA839" s="9"/>
      <c r="AB839" s="9"/>
      <c r="AC839" s="9"/>
    </row>
    <row r="840" spans="1:29" ht="29">
      <c r="A840" s="3" t="s">
        <v>1595</v>
      </c>
      <c r="B840" s="3" t="s">
        <v>7550</v>
      </c>
      <c r="C840" s="3" t="s">
        <v>7551</v>
      </c>
      <c r="G840" s="9" t="s">
        <v>8729</v>
      </c>
      <c r="H840" s="9"/>
      <c r="I840" s="9"/>
      <c r="J840" s="9"/>
      <c r="K840" s="9"/>
      <c r="L840" s="9"/>
      <c r="M840" s="9"/>
      <c r="N840" s="10"/>
      <c r="O840" s="9"/>
      <c r="P840" s="9"/>
      <c r="Q840" s="9">
        <v>0</v>
      </c>
      <c r="R840" s="9">
        <v>1</v>
      </c>
      <c r="S840" s="9">
        <v>1</v>
      </c>
      <c r="T840" s="9"/>
      <c r="U840" s="9"/>
      <c r="V840" s="9"/>
      <c r="W840" s="9"/>
      <c r="X840" s="9"/>
      <c r="Y840" s="9"/>
      <c r="Z840" s="9"/>
      <c r="AA840" s="9"/>
      <c r="AB840" s="9"/>
      <c r="AC840" s="9"/>
    </row>
    <row r="841" spans="1:29" ht="29">
      <c r="A841" s="3" t="s">
        <v>1595</v>
      </c>
      <c r="B841" s="3" t="s">
        <v>7554</v>
      </c>
      <c r="C841" s="3" t="s">
        <v>7555</v>
      </c>
      <c r="G841" s="9" t="s">
        <v>3889</v>
      </c>
      <c r="H841" s="9"/>
      <c r="I841" s="9">
        <v>1</v>
      </c>
      <c r="J841" s="9">
        <v>3</v>
      </c>
      <c r="K841" s="9" t="s">
        <v>8689</v>
      </c>
      <c r="L841" s="9" t="s">
        <v>8690</v>
      </c>
      <c r="M841" s="9"/>
      <c r="N841" s="10"/>
      <c r="O841" s="9"/>
      <c r="P841" s="9">
        <v>10929</v>
      </c>
      <c r="Q841" s="9"/>
      <c r="R841" s="9" t="s">
        <v>9321</v>
      </c>
      <c r="S841" s="9" t="s">
        <v>9321</v>
      </c>
      <c r="T841" s="9"/>
      <c r="U841" s="9"/>
      <c r="V841" s="9"/>
      <c r="W841" s="9"/>
      <c r="X841" s="9"/>
      <c r="Y841" s="9"/>
      <c r="Z841" s="9"/>
      <c r="AA841" s="9"/>
      <c r="AB841" s="9"/>
      <c r="AC841" s="9"/>
    </row>
    <row r="842" spans="1:29" ht="29">
      <c r="A842" s="3" t="s">
        <v>1598</v>
      </c>
      <c r="B842" s="3" t="s">
        <v>7557</v>
      </c>
      <c r="C842" s="3" t="s">
        <v>7558</v>
      </c>
      <c r="F842" t="s">
        <v>3884</v>
      </c>
      <c r="G842" s="9" t="s">
        <v>8729</v>
      </c>
      <c r="H842" s="9"/>
      <c r="I842" s="9"/>
      <c r="J842" s="9"/>
      <c r="K842" s="9"/>
      <c r="L842" s="9"/>
      <c r="M842" s="9"/>
      <c r="N842" s="10"/>
      <c r="O842" s="9"/>
      <c r="P842" s="9"/>
      <c r="Q842" s="9">
        <v>1</v>
      </c>
      <c r="R842" s="9">
        <v>1</v>
      </c>
      <c r="S842" s="9">
        <v>2</v>
      </c>
      <c r="T842" s="9"/>
      <c r="U842" s="9"/>
      <c r="V842" s="9"/>
      <c r="W842" s="9"/>
      <c r="X842" s="9"/>
      <c r="Y842" s="9"/>
      <c r="Z842" s="9"/>
      <c r="AA842" s="9"/>
      <c r="AB842" s="9"/>
      <c r="AC842" s="9"/>
    </row>
    <row r="843" spans="1:29" ht="29">
      <c r="A843" s="3" t="s">
        <v>1599</v>
      </c>
      <c r="B843" s="3" t="s">
        <v>7566</v>
      </c>
      <c r="C843" s="3" t="s">
        <v>7567</v>
      </c>
      <c r="G843" s="9" t="s">
        <v>3889</v>
      </c>
      <c r="H843" s="9"/>
      <c r="I843" s="9">
        <v>1</v>
      </c>
      <c r="J843" s="9">
        <v>3</v>
      </c>
      <c r="K843" s="9" t="s">
        <v>8689</v>
      </c>
      <c r="L843" s="9" t="s">
        <v>8690</v>
      </c>
      <c r="M843" s="9"/>
      <c r="N843" s="10"/>
      <c r="O843" s="9"/>
      <c r="P843" s="9">
        <v>10929</v>
      </c>
      <c r="Q843" s="9"/>
      <c r="R843" s="9" t="s">
        <v>9321</v>
      </c>
      <c r="S843" s="9" t="s">
        <v>9321</v>
      </c>
      <c r="T843" s="9" t="s">
        <v>8728</v>
      </c>
      <c r="U843" s="9"/>
      <c r="V843" s="9"/>
      <c r="W843" s="9"/>
      <c r="X843" s="9"/>
      <c r="Y843" s="9"/>
      <c r="Z843" s="9"/>
      <c r="AA843" s="9"/>
      <c r="AB843" s="9"/>
      <c r="AC843" s="9"/>
    </row>
    <row r="844" spans="1:29" ht="43.5">
      <c r="A844" s="3" t="s">
        <v>1600</v>
      </c>
      <c r="B844" s="3" t="s">
        <v>7573</v>
      </c>
      <c r="C844" s="3" t="s">
        <v>7568</v>
      </c>
      <c r="F844" t="s">
        <v>3884</v>
      </c>
      <c r="G844" s="9" t="s">
        <v>3889</v>
      </c>
      <c r="H844" s="9"/>
      <c r="I844" s="9">
        <v>2</v>
      </c>
      <c r="J844" s="9">
        <v>11</v>
      </c>
      <c r="K844" s="9"/>
      <c r="L844" s="9" t="s">
        <v>8684</v>
      </c>
      <c r="M844" s="9" t="s">
        <v>8847</v>
      </c>
      <c r="N844" s="10" t="s">
        <v>8958</v>
      </c>
      <c r="O844" s="9"/>
      <c r="P844" s="9">
        <v>627</v>
      </c>
      <c r="Q844" s="9"/>
      <c r="R844" s="9" t="s">
        <v>9321</v>
      </c>
      <c r="S844" s="9" t="s">
        <v>9321</v>
      </c>
      <c r="T844" s="9"/>
      <c r="U844" s="9"/>
      <c r="V844" s="9"/>
      <c r="W844" s="9"/>
      <c r="X844" s="9"/>
      <c r="Y844" s="9"/>
      <c r="Z844" s="9"/>
      <c r="AA844" s="9"/>
      <c r="AB844" s="9"/>
      <c r="AC844" s="9"/>
    </row>
    <row r="845" spans="1:29" ht="29">
      <c r="A845" s="3" t="s">
        <v>1603</v>
      </c>
      <c r="B845" s="3" t="s">
        <v>3664</v>
      </c>
      <c r="C845" s="3" t="s">
        <v>3665</v>
      </c>
      <c r="G845" s="9" t="s">
        <v>8731</v>
      </c>
      <c r="H845" s="9"/>
      <c r="I845" s="9"/>
      <c r="J845" s="9"/>
      <c r="K845" s="9"/>
      <c r="L845" s="9"/>
      <c r="M845" s="9"/>
      <c r="N845" s="10"/>
      <c r="O845" s="9"/>
      <c r="P845" s="9"/>
      <c r="Q845" s="9"/>
      <c r="R845" s="9" t="s">
        <v>9321</v>
      </c>
      <c r="S845" s="9" t="s">
        <v>9321</v>
      </c>
      <c r="T845" s="9"/>
      <c r="U845" s="9"/>
      <c r="V845" s="9"/>
      <c r="W845" s="9"/>
      <c r="X845" s="9"/>
      <c r="Y845" s="9"/>
      <c r="Z845" s="9"/>
      <c r="AA845" s="9"/>
      <c r="AB845" s="9"/>
      <c r="AC845" s="9"/>
    </row>
    <row r="846" spans="1:29" ht="29">
      <c r="A846" s="3" t="s">
        <v>1610</v>
      </c>
      <c r="B846" s="3" t="s">
        <v>7589</v>
      </c>
      <c r="C846" s="3" t="s">
        <v>7590</v>
      </c>
      <c r="F846" t="s">
        <v>3884</v>
      </c>
      <c r="G846" s="9" t="s">
        <v>3885</v>
      </c>
      <c r="H846" s="9"/>
      <c r="I846" s="9">
        <v>2</v>
      </c>
      <c r="J846" s="9">
        <v>8</v>
      </c>
      <c r="K846" s="9"/>
      <c r="L846" s="9" t="s">
        <v>8690</v>
      </c>
      <c r="M846" s="9"/>
      <c r="N846" s="10"/>
      <c r="O846" s="9"/>
      <c r="P846" s="9">
        <v>627</v>
      </c>
      <c r="Q846" s="9"/>
      <c r="R846" s="9" t="s">
        <v>9321</v>
      </c>
      <c r="S846" s="9" t="s">
        <v>9321</v>
      </c>
      <c r="T846" s="9"/>
      <c r="U846" s="9"/>
      <c r="V846" s="9"/>
      <c r="W846" s="9"/>
      <c r="X846" s="9"/>
      <c r="Y846" s="9"/>
      <c r="Z846" s="9"/>
      <c r="AA846" s="9"/>
      <c r="AB846" s="9"/>
      <c r="AC846" s="9"/>
    </row>
    <row r="847" spans="1:29" ht="43.5">
      <c r="A847" s="3" t="s">
        <v>1614</v>
      </c>
      <c r="B847" s="3" t="s">
        <v>7604</v>
      </c>
      <c r="C847" s="3" t="s">
        <v>7605</v>
      </c>
      <c r="G847" s="9" t="s">
        <v>3885</v>
      </c>
      <c r="H847" s="9"/>
      <c r="I847" s="9">
        <v>1</v>
      </c>
      <c r="J847" s="9">
        <v>3</v>
      </c>
      <c r="K847" s="9" t="s">
        <v>8689</v>
      </c>
      <c r="L847" s="9" t="s">
        <v>8690</v>
      </c>
      <c r="M847" s="9"/>
      <c r="N847" s="10"/>
      <c r="O847" s="9"/>
      <c r="P847" s="9">
        <v>10929</v>
      </c>
      <c r="Q847" s="9"/>
      <c r="R847" s="9" t="s">
        <v>9321</v>
      </c>
      <c r="S847" s="9" t="s">
        <v>9321</v>
      </c>
      <c r="T847" s="9" t="s">
        <v>8728</v>
      </c>
      <c r="U847" s="9"/>
      <c r="V847" s="9"/>
      <c r="W847" s="9"/>
      <c r="X847" s="9"/>
      <c r="Y847" s="9"/>
      <c r="Z847" s="9"/>
      <c r="AA847" s="9"/>
      <c r="AB847" s="9"/>
      <c r="AC847" s="9"/>
    </row>
    <row r="848" spans="1:29" ht="29">
      <c r="A848" s="3" t="s">
        <v>1615</v>
      </c>
      <c r="B848" s="3" t="s">
        <v>7615</v>
      </c>
      <c r="C848" s="3" t="s">
        <v>9655</v>
      </c>
      <c r="F848" t="s">
        <v>3884</v>
      </c>
      <c r="G848" s="9" t="s">
        <v>3885</v>
      </c>
      <c r="H848" s="9"/>
      <c r="I848" s="9">
        <v>1</v>
      </c>
      <c r="J848" s="9">
        <v>2</v>
      </c>
      <c r="K848" s="9" t="s">
        <v>8698</v>
      </c>
      <c r="L848" s="9" t="s">
        <v>8730</v>
      </c>
      <c r="M848" s="9"/>
      <c r="N848" s="10"/>
      <c r="O848" s="9"/>
      <c r="P848" s="9">
        <v>159</v>
      </c>
      <c r="Q848" s="9"/>
      <c r="R848" s="9" t="s">
        <v>9321</v>
      </c>
      <c r="S848" s="9" t="s">
        <v>9321</v>
      </c>
      <c r="T848" s="9"/>
      <c r="U848" s="9"/>
      <c r="V848" s="9"/>
      <c r="W848" s="9"/>
      <c r="X848" s="9"/>
      <c r="Y848" s="9"/>
      <c r="Z848" s="9"/>
      <c r="AA848" s="9"/>
      <c r="AB848" s="9"/>
      <c r="AC848" s="9"/>
    </row>
    <row r="849" spans="1:29" ht="29">
      <c r="A849" s="3" t="s">
        <v>1615</v>
      </c>
      <c r="B849" s="3" t="s">
        <v>7616</v>
      </c>
      <c r="C849" s="3" t="s">
        <v>7617</v>
      </c>
      <c r="G849" s="9" t="s">
        <v>8729</v>
      </c>
      <c r="H849" s="9"/>
      <c r="I849" s="9"/>
      <c r="J849" s="9"/>
      <c r="K849" s="9"/>
      <c r="L849" s="9"/>
      <c r="M849" s="9"/>
      <c r="N849" s="10"/>
      <c r="O849" s="9"/>
      <c r="P849" s="9"/>
      <c r="Q849" s="9">
        <v>133</v>
      </c>
      <c r="R849" s="9">
        <v>207</v>
      </c>
      <c r="S849" s="9">
        <v>340</v>
      </c>
      <c r="T849" s="9"/>
      <c r="U849" s="9"/>
      <c r="V849" s="9"/>
      <c r="W849" s="9"/>
      <c r="X849" s="9"/>
      <c r="Y849" s="9"/>
      <c r="Z849" s="9"/>
      <c r="AA849" s="9"/>
      <c r="AB849" s="9"/>
      <c r="AC849" s="9"/>
    </row>
    <row r="850" spans="1:29">
      <c r="A850" s="3" t="s">
        <v>1616</v>
      </c>
      <c r="B850" s="3" t="s">
        <v>2175</v>
      </c>
      <c r="C850" s="3" t="s">
        <v>2159</v>
      </c>
      <c r="G850" s="9" t="s">
        <v>8731</v>
      </c>
      <c r="H850" s="9"/>
      <c r="I850" s="9"/>
      <c r="J850" s="9"/>
      <c r="K850" s="9"/>
      <c r="L850" s="9"/>
      <c r="M850" s="9"/>
      <c r="N850" s="10"/>
      <c r="O850" s="9"/>
      <c r="P850" s="9"/>
      <c r="Q850" s="9"/>
      <c r="R850" s="9" t="s">
        <v>9321</v>
      </c>
      <c r="S850" s="9" t="s">
        <v>9321</v>
      </c>
      <c r="T850" s="9"/>
      <c r="U850" s="9"/>
      <c r="V850" s="9"/>
      <c r="W850" s="9"/>
      <c r="X850" s="9"/>
      <c r="Y850" s="9"/>
      <c r="Z850" s="9"/>
      <c r="AA850" s="9"/>
      <c r="AB850" s="9"/>
      <c r="AC850" s="9"/>
    </row>
    <row r="851" spans="1:29">
      <c r="A851" s="3" t="s">
        <v>1617</v>
      </c>
      <c r="B851" s="3" t="s">
        <v>7618</v>
      </c>
      <c r="C851" s="3" t="s">
        <v>7619</v>
      </c>
      <c r="F851" t="s">
        <v>3884</v>
      </c>
      <c r="G851" s="9" t="s">
        <v>3885</v>
      </c>
      <c r="H851" s="9"/>
      <c r="I851" s="9">
        <v>1</v>
      </c>
      <c r="J851" s="9">
        <v>1</v>
      </c>
      <c r="K851" s="9" t="s">
        <v>8698</v>
      </c>
      <c r="L851" s="9" t="s">
        <v>8730</v>
      </c>
      <c r="M851" s="9"/>
      <c r="N851" s="10"/>
      <c r="O851" s="9"/>
      <c r="P851" s="9">
        <v>1</v>
      </c>
      <c r="Q851" s="9"/>
      <c r="R851" s="9" t="s">
        <v>9321</v>
      </c>
      <c r="S851" s="9" t="s">
        <v>9321</v>
      </c>
      <c r="T851" s="9" t="s">
        <v>8728</v>
      </c>
      <c r="U851" s="9"/>
      <c r="V851" s="9"/>
      <c r="W851" s="9"/>
      <c r="X851" s="9"/>
      <c r="Y851" s="9"/>
      <c r="Z851" s="9"/>
      <c r="AA851" s="9"/>
      <c r="AB851" s="9"/>
      <c r="AC851" s="9"/>
    </row>
    <row r="852" spans="1:29">
      <c r="A852" s="3" t="s">
        <v>1618</v>
      </c>
      <c r="B852" s="3" t="s">
        <v>7620</v>
      </c>
      <c r="C852" s="3" t="s">
        <v>7621</v>
      </c>
      <c r="G852" s="9" t="s">
        <v>8729</v>
      </c>
      <c r="H852" s="9"/>
      <c r="I852" s="9"/>
      <c r="J852" s="9"/>
      <c r="K852" s="9"/>
      <c r="L852" s="9"/>
      <c r="M852" s="9"/>
      <c r="N852" s="10"/>
      <c r="O852" s="9"/>
      <c r="P852" s="9"/>
      <c r="Q852" s="9">
        <v>3599</v>
      </c>
      <c r="R852" s="9">
        <v>79</v>
      </c>
      <c r="S852" s="9">
        <v>3678</v>
      </c>
      <c r="T852" s="9"/>
      <c r="U852" s="9"/>
      <c r="V852" s="9"/>
      <c r="W852" s="9"/>
      <c r="X852" s="9"/>
      <c r="Y852" s="9"/>
      <c r="Z852" s="9"/>
      <c r="AA852" s="9"/>
      <c r="AB852" s="9"/>
      <c r="AC852" s="9"/>
    </row>
    <row r="853" spans="1:29" ht="29">
      <c r="A853" s="3" t="s">
        <v>1618</v>
      </c>
      <c r="B853" s="3" t="s">
        <v>7622</v>
      </c>
      <c r="C853" s="3" t="s">
        <v>7623</v>
      </c>
      <c r="F853" t="s">
        <v>3884</v>
      </c>
      <c r="G853" s="9" t="s">
        <v>8729</v>
      </c>
      <c r="H853" s="9"/>
      <c r="I853" s="9"/>
      <c r="J853" s="9"/>
      <c r="K853" s="9"/>
      <c r="L853" s="9"/>
      <c r="M853" s="9"/>
      <c r="N853" s="10"/>
      <c r="O853" s="9"/>
      <c r="P853" s="9"/>
      <c r="Q853" s="9">
        <v>42</v>
      </c>
      <c r="R853" s="9">
        <v>1443</v>
      </c>
      <c r="S853" s="9">
        <v>1485</v>
      </c>
      <c r="T853" s="9"/>
      <c r="U853" s="9"/>
      <c r="V853" s="9"/>
      <c r="W853" s="9"/>
      <c r="X853" s="9"/>
      <c r="Y853" s="9"/>
      <c r="Z853" s="9"/>
      <c r="AA853" s="9"/>
      <c r="AB853" s="9"/>
      <c r="AC853" s="9"/>
    </row>
    <row r="854" spans="1:29">
      <c r="A854" s="3" t="s">
        <v>1619</v>
      </c>
      <c r="B854" s="3" t="s">
        <v>7624</v>
      </c>
      <c r="C854" s="3" t="s">
        <v>7625</v>
      </c>
      <c r="F854" t="s">
        <v>3884</v>
      </c>
      <c r="G854" s="9" t="s">
        <v>3885</v>
      </c>
      <c r="H854" s="9"/>
      <c r="I854" s="9">
        <v>1</v>
      </c>
      <c r="J854" s="9">
        <v>5</v>
      </c>
      <c r="K854" s="9" t="s">
        <v>8705</v>
      </c>
      <c r="L854" s="9" t="s">
        <v>8690</v>
      </c>
      <c r="M854" s="9"/>
      <c r="N854" s="10"/>
      <c r="O854" s="9"/>
      <c r="P854" s="9">
        <v>3678</v>
      </c>
      <c r="Q854" s="9"/>
      <c r="R854" s="9" t="s">
        <v>9321</v>
      </c>
      <c r="S854" s="9" t="s">
        <v>9321</v>
      </c>
      <c r="T854" s="9"/>
      <c r="U854" s="9"/>
      <c r="V854" s="9"/>
      <c r="W854" s="9"/>
      <c r="X854" s="9"/>
      <c r="Y854" s="9"/>
      <c r="Z854" s="9"/>
      <c r="AA854" s="9"/>
      <c r="AB854" s="9"/>
      <c r="AC854" s="9"/>
    </row>
    <row r="855" spans="1:29">
      <c r="A855" s="3" t="s">
        <v>1621</v>
      </c>
      <c r="B855" s="3" t="s">
        <v>7636</v>
      </c>
      <c r="C855" s="3" t="s">
        <v>7637</v>
      </c>
      <c r="D855" t="s">
        <v>3886</v>
      </c>
      <c r="G855" s="9" t="s">
        <v>8729</v>
      </c>
      <c r="H855" s="9"/>
      <c r="I855" s="9"/>
      <c r="J855" s="9"/>
      <c r="K855" s="9"/>
      <c r="L855" s="9"/>
      <c r="M855" s="9"/>
      <c r="N855" s="10"/>
      <c r="O855" s="9"/>
      <c r="P855" s="9"/>
      <c r="Q855" s="9">
        <v>142</v>
      </c>
      <c r="R855" s="9">
        <v>41</v>
      </c>
      <c r="S855" s="9">
        <v>183</v>
      </c>
      <c r="T855" s="9"/>
      <c r="U855" s="9"/>
      <c r="V855" s="9"/>
      <c r="W855" s="9"/>
      <c r="X855" s="9"/>
      <c r="Y855" s="9"/>
      <c r="Z855" s="9"/>
      <c r="AA855" s="9"/>
      <c r="AB855" s="9"/>
      <c r="AC855" s="9"/>
    </row>
    <row r="856" spans="1:29">
      <c r="A856" s="3" t="s">
        <v>1625</v>
      </c>
      <c r="B856" s="3" t="s">
        <v>7649</v>
      </c>
      <c r="C856" s="3" t="s">
        <v>7650</v>
      </c>
      <c r="F856" t="s">
        <v>3884</v>
      </c>
      <c r="G856" s="9" t="s">
        <v>8732</v>
      </c>
      <c r="H856" s="9"/>
      <c r="I856" s="9"/>
      <c r="J856" s="9"/>
      <c r="K856" s="9"/>
      <c r="L856" s="9"/>
      <c r="M856" s="9"/>
      <c r="N856" s="10"/>
      <c r="O856" s="9"/>
      <c r="P856" s="9"/>
      <c r="Q856" s="9">
        <v>0</v>
      </c>
      <c r="R856" s="9">
        <v>92</v>
      </c>
      <c r="S856" s="9">
        <v>92</v>
      </c>
      <c r="T856" s="9"/>
      <c r="U856" s="9"/>
      <c r="V856" s="9"/>
      <c r="W856" s="9"/>
      <c r="X856" s="9"/>
      <c r="Y856" s="9"/>
      <c r="Z856" s="9"/>
      <c r="AA856" s="9"/>
      <c r="AB856" s="9"/>
      <c r="AC856" s="9"/>
    </row>
    <row r="857" spans="1:29">
      <c r="A857" s="3" t="s">
        <v>1626</v>
      </c>
      <c r="B857" s="3" t="s">
        <v>7653</v>
      </c>
      <c r="C857" s="3" t="s">
        <v>7654</v>
      </c>
      <c r="G857" s="9" t="s">
        <v>8729</v>
      </c>
      <c r="H857" s="9"/>
      <c r="I857" s="9"/>
      <c r="J857" s="9"/>
      <c r="K857" s="9"/>
      <c r="L857" s="9"/>
      <c r="M857" s="9"/>
      <c r="N857" s="10"/>
      <c r="O857" s="9"/>
      <c r="P857" s="9"/>
      <c r="Q857" s="9">
        <v>6</v>
      </c>
      <c r="R857" s="9">
        <v>18</v>
      </c>
      <c r="S857" s="9">
        <v>24</v>
      </c>
      <c r="T857" s="9"/>
      <c r="U857" s="9"/>
      <c r="V857" s="9"/>
      <c r="W857" s="9"/>
      <c r="X857" s="9"/>
      <c r="Y857" s="9"/>
      <c r="Z857" s="9"/>
      <c r="AA857" s="9"/>
      <c r="AB857" s="9"/>
      <c r="AC857" s="9"/>
    </row>
    <row r="858" spans="1:29" ht="29">
      <c r="A858" s="3" t="s">
        <v>1627</v>
      </c>
      <c r="B858" s="3" t="s">
        <v>9142</v>
      </c>
      <c r="C858" s="3" t="s">
        <v>9143</v>
      </c>
      <c r="G858" s="9" t="s">
        <v>8731</v>
      </c>
      <c r="H858" s="9"/>
      <c r="I858" s="9"/>
      <c r="J858" s="9"/>
      <c r="K858" s="9"/>
      <c r="L858" s="9"/>
      <c r="M858" s="9"/>
      <c r="N858" s="10"/>
      <c r="O858" s="9"/>
      <c r="P858" s="9"/>
      <c r="Q858" s="9"/>
      <c r="R858" s="9" t="s">
        <v>9321</v>
      </c>
      <c r="S858" s="9" t="s">
        <v>9321</v>
      </c>
      <c r="T858" s="9" t="s">
        <v>8728</v>
      </c>
      <c r="U858" s="9"/>
      <c r="V858" s="9"/>
      <c r="W858" s="9"/>
      <c r="X858" s="9"/>
      <c r="Y858" s="9"/>
      <c r="Z858" s="9"/>
      <c r="AA858" s="9"/>
      <c r="AB858" s="9"/>
      <c r="AC858" s="9"/>
    </row>
    <row r="859" spans="1:29">
      <c r="A859" s="3" t="s">
        <v>1628</v>
      </c>
      <c r="B859" s="3" t="s">
        <v>7653</v>
      </c>
      <c r="C859" s="3" t="s">
        <v>7654</v>
      </c>
      <c r="G859" s="9" t="s">
        <v>8729</v>
      </c>
      <c r="H859" s="9"/>
      <c r="I859" s="9"/>
      <c r="J859" s="9"/>
      <c r="K859" s="9"/>
      <c r="L859" s="9"/>
      <c r="M859" s="9"/>
      <c r="N859" s="10"/>
      <c r="O859" s="9"/>
      <c r="P859" s="9"/>
      <c r="Q859" s="9">
        <v>6</v>
      </c>
      <c r="R859" s="9">
        <v>18</v>
      </c>
      <c r="S859" s="9">
        <v>24</v>
      </c>
      <c r="T859" s="9"/>
      <c r="U859" s="9"/>
      <c r="V859" s="9"/>
      <c r="W859" s="9"/>
      <c r="X859" s="9"/>
      <c r="Y859" s="9"/>
      <c r="Z859" s="9"/>
      <c r="AA859" s="9"/>
      <c r="AB859" s="9"/>
      <c r="AC859" s="9"/>
    </row>
    <row r="860" spans="1:29" ht="29">
      <c r="A860" s="3" t="s">
        <v>1633</v>
      </c>
      <c r="B860" s="3" t="s">
        <v>9145</v>
      </c>
      <c r="C860" s="3" t="s">
        <v>9146</v>
      </c>
      <c r="G860" s="9" t="s">
        <v>8731</v>
      </c>
      <c r="H860" s="9"/>
      <c r="I860" s="9"/>
      <c r="J860" s="9"/>
      <c r="K860" s="9"/>
      <c r="L860" s="9"/>
      <c r="M860" s="9"/>
      <c r="N860" s="10"/>
      <c r="O860" s="9"/>
      <c r="P860" s="9"/>
      <c r="Q860" s="9"/>
      <c r="R860" s="9" t="s">
        <v>9321</v>
      </c>
      <c r="S860" s="9" t="s">
        <v>9321</v>
      </c>
      <c r="T860" s="9"/>
      <c r="U860" s="9"/>
      <c r="V860" s="9"/>
      <c r="W860" s="9"/>
      <c r="X860" s="9"/>
      <c r="Y860" s="9"/>
      <c r="Z860" s="9"/>
      <c r="AA860" s="9"/>
      <c r="AB860" s="9"/>
      <c r="AC860" s="9"/>
    </row>
    <row r="861" spans="1:29">
      <c r="A861" s="3" t="s">
        <v>1635</v>
      </c>
      <c r="B861" s="3" t="s">
        <v>2175</v>
      </c>
      <c r="C861" s="3" t="s">
        <v>2159</v>
      </c>
      <c r="F861" t="s">
        <v>3884</v>
      </c>
      <c r="G861" s="9" t="s">
        <v>8731</v>
      </c>
      <c r="H861" s="9"/>
      <c r="I861" s="9"/>
      <c r="J861" s="9"/>
      <c r="K861" s="9"/>
      <c r="L861" s="9"/>
      <c r="M861" s="9"/>
      <c r="N861" s="10"/>
      <c r="O861" s="9"/>
      <c r="P861" s="9"/>
      <c r="Q861" s="9"/>
      <c r="R861" s="9" t="s">
        <v>9321</v>
      </c>
      <c r="S861" s="9" t="s">
        <v>9321</v>
      </c>
      <c r="T861" s="9"/>
      <c r="U861" s="9"/>
      <c r="V861" s="9"/>
      <c r="W861" s="9"/>
      <c r="X861" s="9"/>
      <c r="Y861" s="9"/>
      <c r="Z861" s="9"/>
      <c r="AA861" s="9"/>
      <c r="AB861" s="9"/>
      <c r="AC861" s="9"/>
    </row>
    <row r="862" spans="1:29">
      <c r="A862" s="3" t="s">
        <v>1636</v>
      </c>
      <c r="B862" s="3" t="s">
        <v>7671</v>
      </c>
      <c r="C862" s="3" t="s">
        <v>7672</v>
      </c>
      <c r="G862" s="9" t="s">
        <v>3889</v>
      </c>
      <c r="H862" s="9"/>
      <c r="I862" s="9">
        <v>1</v>
      </c>
      <c r="J862" s="9">
        <v>2</v>
      </c>
      <c r="K862" s="9" t="s">
        <v>8689</v>
      </c>
      <c r="L862" s="9" t="s">
        <v>8730</v>
      </c>
      <c r="M862" s="9"/>
      <c r="N862" s="10"/>
      <c r="O862" s="9"/>
      <c r="P862" s="9">
        <v>10929</v>
      </c>
      <c r="Q862" s="9"/>
      <c r="R862" s="9" t="s">
        <v>9321</v>
      </c>
      <c r="S862" s="9" t="s">
        <v>9321</v>
      </c>
      <c r="T862" s="9"/>
      <c r="U862" s="9"/>
      <c r="V862" s="9"/>
      <c r="W862" s="9"/>
      <c r="X862" s="9"/>
      <c r="Y862" s="9"/>
      <c r="Z862" s="9"/>
      <c r="AA862" s="9"/>
      <c r="AB862" s="9"/>
      <c r="AC862" s="9"/>
    </row>
    <row r="863" spans="1:29">
      <c r="A863" s="3" t="s">
        <v>1636</v>
      </c>
      <c r="B863" s="3" t="s">
        <v>7673</v>
      </c>
      <c r="C863" s="3" t="s">
        <v>7674</v>
      </c>
      <c r="F863" t="s">
        <v>3884</v>
      </c>
      <c r="G863" s="9" t="s">
        <v>3889</v>
      </c>
      <c r="H863" s="9"/>
      <c r="I863" s="9">
        <v>1</v>
      </c>
      <c r="J863" s="9">
        <v>3</v>
      </c>
      <c r="K863" s="9" t="s">
        <v>8689</v>
      </c>
      <c r="L863" s="9" t="s">
        <v>8690</v>
      </c>
      <c r="M863" s="9"/>
      <c r="N863" s="10"/>
      <c r="O863" s="9"/>
      <c r="P863" s="9">
        <v>10929</v>
      </c>
      <c r="Q863" s="9"/>
      <c r="R863" s="9" t="s">
        <v>9321</v>
      </c>
      <c r="S863" s="9" t="s">
        <v>9321</v>
      </c>
      <c r="T863" s="9"/>
      <c r="U863" s="9"/>
      <c r="V863" s="9"/>
      <c r="W863" s="9"/>
      <c r="X863" s="9"/>
      <c r="Y863" s="9"/>
      <c r="Z863" s="9"/>
      <c r="AA863" s="9"/>
      <c r="AB863" s="9"/>
      <c r="AC863" s="9"/>
    </row>
    <row r="864" spans="1:29">
      <c r="A864" s="3" t="s">
        <v>1636</v>
      </c>
      <c r="B864" s="3" t="s">
        <v>9533</v>
      </c>
      <c r="C864" s="3" t="s">
        <v>9534</v>
      </c>
      <c r="D864" t="s">
        <v>4196</v>
      </c>
      <c r="G864" s="9" t="s">
        <v>8731</v>
      </c>
      <c r="H864" s="9"/>
      <c r="I864" s="9"/>
      <c r="J864" s="9"/>
      <c r="K864" s="9"/>
      <c r="L864" s="9"/>
      <c r="M864" s="9"/>
      <c r="N864" s="10"/>
      <c r="O864" s="9"/>
      <c r="P864" s="9"/>
      <c r="Q864" s="9"/>
      <c r="R864" s="9"/>
      <c r="S864" s="9"/>
      <c r="T864" s="9"/>
      <c r="U864" s="9"/>
      <c r="V864" s="9"/>
      <c r="W864" s="9"/>
      <c r="X864" s="9"/>
      <c r="Y864" s="9"/>
      <c r="Z864" s="9"/>
      <c r="AA864" s="9"/>
      <c r="AB864" s="9"/>
      <c r="AC864" s="9"/>
    </row>
    <row r="865" spans="1:29">
      <c r="A865" s="3" t="s">
        <v>1637</v>
      </c>
      <c r="B865" s="3" t="s">
        <v>2332</v>
      </c>
      <c r="C865" s="3" t="s">
        <v>2221</v>
      </c>
      <c r="G865" s="9" t="s">
        <v>8731</v>
      </c>
      <c r="H865" s="9"/>
      <c r="I865" s="9"/>
      <c r="J865" s="9"/>
      <c r="K865" s="9"/>
      <c r="L865" s="9"/>
      <c r="M865" s="9"/>
      <c r="N865" s="10"/>
      <c r="O865" s="9"/>
      <c r="P865" s="9"/>
      <c r="Q865" s="9"/>
      <c r="R865" s="9" t="s">
        <v>9321</v>
      </c>
      <c r="S865" s="9" t="s">
        <v>9321</v>
      </c>
      <c r="T865" s="9"/>
      <c r="U865" s="9"/>
      <c r="V865" s="9"/>
      <c r="W865" s="9"/>
      <c r="X865" s="9"/>
      <c r="Y865" s="9"/>
      <c r="Z865" s="9"/>
      <c r="AA865" s="9"/>
      <c r="AB865" s="9"/>
      <c r="AC865" s="9"/>
    </row>
    <row r="866" spans="1:29">
      <c r="A866" s="3" t="s">
        <v>1638</v>
      </c>
      <c r="B866" s="3" t="s">
        <v>7684</v>
      </c>
      <c r="C866" s="3" t="s">
        <v>7685</v>
      </c>
      <c r="F866" t="s">
        <v>3892</v>
      </c>
      <c r="G866" s="9" t="s">
        <v>3885</v>
      </c>
      <c r="H866" s="9"/>
      <c r="I866" s="9">
        <v>1</v>
      </c>
      <c r="J866" s="9">
        <v>1</v>
      </c>
      <c r="K866" s="9" t="s">
        <v>8695</v>
      </c>
      <c r="L866" s="9" t="s">
        <v>8730</v>
      </c>
      <c r="M866" s="9"/>
      <c r="N866" s="10"/>
      <c r="O866" s="9"/>
      <c r="P866" s="9">
        <v>10</v>
      </c>
      <c r="Q866" s="9"/>
      <c r="R866" s="9" t="s">
        <v>9321</v>
      </c>
      <c r="S866" s="9" t="s">
        <v>9321</v>
      </c>
      <c r="T866" s="9"/>
      <c r="U866" s="9"/>
      <c r="V866" s="9"/>
      <c r="W866" s="9"/>
      <c r="X866" s="9"/>
      <c r="Y866" s="9"/>
      <c r="Z866" s="9"/>
      <c r="AA866" s="9"/>
      <c r="AB866" s="9"/>
      <c r="AC866" s="9"/>
    </row>
    <row r="867" spans="1:29">
      <c r="A867" s="3" t="s">
        <v>1639</v>
      </c>
      <c r="B867" s="3" t="s">
        <v>2502</v>
      </c>
      <c r="C867" s="3" t="s">
        <v>2629</v>
      </c>
      <c r="G867" s="9" t="s">
        <v>8731</v>
      </c>
      <c r="H867" s="9"/>
      <c r="I867" s="9"/>
      <c r="J867" s="9"/>
      <c r="K867" s="9"/>
      <c r="L867" s="9"/>
      <c r="M867" s="9"/>
      <c r="N867" s="10"/>
      <c r="O867" s="9"/>
      <c r="P867" s="9"/>
      <c r="Q867" s="9"/>
      <c r="R867" s="9" t="s">
        <v>9321</v>
      </c>
      <c r="S867" s="9" t="s">
        <v>9321</v>
      </c>
      <c r="T867" s="9"/>
      <c r="U867" s="9"/>
      <c r="V867" s="9"/>
      <c r="W867" s="9"/>
      <c r="X867" s="9"/>
      <c r="Y867" s="9"/>
      <c r="Z867" s="9"/>
      <c r="AA867" s="9"/>
      <c r="AB867" s="9"/>
      <c r="AC867" s="9"/>
    </row>
    <row r="868" spans="1:29">
      <c r="A868" s="3" t="s">
        <v>1639</v>
      </c>
      <c r="B868" s="3" t="s">
        <v>1995</v>
      </c>
      <c r="C868" s="3" t="s">
        <v>2159</v>
      </c>
      <c r="F868" t="s">
        <v>3892</v>
      </c>
      <c r="G868" s="9" t="s">
        <v>8731</v>
      </c>
      <c r="H868" s="9"/>
      <c r="I868" s="9"/>
      <c r="J868" s="9"/>
      <c r="K868" s="9"/>
      <c r="L868" s="9"/>
      <c r="M868" s="9"/>
      <c r="N868" s="10"/>
      <c r="O868" s="9"/>
      <c r="P868" s="9"/>
      <c r="Q868" s="9"/>
      <c r="R868" s="9" t="s">
        <v>9321</v>
      </c>
      <c r="S868" s="9" t="s">
        <v>9321</v>
      </c>
      <c r="T868" s="9"/>
      <c r="U868" s="9"/>
      <c r="V868" s="9"/>
      <c r="W868" s="9"/>
      <c r="X868" s="9"/>
      <c r="Y868" s="9"/>
      <c r="Z868" s="9"/>
      <c r="AA868" s="9"/>
      <c r="AB868" s="9"/>
      <c r="AC868" s="9"/>
    </row>
    <row r="869" spans="1:29" ht="29">
      <c r="A869" s="3" t="s">
        <v>1640</v>
      </c>
      <c r="B869" s="3" t="s">
        <v>7689</v>
      </c>
      <c r="C869" s="3" t="s">
        <v>7690</v>
      </c>
      <c r="F869" t="s">
        <v>3892</v>
      </c>
      <c r="G869" s="9" t="s">
        <v>8729</v>
      </c>
      <c r="H869" s="9"/>
      <c r="I869" s="9"/>
      <c r="J869" s="9"/>
      <c r="K869" s="9"/>
      <c r="L869" s="9"/>
      <c r="M869" s="9"/>
      <c r="N869" s="10"/>
      <c r="O869" s="9"/>
      <c r="P869" s="9"/>
      <c r="Q869" s="9">
        <v>153</v>
      </c>
      <c r="R869" s="9">
        <v>187</v>
      </c>
      <c r="S869" s="9">
        <v>340</v>
      </c>
      <c r="T869" s="9"/>
      <c r="U869" s="9"/>
      <c r="V869" s="9"/>
      <c r="W869" s="9"/>
      <c r="X869" s="9"/>
      <c r="Y869" s="9"/>
      <c r="Z869" s="9"/>
      <c r="AA869" s="9"/>
      <c r="AB869" s="9"/>
      <c r="AC869" s="9"/>
    </row>
    <row r="870" spans="1:29">
      <c r="A870" s="3" t="s">
        <v>1646</v>
      </c>
      <c r="B870" s="3" t="s">
        <v>7699</v>
      </c>
      <c r="C870" s="3" t="s">
        <v>7700</v>
      </c>
      <c r="F870" t="s">
        <v>3884</v>
      </c>
      <c r="G870" s="9" t="s">
        <v>8729</v>
      </c>
      <c r="H870" s="9"/>
      <c r="I870" s="9"/>
      <c r="J870" s="9"/>
      <c r="K870" s="9"/>
      <c r="L870" s="9"/>
      <c r="M870" s="9"/>
      <c r="N870" s="10"/>
      <c r="O870" s="9"/>
      <c r="P870" s="9"/>
      <c r="Q870" s="9">
        <v>625</v>
      </c>
      <c r="R870" s="9">
        <v>2</v>
      </c>
      <c r="S870" s="9">
        <v>627</v>
      </c>
      <c r="T870" s="9"/>
      <c r="U870" s="9"/>
      <c r="V870" s="9"/>
      <c r="W870" s="9"/>
      <c r="X870" s="9"/>
      <c r="Y870" s="9"/>
      <c r="Z870" s="9"/>
      <c r="AA870" s="9"/>
      <c r="AB870" s="9"/>
      <c r="AC870" s="9"/>
    </row>
    <row r="871" spans="1:29">
      <c r="A871" s="3" t="s">
        <v>1647</v>
      </c>
      <c r="B871" s="3" t="s">
        <v>7705</v>
      </c>
      <c r="C871" s="3" t="s">
        <v>7706</v>
      </c>
      <c r="F871" t="s">
        <v>3884</v>
      </c>
      <c r="G871" s="9" t="s">
        <v>3889</v>
      </c>
      <c r="H871" s="9"/>
      <c r="I871" s="9">
        <v>1</v>
      </c>
      <c r="J871" s="9">
        <v>2</v>
      </c>
      <c r="K871" s="9" t="s">
        <v>8703</v>
      </c>
      <c r="L871" s="9" t="s">
        <v>8730</v>
      </c>
      <c r="M871" s="9"/>
      <c r="N871" s="10"/>
      <c r="O871" s="9"/>
      <c r="P871" s="9">
        <v>1225</v>
      </c>
      <c r="Q871" s="9"/>
      <c r="R871" s="9" t="s">
        <v>9321</v>
      </c>
      <c r="S871" s="9" t="s">
        <v>9321</v>
      </c>
      <c r="T871" s="9" t="s">
        <v>8728</v>
      </c>
      <c r="U871" s="9"/>
      <c r="V871" s="9"/>
      <c r="W871" s="9"/>
      <c r="X871" s="9"/>
      <c r="Y871" s="9"/>
      <c r="Z871" s="9"/>
      <c r="AA871" s="9"/>
      <c r="AB871" s="9"/>
      <c r="AC871" s="9"/>
    </row>
    <row r="872" spans="1:29">
      <c r="A872" s="3" t="s">
        <v>1651</v>
      </c>
      <c r="B872" s="3" t="s">
        <v>7716</v>
      </c>
      <c r="C872" s="3" t="s">
        <v>7717</v>
      </c>
      <c r="F872" t="s">
        <v>3884</v>
      </c>
      <c r="G872" s="9" t="s">
        <v>3889</v>
      </c>
      <c r="H872" s="9"/>
      <c r="I872" s="9">
        <v>2</v>
      </c>
      <c r="J872" s="9">
        <v>7</v>
      </c>
      <c r="K872" s="9"/>
      <c r="L872" s="9" t="s">
        <v>8690</v>
      </c>
      <c r="M872" s="9"/>
      <c r="N872" s="10"/>
      <c r="O872" s="9"/>
      <c r="P872" s="9">
        <v>872</v>
      </c>
      <c r="Q872" s="9"/>
      <c r="R872" s="9" t="s">
        <v>9321</v>
      </c>
      <c r="S872" s="9" t="s">
        <v>9321</v>
      </c>
      <c r="T872" s="9"/>
      <c r="U872" s="9"/>
      <c r="V872" s="9"/>
      <c r="W872" s="9"/>
      <c r="X872" s="9"/>
      <c r="Y872" s="9"/>
      <c r="Z872" s="9"/>
      <c r="AA872" s="9"/>
      <c r="AB872" s="9"/>
      <c r="AC872" s="9"/>
    </row>
    <row r="873" spans="1:29">
      <c r="A873" s="3" t="s">
        <v>1668</v>
      </c>
      <c r="B873" s="3" t="s">
        <v>7753</v>
      </c>
      <c r="C873" s="3" t="s">
        <v>5988</v>
      </c>
      <c r="G873" s="9" t="s">
        <v>8729</v>
      </c>
      <c r="H873" s="9"/>
      <c r="I873" s="9"/>
      <c r="J873" s="9"/>
      <c r="K873" s="9"/>
      <c r="L873" s="9"/>
      <c r="M873" s="9"/>
      <c r="N873" s="10"/>
      <c r="O873" s="9"/>
      <c r="P873" s="9"/>
      <c r="Q873" s="9">
        <v>290</v>
      </c>
      <c r="R873" s="9">
        <v>21</v>
      </c>
      <c r="S873" s="9">
        <v>311</v>
      </c>
      <c r="T873" s="9"/>
      <c r="U873" s="9"/>
      <c r="V873" s="9"/>
      <c r="W873" s="9"/>
      <c r="X873" s="9"/>
      <c r="Y873" s="9"/>
      <c r="Z873" s="9"/>
      <c r="AA873" s="9"/>
      <c r="AB873" s="9"/>
      <c r="AC873" s="9"/>
    </row>
    <row r="874" spans="1:29">
      <c r="A874" s="3" t="s">
        <v>1673</v>
      </c>
      <c r="B874" s="3" t="s">
        <v>7758</v>
      </c>
      <c r="C874" s="3" t="s">
        <v>7759</v>
      </c>
      <c r="G874" s="9" t="s">
        <v>3885</v>
      </c>
      <c r="H874" s="9"/>
      <c r="I874" s="9">
        <v>1</v>
      </c>
      <c r="J874" s="9">
        <v>4</v>
      </c>
      <c r="K874" s="9" t="s">
        <v>8707</v>
      </c>
      <c r="L874" s="9" t="s">
        <v>8690</v>
      </c>
      <c r="M874" s="9"/>
      <c r="N874" s="10"/>
      <c r="O874" s="9"/>
      <c r="P874" s="9">
        <v>866</v>
      </c>
      <c r="Q874" s="9"/>
      <c r="R874" s="9" t="s">
        <v>9321</v>
      </c>
      <c r="S874" s="9" t="s">
        <v>9321</v>
      </c>
      <c r="T874" s="9"/>
      <c r="U874" s="9"/>
      <c r="V874" s="9"/>
      <c r="W874" s="9"/>
      <c r="X874" s="9"/>
      <c r="Y874" s="9"/>
      <c r="Z874" s="9"/>
      <c r="AA874" s="9"/>
      <c r="AB874" s="9"/>
      <c r="AC874" s="9"/>
    </row>
    <row r="875" spans="1:29" ht="29">
      <c r="A875" s="3" t="s">
        <v>1676</v>
      </c>
      <c r="B875" s="3" t="s">
        <v>7767</v>
      </c>
      <c r="C875" s="3" t="s">
        <v>7768</v>
      </c>
      <c r="F875" t="s">
        <v>3884</v>
      </c>
      <c r="G875" s="9" t="s">
        <v>8729</v>
      </c>
      <c r="H875" s="9"/>
      <c r="I875" s="9"/>
      <c r="J875" s="9"/>
      <c r="K875" s="9"/>
      <c r="L875" s="9"/>
      <c r="M875" s="9"/>
      <c r="N875" s="10"/>
      <c r="O875" s="9"/>
      <c r="P875" s="9"/>
      <c r="Q875" s="9">
        <v>323</v>
      </c>
      <c r="R875" s="9">
        <v>9</v>
      </c>
      <c r="S875" s="9">
        <v>332</v>
      </c>
      <c r="T875" s="9" t="s">
        <v>8728</v>
      </c>
      <c r="U875" s="9"/>
      <c r="V875" s="9"/>
      <c r="W875" s="9"/>
      <c r="X875" s="9"/>
      <c r="Y875" s="9"/>
      <c r="Z875" s="9"/>
      <c r="AA875" s="9"/>
      <c r="AB875" s="9"/>
      <c r="AC875" s="9"/>
    </row>
    <row r="876" spans="1:29">
      <c r="A876" s="3" t="s">
        <v>1680</v>
      </c>
      <c r="B876" s="3" t="s">
        <v>7774</v>
      </c>
      <c r="C876" s="3" t="s">
        <v>9153</v>
      </c>
      <c r="G876" s="9" t="s">
        <v>3889</v>
      </c>
      <c r="H876" s="9"/>
      <c r="I876" s="9">
        <v>1</v>
      </c>
      <c r="J876" s="9">
        <v>1</v>
      </c>
      <c r="K876" s="9" t="s">
        <v>8689</v>
      </c>
      <c r="L876" s="9" t="s">
        <v>8730</v>
      </c>
      <c r="M876" s="9"/>
      <c r="N876" s="10"/>
      <c r="O876" s="9"/>
      <c r="P876" s="9">
        <v>10929</v>
      </c>
      <c r="Q876" s="9"/>
      <c r="R876" s="9" t="s">
        <v>9321</v>
      </c>
      <c r="S876" s="9" t="s">
        <v>9321</v>
      </c>
      <c r="T876" s="9"/>
      <c r="U876" s="9"/>
      <c r="V876" s="9"/>
      <c r="W876" s="9"/>
      <c r="X876" s="9"/>
      <c r="Y876" s="9"/>
      <c r="Z876" s="9"/>
      <c r="AA876" s="9"/>
      <c r="AB876" s="9"/>
      <c r="AC876" s="9"/>
    </row>
    <row r="877" spans="1:29" ht="29">
      <c r="A877" s="3" t="s">
        <v>1681</v>
      </c>
      <c r="B877" s="3" t="s">
        <v>7777</v>
      </c>
      <c r="C877" s="3" t="s">
        <v>7778</v>
      </c>
      <c r="G877" s="9" t="s">
        <v>3889</v>
      </c>
      <c r="H877" s="9"/>
      <c r="I877" s="9">
        <v>1</v>
      </c>
      <c r="J877" s="9">
        <v>3</v>
      </c>
      <c r="K877" s="9" t="s">
        <v>8695</v>
      </c>
      <c r="L877" s="9" t="s">
        <v>8690</v>
      </c>
      <c r="M877" s="9"/>
      <c r="N877" s="10"/>
      <c r="O877" s="9"/>
      <c r="P877" s="9">
        <v>131</v>
      </c>
      <c r="Q877" s="9"/>
      <c r="R877" s="9" t="s">
        <v>9321</v>
      </c>
      <c r="S877" s="9" t="s">
        <v>9321</v>
      </c>
      <c r="T877" s="9"/>
      <c r="U877" s="9"/>
      <c r="V877" s="9"/>
      <c r="W877" s="9"/>
      <c r="X877" s="9"/>
      <c r="Y877" s="9"/>
      <c r="Z877" s="9"/>
      <c r="AA877" s="9"/>
      <c r="AB877" s="9"/>
      <c r="AC877" s="9"/>
    </row>
    <row r="878" spans="1:29" ht="29">
      <c r="A878" s="3" t="s">
        <v>1681</v>
      </c>
      <c r="B878" s="3" t="s">
        <v>7779</v>
      </c>
      <c r="C878" s="3" t="s">
        <v>7780</v>
      </c>
      <c r="G878" s="9" t="s">
        <v>3885</v>
      </c>
      <c r="H878" s="9"/>
      <c r="I878" s="9">
        <v>1</v>
      </c>
      <c r="J878" s="9">
        <v>3</v>
      </c>
      <c r="K878" s="9" t="s">
        <v>8698</v>
      </c>
      <c r="L878" s="9" t="s">
        <v>8690</v>
      </c>
      <c r="M878" s="9"/>
      <c r="N878" s="10"/>
      <c r="O878" s="9"/>
      <c r="P878" s="9">
        <v>9418</v>
      </c>
      <c r="Q878" s="9"/>
      <c r="R878" s="9" t="s">
        <v>9321</v>
      </c>
      <c r="S878" s="9" t="s">
        <v>9321</v>
      </c>
      <c r="T878" s="9"/>
      <c r="U878" s="9"/>
      <c r="V878" s="9"/>
      <c r="W878" s="9"/>
      <c r="X878" s="9"/>
      <c r="Y878" s="9"/>
      <c r="Z878" s="9"/>
      <c r="AA878" s="9"/>
      <c r="AB878" s="9"/>
      <c r="AC878" s="9"/>
    </row>
    <row r="879" spans="1:29">
      <c r="A879" s="3" t="s">
        <v>1681</v>
      </c>
      <c r="B879" s="3" t="s">
        <v>7783</v>
      </c>
      <c r="C879" s="3" t="s">
        <v>7784</v>
      </c>
      <c r="G879" s="9" t="s">
        <v>3885</v>
      </c>
      <c r="H879" s="9"/>
      <c r="I879" s="9">
        <v>1</v>
      </c>
      <c r="J879" s="9">
        <v>3</v>
      </c>
      <c r="K879" s="9" t="s">
        <v>8698</v>
      </c>
      <c r="L879" s="9" t="s">
        <v>8690</v>
      </c>
      <c r="M879" s="9"/>
      <c r="N879" s="10"/>
      <c r="O879" s="9"/>
      <c r="P879" s="9">
        <v>9418</v>
      </c>
      <c r="Q879" s="9"/>
      <c r="R879" s="9" t="s">
        <v>9321</v>
      </c>
      <c r="S879" s="9" t="s">
        <v>9321</v>
      </c>
      <c r="T879" s="9"/>
      <c r="U879" s="9"/>
      <c r="V879" s="9"/>
      <c r="W879" s="9"/>
      <c r="X879" s="9"/>
      <c r="Y879" s="9"/>
      <c r="Z879" s="9"/>
      <c r="AA879" s="9"/>
      <c r="AB879" s="9"/>
      <c r="AC879" s="9"/>
    </row>
    <row r="880" spans="1:29" ht="145">
      <c r="A880" s="3" t="s">
        <v>1683</v>
      </c>
      <c r="B880" s="3" t="s">
        <v>7791</v>
      </c>
      <c r="C880" s="3" t="s">
        <v>9154</v>
      </c>
      <c r="F880" t="s">
        <v>3884</v>
      </c>
      <c r="G880" s="9" t="s">
        <v>3885</v>
      </c>
      <c r="H880" s="9"/>
      <c r="I880" s="9">
        <v>28</v>
      </c>
      <c r="J880" s="9">
        <v>130</v>
      </c>
      <c r="K880" s="9"/>
      <c r="L880" s="9" t="s">
        <v>8684</v>
      </c>
      <c r="M880" s="9" t="s">
        <v>8847</v>
      </c>
      <c r="N880" s="10" t="s">
        <v>8838</v>
      </c>
      <c r="O880" s="9" t="s">
        <v>8691</v>
      </c>
      <c r="P880" s="9">
        <v>14</v>
      </c>
      <c r="Q880" s="9"/>
      <c r="R880" s="9" t="s">
        <v>9321</v>
      </c>
      <c r="S880" s="9" t="s">
        <v>9321</v>
      </c>
      <c r="T880" s="9"/>
      <c r="U880" s="9"/>
      <c r="V880" s="9"/>
      <c r="W880" s="9"/>
      <c r="X880" s="9"/>
      <c r="Y880" s="9"/>
      <c r="Z880" s="9"/>
      <c r="AA880" s="9"/>
      <c r="AB880" s="9"/>
      <c r="AC880" s="9"/>
    </row>
    <row r="881" spans="1:29" ht="87">
      <c r="A881" s="3" t="s">
        <v>1689</v>
      </c>
      <c r="B881" s="3" t="s">
        <v>7798</v>
      </c>
      <c r="C881" s="3" t="s">
        <v>7799</v>
      </c>
      <c r="F881" t="s">
        <v>3884</v>
      </c>
      <c r="G881" s="9" t="s">
        <v>8732</v>
      </c>
      <c r="H881" s="9"/>
      <c r="I881" s="9"/>
      <c r="J881" s="9"/>
      <c r="K881" s="9"/>
      <c r="L881" s="9"/>
      <c r="M881" s="9"/>
      <c r="N881" s="10"/>
      <c r="O881" s="9"/>
      <c r="P881" s="9"/>
      <c r="Q881" s="9">
        <v>83</v>
      </c>
      <c r="R881" s="9">
        <v>38</v>
      </c>
      <c r="S881" s="9">
        <v>121</v>
      </c>
      <c r="T881" s="9"/>
      <c r="U881" s="9"/>
      <c r="V881" s="9"/>
      <c r="W881" s="9"/>
      <c r="X881" s="9"/>
      <c r="Y881" s="9"/>
      <c r="Z881" s="9"/>
      <c r="AA881" s="9"/>
      <c r="AB881" s="9"/>
      <c r="AC881" s="9"/>
    </row>
    <row r="882" spans="1:29">
      <c r="A882" s="3" t="s">
        <v>1692</v>
      </c>
      <c r="B882" s="3" t="s">
        <v>7804</v>
      </c>
      <c r="C882" s="3" t="s">
        <v>7805</v>
      </c>
      <c r="G882" s="9" t="s">
        <v>3889</v>
      </c>
      <c r="H882" s="9"/>
      <c r="I882" s="9">
        <v>1</v>
      </c>
      <c r="J882" s="9">
        <v>1</v>
      </c>
      <c r="K882" s="9" t="s">
        <v>8689</v>
      </c>
      <c r="L882" s="9" t="s">
        <v>8730</v>
      </c>
      <c r="M882" s="9"/>
      <c r="N882" s="10"/>
      <c r="O882" s="9"/>
      <c r="P882" s="9">
        <v>10929</v>
      </c>
      <c r="Q882" s="9"/>
      <c r="R882" s="9" t="s">
        <v>9321</v>
      </c>
      <c r="S882" s="9" t="s">
        <v>9321</v>
      </c>
      <c r="T882" s="9"/>
      <c r="U882" s="9"/>
      <c r="V882" s="9"/>
      <c r="W882" s="9"/>
      <c r="X882" s="9"/>
      <c r="Y882" s="9"/>
      <c r="Z882" s="9"/>
      <c r="AA882" s="9"/>
      <c r="AB882" s="9"/>
      <c r="AC882" s="9"/>
    </row>
    <row r="883" spans="1:29">
      <c r="A883" s="3" t="s">
        <v>1693</v>
      </c>
      <c r="B883" s="3" t="s">
        <v>7809</v>
      </c>
      <c r="C883" s="3" t="s">
        <v>7810</v>
      </c>
      <c r="G883" s="9" t="s">
        <v>8729</v>
      </c>
      <c r="H883" s="9"/>
      <c r="I883" s="9"/>
      <c r="J883" s="9"/>
      <c r="K883" s="9"/>
      <c r="L883" s="9"/>
      <c r="M883" s="9"/>
      <c r="N883" s="10"/>
      <c r="O883" s="9"/>
      <c r="P883" s="9"/>
      <c r="Q883" s="9">
        <v>190</v>
      </c>
      <c r="R883" s="9">
        <v>329</v>
      </c>
      <c r="S883" s="9">
        <v>519</v>
      </c>
      <c r="T883" s="9"/>
      <c r="U883" s="9"/>
      <c r="V883" s="9"/>
      <c r="W883" s="9"/>
      <c r="X883" s="9"/>
      <c r="Y883" s="9"/>
      <c r="Z883" s="9"/>
      <c r="AA883" s="9"/>
      <c r="AB883" s="9"/>
      <c r="AC883" s="9"/>
    </row>
    <row r="884" spans="1:29">
      <c r="A884" s="3" t="s">
        <v>1694</v>
      </c>
      <c r="B884" s="3" t="s">
        <v>7812</v>
      </c>
      <c r="C884" s="3" t="s">
        <v>7813</v>
      </c>
      <c r="G884" s="9" t="s">
        <v>8729</v>
      </c>
      <c r="H884" s="9"/>
      <c r="I884" s="9"/>
      <c r="J884" s="9"/>
      <c r="K884" s="9"/>
      <c r="L884" s="9"/>
      <c r="M884" s="9"/>
      <c r="N884" s="10"/>
      <c r="O884" s="9"/>
      <c r="P884" s="9"/>
      <c r="Q884" s="9">
        <v>20</v>
      </c>
      <c r="R884" s="9">
        <v>13</v>
      </c>
      <c r="S884" s="9">
        <v>33</v>
      </c>
      <c r="T884" s="9"/>
      <c r="U884" s="9"/>
      <c r="V884" s="9"/>
      <c r="W884" s="9"/>
      <c r="X884" s="9"/>
      <c r="Y884" s="9"/>
      <c r="Z884" s="9"/>
      <c r="AA884" s="9"/>
      <c r="AB884" s="9"/>
      <c r="AC884" s="9"/>
    </row>
    <row r="885" spans="1:29">
      <c r="A885" s="3" t="s">
        <v>1695</v>
      </c>
      <c r="B885" s="3" t="s">
        <v>7814</v>
      </c>
      <c r="C885" s="3" t="s">
        <v>7815</v>
      </c>
      <c r="G885" s="9" t="s">
        <v>8731</v>
      </c>
      <c r="H885" s="9"/>
      <c r="I885" s="9"/>
      <c r="J885" s="9"/>
      <c r="K885" s="9"/>
      <c r="L885" s="9"/>
      <c r="M885" s="9"/>
      <c r="N885" s="10"/>
      <c r="O885" s="9"/>
      <c r="P885" s="9"/>
      <c r="Q885" s="9"/>
      <c r="R885" s="9" t="s">
        <v>9321</v>
      </c>
      <c r="S885" s="9" t="s">
        <v>9321</v>
      </c>
      <c r="T885" s="9"/>
      <c r="U885" s="9"/>
      <c r="V885" s="9"/>
      <c r="W885" s="9"/>
      <c r="X885" s="9"/>
      <c r="Y885" s="9"/>
      <c r="Z885" s="9"/>
      <c r="AA885" s="9"/>
      <c r="AB885" s="9"/>
      <c r="AC885" s="9"/>
    </row>
    <row r="886" spans="1:29">
      <c r="A886" s="3" t="s">
        <v>1696</v>
      </c>
      <c r="B886" s="3" t="s">
        <v>7817</v>
      </c>
      <c r="C886" s="3" t="s">
        <v>7818</v>
      </c>
      <c r="F886" t="s">
        <v>3884</v>
      </c>
      <c r="G886" s="9" t="s">
        <v>8729</v>
      </c>
      <c r="H886" s="9"/>
      <c r="I886" s="9"/>
      <c r="J886" s="9"/>
      <c r="K886" s="9"/>
      <c r="L886" s="9"/>
      <c r="M886" s="9"/>
      <c r="N886" s="10"/>
      <c r="O886" s="9"/>
      <c r="P886" s="9"/>
      <c r="Q886" s="9">
        <v>44</v>
      </c>
      <c r="R886" s="9">
        <v>26</v>
      </c>
      <c r="S886" s="9">
        <v>70</v>
      </c>
      <c r="T886" s="9"/>
      <c r="U886" s="9"/>
      <c r="V886" s="9"/>
      <c r="W886" s="9"/>
      <c r="X886" s="9"/>
      <c r="Y886" s="9"/>
      <c r="Z886" s="9"/>
      <c r="AA886" s="9"/>
      <c r="AB886" s="9"/>
      <c r="AC886" s="9"/>
    </row>
    <row r="887" spans="1:29" ht="29">
      <c r="A887" s="3" t="s">
        <v>1701</v>
      </c>
      <c r="B887" s="3" t="s">
        <v>7828</v>
      </c>
      <c r="C887" s="3" t="s">
        <v>7829</v>
      </c>
      <c r="F887" t="s">
        <v>3892</v>
      </c>
      <c r="G887" s="9" t="s">
        <v>3885</v>
      </c>
      <c r="H887" s="9"/>
      <c r="I887" s="9">
        <v>1</v>
      </c>
      <c r="J887" s="9">
        <v>5</v>
      </c>
      <c r="K887" s="9" t="s">
        <v>8695</v>
      </c>
      <c r="L887" s="9" t="s">
        <v>8690</v>
      </c>
      <c r="M887" s="9"/>
      <c r="N887" s="10"/>
      <c r="O887" s="9"/>
      <c r="P887" s="9">
        <v>99</v>
      </c>
      <c r="Q887" s="9"/>
      <c r="R887" s="9" t="s">
        <v>9321</v>
      </c>
      <c r="S887" s="9" t="s">
        <v>9321</v>
      </c>
      <c r="T887" s="9"/>
      <c r="U887" s="9"/>
      <c r="V887" s="9"/>
      <c r="W887" s="9"/>
      <c r="X887" s="9"/>
      <c r="Y887" s="9"/>
      <c r="Z887" s="9"/>
      <c r="AA887" s="9"/>
      <c r="AB887" s="9"/>
      <c r="AC887" s="9"/>
    </row>
    <row r="888" spans="1:29">
      <c r="A888" s="3" t="s">
        <v>1702</v>
      </c>
      <c r="B888" s="3" t="s">
        <v>7834</v>
      </c>
      <c r="C888" s="3" t="s">
        <v>7835</v>
      </c>
      <c r="G888" s="9" t="s">
        <v>8729</v>
      </c>
      <c r="H888" s="9"/>
      <c r="I888" s="9"/>
      <c r="J888" s="9"/>
      <c r="K888" s="9"/>
      <c r="L888" s="9"/>
      <c r="M888" s="9"/>
      <c r="N888" s="10"/>
      <c r="O888" s="9"/>
      <c r="P888" s="9"/>
      <c r="Q888" s="9">
        <v>-190</v>
      </c>
      <c r="R888" s="9">
        <v>519</v>
      </c>
      <c r="S888" s="9">
        <v>329</v>
      </c>
      <c r="T888" s="9" t="s">
        <v>8728</v>
      </c>
      <c r="U888" s="9"/>
      <c r="V888" s="9"/>
      <c r="W888" s="9"/>
      <c r="X888" s="9"/>
      <c r="Y888" s="9"/>
      <c r="Z888" s="9"/>
      <c r="AA888" s="9"/>
      <c r="AB888" s="9"/>
      <c r="AC888" s="9"/>
    </row>
    <row r="889" spans="1:29">
      <c r="A889" s="3" t="s">
        <v>1703</v>
      </c>
      <c r="B889" s="3" t="s">
        <v>7836</v>
      </c>
      <c r="C889" s="3" t="s">
        <v>7837</v>
      </c>
      <c r="G889" s="9" t="s">
        <v>8729</v>
      </c>
      <c r="H889" s="9"/>
      <c r="I889" s="9"/>
      <c r="J889" s="9"/>
      <c r="K889" s="9"/>
      <c r="L889" s="9"/>
      <c r="M889" s="9"/>
      <c r="N889" s="10"/>
      <c r="O889" s="9"/>
      <c r="P889" s="9"/>
      <c r="Q889" s="9">
        <v>3599</v>
      </c>
      <c r="R889" s="9">
        <v>79</v>
      </c>
      <c r="S889" s="9">
        <v>3678</v>
      </c>
      <c r="T889" s="9" t="s">
        <v>8728</v>
      </c>
      <c r="U889" s="9"/>
      <c r="V889" s="9"/>
      <c r="W889" s="9"/>
      <c r="X889" s="9"/>
      <c r="Y889" s="9"/>
      <c r="Z889" s="9"/>
      <c r="AA889" s="9"/>
      <c r="AB889" s="9"/>
      <c r="AC889" s="9"/>
    </row>
    <row r="890" spans="1:29">
      <c r="A890" s="3" t="s">
        <v>1704</v>
      </c>
      <c r="B890" s="3" t="s">
        <v>7838</v>
      </c>
      <c r="C890" s="3" t="s">
        <v>7839</v>
      </c>
      <c r="G890" s="9" t="s">
        <v>3889</v>
      </c>
      <c r="H890" s="9"/>
      <c r="I890" s="9">
        <v>1</v>
      </c>
      <c r="J890" s="9">
        <v>3</v>
      </c>
      <c r="K890" s="9" t="s">
        <v>8703</v>
      </c>
      <c r="L890" s="9" t="s">
        <v>8690</v>
      </c>
      <c r="M890" s="9"/>
      <c r="N890" s="10"/>
      <c r="O890" s="9"/>
      <c r="P890" s="9">
        <v>627</v>
      </c>
      <c r="Q890" s="9"/>
      <c r="R890" s="9" t="s">
        <v>9321</v>
      </c>
      <c r="S890" s="9" t="s">
        <v>9321</v>
      </c>
      <c r="T890" s="9"/>
      <c r="U890" s="9"/>
      <c r="V890" s="9"/>
      <c r="W890" s="9"/>
      <c r="X890" s="9"/>
      <c r="Y890" s="9"/>
      <c r="Z890" s="9"/>
      <c r="AA890" s="9"/>
      <c r="AB890" s="9"/>
      <c r="AC890" s="9"/>
    </row>
    <row r="891" spans="1:29">
      <c r="A891" s="3" t="s">
        <v>1704</v>
      </c>
      <c r="B891" s="3" t="s">
        <v>7840</v>
      </c>
      <c r="C891" s="3" t="s">
        <v>7841</v>
      </c>
      <c r="F891" t="s">
        <v>3884</v>
      </c>
      <c r="G891" s="9" t="s">
        <v>8729</v>
      </c>
      <c r="H891" s="9"/>
      <c r="I891" s="9"/>
      <c r="J891" s="9"/>
      <c r="K891" s="9"/>
      <c r="L891" s="9"/>
      <c r="M891" s="9"/>
      <c r="N891" s="10"/>
      <c r="O891" s="9"/>
      <c r="P891" s="9"/>
      <c r="Q891" s="9">
        <v>-180</v>
      </c>
      <c r="R891" s="9">
        <v>206</v>
      </c>
      <c r="S891" s="9">
        <v>26</v>
      </c>
      <c r="T891" s="9"/>
      <c r="U891" s="9"/>
      <c r="V891" s="9"/>
      <c r="W891" s="9"/>
      <c r="X891" s="9"/>
      <c r="Y891" s="9"/>
      <c r="Z891" s="9"/>
      <c r="AA891" s="9"/>
      <c r="AB891" s="9"/>
      <c r="AC891" s="9"/>
    </row>
    <row r="892" spans="1:29">
      <c r="A892" s="3" t="s">
        <v>1704</v>
      </c>
      <c r="B892" s="3" t="s">
        <v>7842</v>
      </c>
      <c r="C892" s="3" t="s">
        <v>7843</v>
      </c>
      <c r="G892" s="9" t="s">
        <v>3889</v>
      </c>
      <c r="H892" s="9"/>
      <c r="I892" s="9">
        <v>1</v>
      </c>
      <c r="J892" s="9">
        <v>6</v>
      </c>
      <c r="K892" s="9" t="s">
        <v>8703</v>
      </c>
      <c r="L892" s="9" t="s">
        <v>8690</v>
      </c>
      <c r="M892" s="9"/>
      <c r="N892" s="10"/>
      <c r="O892" s="9"/>
      <c r="P892" s="9">
        <v>15</v>
      </c>
      <c r="Q892" s="9"/>
      <c r="R892" s="9" t="s">
        <v>9321</v>
      </c>
      <c r="S892" s="9" t="s">
        <v>9321</v>
      </c>
      <c r="T892" s="9"/>
      <c r="U892" s="9"/>
      <c r="V892" s="9"/>
      <c r="W892" s="9"/>
      <c r="X892" s="9"/>
      <c r="Y892" s="9"/>
      <c r="Z892" s="9"/>
      <c r="AA892" s="9"/>
      <c r="AB892" s="9"/>
      <c r="AC892" s="9"/>
    </row>
    <row r="893" spans="1:29" ht="29">
      <c r="A893" s="3" t="s">
        <v>1704</v>
      </c>
      <c r="B893" s="3" t="s">
        <v>7844</v>
      </c>
      <c r="C893" s="3" t="s">
        <v>7845</v>
      </c>
      <c r="G893" s="9" t="s">
        <v>3894</v>
      </c>
      <c r="H893" s="9"/>
      <c r="I893" s="9"/>
      <c r="J893" s="9"/>
      <c r="K893" s="9"/>
      <c r="L893" s="9"/>
      <c r="M893" s="9"/>
      <c r="N893" s="10"/>
      <c r="O893" s="9"/>
      <c r="P893" s="9"/>
      <c r="Q893" s="9"/>
      <c r="R893" s="9" t="s">
        <v>9321</v>
      </c>
      <c r="S893" s="9" t="s">
        <v>9321</v>
      </c>
      <c r="T893" s="9"/>
      <c r="U893" s="9"/>
      <c r="V893" s="9"/>
      <c r="W893" s="9"/>
      <c r="X893" s="9"/>
      <c r="Y893" s="9"/>
      <c r="Z893" s="9"/>
      <c r="AA893" s="9"/>
      <c r="AB893" s="9"/>
      <c r="AC893" s="9"/>
    </row>
    <row r="894" spans="1:29">
      <c r="A894" s="3" t="s">
        <v>1706</v>
      </c>
      <c r="B894" s="3" t="s">
        <v>7849</v>
      </c>
      <c r="C894" s="3" t="s">
        <v>7850</v>
      </c>
      <c r="F894" t="s">
        <v>3884</v>
      </c>
      <c r="G894" s="9" t="s">
        <v>8729</v>
      </c>
      <c r="H894" s="9"/>
      <c r="I894" s="9"/>
      <c r="J894" s="9"/>
      <c r="K894" s="9"/>
      <c r="L894" s="9"/>
      <c r="M894" s="9"/>
      <c r="N894" s="10"/>
      <c r="O894" s="9"/>
      <c r="P894" s="9"/>
      <c r="Q894" s="9">
        <v>-3599</v>
      </c>
      <c r="R894" s="9">
        <v>3678</v>
      </c>
      <c r="S894" s="9">
        <v>79</v>
      </c>
      <c r="T894" s="9"/>
      <c r="U894" s="9"/>
      <c r="V894" s="9"/>
      <c r="W894" s="9"/>
      <c r="X894" s="9"/>
      <c r="Y894" s="9"/>
      <c r="Z894" s="9"/>
      <c r="AA894" s="9"/>
      <c r="AB894" s="9"/>
      <c r="AC894" s="9"/>
    </row>
    <row r="895" spans="1:29">
      <c r="A895" s="3" t="s">
        <v>1708</v>
      </c>
      <c r="B895" s="3" t="s">
        <v>7855</v>
      </c>
      <c r="C895" s="3" t="s">
        <v>7856</v>
      </c>
      <c r="F895" t="s">
        <v>3884</v>
      </c>
      <c r="G895" s="9" t="s">
        <v>3889</v>
      </c>
      <c r="H895" s="9"/>
      <c r="I895" s="9">
        <v>1</v>
      </c>
      <c r="J895" s="9">
        <v>1</v>
      </c>
      <c r="K895" s="9" t="s">
        <v>8689</v>
      </c>
      <c r="L895" s="9" t="s">
        <v>8730</v>
      </c>
      <c r="M895" s="9"/>
      <c r="N895" s="10"/>
      <c r="O895" s="9"/>
      <c r="P895" s="9">
        <v>10929</v>
      </c>
      <c r="Q895" s="9"/>
      <c r="R895" s="9" t="s">
        <v>9321</v>
      </c>
      <c r="S895" s="9" t="s">
        <v>9321</v>
      </c>
      <c r="T895" s="9"/>
      <c r="U895" s="9"/>
      <c r="V895" s="9"/>
      <c r="W895" s="9"/>
      <c r="X895" s="9"/>
      <c r="Y895" s="9"/>
      <c r="Z895" s="9"/>
      <c r="AA895" s="9"/>
      <c r="AB895" s="9"/>
      <c r="AC895" s="9"/>
    </row>
    <row r="896" spans="1:29">
      <c r="A896" s="3" t="s">
        <v>1711</v>
      </c>
      <c r="B896" s="3" t="s">
        <v>7868</v>
      </c>
      <c r="C896" s="3" t="s">
        <v>7869</v>
      </c>
      <c r="F896" t="s">
        <v>3884</v>
      </c>
      <c r="G896" s="9" t="s">
        <v>3885</v>
      </c>
      <c r="H896" s="9"/>
      <c r="I896" s="9">
        <v>1</v>
      </c>
      <c r="J896" s="9">
        <v>3</v>
      </c>
      <c r="K896" s="9" t="s">
        <v>8705</v>
      </c>
      <c r="L896" s="9" t="s">
        <v>8690</v>
      </c>
      <c r="M896" s="9"/>
      <c r="N896" s="10"/>
      <c r="O896" s="9"/>
      <c r="P896" s="9">
        <v>1443</v>
      </c>
      <c r="Q896" s="9"/>
      <c r="R896" s="9" t="s">
        <v>9321</v>
      </c>
      <c r="S896" s="9" t="s">
        <v>9321</v>
      </c>
      <c r="T896" s="9"/>
      <c r="U896" s="9"/>
      <c r="V896" s="9"/>
      <c r="W896" s="9"/>
      <c r="X896" s="9"/>
      <c r="Y896" s="9"/>
      <c r="Z896" s="9"/>
      <c r="AA896" s="9"/>
      <c r="AB896" s="9"/>
      <c r="AC896" s="9"/>
    </row>
    <row r="897" spans="1:29">
      <c r="A897" s="3" t="s">
        <v>1712</v>
      </c>
      <c r="B897" s="3" t="s">
        <v>3738</v>
      </c>
      <c r="C897" s="3" t="s">
        <v>3739</v>
      </c>
      <c r="G897" s="9" t="s">
        <v>8729</v>
      </c>
      <c r="H897" s="9"/>
      <c r="I897" s="9"/>
      <c r="J897" s="9"/>
      <c r="K897" s="9"/>
      <c r="L897" s="9"/>
      <c r="M897" s="9"/>
      <c r="N897" s="10"/>
      <c r="O897" s="9"/>
      <c r="P897" s="9"/>
      <c r="Q897" s="9">
        <v>34</v>
      </c>
      <c r="R897" s="9">
        <v>0</v>
      </c>
      <c r="S897" s="9">
        <v>34</v>
      </c>
      <c r="T897" s="9"/>
      <c r="U897" s="9"/>
      <c r="V897" s="9"/>
      <c r="W897" s="9"/>
      <c r="X897" s="9"/>
      <c r="Y897" s="9"/>
      <c r="Z897" s="9"/>
      <c r="AA897" s="9"/>
      <c r="AB897" s="9"/>
      <c r="AC897" s="9"/>
    </row>
    <row r="898" spans="1:29">
      <c r="A898" s="3" t="s">
        <v>1714</v>
      </c>
      <c r="B898" s="3" t="s">
        <v>7873</v>
      </c>
      <c r="C898" s="3" t="s">
        <v>7874</v>
      </c>
      <c r="F898" t="s">
        <v>3892</v>
      </c>
      <c r="G898" s="9" t="s">
        <v>3885</v>
      </c>
      <c r="H898" s="9"/>
      <c r="I898" s="9">
        <v>1</v>
      </c>
      <c r="J898" s="9">
        <v>3</v>
      </c>
      <c r="K898" s="9" t="s">
        <v>8689</v>
      </c>
      <c r="L898" s="9" t="s">
        <v>8690</v>
      </c>
      <c r="M898" s="9"/>
      <c r="N898" s="10"/>
      <c r="O898" s="9"/>
      <c r="P898" s="9">
        <v>10929</v>
      </c>
      <c r="Q898" s="9"/>
      <c r="R898" s="9" t="s">
        <v>9321</v>
      </c>
      <c r="S898" s="9" t="s">
        <v>9321</v>
      </c>
      <c r="T898" s="9"/>
      <c r="U898" s="9"/>
      <c r="V898" s="9"/>
      <c r="W898" s="9"/>
      <c r="X898" s="9"/>
      <c r="Y898" s="9"/>
      <c r="Z898" s="9"/>
      <c r="AA898" s="9"/>
      <c r="AB898" s="9"/>
      <c r="AC898" s="9"/>
    </row>
    <row r="899" spans="1:29">
      <c r="A899" s="3" t="s">
        <v>1716</v>
      </c>
      <c r="B899" s="3" t="s">
        <v>7882</v>
      </c>
      <c r="C899" s="3" t="s">
        <v>3741</v>
      </c>
      <c r="G899" s="9" t="s">
        <v>8731</v>
      </c>
      <c r="H899" s="9"/>
      <c r="I899" s="9"/>
      <c r="J899" s="9"/>
      <c r="K899" s="9"/>
      <c r="L899" s="9"/>
      <c r="M899" s="9"/>
      <c r="N899" s="10"/>
      <c r="O899" s="9"/>
      <c r="P899" s="9"/>
      <c r="Q899" s="9"/>
      <c r="R899" s="9" t="s">
        <v>9321</v>
      </c>
      <c r="S899" s="9" t="s">
        <v>9321</v>
      </c>
      <c r="T899" s="9"/>
      <c r="U899" s="9"/>
      <c r="V899" s="9"/>
      <c r="W899" s="9"/>
      <c r="X899" s="9"/>
      <c r="Y899" s="9"/>
      <c r="Z899" s="9"/>
      <c r="AA899" s="9"/>
      <c r="AB899" s="9"/>
      <c r="AC899" s="9"/>
    </row>
    <row r="900" spans="1:29" ht="188.5">
      <c r="A900" s="3" t="s">
        <v>1717</v>
      </c>
      <c r="B900" s="3" t="s">
        <v>7884</v>
      </c>
      <c r="C900" s="3" t="s">
        <v>7883</v>
      </c>
      <c r="G900" s="9" t="s">
        <v>8729</v>
      </c>
      <c r="H900" s="9"/>
      <c r="I900" s="9"/>
      <c r="J900" s="9"/>
      <c r="K900" s="9"/>
      <c r="L900" s="9"/>
      <c r="M900" s="9"/>
      <c r="N900" s="10"/>
      <c r="O900" s="9"/>
      <c r="P900" s="9"/>
      <c r="Q900" s="9">
        <v>-4</v>
      </c>
      <c r="R900" s="9">
        <v>8</v>
      </c>
      <c r="S900" s="9">
        <v>4</v>
      </c>
      <c r="T900" s="9" t="s">
        <v>8728</v>
      </c>
      <c r="U900" s="9"/>
      <c r="V900" s="9"/>
      <c r="W900" s="9"/>
      <c r="X900" s="9"/>
      <c r="Y900" s="9"/>
      <c r="Z900" s="9"/>
      <c r="AA900" s="9"/>
      <c r="AB900" s="9"/>
      <c r="AC900" s="9"/>
    </row>
    <row r="901" spans="1:29" ht="29">
      <c r="A901" s="3" t="s">
        <v>1718</v>
      </c>
      <c r="B901" s="3" t="s">
        <v>7889</v>
      </c>
      <c r="C901" s="3" t="s">
        <v>7890</v>
      </c>
      <c r="G901" s="9" t="s">
        <v>3889</v>
      </c>
      <c r="H901" s="9"/>
      <c r="I901" s="9">
        <v>1</v>
      </c>
      <c r="J901" s="9">
        <v>4</v>
      </c>
      <c r="K901" s="9" t="s">
        <v>8689</v>
      </c>
      <c r="L901" s="9" t="s">
        <v>8690</v>
      </c>
      <c r="M901" s="9"/>
      <c r="N901" s="10"/>
      <c r="O901" s="9"/>
      <c r="P901" s="9">
        <v>10929</v>
      </c>
      <c r="Q901" s="9"/>
      <c r="R901" s="9" t="s">
        <v>9321</v>
      </c>
      <c r="S901" s="9" t="s">
        <v>9321</v>
      </c>
      <c r="T901" s="9"/>
      <c r="U901" s="9"/>
      <c r="V901" s="9"/>
      <c r="W901" s="9"/>
      <c r="X901" s="9"/>
      <c r="Y901" s="9"/>
      <c r="Z901" s="9"/>
      <c r="AA901" s="9"/>
      <c r="AB901" s="9"/>
      <c r="AC901" s="9"/>
    </row>
    <row r="902" spans="1:29">
      <c r="A902" s="3" t="s">
        <v>1719</v>
      </c>
      <c r="B902" s="3" t="s">
        <v>7891</v>
      </c>
      <c r="C902" s="3" t="s">
        <v>7892</v>
      </c>
      <c r="G902" s="9" t="s">
        <v>3889</v>
      </c>
      <c r="H902" s="9"/>
      <c r="I902" s="9">
        <v>1</v>
      </c>
      <c r="J902" s="9">
        <v>1</v>
      </c>
      <c r="K902" s="9" t="s">
        <v>8689</v>
      </c>
      <c r="L902" s="9" t="s">
        <v>8730</v>
      </c>
      <c r="M902" s="9"/>
      <c r="N902" s="10"/>
      <c r="O902" s="9"/>
      <c r="P902" s="9">
        <v>10929</v>
      </c>
      <c r="Q902" s="9"/>
      <c r="R902" s="9" t="s">
        <v>9321</v>
      </c>
      <c r="S902" s="9" t="s">
        <v>9321</v>
      </c>
      <c r="T902" s="9"/>
      <c r="U902" s="9"/>
      <c r="V902" s="9"/>
      <c r="W902" s="9"/>
      <c r="X902" s="9"/>
      <c r="Y902" s="9"/>
      <c r="Z902" s="9"/>
      <c r="AA902" s="9"/>
      <c r="AB902" s="9"/>
      <c r="AC902" s="9"/>
    </row>
    <row r="903" spans="1:29">
      <c r="A903" s="3" t="s">
        <v>1720</v>
      </c>
      <c r="B903" s="3" t="s">
        <v>7893</v>
      </c>
      <c r="C903" s="3" t="s">
        <v>7894</v>
      </c>
      <c r="F903" t="s">
        <v>3884</v>
      </c>
      <c r="G903" s="9" t="s">
        <v>3885</v>
      </c>
      <c r="H903" s="9"/>
      <c r="I903" s="9">
        <v>1</v>
      </c>
      <c r="J903" s="9">
        <v>3</v>
      </c>
      <c r="K903" s="9" t="s">
        <v>8698</v>
      </c>
      <c r="L903" s="9" t="s">
        <v>8690</v>
      </c>
      <c r="M903" s="9"/>
      <c r="N903" s="10"/>
      <c r="O903" s="9"/>
      <c r="P903" s="9">
        <v>57</v>
      </c>
      <c r="Q903" s="9"/>
      <c r="R903" s="9" t="s">
        <v>9321</v>
      </c>
      <c r="S903" s="9" t="s">
        <v>9321</v>
      </c>
      <c r="T903" s="9"/>
      <c r="U903" s="9"/>
      <c r="V903" s="9"/>
      <c r="W903" s="9"/>
      <c r="X903" s="9"/>
      <c r="Y903" s="9"/>
      <c r="Z903" s="9"/>
      <c r="AA903" s="9"/>
      <c r="AB903" s="9"/>
      <c r="AC903" s="9"/>
    </row>
    <row r="904" spans="1:29">
      <c r="A904" s="3" t="s">
        <v>1720</v>
      </c>
      <c r="B904" s="3" t="s">
        <v>7895</v>
      </c>
      <c r="C904" s="3" t="s">
        <v>7896</v>
      </c>
      <c r="G904" s="9" t="s">
        <v>8729</v>
      </c>
      <c r="H904" s="9"/>
      <c r="I904" s="9"/>
      <c r="J904" s="9"/>
      <c r="K904" s="9"/>
      <c r="L904" s="9"/>
      <c r="M904" s="9"/>
      <c r="N904" s="10"/>
      <c r="O904" s="9"/>
      <c r="P904" s="9"/>
      <c r="Q904" s="9">
        <v>-78</v>
      </c>
      <c r="R904" s="9">
        <v>128</v>
      </c>
      <c r="S904" s="9">
        <v>50</v>
      </c>
      <c r="T904" s="9"/>
      <c r="U904" s="9"/>
      <c r="V904" s="9"/>
      <c r="W904" s="9"/>
      <c r="X904" s="9"/>
      <c r="Y904" s="9"/>
      <c r="Z904" s="9"/>
      <c r="AA904" s="9"/>
      <c r="AB904" s="9"/>
      <c r="AC904" s="9"/>
    </row>
    <row r="905" spans="1:29">
      <c r="A905" s="3" t="s">
        <v>1720</v>
      </c>
      <c r="B905" s="3" t="s">
        <v>7899</v>
      </c>
      <c r="C905" s="3" t="s">
        <v>7900</v>
      </c>
      <c r="G905" s="9" t="s">
        <v>3889</v>
      </c>
      <c r="H905" s="9"/>
      <c r="I905" s="9">
        <v>1</v>
      </c>
      <c r="J905" s="9">
        <v>3</v>
      </c>
      <c r="K905" s="9" t="s">
        <v>8698</v>
      </c>
      <c r="L905" s="9" t="s">
        <v>8690</v>
      </c>
      <c r="M905" s="9"/>
      <c r="N905" s="10"/>
      <c r="O905" s="9"/>
      <c r="P905" s="9">
        <v>9418</v>
      </c>
      <c r="Q905" s="9"/>
      <c r="R905" s="9" t="s">
        <v>9321</v>
      </c>
      <c r="S905" s="9" t="s">
        <v>9321</v>
      </c>
      <c r="T905" s="9"/>
      <c r="U905" s="9"/>
      <c r="V905" s="9"/>
      <c r="W905" s="9"/>
      <c r="X905" s="9"/>
      <c r="Y905" s="9"/>
      <c r="Z905" s="9"/>
      <c r="AA905" s="9"/>
      <c r="AB905" s="9"/>
      <c r="AC905" s="9"/>
    </row>
    <row r="906" spans="1:29">
      <c r="A906" s="3" t="s">
        <v>1722</v>
      </c>
      <c r="B906" s="3" t="s">
        <v>7903</v>
      </c>
      <c r="C906" s="3" t="s">
        <v>7904</v>
      </c>
      <c r="G906" s="9" t="s">
        <v>8729</v>
      </c>
      <c r="H906" s="9"/>
      <c r="I906" s="9"/>
      <c r="J906" s="9"/>
      <c r="K906" s="9"/>
      <c r="L906" s="9"/>
      <c r="M906" s="9"/>
      <c r="N906" s="10"/>
      <c r="O906" s="9"/>
      <c r="P906" s="9"/>
      <c r="Q906" s="9">
        <v>57</v>
      </c>
      <c r="R906" s="9">
        <v>1</v>
      </c>
      <c r="S906" s="9">
        <v>58</v>
      </c>
      <c r="T906" s="9"/>
      <c r="U906" s="9"/>
      <c r="V906" s="9"/>
      <c r="W906" s="9"/>
      <c r="X906" s="9"/>
      <c r="Y906" s="9"/>
      <c r="Z906" s="9"/>
      <c r="AA906" s="9"/>
      <c r="AB906" s="9"/>
      <c r="AC906" s="9"/>
    </row>
    <row r="907" spans="1:29">
      <c r="A907" s="3" t="s">
        <v>1723</v>
      </c>
      <c r="B907" s="3" t="s">
        <v>3748</v>
      </c>
      <c r="C907" s="3" t="s">
        <v>3749</v>
      </c>
      <c r="G907" s="9" t="s">
        <v>8729</v>
      </c>
      <c r="H907" s="9"/>
      <c r="I907" s="9"/>
      <c r="J907" s="9"/>
      <c r="K907" s="9"/>
      <c r="L907" s="9"/>
      <c r="M907" s="9"/>
      <c r="N907" s="10"/>
      <c r="O907" s="9"/>
      <c r="P907" s="9"/>
      <c r="Q907" s="9">
        <v>-4</v>
      </c>
      <c r="R907" s="9">
        <v>6</v>
      </c>
      <c r="S907" s="9">
        <v>2</v>
      </c>
      <c r="T907" s="9"/>
      <c r="U907" s="9"/>
      <c r="V907" s="9"/>
      <c r="W907" s="9"/>
      <c r="X907" s="9"/>
      <c r="Y907" s="9"/>
      <c r="Z907" s="9"/>
      <c r="AA907" s="9"/>
      <c r="AB907" s="9"/>
      <c r="AC907" s="9"/>
    </row>
    <row r="908" spans="1:29">
      <c r="A908" s="3" t="s">
        <v>1724</v>
      </c>
      <c r="B908" s="3" t="s">
        <v>7906</v>
      </c>
      <c r="C908" s="3" t="s">
        <v>7907</v>
      </c>
      <c r="F908" t="s">
        <v>3884</v>
      </c>
      <c r="G908" s="9" t="s">
        <v>3885</v>
      </c>
      <c r="H908" s="9"/>
      <c r="I908" s="9">
        <v>1</v>
      </c>
      <c r="J908" s="9">
        <v>6</v>
      </c>
      <c r="K908" s="9" t="s">
        <v>8736</v>
      </c>
      <c r="L908" s="9" t="s">
        <v>8690</v>
      </c>
      <c r="M908" s="9"/>
      <c r="N908" s="10"/>
      <c r="O908" s="9"/>
      <c r="P908" s="9">
        <v>251</v>
      </c>
      <c r="Q908" s="9"/>
      <c r="R908" s="9" t="s">
        <v>9321</v>
      </c>
      <c r="S908" s="9" t="s">
        <v>9321</v>
      </c>
      <c r="T908" s="9"/>
      <c r="U908" s="9"/>
      <c r="V908" s="9"/>
      <c r="W908" s="9"/>
      <c r="X908" s="9"/>
      <c r="Y908" s="9"/>
      <c r="Z908" s="9"/>
      <c r="AA908" s="9"/>
      <c r="AB908" s="9"/>
      <c r="AC908" s="9"/>
    </row>
    <row r="909" spans="1:29">
      <c r="A909" s="3" t="s">
        <v>1730</v>
      </c>
      <c r="B909" s="3" t="s">
        <v>7920</v>
      </c>
      <c r="C909" s="3" t="s">
        <v>5590</v>
      </c>
      <c r="F909" t="s">
        <v>3884</v>
      </c>
      <c r="G909" s="9" t="s">
        <v>8729</v>
      </c>
      <c r="H909" s="9"/>
      <c r="I909" s="9"/>
      <c r="J909" s="9"/>
      <c r="K909" s="9"/>
      <c r="L909" s="9"/>
      <c r="M909" s="9"/>
      <c r="N909" s="10"/>
      <c r="O909" s="9"/>
      <c r="P909" s="9"/>
      <c r="Q909" s="9">
        <v>42</v>
      </c>
      <c r="R909" s="9">
        <v>1443</v>
      </c>
      <c r="S909" s="9">
        <v>1485</v>
      </c>
      <c r="T909" s="9"/>
      <c r="U909" s="9"/>
      <c r="V909" s="9"/>
      <c r="W909" s="9"/>
      <c r="X909" s="9"/>
      <c r="Y909" s="9"/>
      <c r="Z909" s="9"/>
      <c r="AA909" s="9"/>
      <c r="AB909" s="9"/>
      <c r="AC909" s="9"/>
    </row>
    <row r="910" spans="1:29" ht="29">
      <c r="A910" s="3" t="s">
        <v>1731</v>
      </c>
      <c r="B910" s="3" t="s">
        <v>7921</v>
      </c>
      <c r="C910" s="3" t="s">
        <v>7922</v>
      </c>
      <c r="F910" t="s">
        <v>3884</v>
      </c>
      <c r="G910" s="9" t="s">
        <v>3885</v>
      </c>
      <c r="H910" s="9"/>
      <c r="I910" s="9">
        <v>1</v>
      </c>
      <c r="J910" s="9">
        <v>2</v>
      </c>
      <c r="K910" s="9" t="s">
        <v>8703</v>
      </c>
      <c r="L910" s="9" t="s">
        <v>8730</v>
      </c>
      <c r="M910" s="9"/>
      <c r="N910" s="10"/>
      <c r="O910" s="9"/>
      <c r="P910" s="9">
        <v>1225</v>
      </c>
      <c r="Q910" s="9"/>
      <c r="R910" s="9" t="s">
        <v>9321</v>
      </c>
      <c r="S910" s="9" t="s">
        <v>9321</v>
      </c>
      <c r="T910" s="9"/>
      <c r="U910" s="9"/>
      <c r="V910" s="9"/>
      <c r="W910" s="9"/>
      <c r="X910" s="9"/>
      <c r="Y910" s="9"/>
      <c r="Z910" s="9"/>
      <c r="AA910" s="9"/>
      <c r="AB910" s="9"/>
      <c r="AC910" s="9"/>
    </row>
    <row r="911" spans="1:29">
      <c r="A911" s="3" t="s">
        <v>1736</v>
      </c>
      <c r="B911" s="3" t="s">
        <v>7951</v>
      </c>
      <c r="C911" s="3" t="s">
        <v>3754</v>
      </c>
      <c r="F911" t="s">
        <v>3884</v>
      </c>
      <c r="G911" s="9" t="s">
        <v>8731</v>
      </c>
      <c r="H911" s="9"/>
      <c r="I911" s="9"/>
      <c r="J911" s="9"/>
      <c r="K911" s="9"/>
      <c r="L911" s="9"/>
      <c r="M911" s="9"/>
      <c r="N911" s="10"/>
      <c r="O911" s="9"/>
      <c r="P911" s="9"/>
      <c r="Q911" s="9"/>
      <c r="R911" s="9" t="s">
        <v>9321</v>
      </c>
      <c r="S911" s="9" t="s">
        <v>9321</v>
      </c>
      <c r="T911" s="9"/>
      <c r="U911" s="9"/>
      <c r="V911" s="9"/>
      <c r="W911" s="9"/>
      <c r="X911" s="9"/>
      <c r="Y911" s="9"/>
      <c r="Z911" s="9"/>
      <c r="AA911" s="9"/>
      <c r="AB911" s="9"/>
      <c r="AC911" s="9"/>
    </row>
    <row r="912" spans="1:29">
      <c r="A912" s="3" t="s">
        <v>1737</v>
      </c>
      <c r="B912" s="3" t="s">
        <v>7954</v>
      </c>
      <c r="C912" s="3" t="s">
        <v>7955</v>
      </c>
      <c r="G912" s="9" t="s">
        <v>3889</v>
      </c>
      <c r="H912" s="9"/>
      <c r="I912" s="9">
        <v>1</v>
      </c>
      <c r="J912" s="9">
        <v>1</v>
      </c>
      <c r="K912" s="9" t="s">
        <v>8689</v>
      </c>
      <c r="L912" s="9" t="s">
        <v>8730</v>
      </c>
      <c r="M912" s="9"/>
      <c r="N912" s="10"/>
      <c r="O912" s="9"/>
      <c r="P912" s="9">
        <v>10929</v>
      </c>
      <c r="Q912" s="9"/>
      <c r="R912" s="9" t="s">
        <v>9321</v>
      </c>
      <c r="S912" s="9" t="s">
        <v>9321</v>
      </c>
      <c r="T912" s="9"/>
      <c r="U912" s="9"/>
      <c r="V912" s="9"/>
      <c r="W912" s="9"/>
      <c r="X912" s="9"/>
      <c r="Y912" s="9"/>
      <c r="Z912" s="9"/>
      <c r="AA912" s="9"/>
      <c r="AB912" s="9"/>
      <c r="AC912" s="9"/>
    </row>
    <row r="913" spans="1:29">
      <c r="A913" s="3" t="s">
        <v>1737</v>
      </c>
      <c r="B913" s="3" t="s">
        <v>7958</v>
      </c>
      <c r="C913" s="3" t="s">
        <v>7959</v>
      </c>
      <c r="G913" s="9" t="s">
        <v>8731</v>
      </c>
      <c r="H913" s="9"/>
      <c r="I913" s="9"/>
      <c r="J913" s="9"/>
      <c r="K913" s="9"/>
      <c r="L913" s="9"/>
      <c r="M913" s="9"/>
      <c r="N913" s="10"/>
      <c r="O913" s="9"/>
      <c r="P913" s="9"/>
      <c r="Q913" s="9"/>
      <c r="R913" s="9" t="s">
        <v>9321</v>
      </c>
      <c r="S913" s="9" t="s">
        <v>9321</v>
      </c>
      <c r="T913" s="9"/>
      <c r="U913" s="9"/>
      <c r="V913" s="9"/>
      <c r="W913" s="9"/>
      <c r="X913" s="9"/>
      <c r="Y913" s="9"/>
      <c r="Z913" s="9"/>
      <c r="AA913" s="9"/>
      <c r="AB913" s="9"/>
      <c r="AC913" s="9"/>
    </row>
    <row r="914" spans="1:29" ht="29">
      <c r="A914" s="3" t="s">
        <v>1740</v>
      </c>
      <c r="B914" s="3" t="s">
        <v>7967</v>
      </c>
      <c r="C914" s="3" t="s">
        <v>7968</v>
      </c>
      <c r="F914" t="s">
        <v>3884</v>
      </c>
      <c r="G914" s="9" t="s">
        <v>3885</v>
      </c>
      <c r="H914" s="9"/>
      <c r="I914" s="9">
        <v>1</v>
      </c>
      <c r="J914" s="9">
        <v>1</v>
      </c>
      <c r="K914" s="9" t="s">
        <v>8698</v>
      </c>
      <c r="L914" s="9" t="s">
        <v>8730</v>
      </c>
      <c r="M914" s="9"/>
      <c r="N914" s="10"/>
      <c r="O914" s="9"/>
      <c r="P914" s="9">
        <v>55</v>
      </c>
      <c r="Q914" s="9"/>
      <c r="R914" s="9" t="s">
        <v>9321</v>
      </c>
      <c r="S914" s="9" t="s">
        <v>9321</v>
      </c>
      <c r="T914" s="9"/>
      <c r="U914" s="9"/>
      <c r="V914" s="9"/>
      <c r="W914" s="9"/>
      <c r="X914" s="9"/>
      <c r="Y914" s="9"/>
      <c r="Z914" s="9"/>
      <c r="AA914" s="9"/>
      <c r="AB914" s="9"/>
      <c r="AC914" s="9"/>
    </row>
    <row r="915" spans="1:29">
      <c r="A915" s="3" t="s">
        <v>1746</v>
      </c>
      <c r="B915" s="3" t="s">
        <v>9156</v>
      </c>
      <c r="C915" s="3" t="s">
        <v>3763</v>
      </c>
      <c r="F915" t="s">
        <v>3884</v>
      </c>
      <c r="G915" s="9" t="s">
        <v>8731</v>
      </c>
      <c r="H915" s="9"/>
      <c r="I915" s="9"/>
      <c r="J915" s="9"/>
      <c r="K915" s="9"/>
      <c r="L915" s="9"/>
      <c r="M915" s="9"/>
      <c r="N915" s="10"/>
      <c r="O915" s="9"/>
      <c r="P915" s="9"/>
      <c r="Q915" s="9"/>
      <c r="R915" s="9" t="s">
        <v>9321</v>
      </c>
      <c r="S915" s="9" t="s">
        <v>9321</v>
      </c>
      <c r="T915" s="9"/>
      <c r="U915" s="9"/>
      <c r="V915" s="9"/>
      <c r="W915" s="9"/>
      <c r="X915" s="9"/>
      <c r="Y915" s="9"/>
      <c r="Z915" s="9"/>
      <c r="AA915" s="9"/>
      <c r="AB915" s="9"/>
      <c r="AC915" s="9"/>
    </row>
    <row r="916" spans="1:29">
      <c r="A916" s="3" t="s">
        <v>1751</v>
      </c>
      <c r="B916" s="3" t="s">
        <v>8007</v>
      </c>
      <c r="C916" s="3" t="s">
        <v>8008</v>
      </c>
      <c r="G916" s="9" t="s">
        <v>3889</v>
      </c>
      <c r="H916" s="9"/>
      <c r="I916" s="9">
        <v>1</v>
      </c>
      <c r="J916" s="9">
        <v>1</v>
      </c>
      <c r="K916" s="9" t="s">
        <v>8689</v>
      </c>
      <c r="L916" s="9" t="s">
        <v>8730</v>
      </c>
      <c r="M916" s="9"/>
      <c r="N916" s="10"/>
      <c r="O916" s="9" t="s">
        <v>8685</v>
      </c>
      <c r="P916" s="9">
        <v>10929</v>
      </c>
      <c r="Q916" s="9"/>
      <c r="R916" s="9" t="s">
        <v>9321</v>
      </c>
      <c r="S916" s="9" t="s">
        <v>9321</v>
      </c>
      <c r="T916" s="9"/>
      <c r="U916" s="9"/>
      <c r="V916" s="9"/>
      <c r="W916" s="9"/>
      <c r="X916" s="9"/>
      <c r="Y916" s="9"/>
      <c r="Z916" s="9"/>
      <c r="AA916" s="9"/>
      <c r="AB916" s="9"/>
      <c r="AC916" s="9"/>
    </row>
    <row r="917" spans="1:29">
      <c r="A917" s="3" t="s">
        <v>1752</v>
      </c>
      <c r="B917" s="3" t="s">
        <v>8009</v>
      </c>
      <c r="C917" s="3" t="s">
        <v>8010</v>
      </c>
      <c r="F917" t="s">
        <v>3884</v>
      </c>
      <c r="G917" s="9" t="s">
        <v>8729</v>
      </c>
      <c r="H917" s="9"/>
      <c r="I917" s="9"/>
      <c r="J917" s="9"/>
      <c r="K917" s="9"/>
      <c r="L917" s="9"/>
      <c r="M917" s="9"/>
      <c r="N917" s="10"/>
      <c r="O917" s="9" t="s">
        <v>8691</v>
      </c>
      <c r="P917" s="9"/>
      <c r="Q917" s="9">
        <v>-116</v>
      </c>
      <c r="R917" s="9">
        <v>266</v>
      </c>
      <c r="S917" s="9">
        <v>150</v>
      </c>
      <c r="T917" s="9"/>
      <c r="U917" s="9"/>
      <c r="V917" s="9"/>
      <c r="W917" s="9"/>
      <c r="X917" s="9"/>
      <c r="Y917" s="9"/>
      <c r="Z917" s="9"/>
      <c r="AA917" s="9"/>
      <c r="AB917" s="9"/>
      <c r="AC917" s="9"/>
    </row>
    <row r="918" spans="1:29">
      <c r="A918" s="3" t="s">
        <v>1753</v>
      </c>
      <c r="B918" s="3" t="s">
        <v>2368</v>
      </c>
      <c r="C918" s="3" t="s">
        <v>2971</v>
      </c>
      <c r="G918" s="9" t="s">
        <v>8731</v>
      </c>
      <c r="H918" s="9"/>
      <c r="I918" s="9"/>
      <c r="J918" s="9"/>
      <c r="K918" s="9"/>
      <c r="L918" s="9"/>
      <c r="M918" s="9"/>
      <c r="N918" s="10"/>
      <c r="O918" s="9"/>
      <c r="P918" s="9"/>
      <c r="Q918" s="9"/>
      <c r="R918" s="9" t="s">
        <v>9321</v>
      </c>
      <c r="S918" s="9" t="s">
        <v>9321</v>
      </c>
      <c r="T918" s="9"/>
      <c r="U918" s="9"/>
      <c r="V918" s="9"/>
      <c r="W918" s="9"/>
      <c r="X918" s="9"/>
      <c r="Y918" s="9"/>
      <c r="Z918" s="9"/>
      <c r="AA918" s="9"/>
      <c r="AB918" s="9"/>
      <c r="AC918" s="9"/>
    </row>
    <row r="919" spans="1:29">
      <c r="A919" s="3" t="s">
        <v>1753</v>
      </c>
      <c r="B919" s="3" t="s">
        <v>3766</v>
      </c>
      <c r="C919" s="3" t="s">
        <v>3767</v>
      </c>
      <c r="G919" s="9" t="s">
        <v>8731</v>
      </c>
      <c r="H919" s="9"/>
      <c r="I919" s="9"/>
      <c r="J919" s="9"/>
      <c r="K919" s="9"/>
      <c r="L919" s="9"/>
      <c r="M919" s="9"/>
      <c r="N919" s="10"/>
      <c r="O919" s="9"/>
      <c r="P919" s="9"/>
      <c r="Q919" s="9"/>
      <c r="R919" s="9" t="s">
        <v>9321</v>
      </c>
      <c r="S919" s="9" t="s">
        <v>9321</v>
      </c>
      <c r="T919" s="9"/>
      <c r="U919" s="9"/>
      <c r="V919" s="9"/>
      <c r="W919" s="9"/>
      <c r="X919" s="9"/>
      <c r="Y919" s="9"/>
      <c r="Z919" s="9" t="s">
        <v>8757</v>
      </c>
      <c r="AA919" s="9" t="s">
        <v>3891</v>
      </c>
      <c r="AB919" s="9"/>
      <c r="AC919" s="9"/>
    </row>
    <row r="920" spans="1:29">
      <c r="A920" s="3" t="s">
        <v>1755</v>
      </c>
      <c r="B920" s="3" t="s">
        <v>8017</v>
      </c>
      <c r="C920" s="3" t="s">
        <v>8018</v>
      </c>
      <c r="F920" t="s">
        <v>3884</v>
      </c>
      <c r="G920" s="9" t="s">
        <v>8729</v>
      </c>
      <c r="H920" s="9"/>
      <c r="I920" s="9"/>
      <c r="J920" s="9"/>
      <c r="K920" s="9"/>
      <c r="L920" s="9"/>
      <c r="M920" s="9"/>
      <c r="N920" s="10"/>
      <c r="O920" s="9"/>
      <c r="P920" s="9"/>
      <c r="Q920" s="9">
        <v>-78</v>
      </c>
      <c r="R920" s="9">
        <v>128</v>
      </c>
      <c r="S920" s="9">
        <v>50</v>
      </c>
      <c r="T920" s="9"/>
      <c r="U920" s="9"/>
      <c r="V920" s="9"/>
      <c r="W920" s="9"/>
      <c r="X920" s="9"/>
      <c r="Y920" s="9"/>
      <c r="Z920" s="9"/>
      <c r="AA920" s="9"/>
      <c r="AB920" s="9"/>
      <c r="AC920" s="9"/>
    </row>
    <row r="921" spans="1:29">
      <c r="A921" s="3" t="s">
        <v>1756</v>
      </c>
      <c r="B921" s="3" t="s">
        <v>8019</v>
      </c>
      <c r="C921" s="3" t="s">
        <v>8020</v>
      </c>
      <c r="F921" t="s">
        <v>3884</v>
      </c>
      <c r="G921" s="9" t="s">
        <v>3889</v>
      </c>
      <c r="H921" s="9"/>
      <c r="I921" s="9">
        <v>1</v>
      </c>
      <c r="J921" s="9">
        <v>2</v>
      </c>
      <c r="K921" s="9" t="s">
        <v>8689</v>
      </c>
      <c r="L921" s="9" t="s">
        <v>8730</v>
      </c>
      <c r="M921" s="9"/>
      <c r="N921" s="10"/>
      <c r="O921" s="9"/>
      <c r="P921" s="9">
        <v>10929</v>
      </c>
      <c r="Q921" s="9"/>
      <c r="R921" s="9" t="s">
        <v>9321</v>
      </c>
      <c r="S921" s="9" t="s">
        <v>9321</v>
      </c>
      <c r="T921" s="9"/>
      <c r="U921" s="9"/>
      <c r="V921" s="9"/>
      <c r="W921" s="9"/>
      <c r="X921" s="9"/>
      <c r="Y921" s="9"/>
      <c r="Z921" s="9"/>
      <c r="AA921" s="9"/>
      <c r="AB921" s="9"/>
      <c r="AC921" s="9"/>
    </row>
    <row r="922" spans="1:29" ht="29">
      <c r="A922" s="3" t="s">
        <v>1757</v>
      </c>
      <c r="B922" s="3" t="s">
        <v>8024</v>
      </c>
      <c r="C922" s="3" t="s">
        <v>8025</v>
      </c>
      <c r="F922" t="s">
        <v>3888</v>
      </c>
      <c r="G922" s="9" t="s">
        <v>8731</v>
      </c>
      <c r="H922" s="9"/>
      <c r="I922" s="9"/>
      <c r="J922" s="9"/>
      <c r="K922" s="9"/>
      <c r="L922" s="9"/>
      <c r="M922" s="9"/>
      <c r="N922" s="10"/>
      <c r="O922" s="9"/>
      <c r="P922" s="9"/>
      <c r="Q922" s="9"/>
      <c r="R922" s="9" t="s">
        <v>9321</v>
      </c>
      <c r="S922" s="9" t="s">
        <v>9321</v>
      </c>
      <c r="T922" s="9"/>
      <c r="U922" s="9"/>
      <c r="V922" s="9"/>
      <c r="W922" s="9"/>
      <c r="X922" s="9"/>
      <c r="Y922" s="9"/>
      <c r="Z922" s="9"/>
      <c r="AA922" s="9"/>
      <c r="AB922" s="9"/>
      <c r="AC922" s="9"/>
    </row>
    <row r="923" spans="1:29">
      <c r="A923" s="3" t="s">
        <v>1760</v>
      </c>
      <c r="B923" s="3" t="s">
        <v>8041</v>
      </c>
      <c r="C923" s="3" t="s">
        <v>8042</v>
      </c>
      <c r="F923" t="s">
        <v>3884</v>
      </c>
      <c r="G923" s="9" t="s">
        <v>3885</v>
      </c>
      <c r="H923" s="9"/>
      <c r="I923" s="9">
        <v>1</v>
      </c>
      <c r="J923" s="9">
        <v>3</v>
      </c>
      <c r="K923" s="9" t="s">
        <v>8698</v>
      </c>
      <c r="L923" s="9" t="s">
        <v>8684</v>
      </c>
      <c r="M923" s="9" t="s">
        <v>8771</v>
      </c>
      <c r="N923" s="10" t="s">
        <v>8778</v>
      </c>
      <c r="O923" s="9" t="s">
        <v>8685</v>
      </c>
      <c r="P923" s="9">
        <v>9418</v>
      </c>
      <c r="Q923" s="9"/>
      <c r="R923" s="9" t="s">
        <v>9321</v>
      </c>
      <c r="S923" s="9" t="s">
        <v>9321</v>
      </c>
      <c r="T923" s="9"/>
      <c r="U923" s="9"/>
      <c r="V923" s="9"/>
      <c r="W923" s="9"/>
      <c r="X923" s="9"/>
      <c r="Y923" s="9"/>
      <c r="Z923" s="9"/>
      <c r="AA923" s="9"/>
      <c r="AB923" s="9"/>
      <c r="AC923" s="9"/>
    </row>
    <row r="924" spans="1:29">
      <c r="A924" s="3" t="s">
        <v>1762</v>
      </c>
      <c r="B924" s="3" t="s">
        <v>8043</v>
      </c>
      <c r="C924" s="3" t="s">
        <v>8044</v>
      </c>
      <c r="F924" t="s">
        <v>3884</v>
      </c>
      <c r="G924" s="9" t="s">
        <v>3889</v>
      </c>
      <c r="H924" s="9"/>
      <c r="I924" s="9">
        <v>1</v>
      </c>
      <c r="J924" s="9">
        <v>3</v>
      </c>
      <c r="K924" s="9" t="s">
        <v>8689</v>
      </c>
      <c r="L924" s="9" t="s">
        <v>8690</v>
      </c>
      <c r="M924" s="9"/>
      <c r="N924" s="10"/>
      <c r="O924" s="9"/>
      <c r="P924" s="9">
        <v>10929</v>
      </c>
      <c r="Q924" s="9"/>
      <c r="R924" s="9" t="s">
        <v>9321</v>
      </c>
      <c r="S924" s="9" t="s">
        <v>9321</v>
      </c>
      <c r="T924" s="9"/>
      <c r="U924" s="9"/>
      <c r="V924" s="9"/>
      <c r="W924" s="9"/>
      <c r="X924" s="9"/>
      <c r="Y924" s="9"/>
      <c r="Z924" s="9"/>
      <c r="AA924" s="9"/>
      <c r="AB924" s="9"/>
      <c r="AC924" s="9"/>
    </row>
    <row r="925" spans="1:29" ht="43.5">
      <c r="A925" s="3" t="s">
        <v>1762</v>
      </c>
      <c r="B925" s="3" t="s">
        <v>8045</v>
      </c>
      <c r="C925" s="4" t="s">
        <v>8046</v>
      </c>
      <c r="D925" t="s">
        <v>4197</v>
      </c>
      <c r="F925" t="s">
        <v>3884</v>
      </c>
      <c r="G925" s="9" t="s">
        <v>3885</v>
      </c>
      <c r="H925" s="9"/>
      <c r="I925" s="9">
        <v>4</v>
      </c>
      <c r="J925" s="9">
        <v>17</v>
      </c>
      <c r="K925" s="9"/>
      <c r="L925" s="9" t="s">
        <v>8690</v>
      </c>
      <c r="M925" s="9"/>
      <c r="N925" s="10"/>
      <c r="O925" s="9"/>
      <c r="P925" s="9">
        <v>886</v>
      </c>
      <c r="Q925" s="9"/>
      <c r="R925" s="9" t="s">
        <v>9321</v>
      </c>
      <c r="S925" s="9" t="s">
        <v>9321</v>
      </c>
      <c r="T925" s="9"/>
      <c r="U925" s="9"/>
      <c r="V925" s="9"/>
      <c r="W925" s="9"/>
      <c r="X925" s="9"/>
      <c r="Y925" s="9"/>
      <c r="Z925" s="9"/>
      <c r="AA925" s="9"/>
      <c r="AB925" s="9"/>
      <c r="AC925" s="9"/>
    </row>
    <row r="926" spans="1:29">
      <c r="A926" s="3" t="s">
        <v>1762</v>
      </c>
      <c r="B926" s="3" t="s">
        <v>8050</v>
      </c>
      <c r="C926" s="3" t="s">
        <v>8051</v>
      </c>
      <c r="G926" s="9" t="s">
        <v>8729</v>
      </c>
      <c r="H926" s="9"/>
      <c r="I926" s="9"/>
      <c r="J926" s="9"/>
      <c r="K926" s="9"/>
      <c r="L926" s="9"/>
      <c r="M926" s="9"/>
      <c r="N926" s="10"/>
      <c r="O926" s="9"/>
      <c r="P926" s="9"/>
      <c r="Q926" s="9">
        <v>-88</v>
      </c>
      <c r="R926" s="9">
        <v>206</v>
      </c>
      <c r="S926" s="9">
        <v>118</v>
      </c>
      <c r="T926" s="9"/>
      <c r="U926" s="9"/>
      <c r="V926" s="9"/>
      <c r="W926" s="9"/>
      <c r="X926" s="9"/>
      <c r="Y926" s="9"/>
      <c r="Z926" s="9"/>
      <c r="AA926" s="9"/>
      <c r="AB926" s="9"/>
      <c r="AC926" s="9"/>
    </row>
    <row r="927" spans="1:29">
      <c r="A927" s="3" t="s">
        <v>1763</v>
      </c>
      <c r="B927" s="3" t="s">
        <v>8053</v>
      </c>
      <c r="C927" s="3" t="s">
        <v>8054</v>
      </c>
      <c r="G927" s="9" t="s">
        <v>3885</v>
      </c>
      <c r="H927" s="9"/>
      <c r="I927" s="9">
        <v>1</v>
      </c>
      <c r="J927" s="9">
        <v>1</v>
      </c>
      <c r="K927" s="9" t="s">
        <v>8705</v>
      </c>
      <c r="L927" s="9" t="s">
        <v>8730</v>
      </c>
      <c r="M927" s="9"/>
      <c r="N927" s="10"/>
      <c r="O927" s="9" t="s">
        <v>8685</v>
      </c>
      <c r="P927" s="9">
        <v>615</v>
      </c>
      <c r="Q927" s="9"/>
      <c r="R927" s="9" t="s">
        <v>9321</v>
      </c>
      <c r="S927" s="9" t="s">
        <v>9321</v>
      </c>
      <c r="T927" s="9"/>
      <c r="U927" s="9"/>
      <c r="V927" s="9"/>
      <c r="W927" s="9"/>
      <c r="X927" s="9"/>
      <c r="Y927" s="9"/>
      <c r="Z927" s="9"/>
      <c r="AA927" s="9"/>
      <c r="AB927" s="9"/>
      <c r="AC927" s="9"/>
    </row>
    <row r="928" spans="1:29" ht="29">
      <c r="A928" s="3" t="s">
        <v>1766</v>
      </c>
      <c r="B928" s="3" t="s">
        <v>8065</v>
      </c>
      <c r="C928" s="3" t="s">
        <v>8062</v>
      </c>
      <c r="F928" t="s">
        <v>3884</v>
      </c>
      <c r="G928" s="9" t="s">
        <v>3889</v>
      </c>
      <c r="H928" s="9"/>
      <c r="I928" s="9">
        <v>2</v>
      </c>
      <c r="J928" s="9">
        <v>14</v>
      </c>
      <c r="K928" s="9"/>
      <c r="L928" s="9" t="s">
        <v>8690</v>
      </c>
      <c r="M928" s="9"/>
      <c r="N928" s="10"/>
      <c r="O928" s="9"/>
      <c r="P928" s="9">
        <v>77</v>
      </c>
      <c r="Q928" s="9"/>
      <c r="R928" s="9" t="s">
        <v>9321</v>
      </c>
      <c r="S928" s="9" t="s">
        <v>9321</v>
      </c>
      <c r="T928" s="9"/>
      <c r="U928" s="9"/>
      <c r="V928" s="9"/>
      <c r="W928" s="9"/>
      <c r="X928" s="9"/>
      <c r="Y928" s="9"/>
      <c r="Z928" s="9"/>
      <c r="AA928" s="9"/>
      <c r="AB928" s="9"/>
      <c r="AC928" s="9"/>
    </row>
    <row r="929" spans="1:29">
      <c r="A929" s="3" t="s">
        <v>1766</v>
      </c>
      <c r="B929" s="3" t="s">
        <v>8066</v>
      </c>
      <c r="C929" s="3" t="s">
        <v>8067</v>
      </c>
      <c r="F929" t="s">
        <v>3884</v>
      </c>
      <c r="G929" s="9" t="s">
        <v>8729</v>
      </c>
      <c r="H929" s="9"/>
      <c r="I929" s="9"/>
      <c r="J929" s="9"/>
      <c r="K929" s="9"/>
      <c r="L929" s="9"/>
      <c r="M929" s="9"/>
      <c r="N929" s="10"/>
      <c r="O929" s="9"/>
      <c r="P929" s="9"/>
      <c r="Q929" s="9">
        <v>-30</v>
      </c>
      <c r="R929" s="9">
        <v>30</v>
      </c>
      <c r="S929" s="9">
        <v>0</v>
      </c>
      <c r="T929" s="9"/>
      <c r="U929" s="9"/>
      <c r="V929" s="9"/>
      <c r="W929" s="9"/>
      <c r="X929" s="9"/>
      <c r="Y929" s="9"/>
      <c r="Z929" s="9"/>
      <c r="AA929" s="9"/>
      <c r="AB929" s="9"/>
      <c r="AC929" s="9"/>
    </row>
    <row r="930" spans="1:29">
      <c r="A930" s="3" t="s">
        <v>1767</v>
      </c>
      <c r="B930" s="3" t="s">
        <v>8069</v>
      </c>
      <c r="C930" s="3" t="s">
        <v>8070</v>
      </c>
      <c r="F930" t="s">
        <v>3884</v>
      </c>
      <c r="G930" s="9" t="s">
        <v>3885</v>
      </c>
      <c r="H930" s="9"/>
      <c r="I930" s="9">
        <v>1</v>
      </c>
      <c r="J930" s="9">
        <v>1</v>
      </c>
      <c r="K930" s="9" t="s">
        <v>8689</v>
      </c>
      <c r="L930" s="9" t="s">
        <v>8730</v>
      </c>
      <c r="M930" s="9"/>
      <c r="N930" s="10"/>
      <c r="O930" s="9"/>
      <c r="P930" s="9">
        <v>10929</v>
      </c>
      <c r="Q930" s="9"/>
      <c r="R930" s="9" t="s">
        <v>9321</v>
      </c>
      <c r="S930" s="9" t="s">
        <v>9321</v>
      </c>
      <c r="T930" s="9"/>
      <c r="U930" s="9"/>
      <c r="V930" s="9"/>
      <c r="W930" s="9"/>
      <c r="X930" s="9"/>
      <c r="Y930" s="9"/>
      <c r="Z930" s="9"/>
      <c r="AA930" s="9"/>
      <c r="AB930" s="9"/>
      <c r="AC930" s="9"/>
    </row>
    <row r="931" spans="1:29">
      <c r="A931" s="3" t="s">
        <v>1768</v>
      </c>
      <c r="B931" s="3" t="s">
        <v>3778</v>
      </c>
      <c r="C931" s="3" t="s">
        <v>3779</v>
      </c>
      <c r="G931" s="9" t="s">
        <v>8731</v>
      </c>
      <c r="H931" s="9"/>
      <c r="I931" s="9"/>
      <c r="J931" s="9"/>
      <c r="K931" s="9"/>
      <c r="L931" s="9"/>
      <c r="M931" s="9"/>
      <c r="N931" s="10"/>
      <c r="O931" s="9"/>
      <c r="P931" s="9"/>
      <c r="Q931" s="9"/>
      <c r="R931" s="9" t="s">
        <v>9321</v>
      </c>
      <c r="S931" s="9" t="s">
        <v>9321</v>
      </c>
      <c r="T931" s="9"/>
      <c r="U931" s="9"/>
      <c r="V931" s="9"/>
      <c r="W931" s="9"/>
      <c r="X931" s="9"/>
      <c r="Y931" s="9"/>
      <c r="Z931" s="9"/>
      <c r="AA931" s="9"/>
      <c r="AB931" s="9"/>
      <c r="AC931" s="9"/>
    </row>
    <row r="932" spans="1:29">
      <c r="A932" s="3" t="s">
        <v>1770</v>
      </c>
      <c r="B932" s="3" t="s">
        <v>8087</v>
      </c>
      <c r="C932" s="3" t="s">
        <v>8088</v>
      </c>
      <c r="G932" s="9" t="s">
        <v>8729</v>
      </c>
      <c r="H932" s="9"/>
      <c r="I932" s="9"/>
      <c r="J932" s="9"/>
      <c r="K932" s="9"/>
      <c r="L932" s="9"/>
      <c r="M932" s="9"/>
      <c r="N932" s="10"/>
      <c r="O932" s="9"/>
      <c r="P932" s="9"/>
      <c r="Q932" s="9">
        <v>-422</v>
      </c>
      <c r="R932" s="9">
        <v>653</v>
      </c>
      <c r="S932" s="9">
        <v>231</v>
      </c>
      <c r="T932" s="9"/>
      <c r="U932" s="9"/>
      <c r="V932" s="9"/>
      <c r="W932" s="9"/>
      <c r="X932" s="9"/>
      <c r="Y932" s="9"/>
      <c r="Z932" s="9"/>
      <c r="AA932" s="9"/>
      <c r="AB932" s="9"/>
      <c r="AC932" s="9"/>
    </row>
    <row r="933" spans="1:29">
      <c r="A933" s="3" t="s">
        <v>1770</v>
      </c>
      <c r="B933" s="3" t="s">
        <v>8089</v>
      </c>
      <c r="C933" s="3" t="s">
        <v>8090</v>
      </c>
      <c r="G933" s="9" t="s">
        <v>8732</v>
      </c>
      <c r="H933" s="9"/>
      <c r="I933" s="9"/>
      <c r="J933" s="9"/>
      <c r="K933" s="9"/>
      <c r="L933" s="9"/>
      <c r="M933" s="9"/>
      <c r="N933" s="10"/>
      <c r="O933" s="9"/>
      <c r="P933" s="9"/>
      <c r="Q933" s="9">
        <v>88</v>
      </c>
      <c r="R933" s="9">
        <v>12</v>
      </c>
      <c r="S933" s="9">
        <v>100</v>
      </c>
      <c r="T933" s="9" t="s">
        <v>4</v>
      </c>
      <c r="U933" s="9"/>
      <c r="V933" s="9"/>
      <c r="W933" s="9"/>
      <c r="X933" s="9"/>
      <c r="Y933" s="9"/>
      <c r="Z933" s="9"/>
      <c r="AA933" s="9"/>
      <c r="AB933" s="9"/>
      <c r="AC933" s="9"/>
    </row>
    <row r="934" spans="1:29">
      <c r="A934" s="3" t="s">
        <v>1772</v>
      </c>
      <c r="B934" s="3" t="s">
        <v>8093</v>
      </c>
      <c r="C934" s="3" t="s">
        <v>8094</v>
      </c>
      <c r="G934" s="9" t="s">
        <v>8731</v>
      </c>
      <c r="H934" s="9"/>
      <c r="I934" s="9"/>
      <c r="J934" s="9"/>
      <c r="K934" s="9"/>
      <c r="L934" s="9"/>
      <c r="M934" s="9"/>
      <c r="N934" s="10"/>
      <c r="O934" s="9"/>
      <c r="P934" s="9"/>
      <c r="Q934" s="9"/>
      <c r="R934" s="9" t="s">
        <v>9321</v>
      </c>
      <c r="S934" s="9" t="s">
        <v>9321</v>
      </c>
      <c r="T934" s="9" t="s">
        <v>8728</v>
      </c>
      <c r="U934" s="9"/>
      <c r="V934" s="9"/>
      <c r="W934" s="9"/>
      <c r="X934" s="9"/>
      <c r="Y934" s="9"/>
      <c r="Z934" s="9"/>
      <c r="AA934" s="9"/>
      <c r="AB934" s="9"/>
      <c r="AC934" s="9"/>
    </row>
    <row r="935" spans="1:29" ht="72.5">
      <c r="A935" s="3" t="s">
        <v>1772</v>
      </c>
      <c r="B935" s="3" t="s">
        <v>9161</v>
      </c>
      <c r="C935" s="3" t="s">
        <v>9160</v>
      </c>
      <c r="F935" t="s">
        <v>3888</v>
      </c>
      <c r="G935" s="9" t="s">
        <v>3889</v>
      </c>
      <c r="H935" s="9"/>
      <c r="I935" s="9">
        <v>7</v>
      </c>
      <c r="J935" s="9">
        <v>43</v>
      </c>
      <c r="K935" s="9"/>
      <c r="L935" s="9" t="s">
        <v>8684</v>
      </c>
      <c r="M935" s="9" t="s">
        <v>8740</v>
      </c>
      <c r="N935" s="10" t="s">
        <v>9162</v>
      </c>
      <c r="O935" s="9"/>
      <c r="P935" s="9">
        <v>2</v>
      </c>
      <c r="Q935" s="9"/>
      <c r="R935" s="9" t="s">
        <v>9321</v>
      </c>
      <c r="S935" s="9" t="s">
        <v>9321</v>
      </c>
      <c r="T935" s="9"/>
      <c r="U935" s="9"/>
      <c r="V935" s="9"/>
      <c r="W935" s="9"/>
      <c r="X935" s="9"/>
      <c r="Y935" s="9"/>
      <c r="Z935" s="9"/>
      <c r="AA935" s="9"/>
      <c r="AB935" s="9"/>
      <c r="AC935" s="9"/>
    </row>
    <row r="936" spans="1:29" ht="29">
      <c r="A936" s="3" t="s">
        <v>1774</v>
      </c>
      <c r="B936" s="3" t="s">
        <v>8098</v>
      </c>
      <c r="C936" s="3" t="s">
        <v>8099</v>
      </c>
      <c r="G936" s="9" t="s">
        <v>8731</v>
      </c>
      <c r="H936" s="9"/>
      <c r="I936" s="9"/>
      <c r="J936" s="9"/>
      <c r="K936" s="9"/>
      <c r="L936" s="9"/>
      <c r="M936" s="9"/>
      <c r="N936" s="10"/>
      <c r="O936" s="9"/>
      <c r="P936" s="9"/>
      <c r="Q936" s="9"/>
      <c r="R936" s="9" t="s">
        <v>9321</v>
      </c>
      <c r="S936" s="9" t="s">
        <v>9321</v>
      </c>
      <c r="T936" s="9"/>
      <c r="U936" s="9"/>
      <c r="V936" s="9"/>
      <c r="W936" s="9"/>
      <c r="X936" s="9"/>
      <c r="Y936" s="9"/>
      <c r="Z936" s="9"/>
      <c r="AA936" s="9"/>
      <c r="AB936" s="9"/>
      <c r="AC936" s="9"/>
    </row>
    <row r="937" spans="1:29" ht="29">
      <c r="A937" s="3" t="s">
        <v>1776</v>
      </c>
      <c r="B937" s="3" t="s">
        <v>8103</v>
      </c>
      <c r="C937" s="3" t="s">
        <v>8102</v>
      </c>
      <c r="F937" t="s">
        <v>3888</v>
      </c>
      <c r="G937" s="9" t="s">
        <v>3889</v>
      </c>
      <c r="H937" s="9"/>
      <c r="I937" s="9">
        <v>2</v>
      </c>
      <c r="J937" s="9">
        <v>9</v>
      </c>
      <c r="K937" s="9"/>
      <c r="L937" s="9" t="s">
        <v>8690</v>
      </c>
      <c r="M937" s="9"/>
      <c r="N937" s="10"/>
      <c r="O937" s="9"/>
      <c r="P937" s="9">
        <v>310</v>
      </c>
      <c r="Q937" s="9"/>
      <c r="R937" s="9" t="s">
        <v>9321</v>
      </c>
      <c r="S937" s="9" t="s">
        <v>9321</v>
      </c>
      <c r="T937" s="9"/>
      <c r="U937" s="9"/>
      <c r="V937" s="9"/>
      <c r="W937" s="9"/>
      <c r="X937" s="9"/>
      <c r="Y937" s="9"/>
      <c r="Z937" s="9"/>
      <c r="AA937" s="9"/>
      <c r="AB937" s="9"/>
      <c r="AC937" s="9" t="s">
        <v>3884</v>
      </c>
    </row>
    <row r="938" spans="1:29">
      <c r="A938" s="3" t="s">
        <v>1777</v>
      </c>
      <c r="B938" s="3" t="s">
        <v>8110</v>
      </c>
      <c r="C938" s="3" t="s">
        <v>8111</v>
      </c>
      <c r="F938" t="s">
        <v>3884</v>
      </c>
      <c r="G938" s="9" t="s">
        <v>8732</v>
      </c>
      <c r="H938" s="9"/>
      <c r="I938" s="9"/>
      <c r="J938" s="9"/>
      <c r="K938" s="9"/>
      <c r="L938" s="9"/>
      <c r="M938" s="9"/>
      <c r="N938" s="10"/>
      <c r="O938" s="9"/>
      <c r="P938" s="9"/>
      <c r="Q938" s="9">
        <v>-53</v>
      </c>
      <c r="R938" s="9">
        <v>319</v>
      </c>
      <c r="S938" s="9">
        <v>266</v>
      </c>
      <c r="T938" s="9"/>
      <c r="U938" s="9"/>
      <c r="V938" s="9"/>
      <c r="W938" s="9"/>
      <c r="X938" s="9"/>
      <c r="Y938" s="9"/>
      <c r="Z938" s="9"/>
      <c r="AA938" s="9"/>
      <c r="AB938" s="9"/>
      <c r="AC938" s="9"/>
    </row>
    <row r="939" spans="1:29" ht="29">
      <c r="A939" s="3" t="s">
        <v>1778</v>
      </c>
      <c r="B939" s="3" t="s">
        <v>8112</v>
      </c>
      <c r="C939" s="3" t="s">
        <v>8102</v>
      </c>
      <c r="F939" t="s">
        <v>3884</v>
      </c>
      <c r="G939" s="9" t="s">
        <v>3889</v>
      </c>
      <c r="H939" s="9"/>
      <c r="I939" s="9">
        <v>1</v>
      </c>
      <c r="J939" s="9">
        <v>6</v>
      </c>
      <c r="K939" s="9" t="s">
        <v>8703</v>
      </c>
      <c r="L939" s="9" t="s">
        <v>8690</v>
      </c>
      <c r="M939" s="9"/>
      <c r="N939" s="10"/>
      <c r="O939" s="9"/>
      <c r="P939" s="9">
        <v>310</v>
      </c>
      <c r="Q939" s="9"/>
      <c r="R939" s="9" t="s">
        <v>9321</v>
      </c>
      <c r="S939" s="9" t="s">
        <v>9321</v>
      </c>
      <c r="T939" s="9"/>
      <c r="U939" s="9"/>
      <c r="V939" s="9"/>
      <c r="W939" s="9"/>
      <c r="X939" s="9"/>
      <c r="Y939" s="9"/>
      <c r="Z939" s="9"/>
      <c r="AA939" s="9"/>
      <c r="AB939" s="9"/>
      <c r="AC939" s="9" t="s">
        <v>3884</v>
      </c>
    </row>
    <row r="940" spans="1:29" ht="29">
      <c r="A940" s="3" t="s">
        <v>1779</v>
      </c>
      <c r="B940" s="3" t="s">
        <v>8116</v>
      </c>
      <c r="C940" s="3" t="s">
        <v>8118</v>
      </c>
      <c r="F940" t="s">
        <v>3884</v>
      </c>
      <c r="G940" s="9" t="s">
        <v>3885</v>
      </c>
      <c r="H940" s="9"/>
      <c r="I940" s="9">
        <v>1</v>
      </c>
      <c r="J940" s="9">
        <v>6</v>
      </c>
      <c r="K940" s="9" t="s">
        <v>8703</v>
      </c>
      <c r="L940" s="9" t="s">
        <v>8690</v>
      </c>
      <c r="M940" s="9"/>
      <c r="N940" s="10"/>
      <c r="O940" s="9"/>
      <c r="P940" s="9">
        <v>627</v>
      </c>
      <c r="Q940" s="9"/>
      <c r="R940" s="9" t="s">
        <v>9321</v>
      </c>
      <c r="S940" s="9" t="s">
        <v>9321</v>
      </c>
      <c r="T940" s="9"/>
      <c r="U940" s="9"/>
      <c r="V940" s="9"/>
      <c r="W940" s="9"/>
      <c r="X940" s="9"/>
      <c r="Y940" s="9"/>
      <c r="Z940" s="9"/>
      <c r="AA940" s="9"/>
      <c r="AB940" s="9"/>
      <c r="AC940" s="9"/>
    </row>
    <row r="941" spans="1:29">
      <c r="A941" s="3" t="s">
        <v>1782</v>
      </c>
      <c r="B941" s="3" t="s">
        <v>8125</v>
      </c>
      <c r="C941" s="3" t="s">
        <v>3783</v>
      </c>
      <c r="F941" t="s">
        <v>3884</v>
      </c>
      <c r="G941" s="9" t="s">
        <v>8729</v>
      </c>
      <c r="H941" s="9"/>
      <c r="I941" s="9"/>
      <c r="J941" s="9"/>
      <c r="K941" s="9"/>
      <c r="L941" s="9"/>
      <c r="M941" s="9"/>
      <c r="N941" s="10"/>
      <c r="O941" s="9"/>
      <c r="P941" s="9"/>
      <c r="Q941" s="9">
        <v>-185</v>
      </c>
      <c r="R941" s="9">
        <v>185</v>
      </c>
      <c r="S941" s="9">
        <v>0</v>
      </c>
      <c r="T941" s="9"/>
      <c r="U941" s="9"/>
      <c r="V941" s="9"/>
      <c r="W941" s="9"/>
      <c r="X941" s="9"/>
      <c r="Y941" s="9"/>
      <c r="Z941" s="9"/>
      <c r="AA941" s="9"/>
      <c r="AB941" s="9"/>
      <c r="AC941" s="9"/>
    </row>
    <row r="942" spans="1:29">
      <c r="A942" s="3" t="s">
        <v>1783</v>
      </c>
      <c r="B942" s="3" t="s">
        <v>8127</v>
      </c>
      <c r="C942" s="3" t="s">
        <v>8128</v>
      </c>
      <c r="G942" s="9" t="s">
        <v>3889</v>
      </c>
      <c r="H942" s="9"/>
      <c r="I942" s="9">
        <v>1</v>
      </c>
      <c r="J942" s="9">
        <v>5</v>
      </c>
      <c r="K942" s="9" t="s">
        <v>8703</v>
      </c>
      <c r="L942" s="9" t="s">
        <v>8684</v>
      </c>
      <c r="M942" s="9" t="s">
        <v>8777</v>
      </c>
      <c r="N942" s="10" t="s">
        <v>8941</v>
      </c>
      <c r="O942" s="9" t="s">
        <v>8685</v>
      </c>
      <c r="P942" s="9"/>
      <c r="Q942" s="9"/>
      <c r="R942" s="9" t="s">
        <v>9321</v>
      </c>
      <c r="S942" s="9" t="s">
        <v>9321</v>
      </c>
      <c r="T942" s="9"/>
      <c r="U942" s="9"/>
      <c r="V942" s="9"/>
      <c r="W942" s="9"/>
      <c r="X942" s="9"/>
      <c r="Y942" s="9"/>
      <c r="Z942" s="9"/>
      <c r="AA942" s="9"/>
      <c r="AB942" s="9"/>
      <c r="AC942" s="9"/>
    </row>
    <row r="943" spans="1:29">
      <c r="A943" s="3" t="s">
        <v>1784</v>
      </c>
      <c r="B943" s="3" t="s">
        <v>8129</v>
      </c>
      <c r="C943" s="3" t="s">
        <v>8130</v>
      </c>
      <c r="F943" t="s">
        <v>3884</v>
      </c>
      <c r="G943" s="9" t="s">
        <v>3885</v>
      </c>
      <c r="H943" s="9"/>
      <c r="I943" s="9">
        <v>1</v>
      </c>
      <c r="J943" s="9">
        <v>6</v>
      </c>
      <c r="K943" s="9" t="s">
        <v>8703</v>
      </c>
      <c r="L943" s="9" t="s">
        <v>8684</v>
      </c>
      <c r="M943" s="9" t="s">
        <v>8771</v>
      </c>
      <c r="N943" s="10" t="s">
        <v>8778</v>
      </c>
      <c r="O943" s="9"/>
      <c r="P943" s="9">
        <v>627</v>
      </c>
      <c r="Q943" s="9"/>
      <c r="R943" s="9" t="s">
        <v>9321</v>
      </c>
      <c r="S943" s="9" t="s">
        <v>9321</v>
      </c>
      <c r="T943" s="9" t="s">
        <v>8728</v>
      </c>
      <c r="U943" s="9"/>
      <c r="V943" s="9"/>
      <c r="W943" s="9"/>
      <c r="X943" s="9"/>
      <c r="Y943" s="9"/>
      <c r="Z943" s="9"/>
      <c r="AA943" s="9"/>
      <c r="AB943" s="9"/>
      <c r="AC943" s="9"/>
    </row>
    <row r="944" spans="1:29" ht="29">
      <c r="A944" s="3" t="s">
        <v>1785</v>
      </c>
      <c r="B944" s="3" t="s">
        <v>8133</v>
      </c>
      <c r="C944" s="3" t="s">
        <v>8134</v>
      </c>
      <c r="F944" t="s">
        <v>3884</v>
      </c>
      <c r="G944" s="9" t="s">
        <v>3889</v>
      </c>
      <c r="H944" s="9"/>
      <c r="I944" s="9">
        <v>1</v>
      </c>
      <c r="J944" s="9">
        <v>5</v>
      </c>
      <c r="K944" s="9" t="s">
        <v>8703</v>
      </c>
      <c r="L944" s="9" t="s">
        <v>8690</v>
      </c>
      <c r="M944" s="9"/>
      <c r="N944" s="10"/>
      <c r="O944" s="9"/>
      <c r="P944" s="9">
        <v>21</v>
      </c>
      <c r="Q944" s="9"/>
      <c r="R944" s="9" t="s">
        <v>9321</v>
      </c>
      <c r="S944" s="9" t="s">
        <v>9321</v>
      </c>
      <c r="T944" s="9" t="s">
        <v>8728</v>
      </c>
      <c r="U944" s="9"/>
      <c r="V944" s="9"/>
      <c r="W944" s="9"/>
      <c r="X944" s="9"/>
      <c r="Y944" s="9"/>
      <c r="Z944" s="9"/>
      <c r="AA944" s="9"/>
      <c r="AB944" s="9"/>
      <c r="AC944" s="9"/>
    </row>
    <row r="945" spans="1:29" ht="29">
      <c r="A945" s="3" t="s">
        <v>1785</v>
      </c>
      <c r="B945" s="3" t="s">
        <v>8135</v>
      </c>
      <c r="C945" s="3" t="s">
        <v>8136</v>
      </c>
      <c r="F945" t="s">
        <v>3884</v>
      </c>
      <c r="G945" s="9" t="s">
        <v>3889</v>
      </c>
      <c r="H945" s="9"/>
      <c r="I945" s="9">
        <v>2</v>
      </c>
      <c r="J945" s="9">
        <v>9</v>
      </c>
      <c r="K945" s="9"/>
      <c r="L945" s="9" t="s">
        <v>8690</v>
      </c>
      <c r="M945" s="9"/>
      <c r="N945" s="10"/>
      <c r="O945" s="9"/>
      <c r="P945" s="9">
        <v>32</v>
      </c>
      <c r="Q945" s="9"/>
      <c r="R945" s="9" t="s">
        <v>9321</v>
      </c>
      <c r="S945" s="9" t="s">
        <v>9321</v>
      </c>
      <c r="T945" s="9"/>
      <c r="U945" s="9"/>
      <c r="V945" s="9"/>
      <c r="W945" s="9"/>
      <c r="X945" s="9"/>
      <c r="Y945" s="9"/>
      <c r="Z945" s="9"/>
      <c r="AA945" s="9"/>
      <c r="AB945" s="9"/>
      <c r="AC945" s="9"/>
    </row>
    <row r="946" spans="1:29">
      <c r="A946" s="3" t="s">
        <v>1787</v>
      </c>
      <c r="B946" s="3" t="s">
        <v>3786</v>
      </c>
      <c r="C946" s="3" t="s">
        <v>3629</v>
      </c>
      <c r="G946" s="9" t="s">
        <v>8731</v>
      </c>
      <c r="H946" s="9"/>
      <c r="I946" s="9"/>
      <c r="J946" s="9"/>
      <c r="K946" s="9"/>
      <c r="L946" s="9"/>
      <c r="M946" s="9"/>
      <c r="N946" s="10"/>
      <c r="O946" s="9"/>
      <c r="P946" s="9"/>
      <c r="Q946" s="9"/>
      <c r="R946" s="9" t="s">
        <v>9321</v>
      </c>
      <c r="S946" s="9" t="s">
        <v>9321</v>
      </c>
      <c r="T946" s="9"/>
      <c r="U946" s="9"/>
      <c r="V946" s="9"/>
      <c r="W946" s="9"/>
      <c r="X946" s="9"/>
      <c r="Y946" s="9"/>
      <c r="Z946" s="9"/>
      <c r="AA946" s="9"/>
      <c r="AB946" s="9"/>
      <c r="AC946" s="9"/>
    </row>
    <row r="947" spans="1:29">
      <c r="A947" s="3" t="s">
        <v>1791</v>
      </c>
      <c r="B947" s="3" t="s">
        <v>2379</v>
      </c>
      <c r="C947" s="3" t="s">
        <v>2380</v>
      </c>
      <c r="G947" s="9" t="s">
        <v>8731</v>
      </c>
      <c r="H947" s="9"/>
      <c r="I947" s="9"/>
      <c r="J947" s="9"/>
      <c r="K947" s="9"/>
      <c r="L947" s="9"/>
      <c r="M947" s="9"/>
      <c r="N947" s="10"/>
      <c r="O947" s="9"/>
      <c r="P947" s="9"/>
      <c r="Q947" s="9"/>
      <c r="R947" s="9" t="s">
        <v>9321</v>
      </c>
      <c r="S947" s="9" t="s">
        <v>9321</v>
      </c>
      <c r="T947" s="9" t="s">
        <v>8728</v>
      </c>
      <c r="U947" s="9"/>
      <c r="V947" s="9"/>
      <c r="W947" s="9"/>
      <c r="X947" s="9"/>
      <c r="Y947" s="9"/>
      <c r="Z947" s="9"/>
      <c r="AA947" s="9"/>
      <c r="AB947" s="9"/>
      <c r="AC947" s="9"/>
    </row>
    <row r="948" spans="1:29" ht="29">
      <c r="A948" s="3" t="s">
        <v>1791</v>
      </c>
      <c r="B948" s="3" t="s">
        <v>9545</v>
      </c>
      <c r="C948" s="3" t="s">
        <v>9546</v>
      </c>
      <c r="G948" s="9" t="s">
        <v>8731</v>
      </c>
      <c r="H948" s="9"/>
      <c r="I948" s="9"/>
      <c r="J948" s="9"/>
      <c r="K948" s="9"/>
      <c r="L948" s="9"/>
      <c r="M948" s="9"/>
      <c r="N948" s="10"/>
      <c r="O948" s="9"/>
      <c r="P948" s="9"/>
      <c r="Q948" s="9"/>
      <c r="R948" s="9" t="s">
        <v>9321</v>
      </c>
      <c r="S948" s="9" t="s">
        <v>9321</v>
      </c>
      <c r="T948" s="9"/>
      <c r="U948" s="9"/>
      <c r="V948" s="9"/>
      <c r="W948" s="9"/>
      <c r="X948" s="9"/>
      <c r="Y948" s="9"/>
      <c r="Z948" s="9"/>
      <c r="AA948" s="9"/>
      <c r="AB948" s="9"/>
      <c r="AC948" s="9"/>
    </row>
    <row r="949" spans="1:29">
      <c r="A949" s="3" t="s">
        <v>1794</v>
      </c>
      <c r="B949" s="3" t="s">
        <v>9166</v>
      </c>
      <c r="C949" s="3" t="s">
        <v>8156</v>
      </c>
      <c r="G949" s="9" t="s">
        <v>3889</v>
      </c>
      <c r="H949" s="9"/>
      <c r="I949" s="9">
        <v>1</v>
      </c>
      <c r="J949" s="9">
        <v>3</v>
      </c>
      <c r="K949" s="9" t="s">
        <v>8689</v>
      </c>
      <c r="L949" s="9" t="s">
        <v>8690</v>
      </c>
      <c r="M949" s="9"/>
      <c r="N949" s="10"/>
      <c r="O949" s="9"/>
      <c r="P949" s="9">
        <v>10929</v>
      </c>
      <c r="Q949" s="9"/>
      <c r="R949" s="9" t="s">
        <v>9321</v>
      </c>
      <c r="S949" s="9" t="s">
        <v>9321</v>
      </c>
      <c r="T949" s="9"/>
      <c r="U949" s="9"/>
      <c r="V949" s="9"/>
      <c r="W949" s="9"/>
      <c r="X949" s="9"/>
      <c r="Y949" s="9"/>
      <c r="Z949" s="9"/>
      <c r="AA949" s="9"/>
      <c r="AB949" s="9"/>
      <c r="AC949" s="9"/>
    </row>
    <row r="950" spans="1:29">
      <c r="A950" s="3" t="s">
        <v>1794</v>
      </c>
      <c r="B950" s="3" t="s">
        <v>9167</v>
      </c>
      <c r="C950" s="3" t="s">
        <v>9168</v>
      </c>
      <c r="G950" s="9" t="s">
        <v>8729</v>
      </c>
      <c r="H950" s="9"/>
      <c r="I950" s="9"/>
      <c r="J950" s="9"/>
      <c r="K950" s="9"/>
      <c r="L950" s="9"/>
      <c r="M950" s="9"/>
      <c r="N950" s="10"/>
      <c r="O950" s="9"/>
      <c r="P950" s="9"/>
      <c r="Q950" s="9">
        <v>-606</v>
      </c>
      <c r="R950" s="9">
        <v>627</v>
      </c>
      <c r="S950" s="9">
        <v>21</v>
      </c>
      <c r="T950" s="9"/>
      <c r="U950" s="9"/>
      <c r="V950" s="9"/>
      <c r="W950" s="9"/>
      <c r="X950" s="9"/>
      <c r="Y950" s="9"/>
      <c r="Z950" s="9"/>
      <c r="AA950" s="9"/>
      <c r="AB950" s="9"/>
      <c r="AC950" s="9"/>
    </row>
    <row r="951" spans="1:29" ht="29">
      <c r="A951" s="3" t="s">
        <v>1796</v>
      </c>
      <c r="B951" s="3" t="s">
        <v>9663</v>
      </c>
      <c r="C951" s="3" t="s">
        <v>9662</v>
      </c>
      <c r="G951" s="9" t="s">
        <v>8729</v>
      </c>
      <c r="H951" s="9"/>
      <c r="I951" s="9"/>
      <c r="J951" s="9"/>
      <c r="K951" s="9"/>
      <c r="L951" s="9"/>
      <c r="M951" s="9"/>
      <c r="N951" s="10"/>
      <c r="O951" s="9"/>
      <c r="P951" s="9"/>
      <c r="Q951" s="9">
        <v>-52</v>
      </c>
      <c r="R951" s="9">
        <v>90</v>
      </c>
      <c r="S951" s="9">
        <v>38</v>
      </c>
      <c r="T951" s="9"/>
      <c r="U951" s="9"/>
      <c r="V951" s="9"/>
      <c r="W951" s="9"/>
      <c r="X951" s="9"/>
      <c r="Y951" s="9"/>
      <c r="Z951" s="9"/>
      <c r="AA951" s="9"/>
      <c r="AB951" s="9"/>
      <c r="AC951" s="9"/>
    </row>
    <row r="952" spans="1:29">
      <c r="A952" s="3" t="s">
        <v>1797</v>
      </c>
      <c r="B952" s="3" t="s">
        <v>8159</v>
      </c>
      <c r="C952" s="3" t="s">
        <v>8160</v>
      </c>
      <c r="G952" s="9" t="s">
        <v>8731</v>
      </c>
      <c r="H952" s="9"/>
      <c r="I952" s="9"/>
      <c r="J952" s="9"/>
      <c r="K952" s="9"/>
      <c r="L952" s="9"/>
      <c r="M952" s="9"/>
      <c r="N952" s="10"/>
      <c r="O952" s="9"/>
      <c r="P952" s="9"/>
      <c r="Q952" s="9"/>
      <c r="R952" s="9" t="s">
        <v>9321</v>
      </c>
      <c r="S952" s="9" t="s">
        <v>9321</v>
      </c>
      <c r="T952" s="9"/>
      <c r="U952" s="9"/>
      <c r="V952" s="9"/>
      <c r="W952" s="9"/>
      <c r="X952" s="9"/>
      <c r="Y952" s="9"/>
      <c r="Z952" s="9"/>
      <c r="AA952" s="9"/>
      <c r="AB952" s="9"/>
      <c r="AC952" s="9"/>
    </row>
    <row r="953" spans="1:29">
      <c r="A953" s="3" t="s">
        <v>1800</v>
      </c>
      <c r="B953" s="3" t="s">
        <v>8136</v>
      </c>
      <c r="C953" s="3" t="s">
        <v>8179</v>
      </c>
      <c r="G953" s="9" t="s">
        <v>3885</v>
      </c>
      <c r="H953" s="9"/>
      <c r="I953" s="9">
        <v>1</v>
      </c>
      <c r="J953" s="9">
        <v>1</v>
      </c>
      <c r="K953" s="9" t="s">
        <v>8689</v>
      </c>
      <c r="L953" s="9" t="s">
        <v>8730</v>
      </c>
      <c r="M953" s="9"/>
      <c r="N953" s="10"/>
      <c r="O953" s="9"/>
      <c r="P953" s="9">
        <v>10929</v>
      </c>
      <c r="Q953" s="9"/>
      <c r="R953" s="9" t="s">
        <v>9321</v>
      </c>
      <c r="S953" s="9" t="s">
        <v>9321</v>
      </c>
      <c r="T953" s="9"/>
      <c r="U953" s="9"/>
      <c r="V953" s="9"/>
      <c r="W953" s="9"/>
      <c r="X953" s="9"/>
      <c r="Y953" s="9"/>
      <c r="Z953" s="9"/>
      <c r="AA953" s="9"/>
      <c r="AB953" s="9"/>
      <c r="AC953" s="9"/>
    </row>
    <row r="954" spans="1:29">
      <c r="A954" s="3" t="s">
        <v>1802</v>
      </c>
      <c r="B954" s="3" t="s">
        <v>8184</v>
      </c>
      <c r="C954" s="3" t="s">
        <v>8185</v>
      </c>
      <c r="G954" s="9" t="s">
        <v>8731</v>
      </c>
      <c r="H954" s="9"/>
      <c r="I954" s="9"/>
      <c r="J954" s="9"/>
      <c r="K954" s="9"/>
      <c r="L954" s="9"/>
      <c r="M954" s="9"/>
      <c r="N954" s="10"/>
      <c r="O954" s="9"/>
      <c r="P954" s="9"/>
      <c r="Q954" s="9"/>
      <c r="R954" s="9" t="s">
        <v>9321</v>
      </c>
      <c r="S954" s="9" t="s">
        <v>9321</v>
      </c>
      <c r="T954" s="9"/>
      <c r="U954" s="9"/>
      <c r="V954" s="9"/>
      <c r="W954" s="9"/>
      <c r="X954" s="9"/>
      <c r="Y954" s="9"/>
      <c r="Z954" s="9"/>
      <c r="AA954" s="9"/>
      <c r="AB954" s="9"/>
      <c r="AC954" s="9"/>
    </row>
    <row r="955" spans="1:29">
      <c r="A955" s="3" t="s">
        <v>1802</v>
      </c>
      <c r="B955" s="3" t="s">
        <v>8188</v>
      </c>
      <c r="C955" s="3" t="s">
        <v>8189</v>
      </c>
      <c r="G955" s="9" t="s">
        <v>8731</v>
      </c>
      <c r="H955" s="9"/>
      <c r="I955" s="9"/>
      <c r="J955" s="9"/>
      <c r="K955" s="9"/>
      <c r="L955" s="9"/>
      <c r="M955" s="9"/>
      <c r="N955" s="10"/>
      <c r="O955" s="9"/>
      <c r="P955" s="9"/>
      <c r="Q955" s="9"/>
      <c r="R955" s="9" t="s">
        <v>9321</v>
      </c>
      <c r="S955" s="9" t="s">
        <v>9321</v>
      </c>
      <c r="T955" s="9"/>
      <c r="U955" s="9"/>
      <c r="V955" s="9"/>
      <c r="W955" s="9"/>
      <c r="X955" s="9"/>
      <c r="Y955" s="9"/>
      <c r="Z955" s="9"/>
      <c r="AA955" s="9"/>
      <c r="AB955" s="9"/>
      <c r="AC955" s="9"/>
    </row>
    <row r="956" spans="1:29">
      <c r="A956" s="3" t="s">
        <v>1806</v>
      </c>
      <c r="B956" s="3" t="s">
        <v>3795</v>
      </c>
      <c r="C956" s="3" t="s">
        <v>3621</v>
      </c>
      <c r="F956" t="s">
        <v>3892</v>
      </c>
      <c r="G956" s="9" t="s">
        <v>8729</v>
      </c>
      <c r="H956" s="9"/>
      <c r="I956" s="9"/>
      <c r="J956" s="9"/>
      <c r="K956" s="9"/>
      <c r="L956" s="9"/>
      <c r="M956" s="9"/>
      <c r="N956" s="10"/>
      <c r="O956" s="9"/>
      <c r="P956" s="9"/>
      <c r="Q956" s="9">
        <v>3</v>
      </c>
      <c r="R956" s="9">
        <v>1</v>
      </c>
      <c r="S956" s="9">
        <v>4</v>
      </c>
      <c r="T956" s="9"/>
      <c r="U956" s="9"/>
      <c r="V956" s="9"/>
      <c r="W956" s="9"/>
      <c r="X956" s="9"/>
      <c r="Y956" s="9"/>
      <c r="Z956" s="9"/>
      <c r="AA956" s="9"/>
      <c r="AB956" s="9"/>
      <c r="AC956" s="9"/>
    </row>
    <row r="957" spans="1:29">
      <c r="A957" s="3" t="s">
        <v>1806</v>
      </c>
      <c r="B957" s="3" t="s">
        <v>8200</v>
      </c>
      <c r="C957" s="3" t="s">
        <v>8201</v>
      </c>
      <c r="F957" t="s">
        <v>3884</v>
      </c>
      <c r="G957" s="9" t="s">
        <v>8729</v>
      </c>
      <c r="H957" s="9"/>
      <c r="I957" s="9"/>
      <c r="J957" s="9"/>
      <c r="K957" s="9"/>
      <c r="L957" s="9"/>
      <c r="M957" s="9"/>
      <c r="N957" s="10"/>
      <c r="O957" s="9"/>
      <c r="P957" s="9"/>
      <c r="Q957" s="9">
        <v>2193</v>
      </c>
      <c r="R957" s="9">
        <v>1485</v>
      </c>
      <c r="S957" s="9">
        <v>3678</v>
      </c>
      <c r="T957" s="9"/>
      <c r="U957" s="9"/>
      <c r="V957" s="9"/>
      <c r="W957" s="9"/>
      <c r="X957" s="9"/>
      <c r="Y957" s="9"/>
      <c r="Z957" s="9"/>
      <c r="AA957" s="9"/>
      <c r="AB957" s="9"/>
      <c r="AC957" s="9"/>
    </row>
    <row r="958" spans="1:29" ht="29">
      <c r="A958" s="3" t="s">
        <v>1808</v>
      </c>
      <c r="B958" s="4" t="s">
        <v>8206</v>
      </c>
      <c r="C958" s="3" t="s">
        <v>8207</v>
      </c>
      <c r="D958" t="s">
        <v>4196</v>
      </c>
      <c r="F958" t="s">
        <v>3884</v>
      </c>
      <c r="G958" s="9" t="s">
        <v>8729</v>
      </c>
      <c r="H958" s="9"/>
      <c r="I958" s="9"/>
      <c r="J958" s="9"/>
      <c r="K958" s="9"/>
      <c r="L958" s="9"/>
      <c r="M958" s="9"/>
      <c r="N958" s="10"/>
      <c r="O958" s="9"/>
      <c r="P958" s="9"/>
      <c r="Q958" s="9">
        <v>-22</v>
      </c>
      <c r="R958" s="9">
        <v>54</v>
      </c>
      <c r="S958" s="9">
        <v>32</v>
      </c>
      <c r="T958" s="9"/>
      <c r="U958" s="9"/>
      <c r="V958" s="9"/>
      <c r="W958" s="9"/>
      <c r="X958" s="9"/>
      <c r="Y958" s="9"/>
      <c r="Z958" s="9"/>
      <c r="AA958" s="9"/>
      <c r="AB958" s="9"/>
      <c r="AC958" s="9"/>
    </row>
    <row r="959" spans="1:29">
      <c r="A959" s="3" t="s">
        <v>1808</v>
      </c>
      <c r="B959" s="3" t="s">
        <v>8210</v>
      </c>
      <c r="C959" s="3" t="s">
        <v>8211</v>
      </c>
      <c r="F959" t="s">
        <v>3884</v>
      </c>
      <c r="G959" s="9" t="s">
        <v>3885</v>
      </c>
      <c r="H959" s="9"/>
      <c r="I959" s="9">
        <v>1</v>
      </c>
      <c r="J959" s="9">
        <v>6</v>
      </c>
      <c r="K959" s="9" t="s">
        <v>8736</v>
      </c>
      <c r="L959" s="9" t="s">
        <v>8684</v>
      </c>
      <c r="M959" s="9" t="s">
        <v>8771</v>
      </c>
      <c r="N959" s="10" t="s">
        <v>8778</v>
      </c>
      <c r="O959" s="9"/>
      <c r="P959" s="9">
        <v>58</v>
      </c>
      <c r="Q959" s="9"/>
      <c r="R959" s="9" t="s">
        <v>9321</v>
      </c>
      <c r="S959" s="9" t="s">
        <v>9321</v>
      </c>
      <c r="T959" s="9"/>
      <c r="U959" s="9"/>
      <c r="V959" s="9"/>
      <c r="W959" s="9"/>
      <c r="X959" s="9"/>
      <c r="Y959" s="9"/>
      <c r="Z959" s="9"/>
      <c r="AA959" s="9"/>
      <c r="AB959" s="9"/>
      <c r="AC959" s="9"/>
    </row>
    <row r="960" spans="1:29" ht="29">
      <c r="A960" s="3" t="s">
        <v>1811</v>
      </c>
      <c r="B960" s="3" t="s">
        <v>8214</v>
      </c>
      <c r="C960" s="3" t="s">
        <v>8215</v>
      </c>
      <c r="F960" t="s">
        <v>3892</v>
      </c>
      <c r="G960" s="9" t="s">
        <v>3889</v>
      </c>
      <c r="H960" s="9"/>
      <c r="I960" s="9">
        <v>1</v>
      </c>
      <c r="J960" s="9">
        <v>4</v>
      </c>
      <c r="K960" s="9" t="s">
        <v>8703</v>
      </c>
      <c r="L960" s="9" t="s">
        <v>8690</v>
      </c>
      <c r="M960" s="9"/>
      <c r="N960" s="10"/>
      <c r="O960" s="9"/>
      <c r="P960" s="9">
        <v>58</v>
      </c>
      <c r="Q960" s="9"/>
      <c r="R960" s="9" t="s">
        <v>9321</v>
      </c>
      <c r="S960" s="9" t="s">
        <v>9321</v>
      </c>
      <c r="T960" s="9"/>
      <c r="U960" s="9"/>
      <c r="V960" s="9"/>
      <c r="W960" s="9"/>
      <c r="X960" s="9"/>
      <c r="Y960" s="9"/>
      <c r="Z960" s="9"/>
      <c r="AA960" s="9"/>
      <c r="AB960" s="9"/>
      <c r="AC960" s="9"/>
    </row>
    <row r="961" spans="1:29">
      <c r="A961" s="3" t="s">
        <v>1812</v>
      </c>
      <c r="B961" s="3" t="s">
        <v>8226</v>
      </c>
      <c r="C961" s="3" t="s">
        <v>8227</v>
      </c>
      <c r="G961" s="9" t="s">
        <v>8729</v>
      </c>
      <c r="H961" s="9"/>
      <c r="I961" s="9"/>
      <c r="J961" s="9"/>
      <c r="K961" s="9"/>
      <c r="L961" s="9"/>
      <c r="M961" s="9"/>
      <c r="N961" s="10"/>
      <c r="O961" s="9"/>
      <c r="P961" s="9"/>
      <c r="Q961" s="9">
        <v>3</v>
      </c>
      <c r="R961" s="9">
        <v>0</v>
      </c>
      <c r="S961" s="9">
        <v>3</v>
      </c>
      <c r="T961" s="9"/>
      <c r="U961" s="9"/>
      <c r="V961" s="9"/>
      <c r="W961" s="9"/>
      <c r="X961" s="9"/>
      <c r="Y961" s="9"/>
      <c r="Z961" s="9"/>
      <c r="AA961" s="9"/>
      <c r="AB961" s="9"/>
      <c r="AC961" s="9"/>
    </row>
    <row r="962" spans="1:29" ht="29">
      <c r="A962" s="3" t="s">
        <v>1814</v>
      </c>
      <c r="B962" s="3" t="s">
        <v>8236</v>
      </c>
      <c r="C962" s="3" t="s">
        <v>8237</v>
      </c>
      <c r="F962" t="s">
        <v>3884</v>
      </c>
      <c r="G962" s="9" t="s">
        <v>8729</v>
      </c>
      <c r="H962" s="9"/>
      <c r="I962" s="9"/>
      <c r="J962" s="9"/>
      <c r="K962" s="9"/>
      <c r="L962" s="9"/>
      <c r="M962" s="9"/>
      <c r="N962" s="10"/>
      <c r="O962" s="9"/>
      <c r="P962" s="9"/>
      <c r="Q962" s="9">
        <v>-32</v>
      </c>
      <c r="R962" s="9">
        <v>54</v>
      </c>
      <c r="S962" s="9">
        <v>22</v>
      </c>
      <c r="T962" s="9"/>
      <c r="U962" s="9"/>
      <c r="V962" s="9"/>
      <c r="W962" s="9"/>
      <c r="X962" s="9"/>
      <c r="Y962" s="9"/>
      <c r="Z962" s="9"/>
      <c r="AA962" s="9"/>
      <c r="AB962" s="9"/>
      <c r="AC962" s="9"/>
    </row>
    <row r="963" spans="1:29">
      <c r="A963" s="3" t="s">
        <v>1818</v>
      </c>
      <c r="B963" s="3" t="s">
        <v>8250</v>
      </c>
      <c r="C963" s="3" t="s">
        <v>8251</v>
      </c>
      <c r="G963" s="9" t="s">
        <v>8731</v>
      </c>
      <c r="H963" s="9"/>
      <c r="I963" s="9"/>
      <c r="J963" s="9"/>
      <c r="K963" s="9"/>
      <c r="L963" s="9"/>
      <c r="M963" s="9"/>
      <c r="N963" s="10"/>
      <c r="O963" s="9"/>
      <c r="P963" s="9"/>
      <c r="Q963" s="9"/>
      <c r="R963" s="9" t="s">
        <v>9321</v>
      </c>
      <c r="S963" s="9" t="s">
        <v>9321</v>
      </c>
      <c r="T963" s="9"/>
      <c r="U963" s="9"/>
      <c r="V963" s="9"/>
      <c r="W963" s="9"/>
      <c r="X963" s="9"/>
      <c r="Y963" s="9"/>
      <c r="Z963" s="9"/>
      <c r="AA963" s="9"/>
      <c r="AB963" s="9"/>
      <c r="AC963" s="9"/>
    </row>
    <row r="964" spans="1:29">
      <c r="A964" s="3" t="s">
        <v>1820</v>
      </c>
      <c r="B964" s="3" t="s">
        <v>8017</v>
      </c>
      <c r="C964" s="3" t="s">
        <v>8018</v>
      </c>
      <c r="F964" t="s">
        <v>3884</v>
      </c>
      <c r="G964" s="9" t="s">
        <v>8729</v>
      </c>
      <c r="H964" s="9"/>
      <c r="I964" s="9"/>
      <c r="J964" s="9"/>
      <c r="K964" s="9"/>
      <c r="L964" s="9"/>
      <c r="M964" s="9"/>
      <c r="N964" s="10"/>
      <c r="O964" s="9"/>
      <c r="P964" s="9"/>
      <c r="Q964" s="9">
        <v>-78</v>
      </c>
      <c r="R964" s="9">
        <v>128</v>
      </c>
      <c r="S964" s="9">
        <v>50</v>
      </c>
      <c r="T964" s="9"/>
      <c r="U964" s="9"/>
      <c r="V964" s="9"/>
      <c r="W964" s="9"/>
      <c r="X964" s="9"/>
      <c r="Y964" s="9"/>
      <c r="Z964" s="9"/>
      <c r="AA964" s="9"/>
      <c r="AB964" s="9"/>
      <c r="AC964" s="9"/>
    </row>
    <row r="965" spans="1:29">
      <c r="A965" s="3" t="s">
        <v>1822</v>
      </c>
      <c r="B965" s="3" t="s">
        <v>9274</v>
      </c>
      <c r="C965" s="3" t="s">
        <v>9275</v>
      </c>
      <c r="F965" t="s">
        <v>3884</v>
      </c>
      <c r="G965" s="9" t="s">
        <v>3889</v>
      </c>
      <c r="H965" s="9"/>
      <c r="I965" s="9">
        <v>1</v>
      </c>
      <c r="J965" s="9">
        <v>2</v>
      </c>
      <c r="K965" s="9" t="s">
        <v>8707</v>
      </c>
      <c r="L965" s="9" t="s">
        <v>8730</v>
      </c>
      <c r="M965" s="9"/>
      <c r="N965" s="10"/>
      <c r="O965" s="9" t="s">
        <v>8685</v>
      </c>
      <c r="P965" s="9">
        <v>1942</v>
      </c>
      <c r="Q965" s="9"/>
      <c r="R965" s="9" t="s">
        <v>9321</v>
      </c>
      <c r="S965" s="9" t="s">
        <v>9321</v>
      </c>
      <c r="T965" s="9"/>
      <c r="U965" s="9"/>
      <c r="V965" s="9"/>
      <c r="W965" s="9"/>
      <c r="X965" s="9"/>
      <c r="Y965" s="9"/>
      <c r="Z965" s="9"/>
      <c r="AA965" s="9"/>
      <c r="AB965" s="9"/>
      <c r="AC965" s="9"/>
    </row>
    <row r="966" spans="1:29" ht="58">
      <c r="A966" s="3" t="s">
        <v>1822</v>
      </c>
      <c r="B966" s="3" t="s">
        <v>8273</v>
      </c>
      <c r="C966" s="3" t="s">
        <v>8272</v>
      </c>
      <c r="F966" t="s">
        <v>3884</v>
      </c>
      <c r="G966" s="9" t="s">
        <v>3889</v>
      </c>
      <c r="H966" s="9"/>
      <c r="I966" s="9">
        <v>1</v>
      </c>
      <c r="J966" s="9">
        <v>3</v>
      </c>
      <c r="K966" s="9" t="s">
        <v>8698</v>
      </c>
      <c r="L966" s="9" t="s">
        <v>8690</v>
      </c>
      <c r="M966" s="9"/>
      <c r="N966" s="10"/>
      <c r="O966" s="9"/>
      <c r="P966" s="9">
        <v>9418</v>
      </c>
      <c r="Q966" s="9"/>
      <c r="R966" s="9" t="s">
        <v>9321</v>
      </c>
      <c r="S966" s="9" t="s">
        <v>9321</v>
      </c>
      <c r="T966" s="9" t="s">
        <v>8728</v>
      </c>
      <c r="U966" s="9"/>
      <c r="V966" s="9"/>
      <c r="W966" s="9"/>
      <c r="X966" s="9"/>
      <c r="Y966" s="9"/>
      <c r="Z966" s="9"/>
      <c r="AA966" s="9"/>
      <c r="AB966" s="9"/>
      <c r="AC966" s="9"/>
    </row>
    <row r="967" spans="1:29" ht="43.5">
      <c r="A967" s="3" t="s">
        <v>1822</v>
      </c>
      <c r="B967" s="3" t="s">
        <v>8274</v>
      </c>
      <c r="C967" s="3" t="s">
        <v>8272</v>
      </c>
      <c r="F967" t="s">
        <v>3884</v>
      </c>
      <c r="G967" s="9" t="s">
        <v>3889</v>
      </c>
      <c r="H967" s="9"/>
      <c r="I967" s="9">
        <v>1</v>
      </c>
      <c r="J967" s="9">
        <v>5</v>
      </c>
      <c r="K967" s="9" t="s">
        <v>8703</v>
      </c>
      <c r="L967" s="9" t="s">
        <v>8690</v>
      </c>
      <c r="M967" s="9"/>
      <c r="N967" s="10"/>
      <c r="O967" s="9"/>
      <c r="P967" s="9">
        <v>77</v>
      </c>
      <c r="Q967" s="9"/>
      <c r="R967" s="9" t="s">
        <v>9321</v>
      </c>
      <c r="S967" s="9" t="s">
        <v>9321</v>
      </c>
      <c r="T967" s="9"/>
      <c r="U967" s="9"/>
      <c r="V967" s="9"/>
      <c r="W967" s="9"/>
      <c r="X967" s="9"/>
      <c r="Y967" s="9"/>
      <c r="Z967" s="9"/>
      <c r="AA967" s="9"/>
      <c r="AB967" s="9"/>
      <c r="AC967" s="9"/>
    </row>
    <row r="968" spans="1:29" ht="29">
      <c r="A968" s="3" t="s">
        <v>1825</v>
      </c>
      <c r="B968" s="3" t="s">
        <v>8289</v>
      </c>
      <c r="C968" s="3" t="s">
        <v>8290</v>
      </c>
      <c r="G968" s="9" t="s">
        <v>3889</v>
      </c>
      <c r="H968" s="9"/>
      <c r="I968" s="9">
        <v>2</v>
      </c>
      <c r="J968" s="9">
        <v>8</v>
      </c>
      <c r="K968" s="9"/>
      <c r="L968" s="9" t="s">
        <v>8690</v>
      </c>
      <c r="M968" s="9"/>
      <c r="N968" s="10"/>
      <c r="O968" s="9"/>
      <c r="P968" s="9">
        <v>54</v>
      </c>
      <c r="Q968" s="9"/>
      <c r="R968" s="9" t="s">
        <v>9321</v>
      </c>
      <c r="S968" s="9" t="s">
        <v>9321</v>
      </c>
      <c r="T968" s="9"/>
      <c r="U968" s="9"/>
      <c r="V968" s="9"/>
      <c r="W968" s="9"/>
      <c r="X968" s="9"/>
      <c r="Y968" s="9"/>
      <c r="Z968" s="9"/>
      <c r="AA968" s="9"/>
      <c r="AB968" s="9"/>
      <c r="AC968" s="9"/>
    </row>
    <row r="969" spans="1:29" ht="29">
      <c r="A969" s="3" t="s">
        <v>1825</v>
      </c>
      <c r="B969" s="3" t="s">
        <v>8291</v>
      </c>
      <c r="C969" s="3" t="s">
        <v>8292</v>
      </c>
      <c r="F969" t="s">
        <v>3884</v>
      </c>
      <c r="G969" s="9" t="s">
        <v>3889</v>
      </c>
      <c r="H969" s="9"/>
      <c r="I969" s="9">
        <v>2</v>
      </c>
      <c r="J969" s="9">
        <v>8</v>
      </c>
      <c r="K969" s="9"/>
      <c r="L969" s="9" t="s">
        <v>8684</v>
      </c>
      <c r="M969" s="9" t="s">
        <v>8847</v>
      </c>
      <c r="N969" s="10" t="s">
        <v>9172</v>
      </c>
      <c r="O969" s="9"/>
      <c r="P969" s="9">
        <v>886</v>
      </c>
      <c r="Q969" s="9"/>
      <c r="R969" s="9" t="s">
        <v>9321</v>
      </c>
      <c r="S969" s="9" t="s">
        <v>9321</v>
      </c>
      <c r="T969" s="9"/>
      <c r="U969" s="9"/>
      <c r="V969" s="9"/>
      <c r="W969" s="9"/>
      <c r="X969" s="9"/>
      <c r="Y969" s="9"/>
      <c r="Z969" s="9"/>
      <c r="AA969" s="9"/>
      <c r="AB969" s="9"/>
      <c r="AC969" s="9"/>
    </row>
    <row r="970" spans="1:29">
      <c r="A970" s="3" t="s">
        <v>1826</v>
      </c>
      <c r="B970" s="3" t="s">
        <v>8293</v>
      </c>
      <c r="C970" s="3" t="s">
        <v>3807</v>
      </c>
      <c r="F970" t="s">
        <v>3884</v>
      </c>
      <c r="G970" s="9" t="s">
        <v>8731</v>
      </c>
      <c r="H970" s="9"/>
      <c r="I970" s="9"/>
      <c r="J970" s="9"/>
      <c r="K970" s="9"/>
      <c r="L970" s="9"/>
      <c r="M970" s="9"/>
      <c r="N970" s="10"/>
      <c r="O970" s="9"/>
      <c r="P970" s="9"/>
      <c r="Q970" s="9"/>
      <c r="R970" s="9" t="s">
        <v>9321</v>
      </c>
      <c r="S970" s="9" t="s">
        <v>9321</v>
      </c>
      <c r="T970" s="9"/>
      <c r="U970" s="9"/>
      <c r="V970" s="9"/>
      <c r="W970" s="9"/>
      <c r="X970" s="9"/>
      <c r="Y970" s="9"/>
      <c r="Z970" s="9"/>
      <c r="AA970" s="9"/>
      <c r="AB970" s="9"/>
      <c r="AC970" s="9"/>
    </row>
    <row r="971" spans="1:29" ht="29">
      <c r="A971" s="3" t="s">
        <v>1826</v>
      </c>
      <c r="B971" s="3" t="s">
        <v>8295</v>
      </c>
      <c r="C971" s="3" t="s">
        <v>8296</v>
      </c>
      <c r="G971" s="9" t="s">
        <v>3889</v>
      </c>
      <c r="H971" s="9"/>
      <c r="I971" s="9">
        <v>2</v>
      </c>
      <c r="J971" s="9">
        <v>10</v>
      </c>
      <c r="K971" s="9"/>
      <c r="L971" s="9" t="s">
        <v>8690</v>
      </c>
      <c r="M971" s="9"/>
      <c r="N971" s="10"/>
      <c r="O971" s="9"/>
      <c r="P971" s="9">
        <v>21</v>
      </c>
      <c r="Q971" s="9"/>
      <c r="R971" s="9" t="s">
        <v>9321</v>
      </c>
      <c r="S971" s="9" t="s">
        <v>9321</v>
      </c>
      <c r="T971" s="9"/>
      <c r="U971" s="9"/>
      <c r="V971" s="9"/>
      <c r="W971" s="9"/>
      <c r="X971" s="9"/>
      <c r="Y971" s="9"/>
      <c r="Z971" s="9"/>
      <c r="AA971" s="9"/>
      <c r="AB971" s="9"/>
      <c r="AC971" s="9"/>
    </row>
    <row r="972" spans="1:29" ht="29">
      <c r="A972" s="3" t="s">
        <v>1827</v>
      </c>
      <c r="B972" s="3" t="s">
        <v>8297</v>
      </c>
      <c r="C972" s="3" t="s">
        <v>8298</v>
      </c>
      <c r="F972" t="s">
        <v>3884</v>
      </c>
      <c r="G972" s="9" t="s">
        <v>3889</v>
      </c>
      <c r="H972" s="9"/>
      <c r="I972" s="9">
        <v>2</v>
      </c>
      <c r="J972" s="9">
        <v>10</v>
      </c>
      <c r="K972" s="9"/>
      <c r="L972" s="9" t="s">
        <v>8690</v>
      </c>
      <c r="M972" s="9"/>
      <c r="N972" s="10"/>
      <c r="O972" s="9"/>
      <c r="P972" s="9">
        <v>10</v>
      </c>
      <c r="Q972" s="9"/>
      <c r="R972" s="9" t="s">
        <v>9321</v>
      </c>
      <c r="S972" s="9" t="s">
        <v>9321</v>
      </c>
      <c r="T972" s="9"/>
      <c r="U972" s="9"/>
      <c r="V972" s="9"/>
      <c r="W972" s="9"/>
      <c r="X972" s="9"/>
      <c r="Y972" s="9"/>
      <c r="Z972" s="9"/>
      <c r="AA972" s="9"/>
      <c r="AB972" s="9"/>
      <c r="AC972" s="9"/>
    </row>
    <row r="973" spans="1:29">
      <c r="A973" s="3" t="s">
        <v>1828</v>
      </c>
      <c r="B973" s="3" t="s">
        <v>8304</v>
      </c>
      <c r="C973" s="3" t="s">
        <v>8305</v>
      </c>
      <c r="F973" t="s">
        <v>3884</v>
      </c>
      <c r="G973" s="9" t="s">
        <v>8729</v>
      </c>
      <c r="H973" s="9"/>
      <c r="I973" s="9"/>
      <c r="J973" s="9"/>
      <c r="K973" s="9"/>
      <c r="L973" s="9"/>
      <c r="M973" s="9"/>
      <c r="N973" s="10"/>
      <c r="O973" s="9"/>
      <c r="P973" s="9"/>
      <c r="Q973" s="9">
        <v>114</v>
      </c>
      <c r="R973" s="9">
        <v>91</v>
      </c>
      <c r="S973" s="9">
        <v>205</v>
      </c>
      <c r="T973" s="9"/>
      <c r="U973" s="9"/>
      <c r="V973" s="9"/>
      <c r="W973" s="9"/>
      <c r="X973" s="9"/>
      <c r="Y973" s="9"/>
      <c r="Z973" s="9"/>
      <c r="AA973" s="9"/>
      <c r="AB973" s="9"/>
      <c r="AC973" s="9"/>
    </row>
    <row r="974" spans="1:29" ht="29">
      <c r="A974" s="3" t="s">
        <v>1831</v>
      </c>
      <c r="B974" s="3" t="s">
        <v>8310</v>
      </c>
      <c r="C974" s="3" t="s">
        <v>8311</v>
      </c>
      <c r="F974" t="s">
        <v>3884</v>
      </c>
      <c r="G974" s="9" t="s">
        <v>3889</v>
      </c>
      <c r="H974" s="9"/>
      <c r="I974" s="9">
        <v>1</v>
      </c>
      <c r="J974" s="9">
        <v>2</v>
      </c>
      <c r="K974" s="9" t="s">
        <v>8689</v>
      </c>
      <c r="L974" s="9" t="s">
        <v>8730</v>
      </c>
      <c r="M974" s="9"/>
      <c r="N974" s="10"/>
      <c r="O974" s="9"/>
      <c r="P974" s="9">
        <v>10929</v>
      </c>
      <c r="Q974" s="9"/>
      <c r="R974" s="9" t="s">
        <v>9321</v>
      </c>
      <c r="S974" s="9" t="s">
        <v>9321</v>
      </c>
      <c r="T974" s="9"/>
      <c r="U974" s="9"/>
      <c r="V974" s="9"/>
      <c r="W974" s="9"/>
      <c r="X974" s="9"/>
      <c r="Y974" s="9"/>
      <c r="Z974" s="9"/>
      <c r="AA974" s="9"/>
      <c r="AB974" s="9"/>
      <c r="AC974" s="9"/>
    </row>
    <row r="975" spans="1:29" ht="29">
      <c r="A975" s="3" t="s">
        <v>1831</v>
      </c>
      <c r="B975" s="3" t="s">
        <v>8312</v>
      </c>
      <c r="C975" s="3" t="s">
        <v>8313</v>
      </c>
      <c r="F975" t="s">
        <v>3884</v>
      </c>
      <c r="G975" s="9" t="s">
        <v>3889</v>
      </c>
      <c r="H975" s="9"/>
      <c r="I975" s="9">
        <v>1</v>
      </c>
      <c r="J975" s="9">
        <v>2</v>
      </c>
      <c r="K975" s="9" t="s">
        <v>8707</v>
      </c>
      <c r="L975" s="9" t="s">
        <v>8730</v>
      </c>
      <c r="M975" s="9"/>
      <c r="N975" s="10"/>
      <c r="O975" s="9"/>
      <c r="P975" s="9">
        <v>1942</v>
      </c>
      <c r="Q975" s="9"/>
      <c r="R975" s="9" t="s">
        <v>9321</v>
      </c>
      <c r="S975" s="9" t="s">
        <v>9321</v>
      </c>
      <c r="T975" s="9"/>
      <c r="U975" s="9"/>
      <c r="V975" s="9"/>
      <c r="W975" s="9"/>
      <c r="X975" s="9"/>
      <c r="Y975" s="9"/>
      <c r="Z975" s="9"/>
      <c r="AA975" s="9"/>
      <c r="AB975" s="9"/>
      <c r="AC975" s="9"/>
    </row>
    <row r="976" spans="1:29" ht="58">
      <c r="A976" s="3" t="s">
        <v>1833</v>
      </c>
      <c r="B976" s="3" t="s">
        <v>8315</v>
      </c>
      <c r="C976" s="3" t="s">
        <v>8316</v>
      </c>
      <c r="F976" t="s">
        <v>3888</v>
      </c>
      <c r="G976" s="9" t="s">
        <v>3889</v>
      </c>
      <c r="H976" s="9"/>
      <c r="I976" s="9">
        <v>4</v>
      </c>
      <c r="J976" s="9">
        <v>26</v>
      </c>
      <c r="K976" s="9"/>
      <c r="L976" s="9" t="s">
        <v>8684</v>
      </c>
      <c r="M976" s="9" t="s">
        <v>8777</v>
      </c>
      <c r="N976" s="10" t="s">
        <v>9173</v>
      </c>
      <c r="O976" s="9"/>
      <c r="P976" s="9">
        <v>20</v>
      </c>
      <c r="Q976" s="9"/>
      <c r="R976" s="9" t="s">
        <v>9321</v>
      </c>
      <c r="S976" s="9" t="s">
        <v>9321</v>
      </c>
      <c r="T976" s="9"/>
      <c r="U976" s="9"/>
      <c r="V976" s="9"/>
      <c r="W976" s="9"/>
      <c r="X976" s="9"/>
      <c r="Y976" s="9"/>
      <c r="Z976" s="9"/>
      <c r="AA976" s="9"/>
      <c r="AB976" s="9"/>
      <c r="AC976" s="9"/>
    </row>
    <row r="977" spans="1:29" ht="29">
      <c r="A977" s="3" t="s">
        <v>1836</v>
      </c>
      <c r="B977" s="3" t="s">
        <v>8325</v>
      </c>
      <c r="C977" s="3" t="s">
        <v>8326</v>
      </c>
      <c r="F977" t="s">
        <v>3884</v>
      </c>
      <c r="G977" s="9" t="s">
        <v>3885</v>
      </c>
      <c r="H977" s="9"/>
      <c r="I977" s="9">
        <v>1</v>
      </c>
      <c r="J977" s="9">
        <v>8</v>
      </c>
      <c r="K977" s="9" t="s">
        <v>8736</v>
      </c>
      <c r="L977" s="9" t="s">
        <v>8684</v>
      </c>
      <c r="M977" s="9" t="s">
        <v>8777</v>
      </c>
      <c r="N977" s="10" t="s">
        <v>8983</v>
      </c>
      <c r="O977" s="9" t="s">
        <v>8685</v>
      </c>
      <c r="P977" s="9">
        <v>79</v>
      </c>
      <c r="Q977" s="9"/>
      <c r="R977" s="9" t="s">
        <v>9321</v>
      </c>
      <c r="S977" s="9" t="s">
        <v>9321</v>
      </c>
      <c r="T977" s="9"/>
      <c r="U977" s="9"/>
      <c r="V977" s="9"/>
      <c r="W977" s="9"/>
      <c r="X977" s="9"/>
      <c r="Y977" s="9"/>
      <c r="Z977" s="9"/>
      <c r="AA977" s="9"/>
      <c r="AB977" s="9"/>
      <c r="AC977" s="9"/>
    </row>
    <row r="978" spans="1:29" ht="29">
      <c r="A978" s="3" t="s">
        <v>1838</v>
      </c>
      <c r="B978" s="3" t="s">
        <v>8327</v>
      </c>
      <c r="C978" s="3" t="s">
        <v>8328</v>
      </c>
      <c r="G978" s="9" t="s">
        <v>8729</v>
      </c>
      <c r="H978" s="9"/>
      <c r="I978" s="9"/>
      <c r="J978" s="9"/>
      <c r="K978" s="9"/>
      <c r="L978" s="9"/>
      <c r="M978" s="9"/>
      <c r="N978" s="10"/>
      <c r="O978" s="9"/>
      <c r="P978" s="9"/>
      <c r="Q978" s="9">
        <v>-22</v>
      </c>
      <c r="R978" s="9">
        <v>24</v>
      </c>
      <c r="S978" s="9">
        <v>2</v>
      </c>
      <c r="T978" s="9"/>
      <c r="U978" s="9"/>
      <c r="V978" s="9"/>
      <c r="W978" s="9"/>
      <c r="X978" s="9"/>
      <c r="Y978" s="9"/>
      <c r="Z978" s="9"/>
      <c r="AA978" s="9"/>
      <c r="AB978" s="9"/>
      <c r="AC978" s="9"/>
    </row>
    <row r="979" spans="1:29" ht="29">
      <c r="A979" s="3" t="s">
        <v>1839</v>
      </c>
      <c r="B979" s="3" t="s">
        <v>8333</v>
      </c>
      <c r="C979" s="3" t="s">
        <v>8334</v>
      </c>
      <c r="G979" s="9" t="s">
        <v>8731</v>
      </c>
      <c r="H979" s="9"/>
      <c r="I979" s="9"/>
      <c r="J979" s="9"/>
      <c r="K979" s="9"/>
      <c r="L979" s="9"/>
      <c r="M979" s="9"/>
      <c r="N979" s="10"/>
      <c r="O979" s="9"/>
      <c r="P979" s="9"/>
      <c r="Q979" s="9"/>
      <c r="R979" s="9" t="s">
        <v>9321</v>
      </c>
      <c r="S979" s="9" t="s">
        <v>9321</v>
      </c>
      <c r="T979" s="9"/>
      <c r="U979" s="9"/>
      <c r="V979" s="9"/>
      <c r="W979" s="9"/>
      <c r="X979" s="9"/>
      <c r="Y979" s="9"/>
      <c r="Z979" s="9"/>
      <c r="AA979" s="9"/>
      <c r="AB979" s="9"/>
      <c r="AC979" s="9"/>
    </row>
    <row r="980" spans="1:29" ht="29">
      <c r="A980" s="3" t="s">
        <v>1839</v>
      </c>
      <c r="B980" s="3" t="s">
        <v>8335</v>
      </c>
      <c r="C980" s="3" t="s">
        <v>8336</v>
      </c>
      <c r="F980" t="s">
        <v>3884</v>
      </c>
      <c r="G980" s="9" t="s">
        <v>3885</v>
      </c>
      <c r="H980" s="9"/>
      <c r="I980" s="9">
        <v>1</v>
      </c>
      <c r="J980" s="9">
        <v>4</v>
      </c>
      <c r="K980" s="9" t="s">
        <v>8689</v>
      </c>
      <c r="L980" s="9" t="s">
        <v>8690</v>
      </c>
      <c r="M980" s="9"/>
      <c r="N980" s="10"/>
      <c r="O980" s="9"/>
      <c r="P980" s="9">
        <v>10929</v>
      </c>
      <c r="Q980" s="9"/>
      <c r="R980" s="9" t="s">
        <v>9321</v>
      </c>
      <c r="S980" s="9" t="s">
        <v>9321</v>
      </c>
      <c r="T980" s="9"/>
      <c r="U980" s="9"/>
      <c r="V980" s="9"/>
      <c r="W980" s="9"/>
      <c r="X980" s="9"/>
      <c r="Y980" s="9"/>
      <c r="Z980" s="9"/>
      <c r="AA980" s="9"/>
      <c r="AB980" s="9"/>
      <c r="AC980" s="9"/>
    </row>
    <row r="981" spans="1:29" ht="29">
      <c r="A981" s="3" t="s">
        <v>1840</v>
      </c>
      <c r="B981" s="3" t="s">
        <v>8338</v>
      </c>
      <c r="C981" s="3" t="s">
        <v>8337</v>
      </c>
      <c r="F981" t="s">
        <v>3884</v>
      </c>
      <c r="G981" s="9" t="s">
        <v>3889</v>
      </c>
      <c r="H981" s="9"/>
      <c r="I981" s="9">
        <v>1</v>
      </c>
      <c r="J981" s="9">
        <v>3</v>
      </c>
      <c r="K981" s="9" t="s">
        <v>8695</v>
      </c>
      <c r="L981" s="9" t="s">
        <v>8690</v>
      </c>
      <c r="M981" s="9"/>
      <c r="N981" s="10"/>
      <c r="O981" s="9"/>
      <c r="P981" s="9">
        <v>8</v>
      </c>
      <c r="Q981" s="9"/>
      <c r="R981" s="9" t="s">
        <v>9321</v>
      </c>
      <c r="S981" s="9" t="s">
        <v>9321</v>
      </c>
      <c r="T981" s="9"/>
      <c r="U981" s="9"/>
      <c r="V981" s="9"/>
      <c r="W981" s="9"/>
      <c r="X981" s="9"/>
      <c r="Y981" s="9"/>
      <c r="Z981" s="9"/>
      <c r="AA981" s="9"/>
      <c r="AB981" s="9"/>
      <c r="AC981" s="9"/>
    </row>
    <row r="982" spans="1:29" ht="29">
      <c r="A982" s="3" t="s">
        <v>1841</v>
      </c>
      <c r="B982" s="3" t="s">
        <v>8341</v>
      </c>
      <c r="C982" s="3" t="s">
        <v>8342</v>
      </c>
      <c r="G982" s="9" t="s">
        <v>3885</v>
      </c>
      <c r="H982" s="9"/>
      <c r="I982" s="9">
        <v>1</v>
      </c>
      <c r="J982" s="9">
        <v>3</v>
      </c>
      <c r="K982" s="9" t="s">
        <v>8689</v>
      </c>
      <c r="L982" s="9" t="s">
        <v>8690</v>
      </c>
      <c r="M982" s="9"/>
      <c r="N982" s="10"/>
      <c r="O982" s="9"/>
      <c r="P982" s="9">
        <v>10929</v>
      </c>
      <c r="Q982" s="9"/>
      <c r="R982" s="9" t="s">
        <v>9321</v>
      </c>
      <c r="S982" s="9" t="s">
        <v>9321</v>
      </c>
      <c r="T982" s="9"/>
      <c r="U982" s="9"/>
      <c r="V982" s="9"/>
      <c r="W982" s="9"/>
      <c r="X982" s="9"/>
      <c r="Y982" s="9"/>
      <c r="Z982" s="9"/>
      <c r="AA982" s="9"/>
      <c r="AB982" s="9"/>
      <c r="AC982" s="9"/>
    </row>
    <row r="983" spans="1:29" ht="29">
      <c r="A983" s="3" t="s">
        <v>1842</v>
      </c>
      <c r="B983" s="3" t="s">
        <v>8345</v>
      </c>
      <c r="C983" s="3" t="s">
        <v>8348</v>
      </c>
      <c r="F983" t="s">
        <v>3884</v>
      </c>
      <c r="G983" s="9" t="s">
        <v>3885</v>
      </c>
      <c r="H983" s="9"/>
      <c r="I983" s="9">
        <v>1</v>
      </c>
      <c r="J983" s="9">
        <v>3</v>
      </c>
      <c r="K983" s="9" t="s">
        <v>8689</v>
      </c>
      <c r="L983" s="9" t="s">
        <v>8690</v>
      </c>
      <c r="M983" s="9"/>
      <c r="N983" s="10"/>
      <c r="O983" s="9"/>
      <c r="P983" s="9">
        <v>10929</v>
      </c>
      <c r="Q983" s="9"/>
      <c r="R983" s="9" t="s">
        <v>9321</v>
      </c>
      <c r="S983" s="9" t="s">
        <v>9321</v>
      </c>
      <c r="T983" s="9"/>
      <c r="U983" s="9"/>
      <c r="V983" s="9"/>
      <c r="W983" s="9"/>
      <c r="X983" s="9"/>
      <c r="Y983" s="9"/>
      <c r="Z983" s="9"/>
      <c r="AA983" s="9"/>
      <c r="AB983" s="9"/>
      <c r="AC983" s="9"/>
    </row>
    <row r="984" spans="1:29" ht="29">
      <c r="A984" s="3" t="s">
        <v>1843</v>
      </c>
      <c r="B984" s="3" t="s">
        <v>8350</v>
      </c>
      <c r="C984" s="3" t="s">
        <v>8351</v>
      </c>
      <c r="F984" t="s">
        <v>3884</v>
      </c>
      <c r="G984" s="9" t="s">
        <v>3889</v>
      </c>
      <c r="H984" s="9"/>
      <c r="I984" s="9">
        <v>1</v>
      </c>
      <c r="J984" s="9">
        <v>3</v>
      </c>
      <c r="K984" s="9" t="s">
        <v>8689</v>
      </c>
      <c r="L984" s="9" t="s">
        <v>8690</v>
      </c>
      <c r="M984" s="9"/>
      <c r="N984" s="10"/>
      <c r="O984" s="9"/>
      <c r="P984" s="9">
        <v>10929</v>
      </c>
      <c r="Q984" s="9"/>
      <c r="R984" s="9" t="s">
        <v>9321</v>
      </c>
      <c r="S984" s="9" t="s">
        <v>9321</v>
      </c>
      <c r="T984" s="9"/>
      <c r="U984" s="9"/>
      <c r="V984" s="9"/>
      <c r="W984" s="9"/>
      <c r="X984" s="9"/>
      <c r="Y984" s="9"/>
      <c r="Z984" s="9"/>
      <c r="AA984" s="9"/>
      <c r="AB984" s="9"/>
      <c r="AC984" s="9"/>
    </row>
    <row r="985" spans="1:29" ht="29">
      <c r="A985" s="3" t="s">
        <v>1846</v>
      </c>
      <c r="B985" s="3" t="s">
        <v>8368</v>
      </c>
      <c r="C985" s="3" t="s">
        <v>8369</v>
      </c>
      <c r="G985" s="9" t="s">
        <v>8729</v>
      </c>
      <c r="H985" s="9"/>
      <c r="I985" s="9"/>
      <c r="J985" s="9"/>
      <c r="K985" s="9"/>
      <c r="L985" s="9"/>
      <c r="M985" s="9"/>
      <c r="N985" s="10"/>
      <c r="O985" s="9"/>
      <c r="P985" s="9"/>
      <c r="Q985" s="9">
        <v>-543</v>
      </c>
      <c r="R985" s="9">
        <v>872</v>
      </c>
      <c r="S985" s="9">
        <v>329</v>
      </c>
      <c r="T985" s="9"/>
      <c r="U985" s="9"/>
      <c r="V985" s="9"/>
      <c r="W985" s="9"/>
      <c r="X985" s="9"/>
      <c r="Y985" s="9"/>
      <c r="Z985" s="9"/>
      <c r="AA985" s="9"/>
      <c r="AB985" s="9"/>
      <c r="AC985" s="9"/>
    </row>
    <row r="986" spans="1:29">
      <c r="A986" s="3" t="s">
        <v>1850</v>
      </c>
      <c r="B986" s="3" t="s">
        <v>8394</v>
      </c>
      <c r="C986" s="3" t="s">
        <v>8395</v>
      </c>
      <c r="G986" s="9" t="s">
        <v>8729</v>
      </c>
      <c r="H986" s="9"/>
      <c r="I986" s="9"/>
      <c r="J986" s="9"/>
      <c r="K986" s="9"/>
      <c r="L986" s="9"/>
      <c r="M986" s="9"/>
      <c r="N986" s="10"/>
      <c r="O986" s="9"/>
      <c r="P986" s="9"/>
      <c r="Q986" s="9">
        <v>-1</v>
      </c>
      <c r="R986" s="9">
        <v>1</v>
      </c>
      <c r="S986" s="9">
        <v>0</v>
      </c>
      <c r="T986" s="9"/>
      <c r="U986" s="9"/>
      <c r="V986" s="9"/>
      <c r="W986" s="9"/>
      <c r="X986" s="9"/>
      <c r="Y986" s="9"/>
      <c r="Z986" s="9"/>
      <c r="AA986" s="9"/>
      <c r="AB986" s="9"/>
      <c r="AC986" s="9"/>
    </row>
    <row r="987" spans="1:29" ht="58">
      <c r="A987" s="3" t="s">
        <v>1853</v>
      </c>
      <c r="B987" s="3" t="s">
        <v>8404</v>
      </c>
      <c r="C987" s="3" t="s">
        <v>8405</v>
      </c>
      <c r="F987" t="s">
        <v>3884</v>
      </c>
      <c r="G987" s="9" t="s">
        <v>3889</v>
      </c>
      <c r="H987" s="9"/>
      <c r="I987" s="9">
        <v>7</v>
      </c>
      <c r="J987" s="9">
        <v>24</v>
      </c>
      <c r="K987" s="9"/>
      <c r="L987" s="9" t="s">
        <v>8684</v>
      </c>
      <c r="M987" s="9" t="s">
        <v>8740</v>
      </c>
      <c r="N987" s="10" t="s">
        <v>9177</v>
      </c>
      <c r="O987" s="9"/>
      <c r="P987" s="9">
        <v>37</v>
      </c>
      <c r="Q987" s="9"/>
      <c r="R987" s="9" t="s">
        <v>9321</v>
      </c>
      <c r="S987" s="9" t="s">
        <v>9321</v>
      </c>
      <c r="T987" s="9"/>
      <c r="U987" s="9"/>
      <c r="V987" s="9"/>
      <c r="W987" s="9"/>
      <c r="X987" s="9"/>
      <c r="Y987" s="9"/>
      <c r="Z987" s="9"/>
      <c r="AA987" s="9"/>
      <c r="AB987" s="9"/>
      <c r="AC987" s="9"/>
    </row>
    <row r="988" spans="1:29">
      <c r="A988" s="3" t="s">
        <v>1854</v>
      </c>
      <c r="B988" s="3" t="s">
        <v>8408</v>
      </c>
      <c r="C988" s="3" t="s">
        <v>8409</v>
      </c>
      <c r="G988" s="9" t="s">
        <v>3889</v>
      </c>
      <c r="H988" s="9"/>
      <c r="I988" s="9">
        <v>1</v>
      </c>
      <c r="J988" s="9">
        <v>3</v>
      </c>
      <c r="K988" s="9" t="s">
        <v>8689</v>
      </c>
      <c r="L988" s="9" t="s">
        <v>8690</v>
      </c>
      <c r="M988" s="9"/>
      <c r="N988" s="10"/>
      <c r="O988" s="9"/>
      <c r="P988" s="9">
        <v>10929</v>
      </c>
      <c r="Q988" s="9"/>
      <c r="R988" s="9" t="s">
        <v>9321</v>
      </c>
      <c r="S988" s="9" t="s">
        <v>9321</v>
      </c>
      <c r="T988" s="9"/>
      <c r="U988" s="9"/>
      <c r="V988" s="9"/>
      <c r="W988" s="9"/>
      <c r="X988" s="9"/>
      <c r="Y988" s="9"/>
      <c r="Z988" s="9"/>
      <c r="AA988" s="9"/>
      <c r="AB988" s="9"/>
      <c r="AC988" s="9"/>
    </row>
    <row r="989" spans="1:29" ht="29">
      <c r="A989" s="3" t="s">
        <v>1856</v>
      </c>
      <c r="B989" s="3" t="s">
        <v>8419</v>
      </c>
      <c r="C989" s="3" t="s">
        <v>8420</v>
      </c>
      <c r="F989" t="s">
        <v>3892</v>
      </c>
      <c r="G989" s="9" t="s">
        <v>8731</v>
      </c>
      <c r="H989" s="9"/>
      <c r="I989" s="9"/>
      <c r="J989" s="9"/>
      <c r="K989" s="9"/>
      <c r="L989" s="9"/>
      <c r="M989" s="9"/>
      <c r="N989" s="10"/>
      <c r="O989" s="9"/>
      <c r="P989" s="9"/>
      <c r="Q989" s="9"/>
      <c r="R989" s="9" t="s">
        <v>9321</v>
      </c>
      <c r="S989" s="9" t="s">
        <v>9321</v>
      </c>
      <c r="T989" s="9"/>
      <c r="U989" s="9"/>
      <c r="V989" s="9"/>
      <c r="W989" s="9"/>
      <c r="X989" s="9"/>
      <c r="Y989" s="9"/>
      <c r="Z989" s="9"/>
      <c r="AA989" s="9"/>
      <c r="AB989" s="9"/>
      <c r="AC989" s="9"/>
    </row>
    <row r="990" spans="1:29" ht="29">
      <c r="A990" s="3" t="s">
        <v>1862</v>
      </c>
      <c r="B990" s="3" t="s">
        <v>8434</v>
      </c>
      <c r="C990" s="3" t="s">
        <v>8435</v>
      </c>
      <c r="F990" t="s">
        <v>3884</v>
      </c>
      <c r="G990" s="9" t="s">
        <v>3889</v>
      </c>
      <c r="H990" s="9"/>
      <c r="I990" s="9">
        <v>1</v>
      </c>
      <c r="J990" s="9">
        <v>8</v>
      </c>
      <c r="K990" s="9" t="s">
        <v>8703</v>
      </c>
      <c r="L990" s="9" t="s">
        <v>8690</v>
      </c>
      <c r="M990" s="9"/>
      <c r="N990" s="10"/>
      <c r="O990" s="9"/>
      <c r="P990" s="9">
        <v>41</v>
      </c>
      <c r="Q990" s="9"/>
      <c r="R990" s="9" t="s">
        <v>9321</v>
      </c>
      <c r="S990" s="9" t="s">
        <v>9321</v>
      </c>
      <c r="T990" s="9"/>
      <c r="U990" s="9"/>
      <c r="V990" s="9"/>
      <c r="W990" s="9"/>
      <c r="X990" s="9"/>
      <c r="Y990" s="9"/>
      <c r="Z990" s="9"/>
      <c r="AA990" s="9"/>
      <c r="AB990" s="9"/>
      <c r="AC990" s="9"/>
    </row>
    <row r="991" spans="1:29">
      <c r="A991" s="3" t="s">
        <v>1869</v>
      </c>
      <c r="B991" s="3" t="s">
        <v>8456</v>
      </c>
      <c r="C991" s="3" t="s">
        <v>8457</v>
      </c>
      <c r="F991" t="s">
        <v>3884</v>
      </c>
      <c r="G991" s="9" t="s">
        <v>3885</v>
      </c>
      <c r="H991" s="9"/>
      <c r="I991" s="9">
        <v>1</v>
      </c>
      <c r="J991" s="9">
        <v>2</v>
      </c>
      <c r="K991" s="9" t="s">
        <v>8734</v>
      </c>
      <c r="L991" s="9" t="s">
        <v>8730</v>
      </c>
      <c r="M991" s="9"/>
      <c r="N991" s="10"/>
      <c r="O991" s="9" t="s">
        <v>8685</v>
      </c>
      <c r="P991" s="9">
        <v>36</v>
      </c>
      <c r="Q991" s="9"/>
      <c r="R991" s="9" t="s">
        <v>9321</v>
      </c>
      <c r="S991" s="9" t="s">
        <v>9321</v>
      </c>
      <c r="T991" s="9"/>
      <c r="U991" s="9"/>
      <c r="V991" s="9"/>
      <c r="W991" s="9"/>
      <c r="X991" s="9"/>
      <c r="Y991" s="9"/>
      <c r="Z991" s="9"/>
      <c r="AA991" s="9"/>
      <c r="AB991" s="9"/>
      <c r="AC991" s="9"/>
    </row>
    <row r="992" spans="1:29" ht="29">
      <c r="A992" s="3" t="s">
        <v>1870</v>
      </c>
      <c r="B992" s="3" t="s">
        <v>8465</v>
      </c>
      <c r="C992" s="3" t="s">
        <v>8464</v>
      </c>
      <c r="G992" s="9" t="s">
        <v>3889</v>
      </c>
      <c r="H992" s="9"/>
      <c r="I992" s="9">
        <v>1</v>
      </c>
      <c r="J992" s="9">
        <v>2</v>
      </c>
      <c r="K992" s="9" t="s">
        <v>8734</v>
      </c>
      <c r="L992" s="9" t="s">
        <v>8730</v>
      </c>
      <c r="M992" s="9"/>
      <c r="N992" s="10"/>
      <c r="O992" s="9" t="s">
        <v>8685</v>
      </c>
      <c r="P992" s="9">
        <v>698</v>
      </c>
      <c r="Q992" s="9"/>
      <c r="R992" s="9" t="s">
        <v>9321</v>
      </c>
      <c r="S992" s="9" t="s">
        <v>9321</v>
      </c>
      <c r="T992" s="9"/>
      <c r="U992" s="9"/>
      <c r="V992" s="9"/>
      <c r="W992" s="9"/>
      <c r="X992" s="9"/>
      <c r="Y992" s="9"/>
      <c r="Z992" s="9"/>
      <c r="AA992" s="9"/>
      <c r="AB992" s="9"/>
      <c r="AC992" s="9"/>
    </row>
    <row r="993" spans="1:29" ht="29">
      <c r="A993" s="3" t="s">
        <v>1872</v>
      </c>
      <c r="B993" s="3" t="s">
        <v>8472</v>
      </c>
      <c r="C993" s="3" t="s">
        <v>8473</v>
      </c>
      <c r="G993" s="9" t="s">
        <v>8729</v>
      </c>
      <c r="H993" s="9"/>
      <c r="I993" s="9"/>
      <c r="J993" s="9"/>
      <c r="K993" s="9"/>
      <c r="L993" s="9"/>
      <c r="M993" s="9"/>
      <c r="N993" s="10"/>
      <c r="O993" s="9"/>
      <c r="P993" s="9"/>
      <c r="Q993" s="9">
        <v>-159</v>
      </c>
      <c r="R993" s="9">
        <v>242</v>
      </c>
      <c r="S993" s="9">
        <v>83</v>
      </c>
      <c r="T993" s="9"/>
      <c r="U993" s="9"/>
      <c r="V993" s="9"/>
      <c r="W993" s="9"/>
      <c r="X993" s="9"/>
      <c r="Y993" s="9"/>
      <c r="Z993" s="9"/>
      <c r="AA993" s="9"/>
      <c r="AB993" s="9"/>
      <c r="AC993" s="9"/>
    </row>
    <row r="994" spans="1:29" ht="29">
      <c r="A994" s="3" t="s">
        <v>1872</v>
      </c>
      <c r="B994" s="3" t="s">
        <v>8476</v>
      </c>
      <c r="C994" s="3" t="s">
        <v>8477</v>
      </c>
      <c r="D994" t="s">
        <v>4397</v>
      </c>
      <c r="F994" t="s">
        <v>3888</v>
      </c>
      <c r="G994" s="9" t="s">
        <v>3894</v>
      </c>
      <c r="H994" s="9"/>
      <c r="I994" s="9"/>
      <c r="J994" s="9"/>
      <c r="K994" s="9"/>
      <c r="L994" s="9"/>
      <c r="M994" s="9"/>
      <c r="N994" s="10"/>
      <c r="O994" s="9"/>
      <c r="P994" s="9"/>
      <c r="Q994" s="9"/>
      <c r="R994" s="9" t="s">
        <v>9321</v>
      </c>
      <c r="S994" s="9" t="s">
        <v>9321</v>
      </c>
      <c r="T994" s="9"/>
      <c r="U994" s="9"/>
      <c r="V994" s="9"/>
      <c r="W994" s="9"/>
      <c r="X994" s="9"/>
      <c r="Y994" s="9"/>
      <c r="Z994" s="9"/>
      <c r="AA994" s="9"/>
      <c r="AB994" s="9"/>
      <c r="AC994" s="9"/>
    </row>
    <row r="995" spans="1:29" ht="43.5">
      <c r="A995" s="3" t="s">
        <v>1875</v>
      </c>
      <c r="B995" s="3" t="s">
        <v>8503</v>
      </c>
      <c r="C995" s="3" t="s">
        <v>8502</v>
      </c>
      <c r="F995" t="s">
        <v>3884</v>
      </c>
      <c r="G995" s="9" t="s">
        <v>3889</v>
      </c>
      <c r="H995" s="9"/>
      <c r="I995" s="9">
        <v>2</v>
      </c>
      <c r="J995" s="9">
        <v>13</v>
      </c>
      <c r="K995" s="9"/>
      <c r="L995" s="9" t="s">
        <v>8690</v>
      </c>
      <c r="M995" s="9"/>
      <c r="N995" s="10"/>
      <c r="O995" s="9"/>
      <c r="P995" s="9">
        <v>25</v>
      </c>
      <c r="Q995" s="9"/>
      <c r="R995" s="9" t="s">
        <v>9321</v>
      </c>
      <c r="S995" s="9" t="s">
        <v>9321</v>
      </c>
      <c r="T995" s="9"/>
      <c r="U995" s="9"/>
      <c r="V995" s="9"/>
      <c r="W995" s="9"/>
      <c r="X995" s="9"/>
      <c r="Y995" s="9"/>
      <c r="Z995" s="9"/>
      <c r="AA995" s="9"/>
      <c r="AB995" s="9"/>
      <c r="AC995" s="9"/>
    </row>
    <row r="996" spans="1:29" ht="29">
      <c r="A996" s="3" t="s">
        <v>1877</v>
      </c>
      <c r="B996" s="3" t="s">
        <v>3841</v>
      </c>
      <c r="C996" s="3" t="s">
        <v>3848</v>
      </c>
      <c r="G996" s="9" t="s">
        <v>8731</v>
      </c>
      <c r="H996" s="9"/>
      <c r="I996" s="9"/>
      <c r="J996" s="9"/>
      <c r="K996" s="9"/>
      <c r="L996" s="9"/>
      <c r="M996" s="9"/>
      <c r="N996" s="10"/>
      <c r="O996" s="9"/>
      <c r="P996" s="9"/>
      <c r="Q996" s="9"/>
      <c r="R996" s="9" t="s">
        <v>9321</v>
      </c>
      <c r="S996" s="9" t="s">
        <v>9321</v>
      </c>
      <c r="T996" s="9" t="s">
        <v>8728</v>
      </c>
      <c r="U996" s="9"/>
      <c r="V996" s="9"/>
      <c r="W996" s="9"/>
      <c r="X996" s="9"/>
      <c r="Y996" s="9"/>
      <c r="Z996" s="9"/>
      <c r="AA996" s="9"/>
      <c r="AB996" s="9"/>
      <c r="AC996" s="9"/>
    </row>
    <row r="997" spans="1:29" ht="29">
      <c r="A997" s="3" t="s">
        <v>1878</v>
      </c>
      <c r="B997" s="3" t="s">
        <v>8509</v>
      </c>
      <c r="C997" s="3" t="s">
        <v>8510</v>
      </c>
      <c r="G997" s="9" t="s">
        <v>8731</v>
      </c>
      <c r="H997" s="9"/>
      <c r="I997" s="9"/>
      <c r="J997" s="9"/>
      <c r="K997" s="9"/>
      <c r="L997" s="9"/>
      <c r="M997" s="9"/>
      <c r="N997" s="10"/>
      <c r="O997" s="9"/>
      <c r="P997" s="9"/>
      <c r="Q997" s="9"/>
      <c r="R997" s="9" t="s">
        <v>9321</v>
      </c>
      <c r="S997" s="9" t="s">
        <v>9321</v>
      </c>
      <c r="T997" s="9"/>
      <c r="U997" s="9"/>
      <c r="V997" s="9"/>
      <c r="W997" s="9"/>
      <c r="X997" s="9"/>
      <c r="Y997" s="9"/>
      <c r="Z997" s="9"/>
      <c r="AA997" s="9"/>
      <c r="AB997" s="9"/>
      <c r="AC997" s="9"/>
    </row>
    <row r="998" spans="1:29" ht="29">
      <c r="A998" s="3" t="s">
        <v>1880</v>
      </c>
      <c r="B998" s="3" t="s">
        <v>8515</v>
      </c>
      <c r="C998" s="3" t="s">
        <v>8516</v>
      </c>
      <c r="G998" s="9" t="s">
        <v>3885</v>
      </c>
      <c r="H998" s="9"/>
      <c r="I998" s="9">
        <v>1</v>
      </c>
      <c r="J998" s="9">
        <v>3</v>
      </c>
      <c r="K998" s="9" t="s">
        <v>8689</v>
      </c>
      <c r="L998" s="9" t="s">
        <v>8690</v>
      </c>
      <c r="M998" s="9"/>
      <c r="N998" s="10"/>
      <c r="O998" s="9"/>
      <c r="P998" s="9">
        <v>10929</v>
      </c>
      <c r="Q998" s="9"/>
      <c r="R998" s="9" t="s">
        <v>9321</v>
      </c>
      <c r="S998" s="9" t="s">
        <v>9321</v>
      </c>
      <c r="T998" s="9"/>
      <c r="U998" s="9"/>
      <c r="V998" s="9"/>
      <c r="W998" s="9"/>
      <c r="X998" s="9"/>
      <c r="Y998" s="9"/>
      <c r="Z998" s="9"/>
      <c r="AA998" s="9"/>
      <c r="AB998" s="9"/>
      <c r="AC998" s="9"/>
    </row>
    <row r="999" spans="1:29" ht="29">
      <c r="A999" s="3" t="s">
        <v>1881</v>
      </c>
      <c r="B999" s="3" t="s">
        <v>8519</v>
      </c>
      <c r="C999" s="3" t="s">
        <v>8520</v>
      </c>
      <c r="F999" t="s">
        <v>3884</v>
      </c>
      <c r="G999" s="9" t="s">
        <v>8731</v>
      </c>
      <c r="H999" s="9"/>
      <c r="I999" s="9"/>
      <c r="J999" s="9"/>
      <c r="K999" s="9"/>
      <c r="L999" s="9"/>
      <c r="M999" s="9"/>
      <c r="N999" s="10"/>
      <c r="O999" s="9"/>
      <c r="P999" s="9"/>
      <c r="Q999" s="9"/>
      <c r="R999" s="9" t="s">
        <v>9321</v>
      </c>
      <c r="S999" s="9" t="s">
        <v>9321</v>
      </c>
      <c r="T999" s="9"/>
      <c r="U999" s="9"/>
      <c r="V999" s="9"/>
      <c r="W999" s="9"/>
      <c r="X999" s="9"/>
      <c r="Y999" s="9"/>
      <c r="Z999" s="9"/>
      <c r="AA999" s="9"/>
      <c r="AB999" s="9"/>
      <c r="AC999" s="9"/>
    </row>
    <row r="1000" spans="1:29" ht="29">
      <c r="A1000" s="3" t="s">
        <v>1881</v>
      </c>
      <c r="B1000" s="3" t="s">
        <v>9547</v>
      </c>
      <c r="C1000" s="3" t="s">
        <v>9548</v>
      </c>
      <c r="F1000" t="s">
        <v>3884</v>
      </c>
      <c r="G1000" s="9" t="s">
        <v>8731</v>
      </c>
      <c r="H1000" s="9"/>
      <c r="I1000" s="9"/>
      <c r="J1000" s="9"/>
      <c r="K1000" s="9"/>
      <c r="L1000" s="9"/>
      <c r="M1000" s="9"/>
      <c r="N1000" s="10"/>
      <c r="O1000" s="9"/>
      <c r="P1000" s="9"/>
      <c r="Q1000" s="9"/>
      <c r="R1000" s="9" t="s">
        <v>9321</v>
      </c>
      <c r="S1000" s="9" t="s">
        <v>9321</v>
      </c>
      <c r="T1000" s="9"/>
      <c r="U1000" s="9"/>
      <c r="V1000" s="9"/>
      <c r="W1000" s="9"/>
      <c r="X1000" s="9"/>
      <c r="Y1000" s="9"/>
      <c r="Z1000" s="9"/>
      <c r="AA1000" s="9"/>
      <c r="AB1000" s="9"/>
      <c r="AC1000" s="9"/>
    </row>
    <row r="1001" spans="1:29" ht="43.5">
      <c r="A1001" s="3" t="s">
        <v>1894</v>
      </c>
      <c r="B1001" s="3" t="s">
        <v>8554</v>
      </c>
      <c r="C1001" s="3" t="s">
        <v>8558</v>
      </c>
      <c r="F1001" t="s">
        <v>3884</v>
      </c>
      <c r="G1001" s="9" t="s">
        <v>3885</v>
      </c>
      <c r="H1001" s="9"/>
      <c r="I1001" s="9">
        <v>1</v>
      </c>
      <c r="J1001" s="9">
        <v>4</v>
      </c>
      <c r="K1001" s="9" t="s">
        <v>8703</v>
      </c>
      <c r="L1001" s="9" t="s">
        <v>8690</v>
      </c>
      <c r="M1001" s="9"/>
      <c r="N1001" s="10"/>
      <c r="O1001" s="9"/>
      <c r="P1001" s="9">
        <v>797</v>
      </c>
      <c r="Q1001" s="9"/>
      <c r="R1001" s="9" t="s">
        <v>9321</v>
      </c>
      <c r="S1001" s="9" t="s">
        <v>9321</v>
      </c>
      <c r="T1001" s="9"/>
      <c r="U1001" s="9"/>
      <c r="V1001" s="9"/>
      <c r="W1001" s="9"/>
      <c r="X1001" s="9"/>
      <c r="Y1001" s="9"/>
      <c r="Z1001" s="9"/>
      <c r="AA1001" s="9"/>
      <c r="AB1001" s="9"/>
      <c r="AC1001" s="9"/>
    </row>
    <row r="1002" spans="1:29" ht="29">
      <c r="A1002" s="3" t="s">
        <v>1898</v>
      </c>
      <c r="B1002" s="3" t="s">
        <v>8571</v>
      </c>
      <c r="C1002" s="3" t="s">
        <v>9665</v>
      </c>
      <c r="G1002" s="9" t="s">
        <v>3894</v>
      </c>
      <c r="H1002" s="9"/>
      <c r="I1002" s="9"/>
      <c r="J1002" s="9"/>
      <c r="K1002" s="9"/>
      <c r="L1002" s="9"/>
      <c r="M1002" s="9"/>
      <c r="N1002" s="10"/>
      <c r="O1002" s="9"/>
      <c r="P1002" s="9"/>
      <c r="Q1002" s="9"/>
      <c r="R1002" s="9" t="s">
        <v>9321</v>
      </c>
      <c r="S1002" s="9" t="s">
        <v>9321</v>
      </c>
      <c r="T1002" s="9"/>
      <c r="U1002" s="9"/>
      <c r="V1002" s="9"/>
      <c r="W1002" s="9"/>
      <c r="X1002" s="9"/>
      <c r="Y1002" s="9"/>
      <c r="Z1002" s="9"/>
      <c r="AA1002" s="9"/>
      <c r="AB1002" s="9"/>
      <c r="AC1002" s="9"/>
    </row>
    <row r="1003" spans="1:29" ht="29">
      <c r="A1003" s="3" t="s">
        <v>1898</v>
      </c>
      <c r="B1003" s="3" t="s">
        <v>8572</v>
      </c>
      <c r="C1003" s="3" t="s">
        <v>9666</v>
      </c>
      <c r="G1003" s="9" t="s">
        <v>3889</v>
      </c>
      <c r="H1003" s="9"/>
      <c r="I1003" s="9">
        <v>1</v>
      </c>
      <c r="J1003" s="9">
        <v>3</v>
      </c>
      <c r="K1003" s="9" t="s">
        <v>8689</v>
      </c>
      <c r="L1003" s="9" t="s">
        <v>8690</v>
      </c>
      <c r="M1003" s="9"/>
      <c r="N1003" s="10"/>
      <c r="O1003" s="9"/>
      <c r="P1003" s="9">
        <v>10929</v>
      </c>
      <c r="Q1003" s="9"/>
      <c r="R1003" s="9" t="s">
        <v>9321</v>
      </c>
      <c r="S1003" s="9" t="s">
        <v>9321</v>
      </c>
      <c r="T1003" s="9"/>
      <c r="U1003" s="9"/>
      <c r="V1003" s="9"/>
      <c r="W1003" s="9"/>
      <c r="X1003" s="9"/>
      <c r="Y1003" s="9"/>
      <c r="Z1003" s="9"/>
      <c r="AA1003" s="9"/>
      <c r="AB1003" s="9"/>
      <c r="AC1003" s="9"/>
    </row>
    <row r="1004" spans="1:29" ht="29">
      <c r="A1004" s="3" t="s">
        <v>1899</v>
      </c>
      <c r="B1004" s="3" t="s">
        <v>8573</v>
      </c>
      <c r="C1004" s="3" t="s">
        <v>6784</v>
      </c>
      <c r="G1004" s="9" t="s">
        <v>3889</v>
      </c>
      <c r="H1004" s="9"/>
      <c r="I1004" s="9">
        <v>1</v>
      </c>
      <c r="J1004" s="9">
        <v>4</v>
      </c>
      <c r="K1004" s="9" t="s">
        <v>8710</v>
      </c>
      <c r="L1004" s="9" t="s">
        <v>8684</v>
      </c>
      <c r="M1004" s="9" t="s">
        <v>8771</v>
      </c>
      <c r="N1004" s="10" t="s">
        <v>8778</v>
      </c>
      <c r="O1004" s="9"/>
      <c r="P1004" s="9">
        <v>266</v>
      </c>
      <c r="Q1004" s="9"/>
      <c r="R1004" s="9" t="s">
        <v>9321</v>
      </c>
      <c r="S1004" s="9" t="s">
        <v>9321</v>
      </c>
      <c r="T1004" s="9"/>
      <c r="U1004" s="9"/>
      <c r="V1004" s="9"/>
      <c r="W1004" s="9"/>
      <c r="X1004" s="9"/>
      <c r="Y1004" s="9"/>
      <c r="Z1004" s="9"/>
      <c r="AA1004" s="9"/>
      <c r="AB1004" s="9"/>
      <c r="AC1004" s="9"/>
    </row>
    <row r="1005" spans="1:29" ht="43.5">
      <c r="A1005" s="3" t="s">
        <v>1900</v>
      </c>
      <c r="B1005" s="3" t="s">
        <v>8575</v>
      </c>
      <c r="C1005" s="3" t="s">
        <v>8576</v>
      </c>
      <c r="G1005" s="9" t="s">
        <v>3885</v>
      </c>
      <c r="H1005" s="9"/>
      <c r="I1005" s="9">
        <v>3</v>
      </c>
      <c r="J1005" s="9">
        <v>9</v>
      </c>
      <c r="K1005" s="9"/>
      <c r="L1005" s="9" t="s">
        <v>8690</v>
      </c>
      <c r="M1005" s="9"/>
      <c r="N1005" s="10"/>
      <c r="O1005" s="9"/>
      <c r="P1005" s="9">
        <v>131</v>
      </c>
      <c r="Q1005" s="9"/>
      <c r="R1005" s="9" t="s">
        <v>9321</v>
      </c>
      <c r="S1005" s="9" t="s">
        <v>9321</v>
      </c>
      <c r="T1005" s="9"/>
      <c r="U1005" s="9"/>
      <c r="V1005" s="9"/>
      <c r="W1005" s="9"/>
      <c r="X1005" s="9"/>
      <c r="Y1005" s="9"/>
      <c r="Z1005" s="9"/>
      <c r="AA1005" s="9"/>
      <c r="AB1005" s="9"/>
      <c r="AC1005" s="9"/>
    </row>
    <row r="1006" spans="1:29">
      <c r="A1006" s="3" t="s">
        <v>1907</v>
      </c>
      <c r="B1006" s="3" t="s">
        <v>8597</v>
      </c>
      <c r="C1006" s="3" t="s">
        <v>8598</v>
      </c>
      <c r="G1006" s="9" t="s">
        <v>8729</v>
      </c>
      <c r="H1006" s="9"/>
      <c r="I1006" s="9"/>
      <c r="J1006" s="9"/>
      <c r="K1006" s="9"/>
      <c r="L1006" s="9"/>
      <c r="M1006" s="9"/>
      <c r="N1006" s="10"/>
      <c r="O1006" s="9"/>
      <c r="P1006" s="9"/>
      <c r="Q1006" s="9">
        <v>65</v>
      </c>
      <c r="R1006" s="9">
        <v>0</v>
      </c>
      <c r="S1006" s="9">
        <v>65</v>
      </c>
      <c r="T1006" s="9"/>
      <c r="U1006" s="9"/>
      <c r="V1006" s="9"/>
      <c r="W1006" s="9"/>
      <c r="X1006" s="9"/>
      <c r="Y1006" s="9"/>
      <c r="Z1006" s="9"/>
      <c r="AA1006" s="9"/>
      <c r="AB1006" s="9"/>
      <c r="AC1006" s="9"/>
    </row>
    <row r="1007" spans="1:29">
      <c r="A1007" s="3" t="s">
        <v>1907</v>
      </c>
      <c r="B1007" s="3" t="s">
        <v>8599</v>
      </c>
      <c r="C1007" s="3" t="s">
        <v>8600</v>
      </c>
      <c r="G1007" s="9" t="s">
        <v>8731</v>
      </c>
      <c r="H1007" s="9"/>
      <c r="I1007" s="9"/>
      <c r="J1007" s="9"/>
      <c r="K1007" s="9"/>
      <c r="L1007" s="9"/>
      <c r="M1007" s="9"/>
      <c r="N1007" s="10"/>
      <c r="O1007" s="9"/>
      <c r="P1007" s="9"/>
      <c r="Q1007" s="9"/>
      <c r="R1007" s="9" t="s">
        <v>9321</v>
      </c>
      <c r="S1007" s="9" t="s">
        <v>9321</v>
      </c>
      <c r="T1007" s="9"/>
      <c r="U1007" s="9"/>
      <c r="V1007" s="9"/>
      <c r="W1007" s="9"/>
      <c r="X1007" s="9"/>
      <c r="Y1007" s="9"/>
      <c r="Z1007" s="9"/>
      <c r="AA1007" s="9"/>
      <c r="AB1007" s="9"/>
      <c r="AC1007" s="9"/>
    </row>
    <row r="1008" spans="1:29" ht="29">
      <c r="A1008" s="3" t="s">
        <v>1910</v>
      </c>
      <c r="B1008" s="3" t="s">
        <v>9180</v>
      </c>
      <c r="C1008" s="3" t="s">
        <v>9181</v>
      </c>
      <c r="G1008" s="9" t="s">
        <v>8729</v>
      </c>
      <c r="H1008" s="9"/>
      <c r="I1008" s="9"/>
      <c r="J1008" s="9"/>
      <c r="K1008" s="9"/>
      <c r="L1008" s="9"/>
      <c r="M1008" s="9"/>
      <c r="N1008" s="10"/>
      <c r="O1008" s="9"/>
      <c r="P1008" s="9"/>
      <c r="Q1008" s="9">
        <v>-2</v>
      </c>
      <c r="R1008" s="9">
        <v>2</v>
      </c>
      <c r="S1008" s="9">
        <v>0</v>
      </c>
      <c r="T1008" s="9"/>
      <c r="U1008" s="9"/>
      <c r="V1008" s="9"/>
      <c r="W1008" s="9"/>
      <c r="X1008" s="9"/>
      <c r="Y1008" s="9"/>
      <c r="Z1008" s="9"/>
      <c r="AA1008" s="9"/>
      <c r="AB1008" s="9"/>
      <c r="AC1008" s="9"/>
    </row>
    <row r="1009" spans="1:29">
      <c r="A1009" s="3" t="s">
        <v>1910</v>
      </c>
      <c r="B1009" s="3" t="s">
        <v>9182</v>
      </c>
      <c r="C1009" s="3" t="s">
        <v>8610</v>
      </c>
      <c r="F1009" t="s">
        <v>3884</v>
      </c>
      <c r="G1009" s="9" t="s">
        <v>3889</v>
      </c>
      <c r="H1009" s="9"/>
      <c r="I1009" s="9">
        <v>1</v>
      </c>
      <c r="J1009" s="9">
        <v>1</v>
      </c>
      <c r="K1009" s="9" t="s">
        <v>8689</v>
      </c>
      <c r="L1009" s="9" t="s">
        <v>8730</v>
      </c>
      <c r="M1009" s="9"/>
      <c r="N1009" s="10"/>
      <c r="O1009" s="9"/>
      <c r="P1009" s="9">
        <v>10929</v>
      </c>
      <c r="Q1009" s="9"/>
      <c r="R1009" s="9" t="s">
        <v>9321</v>
      </c>
      <c r="S1009" s="9" t="s">
        <v>9321</v>
      </c>
      <c r="T1009" s="9"/>
      <c r="U1009" s="9"/>
      <c r="V1009" s="9"/>
      <c r="W1009" s="9"/>
      <c r="X1009" s="9"/>
      <c r="Y1009" s="9"/>
      <c r="Z1009" s="9"/>
      <c r="AA1009" s="9"/>
      <c r="AB1009" s="9"/>
      <c r="AC1009" s="9"/>
    </row>
    <row r="1010" spans="1:29" ht="29">
      <c r="A1010" s="3" t="s">
        <v>1910</v>
      </c>
      <c r="B1010" s="3" t="s">
        <v>8613</v>
      </c>
      <c r="C1010" s="3" t="s">
        <v>8615</v>
      </c>
      <c r="G1010" s="9" t="s">
        <v>8729</v>
      </c>
      <c r="H1010" s="9"/>
      <c r="I1010" s="9"/>
      <c r="J1010" s="9"/>
      <c r="K1010" s="9"/>
      <c r="L1010" s="9"/>
      <c r="M1010" s="9"/>
      <c r="N1010" s="10"/>
      <c r="O1010" s="9"/>
      <c r="P1010" s="9"/>
      <c r="Q1010" s="9">
        <v>137</v>
      </c>
      <c r="R1010" s="9">
        <v>4</v>
      </c>
      <c r="S1010" s="9">
        <v>141</v>
      </c>
      <c r="T1010" s="9"/>
      <c r="U1010" s="9"/>
      <c r="V1010" s="9"/>
      <c r="W1010" s="9"/>
      <c r="X1010" s="9"/>
      <c r="Y1010" s="9"/>
      <c r="Z1010" s="9"/>
      <c r="AA1010" s="9"/>
      <c r="AB1010" s="9"/>
      <c r="AC1010" s="9"/>
    </row>
    <row r="1011" spans="1:29" ht="29">
      <c r="A1011" s="3" t="s">
        <v>1922</v>
      </c>
      <c r="B1011" s="3" t="s">
        <v>8645</v>
      </c>
      <c r="C1011" s="3" t="s">
        <v>8646</v>
      </c>
      <c r="G1011" s="9" t="s">
        <v>3889</v>
      </c>
      <c r="H1011" s="9"/>
      <c r="I1011" s="9">
        <v>1</v>
      </c>
      <c r="J1011" s="9">
        <v>3</v>
      </c>
      <c r="K1011" s="9" t="s">
        <v>8689</v>
      </c>
      <c r="L1011" s="9" t="s">
        <v>8690</v>
      </c>
      <c r="M1011" s="9"/>
      <c r="N1011" s="10"/>
      <c r="O1011" s="9"/>
      <c r="P1011" s="9">
        <v>10929</v>
      </c>
      <c r="Q1011" s="9"/>
      <c r="R1011" s="9" t="s">
        <v>9321</v>
      </c>
      <c r="S1011" s="9" t="s">
        <v>9321</v>
      </c>
      <c r="T1011" s="9"/>
      <c r="U1011" s="9"/>
      <c r="V1011" s="9"/>
      <c r="W1011" s="9"/>
      <c r="X1011" s="9"/>
      <c r="Y1011" s="9"/>
      <c r="Z1011" s="9"/>
      <c r="AA1011" s="9"/>
      <c r="AB1011" s="9"/>
      <c r="AC1011" s="9"/>
    </row>
    <row r="1012" spans="1:29" ht="29">
      <c r="A1012" s="3" t="s">
        <v>1924</v>
      </c>
      <c r="B1012" s="3" t="s">
        <v>8651</v>
      </c>
      <c r="C1012" s="3" t="s">
        <v>8652</v>
      </c>
      <c r="F1012" t="s">
        <v>3884</v>
      </c>
      <c r="G1012" s="9" t="s">
        <v>3889</v>
      </c>
      <c r="H1012" s="9"/>
      <c r="I1012" s="9">
        <v>1</v>
      </c>
      <c r="J1012" s="9">
        <v>2</v>
      </c>
      <c r="K1012" s="9" t="s">
        <v>8736</v>
      </c>
      <c r="L1012" s="9" t="s">
        <v>8730</v>
      </c>
      <c r="M1012" s="9"/>
      <c r="N1012" s="10"/>
      <c r="O1012" s="9"/>
      <c r="P1012" s="9">
        <v>645</v>
      </c>
      <c r="Q1012" s="9"/>
      <c r="R1012" s="9" t="s">
        <v>9321</v>
      </c>
      <c r="S1012" s="9" t="s">
        <v>9321</v>
      </c>
      <c r="T1012" s="9"/>
      <c r="U1012" s="9"/>
      <c r="V1012" s="9"/>
      <c r="W1012" s="9"/>
      <c r="X1012" s="9"/>
      <c r="Y1012" s="9"/>
      <c r="Z1012" s="9"/>
      <c r="AA1012" s="9"/>
      <c r="AB1012" s="9"/>
      <c r="AC1012" s="9"/>
    </row>
    <row r="1013" spans="1:29" ht="29">
      <c r="A1013" s="3" t="s">
        <v>1926</v>
      </c>
      <c r="B1013" s="3" t="s">
        <v>8655</v>
      </c>
      <c r="C1013" s="3" t="s">
        <v>8656</v>
      </c>
      <c r="F1013" t="s">
        <v>3884</v>
      </c>
      <c r="G1013" s="9" t="s">
        <v>8729</v>
      </c>
      <c r="H1013" s="9"/>
      <c r="I1013" s="9"/>
      <c r="J1013" s="9"/>
      <c r="K1013" s="9"/>
      <c r="L1013" s="9"/>
      <c r="M1013" s="9"/>
      <c r="N1013" s="10"/>
      <c r="O1013" s="9"/>
      <c r="P1013" s="9"/>
      <c r="Q1013" s="9">
        <v>1070</v>
      </c>
      <c r="R1013" s="9">
        <v>872</v>
      </c>
      <c r="S1013" s="9">
        <v>1942</v>
      </c>
      <c r="T1013" s="9"/>
      <c r="U1013" s="9"/>
      <c r="V1013" s="9"/>
      <c r="W1013" s="9"/>
      <c r="X1013" s="9"/>
      <c r="Y1013" s="9"/>
      <c r="Z1013" s="9"/>
      <c r="AA1013" s="9"/>
      <c r="AB1013" s="9"/>
      <c r="AC1013" s="9"/>
    </row>
    <row r="1014" spans="1:29">
      <c r="A1014" s="3" t="s">
        <v>1927</v>
      </c>
      <c r="B1014" s="3" t="s">
        <v>8659</v>
      </c>
      <c r="C1014" s="3" t="s">
        <v>8660</v>
      </c>
      <c r="F1014" t="s">
        <v>3884</v>
      </c>
      <c r="G1014" s="9" t="s">
        <v>3889</v>
      </c>
      <c r="H1014" s="9"/>
      <c r="I1014" s="9">
        <v>1</v>
      </c>
      <c r="J1014" s="9">
        <v>2</v>
      </c>
      <c r="K1014" s="9" t="s">
        <v>8689</v>
      </c>
      <c r="L1014" s="9" t="s">
        <v>8730</v>
      </c>
      <c r="M1014" s="9"/>
      <c r="N1014" s="10"/>
      <c r="O1014" s="9"/>
      <c r="P1014" s="9">
        <v>10929</v>
      </c>
      <c r="Q1014" s="9"/>
      <c r="R1014" s="9" t="s">
        <v>9321</v>
      </c>
      <c r="S1014" s="9" t="s">
        <v>9321</v>
      </c>
      <c r="T1014" s="9"/>
      <c r="U1014" s="9"/>
      <c r="V1014" s="9"/>
      <c r="W1014" s="9"/>
      <c r="X1014" s="9"/>
      <c r="Y1014" s="9"/>
      <c r="Z1014" s="9"/>
      <c r="AA1014" s="9"/>
      <c r="AB1014" s="9"/>
      <c r="AC1014" s="9"/>
    </row>
    <row r="1015" spans="1:29">
      <c r="A1015" s="3" t="s">
        <v>1928</v>
      </c>
      <c r="B1015" s="3" t="s">
        <v>8661</v>
      </c>
      <c r="C1015" s="3" t="s">
        <v>8662</v>
      </c>
      <c r="G1015" s="9" t="s">
        <v>3885</v>
      </c>
      <c r="H1015" s="9"/>
      <c r="I1015" s="9">
        <v>1</v>
      </c>
      <c r="J1015" s="9">
        <v>2</v>
      </c>
      <c r="K1015" s="9" t="s">
        <v>8689</v>
      </c>
      <c r="L1015" s="9" t="s">
        <v>8730</v>
      </c>
      <c r="M1015" s="9"/>
      <c r="N1015" s="10"/>
      <c r="O1015" s="9"/>
      <c r="P1015" s="9">
        <v>10929</v>
      </c>
      <c r="Q1015" s="9"/>
      <c r="R1015" s="9" t="s">
        <v>9321</v>
      </c>
      <c r="S1015" s="9" t="s">
        <v>9321</v>
      </c>
      <c r="T1015" s="9"/>
      <c r="U1015" s="9"/>
      <c r="V1015" s="9"/>
      <c r="W1015" s="9"/>
      <c r="X1015" s="9"/>
      <c r="Y1015" s="9"/>
      <c r="Z1015" s="9"/>
      <c r="AA1015" s="9"/>
      <c r="AB1015" s="9"/>
      <c r="AC1015" s="9"/>
    </row>
    <row r="1016" spans="1:29">
      <c r="A1016" s="3" t="s">
        <v>1930</v>
      </c>
      <c r="B1016" s="3" t="s">
        <v>8668</v>
      </c>
      <c r="C1016" s="3" t="s">
        <v>8669</v>
      </c>
      <c r="F1016" t="s">
        <v>3884</v>
      </c>
      <c r="G1016" s="9" t="s">
        <v>8731</v>
      </c>
      <c r="H1016" s="9"/>
      <c r="I1016" s="9"/>
      <c r="J1016" s="9"/>
      <c r="K1016" s="9"/>
      <c r="L1016" s="9"/>
      <c r="M1016" s="9"/>
      <c r="N1016" s="10"/>
      <c r="O1016" s="9"/>
      <c r="P1016" s="9"/>
      <c r="Q1016" s="9"/>
      <c r="R1016" s="9" t="s">
        <v>9321</v>
      </c>
      <c r="S1016" s="9" t="s">
        <v>9321</v>
      </c>
      <c r="T1016" s="9"/>
      <c r="U1016" s="9"/>
      <c r="V1016" s="9"/>
      <c r="W1016" s="9"/>
      <c r="X1016" s="9"/>
      <c r="Y1016" s="9"/>
      <c r="Z1016" s="9"/>
      <c r="AA1016" s="9"/>
      <c r="AB1016" s="9"/>
      <c r="AC1016" s="9"/>
    </row>
    <row r="1017" spans="1:29" ht="116">
      <c r="A1017" s="3" t="s">
        <v>1930</v>
      </c>
      <c r="B1017" s="3" t="s">
        <v>8673</v>
      </c>
      <c r="C1017" s="3" t="s">
        <v>8674</v>
      </c>
      <c r="F1017" t="s">
        <v>3884</v>
      </c>
      <c r="G1017" s="9" t="s">
        <v>3885</v>
      </c>
      <c r="H1017" s="9"/>
      <c r="I1017" s="9">
        <v>17</v>
      </c>
      <c r="J1017" s="9">
        <v>86</v>
      </c>
      <c r="K1017" s="9"/>
      <c r="L1017" s="9" t="s">
        <v>8684</v>
      </c>
      <c r="M1017" s="9" t="s">
        <v>8847</v>
      </c>
      <c r="N1017" s="10" t="s">
        <v>8813</v>
      </c>
      <c r="O1017" s="9" t="s">
        <v>8691</v>
      </c>
      <c r="P1017" s="9">
        <v>7</v>
      </c>
      <c r="Q1017" s="9"/>
      <c r="R1017" s="9" t="s">
        <v>9321</v>
      </c>
      <c r="S1017" s="9" t="s">
        <v>9321</v>
      </c>
      <c r="T1017" s="9"/>
      <c r="U1017" s="9"/>
      <c r="V1017" s="9"/>
      <c r="W1017" s="9"/>
      <c r="X1017" s="9"/>
      <c r="Y1017" s="9"/>
      <c r="Z1017" s="9"/>
      <c r="AA1017" s="9"/>
      <c r="AB1017" s="9"/>
      <c r="AC1017" s="9"/>
    </row>
    <row r="1018" spans="1:29">
      <c r="R1018" s="9"/>
      <c r="S1018" s="9"/>
    </row>
    <row r="1019" spans="1:29">
      <c r="R1019" s="9"/>
      <c r="S1019" s="9"/>
    </row>
    <row r="1020" spans="1:29">
      <c r="R1020" s="9"/>
      <c r="S1020" s="9"/>
    </row>
    <row r="1021" spans="1:29">
      <c r="R1021" s="9"/>
      <c r="S1021" s="9"/>
    </row>
    <row r="1022" spans="1:29">
      <c r="R1022" s="9"/>
      <c r="S1022" s="9"/>
    </row>
    <row r="1023" spans="1:29">
      <c r="R1023" s="9"/>
      <c r="S1023" s="9"/>
    </row>
  </sheetData>
  <conditionalFormatting sqref="G2:G1017">
    <cfRule type="expression" dxfId="152" priority="10">
      <formula>$I2&lt;&gt;""</formula>
    </cfRule>
    <cfRule type="expression" dxfId="151" priority="11">
      <formula>$I2=""</formula>
    </cfRule>
  </conditionalFormatting>
  <conditionalFormatting sqref="H2:L1017 O2:P1017">
    <cfRule type="expression" dxfId="150" priority="19">
      <formula>AND(OR($I2="Addition",$I2="Omission"), H2="")</formula>
    </cfRule>
    <cfRule type="expression" dxfId="149" priority="20">
      <formula>AND($I2&lt;&gt;"Addition",$I2&lt;&gt;"Omission",$I2&lt;&gt;"Substitution - Word")</formula>
    </cfRule>
  </conditionalFormatting>
  <conditionalFormatting sqref="H2:P1017">
    <cfRule type="expression" dxfId="148" priority="18">
      <formula>AND(OR($I2="Addition",$I2="Omission"), H2&lt;&gt;"")</formula>
    </cfRule>
  </conditionalFormatting>
  <conditionalFormatting sqref="K2:K1017">
    <cfRule type="expression" dxfId="147" priority="16">
      <formula>AND($K2&lt;&gt;"",$K2&gt;1)</formula>
    </cfRule>
  </conditionalFormatting>
  <conditionalFormatting sqref="M2:N1017">
    <cfRule type="expression" dxfId="146" priority="12">
      <formula>$N2="Absent"</formula>
    </cfRule>
    <cfRule type="expression" dxfId="145" priority="13">
      <formula>$N2="NA"</formula>
    </cfRule>
    <cfRule type="expression" dxfId="144" priority="14">
      <formula>AND(OR($I2="Addition",$I2="Omission"), M2="")</formula>
    </cfRule>
    <cfRule type="expression" dxfId="143" priority="15">
      <formula>AND($I2&lt;&gt;"Addition",$I2&lt;&gt;"Omission")</formula>
    </cfRule>
  </conditionalFormatting>
  <conditionalFormatting sqref="O2:O1017">
    <cfRule type="expression" dxfId="142" priority="17">
      <formula>OR($I2="Addition",$I2="Omission",$I2 = "Substitution - Word")</formula>
    </cfRule>
  </conditionalFormatting>
  <conditionalFormatting sqref="Q2:S1017 R1018:S1023">
    <cfRule type="expression" dxfId="141" priority="90">
      <formula>AND(AND(LEFT($I2,3)="Sub", RIGHT($I2,4)&lt;&gt;"Form"),$S2&lt;&gt;"")</formula>
    </cfRule>
    <cfRule type="expression" dxfId="140" priority="91">
      <formula>AND(AND(LEFT($I2,3)="Sub", RIGHT($I2,4)&lt;&gt;"Form"),$S2="")</formula>
    </cfRule>
    <cfRule type="expression" dxfId="139" priority="92">
      <formula>"&lt;&gt;AND(LEFT($J2,3)=""Sub"", RIGHT($J2,4)&lt;&gt;""Form"")"</formula>
    </cfRule>
  </conditionalFormatting>
  <conditionalFormatting sqref="T2:T1017">
    <cfRule type="expression" dxfId="138" priority="22">
      <formula>AND($V2&lt;&gt;"",OR($AC2="Yes",$AD2&lt;&gt;""))</formula>
    </cfRule>
    <cfRule type="expression" dxfId="137" priority="23">
      <formula>OR($AC2="Yes",$AD2&lt;&gt;"")</formula>
    </cfRule>
    <cfRule type="expression" dxfId="136" priority="29">
      <formula>AND($AC2&lt;&gt;"Yes",$AD2="")</formula>
    </cfRule>
  </conditionalFormatting>
  <conditionalFormatting sqref="T2:AC355 T356:Y356 AA356:AC356 T357:AC1017">
    <cfRule type="expression" dxfId="135" priority="28">
      <formula>OR($I2="",$I2="Unclear due to correction")</formula>
    </cfRule>
  </conditionalFormatting>
  <conditionalFormatting sqref="T2:AC355 T357:AC1017 T356:Y356 AA356:AC356">
    <cfRule type="expression" dxfId="134" priority="27">
      <formula>AND($I2&lt;&gt;"",$I2&lt;&gt;"Unclear due to correction")</formula>
    </cfRule>
  </conditionalFormatting>
  <conditionalFormatting sqref="U2:U1017">
    <cfRule type="expression" dxfId="133" priority="96">
      <formula>AND($I2&lt;&gt;"",$I2&lt;&gt;"Unclear due to correction",$W2="")</formula>
    </cfRule>
  </conditionalFormatting>
  <conditionalFormatting sqref="V2:V1017">
    <cfRule type="expression" dxfId="132" priority="24">
      <formula>AND($W2="Yes",$X2="")</formula>
    </cfRule>
    <cfRule type="expression" dxfId="131" priority="25">
      <formula>$W2=""</formula>
    </cfRule>
  </conditionalFormatting>
  <conditionalFormatting sqref="Z356">
    <cfRule type="expression" dxfId="130" priority="4">
      <formula>AND($I357&lt;&gt;"",$I357&lt;&gt;"Unclear due to correction")</formula>
    </cfRule>
    <cfRule type="expression" dxfId="129" priority="5">
      <formula>OR($I357="",$I357="Unclear due to correction")</formula>
    </cfRule>
  </conditionalFormatting>
  <conditionalFormatting sqref="AA2:AA355 AA357:AA1017">
    <cfRule type="expression" dxfId="128" priority="26">
      <formula>AND(OR($AA2&lt;&gt;"",$AB2&lt;&gt;""),$AC2="")</formula>
    </cfRule>
  </conditionalFormatting>
  <conditionalFormatting sqref="AA356">
    <cfRule type="expression" dxfId="127" priority="6">
      <formula>AND(OR($AA356&lt;&gt;"",#REF!&lt;&gt;""),$AC356="")</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xr:uid="{E49DF691-FF1B-42E7-AD01-B494AA3157EE}">
          <x14:formula1>
            <xm:f>'Data Regularization'!$A$2:$A$1048576</xm:f>
          </x14:formula1>
          <xm:sqref>D2:D1017</xm:sqref>
        </x14:dataValidation>
        <x14:dataValidation type="list" allowBlank="1" showInputMessage="1" showErrorMessage="1" xr:uid="{3E00C24C-D1F9-4580-9069-AC56D3A625F0}">
          <x14:formula1>
            <xm:f>'Data Regularization'!$C$2:$C$1048576</xm:f>
          </x14:formula1>
          <xm:sqref>F2:F1017</xm:sqref>
        </x14:dataValidation>
        <x14:dataValidation type="list" allowBlank="1" showInputMessage="1" showErrorMessage="1" xr:uid="{D2E07743-B30F-4F07-A5E5-F2C64B4E95B7}">
          <x14:formula1>
            <xm:f>'Data Regularization'!$B$2:$B$1048576</xm:f>
          </x14:formula1>
          <xm:sqref>E2:E1017</xm:sqref>
        </x14:dataValidation>
        <x14:dataValidation type="list" allowBlank="1" showInputMessage="1" showErrorMessage="1" xr:uid="{8E5D6829-8725-4CC4-A412-F5C0E1BAF9EC}">
          <x14:formula1>
            <xm:f>'Data Regularization'!$D$2:$D$1048576</xm:f>
          </x14:formula1>
          <xm:sqref>G2:G1017</xm:sqref>
        </x14:dataValidation>
        <x14:dataValidation type="list" allowBlank="1" showInputMessage="1" showErrorMessage="1" xr:uid="{3B0ED87B-9149-47F9-AFC1-391967268205}">
          <x14:formula1>
            <xm:f>'Data Regularization'!$E$2:$E$1048576</xm:f>
          </x14:formula1>
          <xm:sqref>K2:K1017</xm:sqref>
        </x14:dataValidation>
        <x14:dataValidation type="list" allowBlank="1" showInputMessage="1" showErrorMessage="1" xr:uid="{42836057-F6D9-4CC5-B894-99E73B4E9105}">
          <x14:formula1>
            <xm:f>'Data Regularization'!$F$2:$F$1048576</xm:f>
          </x14:formula1>
          <xm:sqref>L2:L1017</xm:sqref>
        </x14:dataValidation>
        <x14:dataValidation type="list" allowBlank="1" showInputMessage="1" showErrorMessage="1" xr:uid="{2E356EFF-D948-498A-9C6F-CC2196E54757}">
          <x14:formula1>
            <xm:f>'Data Regularization'!$G$2:$G$1048576</xm:f>
          </x14:formula1>
          <xm:sqref>O2:O1017</xm:sqref>
        </x14:dataValidation>
        <x14:dataValidation type="list" allowBlank="1" showInputMessage="1" showErrorMessage="1" xr:uid="{88EEF03B-2F9F-4CD2-94C2-52565A7EAB16}">
          <x14:formula1>
            <xm:f>'Data Regularization'!$J$2:$J$1048576</xm:f>
          </x14:formula1>
          <xm:sqref>V2:V1017</xm:sqref>
        </x14:dataValidation>
        <x14:dataValidation type="list" allowBlank="1" showInputMessage="1" showErrorMessage="1" xr:uid="{B56777EE-F414-4785-BDFA-35ACBCA863C6}">
          <x14:formula1>
            <xm:f>'Data Regularization'!$K$2:$K$1048576</xm:f>
          </x14:formula1>
          <xm:sqref>W2:W1017</xm:sqref>
        </x14:dataValidation>
        <x14:dataValidation type="list" allowBlank="1" showInputMessage="1" showErrorMessage="1" xr:uid="{11FA7169-A902-451A-90B9-23851D344616}">
          <x14:formula1>
            <xm:f>'Data Regularization'!$L$2:$L$1048576</xm:f>
          </x14:formula1>
          <xm:sqref>X2:X1017</xm:sqref>
        </x14:dataValidation>
        <x14:dataValidation type="list" allowBlank="1" showInputMessage="1" showErrorMessage="1" xr:uid="{035E9781-6181-4CAE-86E9-E2CA33958607}">
          <x14:formula1>
            <xm:f>'Data Regularization'!$M$2:$M$1048576</xm:f>
          </x14:formula1>
          <xm:sqref>Y2:Y1017</xm:sqref>
        </x14:dataValidation>
        <x14:dataValidation type="list" allowBlank="1" showInputMessage="1" showErrorMessage="1" xr:uid="{9B666289-CCFB-44E0-AF46-849FE5C5B730}">
          <x14:formula1>
            <xm:f>'Data Regularization'!$N$2:$N$1048576</xm:f>
          </x14:formula1>
          <xm:sqref>AA2:AA1017</xm:sqref>
        </x14:dataValidation>
        <x14:dataValidation type="list" allowBlank="1" showInputMessage="1" showErrorMessage="1" xr:uid="{7295119F-1F83-4D59-86AE-F93C4289B4BE}">
          <x14:formula1>
            <xm:f>'Data Regularization'!$O$2:$O$1048576</xm:f>
          </x14:formula1>
          <xm:sqref>AB2:AB1017</xm:sqref>
        </x14:dataValidation>
        <x14:dataValidation type="list" allowBlank="1" showInputMessage="1" showErrorMessage="1" xr:uid="{13E11B39-13EF-48E5-B071-019F55CED69A}">
          <x14:formula1>
            <xm:f>'Data Regularization'!$H$2:$H$1048576</xm:f>
          </x14:formula1>
          <xm:sqref>T2:T1017</xm:sqref>
        </x14:dataValidation>
        <x14:dataValidation type="list" allowBlank="1" showInputMessage="1" xr:uid="{2AB68288-B576-4EA4-A6A5-7BB94954657C}">
          <x14:formula1>
            <xm:f>'Data Regularization'!$I$2:$I$1048576</xm:f>
          </x14:formula1>
          <xm:sqref>U2:U1017</xm:sqref>
        </x14:dataValidation>
        <x14:dataValidation type="list" allowBlank="1" showInputMessage="1" showErrorMessage="1" xr:uid="{E578CFC7-8DFD-4F10-A3D7-C243B1FB5D11}">
          <x14:formula1>
            <xm:f>'Data Regularization'!$P$2:$P$1048576</xm:f>
          </x14:formula1>
          <xm:sqref>AC2:AC1017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65BEB-C8E9-4EDC-B107-F8DF0B8CDA0D}">
  <dimension ref="A1:AD602"/>
  <sheetViews>
    <sheetView tabSelected="1"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0" s="1" customFormat="1">
      <c r="A1" s="1" t="s">
        <v>0</v>
      </c>
      <c r="B1" s="1" t="s">
        <v>5</v>
      </c>
      <c r="C1" s="1" t="s">
        <v>6</v>
      </c>
      <c r="D1" s="1" t="s">
        <v>8711</v>
      </c>
      <c r="E1" s="1" t="s">
        <v>8712</v>
      </c>
      <c r="F1" s="1" t="s">
        <v>8713</v>
      </c>
      <c r="G1" s="1" t="s">
        <v>3</v>
      </c>
      <c r="H1" s="1" t="s">
        <v>8714</v>
      </c>
      <c r="I1" s="1" t="s">
        <v>8715</v>
      </c>
      <c r="J1" s="1" t="s">
        <v>8716</v>
      </c>
      <c r="K1" s="1" t="s">
        <v>8717</v>
      </c>
      <c r="L1" s="1" t="s">
        <v>8677</v>
      </c>
      <c r="M1" s="1" t="s">
        <v>8718</v>
      </c>
      <c r="N1" s="8" t="s">
        <v>8719</v>
      </c>
      <c r="O1" s="1" t="s">
        <v>8678</v>
      </c>
      <c r="P1" s="1" t="s">
        <v>8720</v>
      </c>
      <c r="Q1" s="1" t="s">
        <v>9322</v>
      </c>
      <c r="R1" s="1" t="s">
        <v>8721</v>
      </c>
      <c r="S1" s="1" t="s">
        <v>9319</v>
      </c>
      <c r="T1" s="1" t="s">
        <v>9320</v>
      </c>
      <c r="U1" s="1" t="s">
        <v>8723</v>
      </c>
      <c r="V1" s="1" t="s">
        <v>8724</v>
      </c>
      <c r="W1" s="1" t="s">
        <v>8725</v>
      </c>
      <c r="X1" s="1" t="s">
        <v>8679</v>
      </c>
      <c r="Y1" s="1" t="s">
        <v>8680</v>
      </c>
      <c r="Z1" s="1" t="s">
        <v>8681</v>
      </c>
      <c r="AA1" s="1" t="s">
        <v>8722</v>
      </c>
      <c r="AB1" s="1" t="s">
        <v>8726</v>
      </c>
      <c r="AC1" s="1" t="s">
        <v>8682</v>
      </c>
      <c r="AD1" s="1" t="s">
        <v>8727</v>
      </c>
    </row>
    <row r="2" spans="1:30" ht="87">
      <c r="A2" s="3" t="s">
        <v>25</v>
      </c>
      <c r="B2" s="3" t="s">
        <v>8750</v>
      </c>
      <c r="C2" s="3" t="s">
        <v>8751</v>
      </c>
      <c r="F2" t="s">
        <v>3891</v>
      </c>
      <c r="G2" s="9" t="s">
        <v>3889</v>
      </c>
      <c r="H2" s="9"/>
      <c r="I2" s="9">
        <v>1</v>
      </c>
      <c r="J2" s="9">
        <v>3</v>
      </c>
      <c r="K2" s="9" t="s">
        <v>8695</v>
      </c>
      <c r="L2" s="9" t="s">
        <v>8690</v>
      </c>
      <c r="M2" s="9"/>
      <c r="N2" s="10"/>
      <c r="O2" s="9"/>
      <c r="P2" s="9">
        <v>78</v>
      </c>
      <c r="Q2" s="9">
        <f>IF(ISNUMBER(P2), (P2/$E$601)*10000, "")</f>
        <v>10.034606527640195</v>
      </c>
      <c r="R2" s="9"/>
      <c r="S2" s="9" t="s">
        <v>9321</v>
      </c>
      <c r="T2" s="9" t="s">
        <v>9321</v>
      </c>
      <c r="U2" s="9"/>
      <c r="V2" s="9"/>
      <c r="W2" s="9"/>
      <c r="X2" s="9"/>
      <c r="Y2" s="9"/>
      <c r="Z2" s="9"/>
      <c r="AA2" s="9"/>
      <c r="AB2" s="9"/>
      <c r="AC2" s="9"/>
      <c r="AD2" s="9"/>
    </row>
    <row r="3" spans="1:30" ht="43.5">
      <c r="A3" s="3" t="s">
        <v>27</v>
      </c>
      <c r="B3" s="3" t="s">
        <v>3902</v>
      </c>
      <c r="C3" s="3" t="s">
        <v>3903</v>
      </c>
      <c r="G3" s="9" t="s">
        <v>3885</v>
      </c>
      <c r="H3" s="9"/>
      <c r="I3" s="9">
        <v>1</v>
      </c>
      <c r="J3" s="9">
        <v>2</v>
      </c>
      <c r="K3" s="9" t="s">
        <v>8707</v>
      </c>
      <c r="L3" s="9" t="s">
        <v>8730</v>
      </c>
      <c r="M3" s="9"/>
      <c r="N3" s="10"/>
      <c r="O3" s="9"/>
      <c r="P3" s="9">
        <v>519</v>
      </c>
      <c r="Q3" s="9">
        <f t="shared" ref="Q3:Q66" si="0">IF(ISNUMBER(P3), (P3/$E$601)*10000, "")</f>
        <v>66.768728049298218</v>
      </c>
      <c r="R3" s="9"/>
      <c r="S3" s="9" t="s">
        <v>9321</v>
      </c>
      <c r="T3" s="9" t="s">
        <v>9321</v>
      </c>
      <c r="U3" s="9"/>
      <c r="V3" s="9"/>
      <c r="W3" s="9"/>
      <c r="X3" s="9"/>
      <c r="Y3" s="9"/>
      <c r="Z3" s="9"/>
      <c r="AA3" s="9"/>
      <c r="AB3" s="9"/>
      <c r="AC3" s="9"/>
      <c r="AD3" s="9"/>
    </row>
    <row r="4" spans="1:30" ht="43.5">
      <c r="A4" s="3" t="s">
        <v>33</v>
      </c>
      <c r="B4" s="3" t="s">
        <v>8759</v>
      </c>
      <c r="C4" s="3" t="s">
        <v>8760</v>
      </c>
      <c r="F4" t="s">
        <v>3884</v>
      </c>
      <c r="G4" s="9" t="s">
        <v>3885</v>
      </c>
      <c r="H4" s="9"/>
      <c r="I4" s="9">
        <v>1</v>
      </c>
      <c r="J4" s="9">
        <v>3</v>
      </c>
      <c r="K4" s="9" t="s">
        <v>8689</v>
      </c>
      <c r="L4" s="9" t="s">
        <v>8690</v>
      </c>
      <c r="M4" s="9"/>
      <c r="N4" s="10"/>
      <c r="O4" s="9"/>
      <c r="P4" s="9">
        <v>10929</v>
      </c>
      <c r="Q4" s="9">
        <f t="shared" si="0"/>
        <v>1406.0027530843549</v>
      </c>
      <c r="R4" s="9"/>
      <c r="S4" s="9" t="s">
        <v>9321</v>
      </c>
      <c r="T4" s="9" t="s">
        <v>9321</v>
      </c>
      <c r="U4" s="9"/>
      <c r="V4" s="9"/>
      <c r="W4" s="9"/>
      <c r="X4" s="9"/>
      <c r="Y4" s="9"/>
      <c r="Z4" s="9"/>
      <c r="AA4" s="9"/>
      <c r="AB4" s="9"/>
      <c r="AC4" s="9"/>
      <c r="AD4" s="9"/>
    </row>
    <row r="5" spans="1:30" ht="29">
      <c r="A5" s="3" t="s">
        <v>38</v>
      </c>
      <c r="B5" t="s">
        <v>8761</v>
      </c>
      <c r="C5" t="s">
        <v>8762</v>
      </c>
      <c r="G5" s="9" t="s">
        <v>3889</v>
      </c>
      <c r="H5" s="9"/>
      <c r="I5" s="9">
        <v>1</v>
      </c>
      <c r="J5" s="9">
        <v>1</v>
      </c>
      <c r="K5" s="9" t="s">
        <v>8689</v>
      </c>
      <c r="L5" s="9" t="s">
        <v>8730</v>
      </c>
      <c r="M5" s="9"/>
      <c r="N5" s="10"/>
      <c r="O5" s="9"/>
      <c r="P5" s="9">
        <v>10929</v>
      </c>
      <c r="Q5" s="9">
        <f t="shared" si="0"/>
        <v>1406.0027530843549</v>
      </c>
      <c r="R5" s="9"/>
      <c r="S5" s="9" t="s">
        <v>9321</v>
      </c>
      <c r="T5" s="9" t="s">
        <v>9321</v>
      </c>
      <c r="U5" s="9" t="s">
        <v>8728</v>
      </c>
      <c r="V5" s="9"/>
      <c r="W5" s="9"/>
      <c r="X5" s="9"/>
      <c r="Y5" s="9"/>
      <c r="Z5" s="9"/>
      <c r="AA5" s="9"/>
      <c r="AB5" s="9"/>
      <c r="AC5" s="9"/>
      <c r="AD5" s="9"/>
    </row>
    <row r="6" spans="1:30" ht="29">
      <c r="A6" s="3" t="s">
        <v>38</v>
      </c>
      <c r="B6" t="s">
        <v>8763</v>
      </c>
      <c r="C6" t="s">
        <v>8764</v>
      </c>
      <c r="G6" s="9" t="s">
        <v>3889</v>
      </c>
      <c r="H6" s="9"/>
      <c r="I6" s="9">
        <v>1</v>
      </c>
      <c r="J6" s="9">
        <v>1</v>
      </c>
      <c r="K6" s="9" t="s">
        <v>8689</v>
      </c>
      <c r="L6" s="9" t="s">
        <v>8730</v>
      </c>
      <c r="M6" s="9"/>
      <c r="N6" s="10"/>
      <c r="O6" s="9"/>
      <c r="P6" s="9">
        <v>10929</v>
      </c>
      <c r="Q6" s="9">
        <f t="shared" si="0"/>
        <v>1406.0027530843549</v>
      </c>
      <c r="R6" s="9"/>
      <c r="S6" s="9" t="s">
        <v>9321</v>
      </c>
      <c r="T6" s="9" t="s">
        <v>9321</v>
      </c>
      <c r="U6" s="9" t="s">
        <v>8728</v>
      </c>
      <c r="V6" s="9"/>
      <c r="W6" s="9"/>
      <c r="X6" s="9"/>
      <c r="Y6" s="9"/>
      <c r="Z6" s="9"/>
      <c r="AA6" s="9"/>
      <c r="AB6" s="9"/>
      <c r="AC6" s="9"/>
      <c r="AD6" s="9"/>
    </row>
    <row r="7" spans="1:30" ht="43.5">
      <c r="A7" s="3" t="s">
        <v>39</v>
      </c>
      <c r="B7" t="s">
        <v>8765</v>
      </c>
      <c r="C7" s="3" t="s">
        <v>8766</v>
      </c>
      <c r="F7" t="s">
        <v>3884</v>
      </c>
      <c r="G7" s="9" t="s">
        <v>3885</v>
      </c>
      <c r="H7" s="9"/>
      <c r="I7" s="9">
        <v>1</v>
      </c>
      <c r="J7" s="9">
        <v>3</v>
      </c>
      <c r="K7" s="9" t="s">
        <v>8689</v>
      </c>
      <c r="L7" s="9" t="s">
        <v>8690</v>
      </c>
      <c r="M7" s="9"/>
      <c r="N7" s="10"/>
      <c r="O7" s="9"/>
      <c r="P7" s="9">
        <v>10929</v>
      </c>
      <c r="Q7" s="9">
        <f t="shared" si="0"/>
        <v>1406.0027530843549</v>
      </c>
      <c r="R7" s="9"/>
      <c r="S7" s="9" t="s">
        <v>9321</v>
      </c>
      <c r="T7" s="9" t="s">
        <v>9321</v>
      </c>
      <c r="U7" s="9"/>
      <c r="V7" s="9"/>
      <c r="W7" s="9"/>
      <c r="X7" s="9"/>
      <c r="Y7" s="9"/>
      <c r="Z7" s="9"/>
      <c r="AA7" s="9"/>
      <c r="AB7" s="9"/>
      <c r="AC7" s="9"/>
      <c r="AD7" s="9"/>
    </row>
    <row r="8" spans="1:30" ht="29">
      <c r="A8" s="3" t="s">
        <v>40</v>
      </c>
      <c r="B8" t="s">
        <v>8767</v>
      </c>
      <c r="C8" t="s">
        <v>8768</v>
      </c>
      <c r="G8" s="9" t="s">
        <v>3889</v>
      </c>
      <c r="H8" s="9"/>
      <c r="I8" s="9">
        <v>1</v>
      </c>
      <c r="J8" s="9">
        <v>2</v>
      </c>
      <c r="K8" s="9" t="s">
        <v>8689</v>
      </c>
      <c r="L8" s="9" t="s">
        <v>8730</v>
      </c>
      <c r="M8" s="9"/>
      <c r="N8" s="10"/>
      <c r="O8" s="9"/>
      <c r="P8" s="9">
        <v>10929</v>
      </c>
      <c r="Q8" s="9">
        <f t="shared" si="0"/>
        <v>1406.0027530843549</v>
      </c>
      <c r="R8" s="9"/>
      <c r="S8" s="9" t="s">
        <v>9321</v>
      </c>
      <c r="T8" s="9" t="s">
        <v>9321</v>
      </c>
      <c r="U8" s="9"/>
      <c r="V8" s="9"/>
      <c r="W8" s="9"/>
      <c r="X8" s="9"/>
      <c r="Y8" s="9"/>
      <c r="Z8" s="9"/>
      <c r="AA8" s="9"/>
      <c r="AB8" s="9"/>
      <c r="AC8" s="9"/>
      <c r="AD8" s="9"/>
    </row>
    <row r="9" spans="1:30" ht="43.5">
      <c r="A9" s="3" t="s">
        <v>45</v>
      </c>
      <c r="B9" s="3" t="s">
        <v>8775</v>
      </c>
      <c r="C9" s="3" t="s">
        <v>8776</v>
      </c>
      <c r="G9" s="9" t="s">
        <v>3889</v>
      </c>
      <c r="H9" s="9"/>
      <c r="I9" s="9">
        <v>1</v>
      </c>
      <c r="J9" s="9">
        <v>3</v>
      </c>
      <c r="K9" s="9" t="s">
        <v>8689</v>
      </c>
      <c r="L9" s="9" t="s">
        <v>8690</v>
      </c>
      <c r="M9" s="9"/>
      <c r="N9" s="10"/>
      <c r="O9" s="9"/>
      <c r="P9" s="9">
        <v>10929</v>
      </c>
      <c r="Q9" s="9">
        <f t="shared" si="0"/>
        <v>1406.0027530843549</v>
      </c>
      <c r="R9" s="9"/>
      <c r="S9" s="9" t="s">
        <v>9321</v>
      </c>
      <c r="T9" s="9" t="s">
        <v>9321</v>
      </c>
      <c r="U9" s="9"/>
      <c r="V9" s="9"/>
      <c r="W9" s="9"/>
      <c r="X9" s="9"/>
      <c r="Y9" s="9"/>
      <c r="Z9" s="9"/>
      <c r="AA9" s="9"/>
      <c r="AB9" s="9"/>
      <c r="AC9" s="9"/>
      <c r="AD9" s="9"/>
    </row>
    <row r="10" spans="1:30" ht="29">
      <c r="A10" s="3" t="s">
        <v>47</v>
      </c>
      <c r="B10" s="3" t="s">
        <v>3922</v>
      </c>
      <c r="C10" s="3" t="s">
        <v>3923</v>
      </c>
      <c r="F10" t="s">
        <v>3884</v>
      </c>
      <c r="G10" s="9" t="s">
        <v>3889</v>
      </c>
      <c r="H10" s="9"/>
      <c r="I10" s="9">
        <v>1</v>
      </c>
      <c r="J10" s="9">
        <v>2</v>
      </c>
      <c r="K10" s="9" t="s">
        <v>8703</v>
      </c>
      <c r="L10" s="9" t="s">
        <v>8730</v>
      </c>
      <c r="M10" s="9"/>
      <c r="N10" s="10"/>
      <c r="O10" s="9"/>
      <c r="P10" s="9">
        <v>1225</v>
      </c>
      <c r="Q10" s="9">
        <f t="shared" si="0"/>
        <v>157.59478200460561</v>
      </c>
      <c r="R10" s="9"/>
      <c r="S10" s="9" t="s">
        <v>9321</v>
      </c>
      <c r="T10" s="9" t="s">
        <v>9321</v>
      </c>
      <c r="U10" s="9"/>
      <c r="V10" s="9"/>
      <c r="W10" s="9"/>
      <c r="X10" s="9"/>
      <c r="Y10" s="9"/>
      <c r="Z10" s="9"/>
      <c r="AA10" s="9"/>
      <c r="AB10" s="9"/>
      <c r="AC10" s="9"/>
      <c r="AD10" s="9"/>
    </row>
    <row r="11" spans="1:30" ht="72.5">
      <c r="A11" s="3" t="s">
        <v>52</v>
      </c>
      <c r="B11" s="3" t="s">
        <v>8779</v>
      </c>
      <c r="C11" s="3" t="s">
        <v>8780</v>
      </c>
      <c r="F11" t="s">
        <v>3892</v>
      </c>
      <c r="G11" s="9" t="s">
        <v>3885</v>
      </c>
      <c r="H11" s="9"/>
      <c r="I11" s="9">
        <v>1</v>
      </c>
      <c r="J11" s="9">
        <v>3</v>
      </c>
      <c r="K11" s="9" t="s">
        <v>8707</v>
      </c>
      <c r="L11" s="9" t="s">
        <v>8690</v>
      </c>
      <c r="M11" s="9"/>
      <c r="N11" s="10"/>
      <c r="O11" s="9"/>
      <c r="P11" s="9">
        <v>991</v>
      </c>
      <c r="Q11" s="9">
        <f t="shared" si="0"/>
        <v>127.49096242168504</v>
      </c>
      <c r="R11" s="9"/>
      <c r="S11" s="9" t="s">
        <v>9321</v>
      </c>
      <c r="T11" s="9" t="s">
        <v>9321</v>
      </c>
      <c r="U11" s="9"/>
      <c r="V11" s="9"/>
      <c r="W11" s="9"/>
      <c r="X11" s="9"/>
      <c r="Y11" s="9"/>
      <c r="Z11" s="9"/>
      <c r="AA11" s="9"/>
      <c r="AB11" s="9"/>
      <c r="AC11" s="9"/>
      <c r="AD11" s="9"/>
    </row>
    <row r="12" spans="1:30" ht="29">
      <c r="A12" s="3" t="s">
        <v>55</v>
      </c>
      <c r="B12" t="s">
        <v>9402</v>
      </c>
      <c r="C12" t="s">
        <v>8781</v>
      </c>
      <c r="G12" s="9" t="s">
        <v>3889</v>
      </c>
      <c r="H12" s="9"/>
      <c r="I12" s="9">
        <v>1</v>
      </c>
      <c r="J12" s="9">
        <v>5</v>
      </c>
      <c r="K12" s="9" t="s">
        <v>8705</v>
      </c>
      <c r="L12" s="9" t="s">
        <v>8684</v>
      </c>
      <c r="M12" s="9" t="s">
        <v>8777</v>
      </c>
      <c r="N12" s="10" t="s">
        <v>8778</v>
      </c>
      <c r="O12" s="9"/>
      <c r="P12" s="9">
        <v>3678</v>
      </c>
      <c r="Q12" s="9">
        <f t="shared" si="0"/>
        <v>473.17029241872609</v>
      </c>
      <c r="R12" s="9"/>
      <c r="S12" s="9" t="s">
        <v>9321</v>
      </c>
      <c r="T12" s="9" t="s">
        <v>9321</v>
      </c>
      <c r="U12" s="9"/>
      <c r="V12" s="9"/>
      <c r="W12" s="9"/>
      <c r="X12" s="9"/>
      <c r="Y12" s="9"/>
      <c r="Z12" s="9"/>
      <c r="AA12" s="9"/>
      <c r="AB12" s="9"/>
      <c r="AC12" s="9"/>
      <c r="AD12" s="9"/>
    </row>
    <row r="13" spans="1:30" ht="43.5">
      <c r="A13" s="3" t="s">
        <v>55</v>
      </c>
      <c r="B13" s="3" t="s">
        <v>8782</v>
      </c>
      <c r="C13" s="3" t="s">
        <v>8783</v>
      </c>
      <c r="F13" t="s">
        <v>3884</v>
      </c>
      <c r="G13" s="9" t="s">
        <v>3885</v>
      </c>
      <c r="H13" s="9"/>
      <c r="I13" s="9">
        <v>1</v>
      </c>
      <c r="J13" s="9">
        <v>3</v>
      </c>
      <c r="K13" s="9" t="s">
        <v>8689</v>
      </c>
      <c r="L13" s="9" t="s">
        <v>8690</v>
      </c>
      <c r="M13" s="9"/>
      <c r="N13" s="10"/>
      <c r="O13" s="9"/>
      <c r="P13" s="9">
        <v>10929</v>
      </c>
      <c r="Q13" s="9">
        <f t="shared" si="0"/>
        <v>1406.0027530843549</v>
      </c>
      <c r="R13" s="9"/>
      <c r="S13" s="9" t="s">
        <v>9321</v>
      </c>
      <c r="T13" s="9" t="s">
        <v>9321</v>
      </c>
      <c r="U13" s="9"/>
      <c r="V13" s="9"/>
      <c r="W13" s="9"/>
      <c r="X13" s="9"/>
      <c r="Y13" s="9"/>
      <c r="Z13" s="9"/>
      <c r="AA13" s="9"/>
      <c r="AB13" s="9"/>
      <c r="AC13" s="9"/>
      <c r="AD13" s="9"/>
    </row>
    <row r="14" spans="1:30" ht="43.5">
      <c r="A14" s="3" t="s">
        <v>57</v>
      </c>
      <c r="B14" s="3" t="s">
        <v>3939</v>
      </c>
      <c r="C14" s="3" t="s">
        <v>3938</v>
      </c>
      <c r="F14" t="s">
        <v>3884</v>
      </c>
      <c r="G14" s="9" t="s">
        <v>3885</v>
      </c>
      <c r="H14" s="9"/>
      <c r="I14" s="9">
        <v>1</v>
      </c>
      <c r="J14" s="9">
        <v>5</v>
      </c>
      <c r="K14" s="9" t="s">
        <v>8705</v>
      </c>
      <c r="L14" s="9" t="s">
        <v>8690</v>
      </c>
      <c r="M14" s="9"/>
      <c r="N14" s="10"/>
      <c r="O14" s="9"/>
      <c r="P14" s="9">
        <v>3678</v>
      </c>
      <c r="Q14" s="9">
        <f t="shared" si="0"/>
        <v>473.17029241872609</v>
      </c>
      <c r="R14" s="9"/>
      <c r="S14" s="9" t="s">
        <v>9321</v>
      </c>
      <c r="T14" s="9" t="s">
        <v>9321</v>
      </c>
      <c r="U14" s="9"/>
      <c r="V14" s="9"/>
      <c r="W14" s="9"/>
      <c r="X14" s="9"/>
      <c r="Y14" s="9"/>
      <c r="Z14" s="9"/>
      <c r="AA14" s="9"/>
      <c r="AB14" s="9"/>
      <c r="AC14" s="9"/>
      <c r="AD14" s="9"/>
    </row>
    <row r="15" spans="1:30" ht="29">
      <c r="A15" s="3" t="s">
        <v>62</v>
      </c>
      <c r="B15" s="3" t="s">
        <v>8784</v>
      </c>
      <c r="C15" s="3" t="s">
        <v>8785</v>
      </c>
      <c r="F15" t="s">
        <v>3884</v>
      </c>
      <c r="G15" s="9" t="s">
        <v>3885</v>
      </c>
      <c r="H15" s="9"/>
      <c r="I15" s="9">
        <v>1</v>
      </c>
      <c r="J15" s="9">
        <v>1</v>
      </c>
      <c r="K15" s="9" t="s">
        <v>8689</v>
      </c>
      <c r="L15" s="9" t="s">
        <v>8730</v>
      </c>
      <c r="M15" s="9"/>
      <c r="N15" s="10"/>
      <c r="O15" s="9"/>
      <c r="P15" s="9">
        <v>10929</v>
      </c>
      <c r="Q15" s="9">
        <f t="shared" si="0"/>
        <v>1406.0027530843549</v>
      </c>
      <c r="R15" s="9"/>
      <c r="S15" s="9" t="s">
        <v>9321</v>
      </c>
      <c r="T15" s="9" t="s">
        <v>9321</v>
      </c>
      <c r="U15" s="9"/>
      <c r="V15" s="9"/>
      <c r="W15" s="9"/>
      <c r="X15" s="9"/>
      <c r="Y15" s="9"/>
      <c r="Z15" s="9"/>
      <c r="AA15" s="9"/>
      <c r="AB15" s="9"/>
      <c r="AC15" s="9"/>
      <c r="AD15" s="9"/>
    </row>
    <row r="16" spans="1:30" ht="29">
      <c r="A16" s="3" t="s">
        <v>66</v>
      </c>
      <c r="B16" t="s">
        <v>8786</v>
      </c>
      <c r="C16" t="s">
        <v>8787</v>
      </c>
      <c r="F16" t="s">
        <v>3884</v>
      </c>
      <c r="G16" s="9" t="s">
        <v>3885</v>
      </c>
      <c r="H16" s="9"/>
      <c r="I16" s="9">
        <v>1</v>
      </c>
      <c r="J16" s="9">
        <v>3</v>
      </c>
      <c r="K16" s="9" t="s">
        <v>8705</v>
      </c>
      <c r="L16" s="9" t="s">
        <v>8690</v>
      </c>
      <c r="M16" s="9"/>
      <c r="N16" s="10"/>
      <c r="O16" s="9"/>
      <c r="P16" s="9">
        <v>1443</v>
      </c>
      <c r="Q16" s="9">
        <f t="shared" si="0"/>
        <v>185.64022076134361</v>
      </c>
      <c r="R16" s="9"/>
      <c r="S16" s="9" t="s">
        <v>9321</v>
      </c>
      <c r="T16" s="9" t="s">
        <v>9321</v>
      </c>
      <c r="U16" s="9"/>
      <c r="V16" s="9"/>
      <c r="W16" s="9"/>
      <c r="X16" s="9"/>
      <c r="Y16" s="9"/>
      <c r="Z16" s="9"/>
      <c r="AA16" s="9"/>
      <c r="AB16" s="9"/>
      <c r="AC16" s="9"/>
      <c r="AD16" s="9"/>
    </row>
    <row r="17" spans="1:30" ht="43.5">
      <c r="A17" s="3" t="s">
        <v>68</v>
      </c>
      <c r="B17" s="3" t="s">
        <v>3940</v>
      </c>
      <c r="C17" s="3" t="s">
        <v>9553</v>
      </c>
      <c r="F17" t="s">
        <v>3884</v>
      </c>
      <c r="G17" s="9" t="s">
        <v>3889</v>
      </c>
      <c r="H17" s="9"/>
      <c r="I17" s="9">
        <v>2</v>
      </c>
      <c r="J17" s="9">
        <v>6</v>
      </c>
      <c r="K17" s="9"/>
      <c r="L17" s="9" t="s">
        <v>8690</v>
      </c>
      <c r="M17" s="9"/>
      <c r="N17" s="10"/>
      <c r="O17" s="9"/>
      <c r="P17" s="9">
        <v>13</v>
      </c>
      <c r="Q17" s="9">
        <f t="shared" si="0"/>
        <v>1.6724344212733659</v>
      </c>
      <c r="R17" s="9"/>
      <c r="S17" s="9" t="s">
        <v>9321</v>
      </c>
      <c r="T17" s="9" t="s">
        <v>9321</v>
      </c>
      <c r="U17" s="9"/>
      <c r="V17" s="9"/>
      <c r="W17" s="9"/>
      <c r="X17" s="9"/>
      <c r="Y17" s="9"/>
      <c r="Z17" s="9"/>
      <c r="AA17" s="9"/>
      <c r="AB17" s="9"/>
      <c r="AC17" s="9"/>
      <c r="AD17" s="9"/>
    </row>
    <row r="18" spans="1:30" ht="87">
      <c r="A18" s="3" t="s">
        <v>69</v>
      </c>
      <c r="B18" s="3" t="s">
        <v>9404</v>
      </c>
      <c r="C18" s="3" t="s">
        <v>9405</v>
      </c>
      <c r="G18" s="9" t="s">
        <v>3889</v>
      </c>
      <c r="H18" s="9"/>
      <c r="I18" s="9">
        <v>2</v>
      </c>
      <c r="J18" s="9">
        <v>10</v>
      </c>
      <c r="K18" s="9"/>
      <c r="L18" s="9" t="s">
        <v>8690</v>
      </c>
      <c r="M18" s="9"/>
      <c r="N18" s="10"/>
      <c r="O18" s="9"/>
      <c r="P18" s="9">
        <v>84</v>
      </c>
      <c r="Q18" s="9">
        <f t="shared" si="0"/>
        <v>10.806499337458673</v>
      </c>
      <c r="R18" s="9"/>
      <c r="S18" s="9" t="s">
        <v>9321</v>
      </c>
      <c r="T18" s="9" t="s">
        <v>9321</v>
      </c>
      <c r="U18" s="9"/>
      <c r="V18" s="9"/>
      <c r="W18" s="9"/>
      <c r="X18" s="9"/>
      <c r="Y18" s="9"/>
      <c r="Z18" s="9"/>
      <c r="AA18" s="9"/>
      <c r="AB18" s="9"/>
      <c r="AC18" s="9"/>
      <c r="AD18" s="9"/>
    </row>
    <row r="19" spans="1:30" ht="58">
      <c r="A19" s="3" t="s">
        <v>70</v>
      </c>
      <c r="B19" s="3" t="s">
        <v>3943</v>
      </c>
      <c r="C19" s="3" t="s">
        <v>3944</v>
      </c>
      <c r="F19" t="s">
        <v>3884</v>
      </c>
      <c r="G19" s="9" t="s">
        <v>3885</v>
      </c>
      <c r="H19" s="9"/>
      <c r="I19" s="9">
        <v>1</v>
      </c>
      <c r="J19" s="9">
        <v>3</v>
      </c>
      <c r="K19" s="9" t="s">
        <v>8689</v>
      </c>
      <c r="L19" s="9" t="s">
        <v>8690</v>
      </c>
      <c r="M19" s="9"/>
      <c r="N19" s="10"/>
      <c r="O19" s="9"/>
      <c r="P19" s="9">
        <v>10929</v>
      </c>
      <c r="Q19" s="9">
        <f t="shared" si="0"/>
        <v>1406.0027530843549</v>
      </c>
      <c r="R19" s="9"/>
      <c r="S19" s="9" t="s">
        <v>9321</v>
      </c>
      <c r="T19" s="9" t="s">
        <v>9321</v>
      </c>
      <c r="U19" s="9"/>
      <c r="V19" s="9"/>
      <c r="W19" s="9"/>
      <c r="X19" s="9"/>
      <c r="Y19" s="9"/>
      <c r="Z19" s="9"/>
      <c r="AA19" s="9"/>
      <c r="AB19" s="9"/>
      <c r="AC19" s="9"/>
      <c r="AD19" s="9"/>
    </row>
    <row r="20" spans="1:30" ht="58">
      <c r="A20" s="3" t="s">
        <v>72</v>
      </c>
      <c r="B20" s="3" t="s">
        <v>8790</v>
      </c>
      <c r="C20" s="3" t="s">
        <v>8792</v>
      </c>
      <c r="G20" s="9" t="s">
        <v>3885</v>
      </c>
      <c r="H20" s="9"/>
      <c r="I20" s="9">
        <v>1</v>
      </c>
      <c r="J20" s="9">
        <v>1</v>
      </c>
      <c r="K20" s="9" t="s">
        <v>8689</v>
      </c>
      <c r="L20" s="9" t="s">
        <v>8730</v>
      </c>
      <c r="M20" s="9"/>
      <c r="N20" s="10"/>
      <c r="O20" s="9"/>
      <c r="P20" s="9">
        <v>10929</v>
      </c>
      <c r="Q20" s="9">
        <f t="shared" si="0"/>
        <v>1406.0027530843549</v>
      </c>
      <c r="R20" s="9"/>
      <c r="S20" s="9" t="s">
        <v>9321</v>
      </c>
      <c r="T20" s="9" t="s">
        <v>9321</v>
      </c>
      <c r="U20" s="9"/>
      <c r="V20" s="9"/>
      <c r="W20" s="9"/>
      <c r="X20" s="9"/>
      <c r="Y20" s="9"/>
      <c r="Z20" s="9"/>
      <c r="AA20" s="9"/>
      <c r="AB20" s="9"/>
      <c r="AC20" s="9"/>
      <c r="AD20" s="9"/>
    </row>
    <row r="21" spans="1:30" ht="58">
      <c r="A21" s="3" t="s">
        <v>72</v>
      </c>
      <c r="B21" s="3" t="s">
        <v>8790</v>
      </c>
      <c r="C21" s="3" t="s">
        <v>8794</v>
      </c>
      <c r="G21" s="9" t="s">
        <v>3885</v>
      </c>
      <c r="H21" s="9"/>
      <c r="I21" s="9">
        <v>1</v>
      </c>
      <c r="J21" s="9">
        <v>3</v>
      </c>
      <c r="K21" s="9" t="s">
        <v>8689</v>
      </c>
      <c r="L21" s="9" t="s">
        <v>8690</v>
      </c>
      <c r="M21" s="9"/>
      <c r="N21" s="10"/>
      <c r="O21" s="9"/>
      <c r="P21" s="9">
        <v>10929</v>
      </c>
      <c r="Q21" s="9">
        <f t="shared" si="0"/>
        <v>1406.0027530843549</v>
      </c>
      <c r="R21" s="9"/>
      <c r="S21" s="9" t="s">
        <v>9321</v>
      </c>
      <c r="T21" s="9" t="s">
        <v>9321</v>
      </c>
      <c r="U21" s="9"/>
      <c r="V21" s="9"/>
      <c r="W21" s="9"/>
      <c r="X21" s="9"/>
      <c r="Y21" s="9"/>
      <c r="Z21" s="9"/>
      <c r="AA21" s="9"/>
      <c r="AB21" s="9"/>
      <c r="AC21" s="9"/>
      <c r="AD21" s="9"/>
    </row>
    <row r="22" spans="1:30">
      <c r="A22" s="3" t="s">
        <v>73</v>
      </c>
      <c r="B22" t="s">
        <v>8795</v>
      </c>
      <c r="C22" t="s">
        <v>8796</v>
      </c>
      <c r="G22" s="9" t="s">
        <v>3885</v>
      </c>
      <c r="H22" s="9"/>
      <c r="I22" s="9">
        <v>1</v>
      </c>
      <c r="J22" s="9">
        <v>1</v>
      </c>
      <c r="K22" s="9" t="s">
        <v>8689</v>
      </c>
      <c r="L22" s="9" t="s">
        <v>8730</v>
      </c>
      <c r="M22" s="9"/>
      <c r="N22" s="10"/>
      <c r="O22" s="9"/>
      <c r="P22" s="9">
        <v>10929</v>
      </c>
      <c r="Q22" s="9">
        <f t="shared" si="0"/>
        <v>1406.0027530843549</v>
      </c>
      <c r="R22" s="9"/>
      <c r="S22" s="9" t="s">
        <v>9321</v>
      </c>
      <c r="T22" s="9" t="s">
        <v>9321</v>
      </c>
      <c r="U22" s="9"/>
      <c r="V22" s="9"/>
      <c r="W22" s="9"/>
      <c r="X22" s="9"/>
      <c r="Y22" s="9"/>
      <c r="Z22" s="9"/>
      <c r="AA22" s="9"/>
      <c r="AB22" s="9"/>
      <c r="AC22" s="9"/>
      <c r="AD22" s="9"/>
    </row>
    <row r="23" spans="1:30" ht="43.5">
      <c r="A23" s="3" t="s">
        <v>75</v>
      </c>
      <c r="B23" s="3" t="s">
        <v>2331</v>
      </c>
      <c r="C23" s="3" t="s">
        <v>3949</v>
      </c>
      <c r="G23" s="9" t="s">
        <v>3885</v>
      </c>
      <c r="H23" s="9"/>
      <c r="I23" s="9">
        <v>1</v>
      </c>
      <c r="J23" s="9">
        <v>2</v>
      </c>
      <c r="K23" s="9" t="s">
        <v>8689</v>
      </c>
      <c r="L23" s="9" t="s">
        <v>8730</v>
      </c>
      <c r="M23" s="9"/>
      <c r="N23" s="10"/>
      <c r="O23" s="9"/>
      <c r="P23" s="9">
        <v>10929</v>
      </c>
      <c r="Q23" s="9">
        <f t="shared" si="0"/>
        <v>1406.0027530843549</v>
      </c>
      <c r="R23" s="9"/>
      <c r="S23" s="9" t="s">
        <v>9321</v>
      </c>
      <c r="T23" s="9" t="s">
        <v>9321</v>
      </c>
      <c r="U23" s="9"/>
      <c r="V23" s="9"/>
      <c r="W23" s="9"/>
      <c r="X23" s="9"/>
      <c r="Y23" s="9"/>
      <c r="Z23" s="9"/>
      <c r="AA23" s="9"/>
      <c r="AB23" s="9"/>
      <c r="AC23" s="9"/>
      <c r="AD23" s="9"/>
    </row>
    <row r="24" spans="1:30" ht="87">
      <c r="A24" s="3" t="s">
        <v>76</v>
      </c>
      <c r="B24" s="3" t="s">
        <v>8801</v>
      </c>
      <c r="C24" s="3" t="s">
        <v>8802</v>
      </c>
      <c r="F24" t="s">
        <v>3884</v>
      </c>
      <c r="G24" s="9" t="s">
        <v>3885</v>
      </c>
      <c r="H24" s="9"/>
      <c r="I24" s="9">
        <v>1</v>
      </c>
      <c r="J24" s="9">
        <v>1</v>
      </c>
      <c r="K24" s="9" t="s">
        <v>8683</v>
      </c>
      <c r="L24" s="9" t="s">
        <v>8730</v>
      </c>
      <c r="M24" s="9"/>
      <c r="N24" s="10"/>
      <c r="O24" s="9"/>
      <c r="P24" s="9">
        <v>10</v>
      </c>
      <c r="Q24" s="9">
        <f t="shared" si="0"/>
        <v>1.2864880163641275</v>
      </c>
      <c r="R24" s="9"/>
      <c r="S24" s="9" t="s">
        <v>9321</v>
      </c>
      <c r="T24" s="9" t="s">
        <v>9321</v>
      </c>
      <c r="U24" s="9"/>
      <c r="V24" s="9"/>
      <c r="W24" s="9"/>
      <c r="X24" s="9"/>
      <c r="Y24" s="9"/>
      <c r="Z24" s="9"/>
      <c r="AA24" s="9"/>
      <c r="AB24" s="9"/>
      <c r="AC24" s="9"/>
      <c r="AD24" s="9"/>
    </row>
    <row r="25" spans="1:30" ht="29">
      <c r="A25" s="3" t="s">
        <v>81</v>
      </c>
      <c r="B25" s="3" t="s">
        <v>8806</v>
      </c>
      <c r="C25" s="3" t="s">
        <v>8807</v>
      </c>
      <c r="G25" s="9" t="s">
        <v>3885</v>
      </c>
      <c r="H25" s="9"/>
      <c r="I25" s="9">
        <v>1</v>
      </c>
      <c r="J25" s="9">
        <v>1</v>
      </c>
      <c r="K25" s="9" t="s">
        <v>8689</v>
      </c>
      <c r="L25" s="9" t="s">
        <v>8730</v>
      </c>
      <c r="M25" s="9"/>
      <c r="N25" s="10"/>
      <c r="O25" s="9"/>
      <c r="P25" s="9">
        <v>10929</v>
      </c>
      <c r="Q25" s="9">
        <f t="shared" si="0"/>
        <v>1406.0027530843549</v>
      </c>
      <c r="R25" s="9"/>
      <c r="S25" s="9" t="s">
        <v>9321</v>
      </c>
      <c r="T25" s="9" t="s">
        <v>9321</v>
      </c>
      <c r="U25" s="9"/>
      <c r="V25" s="9"/>
      <c r="W25" s="9"/>
      <c r="X25" s="9"/>
      <c r="Y25" s="9"/>
      <c r="Z25" s="9"/>
      <c r="AA25" s="9"/>
      <c r="AB25" s="9"/>
      <c r="AC25" s="9"/>
      <c r="AD25" s="9"/>
    </row>
    <row r="26" spans="1:30" ht="43.5">
      <c r="A26" s="3" t="s">
        <v>84</v>
      </c>
      <c r="B26" s="3" t="s">
        <v>3959</v>
      </c>
      <c r="C26" s="3" t="s">
        <v>3960</v>
      </c>
      <c r="G26" s="9" t="s">
        <v>3889</v>
      </c>
      <c r="H26" s="9"/>
      <c r="I26" s="9">
        <v>1</v>
      </c>
      <c r="J26" s="9">
        <v>2</v>
      </c>
      <c r="K26" s="9" t="s">
        <v>8689</v>
      </c>
      <c r="L26" s="9" t="s">
        <v>8730</v>
      </c>
      <c r="M26" s="9"/>
      <c r="N26" s="10"/>
      <c r="O26" s="9"/>
      <c r="P26" s="9">
        <v>10929</v>
      </c>
      <c r="Q26" s="9">
        <f t="shared" si="0"/>
        <v>1406.0027530843549</v>
      </c>
      <c r="R26" s="9"/>
      <c r="S26" s="9" t="s">
        <v>9321</v>
      </c>
      <c r="T26" s="9" t="s">
        <v>9321</v>
      </c>
      <c r="U26" s="9"/>
      <c r="V26" s="9"/>
      <c r="W26" s="9"/>
      <c r="X26" s="9"/>
      <c r="Y26" s="9"/>
      <c r="Z26" s="9"/>
      <c r="AA26" s="9"/>
      <c r="AB26" s="9"/>
      <c r="AC26" s="9"/>
      <c r="AD26" s="9"/>
    </row>
    <row r="27" spans="1:30" ht="29">
      <c r="A27" s="3" t="s">
        <v>85</v>
      </c>
      <c r="B27" s="3" t="s">
        <v>3961</v>
      </c>
      <c r="C27" s="3" t="s">
        <v>3962</v>
      </c>
      <c r="F27" t="s">
        <v>3884</v>
      </c>
      <c r="G27" s="9" t="s">
        <v>3889</v>
      </c>
      <c r="H27" s="9"/>
      <c r="I27" s="9">
        <v>1</v>
      </c>
      <c r="J27" s="9">
        <v>3</v>
      </c>
      <c r="K27" s="9" t="s">
        <v>8689</v>
      </c>
      <c r="L27" s="9" t="s">
        <v>8690</v>
      </c>
      <c r="M27" s="9"/>
      <c r="N27" s="10"/>
      <c r="O27" s="9"/>
      <c r="P27" s="9">
        <v>10929</v>
      </c>
      <c r="Q27" s="9">
        <f t="shared" si="0"/>
        <v>1406.0027530843549</v>
      </c>
      <c r="R27" s="9"/>
      <c r="S27" s="9" t="s">
        <v>9321</v>
      </c>
      <c r="T27" s="9" t="s">
        <v>9321</v>
      </c>
      <c r="U27" s="9"/>
      <c r="V27" s="9"/>
      <c r="W27" s="9"/>
      <c r="X27" s="9"/>
      <c r="Y27" s="9"/>
      <c r="Z27" s="9"/>
      <c r="AA27" s="9"/>
      <c r="AB27" s="9"/>
      <c r="AC27" s="9"/>
      <c r="AD27" s="9"/>
    </row>
    <row r="28" spans="1:30" ht="43.5">
      <c r="A28" s="3" t="s">
        <v>90</v>
      </c>
      <c r="B28" s="3" t="s">
        <v>3967</v>
      </c>
      <c r="C28" s="3" t="s">
        <v>3968</v>
      </c>
      <c r="G28" s="9" t="s">
        <v>3885</v>
      </c>
      <c r="H28" s="9"/>
      <c r="I28" s="9">
        <v>1</v>
      </c>
      <c r="J28" s="9">
        <v>2</v>
      </c>
      <c r="K28" s="9" t="s">
        <v>8707</v>
      </c>
      <c r="L28" s="9" t="s">
        <v>8730</v>
      </c>
      <c r="M28" s="9"/>
      <c r="N28" s="10"/>
      <c r="O28" s="9"/>
      <c r="P28" s="9">
        <v>1942</v>
      </c>
      <c r="Q28" s="9">
        <f t="shared" si="0"/>
        <v>249.83597277791355</v>
      </c>
      <c r="R28" s="9"/>
      <c r="S28" s="9" t="s">
        <v>9321</v>
      </c>
      <c r="T28" s="9" t="s">
        <v>9321</v>
      </c>
      <c r="U28" s="9"/>
      <c r="V28" s="9"/>
      <c r="W28" s="9"/>
      <c r="X28" s="9"/>
      <c r="Y28" s="9"/>
      <c r="Z28" s="9"/>
      <c r="AA28" s="9"/>
      <c r="AB28" s="9"/>
      <c r="AC28" s="9"/>
      <c r="AD28" s="9"/>
    </row>
    <row r="29" spans="1:30" ht="43.5">
      <c r="A29" s="3" t="s">
        <v>90</v>
      </c>
      <c r="B29" s="3" t="s">
        <v>3971</v>
      </c>
      <c r="C29" s="3" t="s">
        <v>3973</v>
      </c>
      <c r="F29" t="s">
        <v>3884</v>
      </c>
      <c r="G29" s="9" t="s">
        <v>3885</v>
      </c>
      <c r="H29" s="9"/>
      <c r="I29" s="9">
        <v>1</v>
      </c>
      <c r="J29" s="9">
        <v>3</v>
      </c>
      <c r="K29" s="9" t="s">
        <v>8698</v>
      </c>
      <c r="L29" s="9" t="s">
        <v>8690</v>
      </c>
      <c r="M29" s="9"/>
      <c r="N29" s="10"/>
      <c r="O29" s="9"/>
      <c r="P29" s="9">
        <v>9418</v>
      </c>
      <c r="Q29" s="9">
        <f t="shared" si="0"/>
        <v>1211.6144138117354</v>
      </c>
      <c r="R29" s="9"/>
      <c r="S29" s="9" t="s">
        <v>9321</v>
      </c>
      <c r="T29" s="9" t="s">
        <v>9321</v>
      </c>
      <c r="U29" s="9"/>
      <c r="V29" s="9"/>
      <c r="W29" s="9"/>
      <c r="X29" s="9"/>
      <c r="Y29" s="9"/>
      <c r="Z29" s="9"/>
      <c r="AA29" s="9"/>
      <c r="AB29" s="9"/>
      <c r="AC29" s="9"/>
      <c r="AD29" s="9"/>
    </row>
    <row r="30" spans="1:30" ht="43.5">
      <c r="A30" s="3" t="s">
        <v>91</v>
      </c>
      <c r="B30" s="3" t="s">
        <v>3979</v>
      </c>
      <c r="C30" s="3" t="s">
        <v>3980</v>
      </c>
      <c r="G30" s="9" t="s">
        <v>3889</v>
      </c>
      <c r="H30" s="9"/>
      <c r="I30" s="9">
        <v>1</v>
      </c>
      <c r="J30" s="9">
        <v>7</v>
      </c>
      <c r="K30" s="9" t="s">
        <v>8705</v>
      </c>
      <c r="L30" s="9" t="s">
        <v>8684</v>
      </c>
      <c r="M30" s="9" t="s">
        <v>8777</v>
      </c>
      <c r="N30" s="10" t="s">
        <v>8772</v>
      </c>
      <c r="O30" s="9"/>
      <c r="P30" s="9">
        <v>79</v>
      </c>
      <c r="Q30" s="9">
        <f t="shared" si="0"/>
        <v>10.163255329276607</v>
      </c>
      <c r="R30" s="9"/>
      <c r="S30" s="9" t="s">
        <v>9321</v>
      </c>
      <c r="T30" s="9" t="s">
        <v>9321</v>
      </c>
      <c r="U30" s="9"/>
      <c r="V30" s="9"/>
      <c r="W30" s="9"/>
      <c r="X30" s="9"/>
      <c r="Y30" s="9"/>
      <c r="Z30" s="9"/>
      <c r="AA30" s="9"/>
      <c r="AB30" s="9"/>
      <c r="AC30" s="9"/>
      <c r="AD30" s="9"/>
    </row>
    <row r="31" spans="1:30" ht="29">
      <c r="A31" s="3" t="s">
        <v>92</v>
      </c>
      <c r="B31" s="3" t="s">
        <v>3983</v>
      </c>
      <c r="C31" s="3" t="s">
        <v>3984</v>
      </c>
      <c r="G31" s="9" t="s">
        <v>3889</v>
      </c>
      <c r="H31" s="9"/>
      <c r="I31" s="9">
        <v>1</v>
      </c>
      <c r="J31" s="9">
        <v>3</v>
      </c>
      <c r="K31" s="9" t="s">
        <v>8689</v>
      </c>
      <c r="L31" s="9" t="s">
        <v>8684</v>
      </c>
      <c r="M31" s="9" t="s">
        <v>8771</v>
      </c>
      <c r="N31" s="10" t="s">
        <v>8778</v>
      </c>
      <c r="O31" s="9"/>
      <c r="P31" s="9">
        <v>10929</v>
      </c>
      <c r="Q31" s="9">
        <f t="shared" si="0"/>
        <v>1406.0027530843549</v>
      </c>
      <c r="R31" s="9"/>
      <c r="S31" s="9" t="s">
        <v>9321</v>
      </c>
      <c r="T31" s="9" t="s">
        <v>9321</v>
      </c>
      <c r="U31" s="9" t="s">
        <v>8728</v>
      </c>
      <c r="V31" s="9"/>
      <c r="W31" s="9"/>
      <c r="X31" s="9"/>
      <c r="Y31" s="9"/>
      <c r="Z31" s="9"/>
      <c r="AA31" s="9"/>
      <c r="AB31" s="9"/>
      <c r="AC31" s="9"/>
      <c r="AD31" s="9"/>
    </row>
    <row r="32" spans="1:30" ht="43.5">
      <c r="A32" s="3" t="s">
        <v>92</v>
      </c>
      <c r="B32" s="3" t="s">
        <v>3985</v>
      </c>
      <c r="C32" s="3" t="s">
        <v>3986</v>
      </c>
      <c r="F32" t="s">
        <v>3884</v>
      </c>
      <c r="G32" s="9" t="s">
        <v>3885</v>
      </c>
      <c r="H32" s="9"/>
      <c r="I32" s="9">
        <v>1</v>
      </c>
      <c r="J32" s="9">
        <v>3</v>
      </c>
      <c r="K32" s="9" t="s">
        <v>8689</v>
      </c>
      <c r="L32" s="9" t="s">
        <v>8684</v>
      </c>
      <c r="M32" s="9" t="s">
        <v>8771</v>
      </c>
      <c r="N32" s="10" t="s">
        <v>8778</v>
      </c>
      <c r="O32" s="9"/>
      <c r="P32" s="9">
        <v>10929</v>
      </c>
      <c r="Q32" s="9">
        <f t="shared" si="0"/>
        <v>1406.0027530843549</v>
      </c>
      <c r="R32" s="9"/>
      <c r="S32" s="9" t="s">
        <v>9321</v>
      </c>
      <c r="T32" s="9" t="s">
        <v>9321</v>
      </c>
      <c r="U32" s="9"/>
      <c r="V32" s="9"/>
      <c r="W32" s="9"/>
      <c r="X32" s="9"/>
      <c r="Y32" s="9"/>
      <c r="Z32" s="9"/>
      <c r="AA32" s="9"/>
      <c r="AB32" s="9"/>
      <c r="AC32" s="9"/>
      <c r="AD32" s="9"/>
    </row>
    <row r="33" spans="1:30" ht="29">
      <c r="A33" s="3" t="s">
        <v>92</v>
      </c>
      <c r="B33" t="s">
        <v>8817</v>
      </c>
      <c r="C33" t="s">
        <v>9554</v>
      </c>
      <c r="G33" s="9" t="s">
        <v>3885</v>
      </c>
      <c r="H33" s="9"/>
      <c r="I33" s="9">
        <v>1</v>
      </c>
      <c r="J33" s="9">
        <v>1</v>
      </c>
      <c r="K33" s="9" t="s">
        <v>8689</v>
      </c>
      <c r="L33" s="9" t="s">
        <v>8730</v>
      </c>
      <c r="M33" s="9"/>
      <c r="N33" s="10"/>
      <c r="O33" s="9"/>
      <c r="P33" s="9">
        <v>10929</v>
      </c>
      <c r="Q33" s="9">
        <f t="shared" si="0"/>
        <v>1406.0027530843549</v>
      </c>
      <c r="R33" s="9"/>
      <c r="S33" s="9" t="s">
        <v>9321</v>
      </c>
      <c r="T33" s="9" t="s">
        <v>9321</v>
      </c>
      <c r="U33" s="9"/>
      <c r="V33" s="9"/>
      <c r="W33" s="9"/>
      <c r="X33" s="9"/>
      <c r="Y33" s="9"/>
      <c r="Z33" s="9"/>
      <c r="AA33" s="9"/>
      <c r="AB33" s="9"/>
      <c r="AC33" s="9"/>
      <c r="AD33" s="9"/>
    </row>
    <row r="34" spans="1:30" ht="29">
      <c r="A34" s="3" t="s">
        <v>96</v>
      </c>
      <c r="B34" s="3" t="s">
        <v>3990</v>
      </c>
      <c r="C34" s="3" t="s">
        <v>3991</v>
      </c>
      <c r="F34" t="s">
        <v>3884</v>
      </c>
      <c r="G34" s="9" t="s">
        <v>3889</v>
      </c>
      <c r="H34" s="9"/>
      <c r="I34" s="9">
        <v>1</v>
      </c>
      <c r="J34" s="9">
        <v>2</v>
      </c>
      <c r="K34" s="9" t="s">
        <v>8703</v>
      </c>
      <c r="L34" s="9" t="s">
        <v>8730</v>
      </c>
      <c r="M34" s="9"/>
      <c r="N34" s="10"/>
      <c r="O34" s="9"/>
      <c r="P34" s="9">
        <v>335</v>
      </c>
      <c r="Q34" s="9">
        <f t="shared" si="0"/>
        <v>43.097348548198276</v>
      </c>
      <c r="R34" s="9"/>
      <c r="S34" s="9" t="s">
        <v>9321</v>
      </c>
      <c r="T34" s="9" t="s">
        <v>9321</v>
      </c>
      <c r="U34" s="9"/>
      <c r="V34" s="9"/>
      <c r="W34" s="9"/>
      <c r="X34" s="9"/>
      <c r="Y34" s="9"/>
      <c r="Z34" s="9"/>
      <c r="AA34" s="9"/>
      <c r="AB34" s="9"/>
      <c r="AC34" s="9"/>
      <c r="AD34" s="9"/>
    </row>
    <row r="35" spans="1:30" ht="29">
      <c r="A35" s="3" t="s">
        <v>105</v>
      </c>
      <c r="B35" s="3" t="s">
        <v>4004</v>
      </c>
      <c r="C35" s="3" t="s">
        <v>4005</v>
      </c>
      <c r="F35" t="s">
        <v>3884</v>
      </c>
      <c r="G35" s="9" t="s">
        <v>3889</v>
      </c>
      <c r="H35" s="9"/>
      <c r="I35" s="9">
        <v>1</v>
      </c>
      <c r="J35" s="9">
        <v>2</v>
      </c>
      <c r="K35" s="9" t="s">
        <v>8689</v>
      </c>
      <c r="L35" s="9" t="s">
        <v>8730</v>
      </c>
      <c r="M35" s="9"/>
      <c r="N35" s="10"/>
      <c r="O35" s="9"/>
      <c r="P35" s="9">
        <v>10929</v>
      </c>
      <c r="Q35" s="9">
        <f t="shared" si="0"/>
        <v>1406.0027530843549</v>
      </c>
      <c r="R35" s="9"/>
      <c r="S35" s="9" t="s">
        <v>9321</v>
      </c>
      <c r="T35" s="9" t="s">
        <v>9321</v>
      </c>
      <c r="U35" s="9"/>
      <c r="V35" s="9"/>
      <c r="W35" s="9"/>
      <c r="X35" s="9"/>
      <c r="Y35" s="9"/>
      <c r="Z35" s="9"/>
      <c r="AA35" s="9"/>
      <c r="AB35" s="9"/>
      <c r="AC35" s="9"/>
      <c r="AD35" s="9"/>
    </row>
    <row r="36" spans="1:30" ht="43.5">
      <c r="A36" s="3" t="s">
        <v>121</v>
      </c>
      <c r="B36" s="3" t="s">
        <v>2331</v>
      </c>
      <c r="C36" s="3" t="s">
        <v>3949</v>
      </c>
      <c r="G36" s="9" t="s">
        <v>3885</v>
      </c>
      <c r="H36" s="9"/>
      <c r="I36" s="9">
        <v>1</v>
      </c>
      <c r="J36" s="9">
        <v>2</v>
      </c>
      <c r="K36" s="9" t="s">
        <v>8689</v>
      </c>
      <c r="L36" s="9" t="s">
        <v>8730</v>
      </c>
      <c r="M36" s="9"/>
      <c r="N36" s="10"/>
      <c r="O36" s="9"/>
      <c r="P36" s="9">
        <v>10929</v>
      </c>
      <c r="Q36" s="9">
        <f t="shared" si="0"/>
        <v>1406.0027530843549</v>
      </c>
      <c r="R36" s="9"/>
      <c r="S36" s="9" t="s">
        <v>9321</v>
      </c>
      <c r="T36" s="9" t="s">
        <v>9321</v>
      </c>
      <c r="U36" s="9"/>
      <c r="V36" s="9"/>
      <c r="W36" s="9"/>
      <c r="X36" s="9"/>
      <c r="Y36" s="9"/>
      <c r="Z36" s="9"/>
      <c r="AA36" s="9"/>
      <c r="AB36" s="9"/>
      <c r="AC36" s="9"/>
      <c r="AD36" s="9"/>
    </row>
    <row r="37" spans="1:30" ht="130.5">
      <c r="A37" s="3" t="s">
        <v>121</v>
      </c>
      <c r="B37" s="3" t="s">
        <v>9189</v>
      </c>
      <c r="C37" s="3" t="s">
        <v>9190</v>
      </c>
      <c r="G37" s="9" t="s">
        <v>3885</v>
      </c>
      <c r="H37" s="9"/>
      <c r="I37" s="9">
        <v>1</v>
      </c>
      <c r="J37" s="9">
        <v>2</v>
      </c>
      <c r="K37" s="9" t="s">
        <v>8689</v>
      </c>
      <c r="L37" s="9" t="s">
        <v>8730</v>
      </c>
      <c r="M37" s="9"/>
      <c r="N37" s="10"/>
      <c r="O37" s="9"/>
      <c r="P37" s="9">
        <v>10929</v>
      </c>
      <c r="Q37" s="9">
        <f t="shared" si="0"/>
        <v>1406.0027530843549</v>
      </c>
      <c r="R37" s="9"/>
      <c r="S37" s="9" t="s">
        <v>9321</v>
      </c>
      <c r="T37" s="9" t="s">
        <v>9321</v>
      </c>
      <c r="U37" s="9" t="s">
        <v>4</v>
      </c>
      <c r="V37" s="9"/>
      <c r="W37" s="9"/>
      <c r="X37" s="9"/>
      <c r="Y37" s="9"/>
      <c r="Z37" s="9"/>
      <c r="AA37" s="9"/>
      <c r="AB37" s="9"/>
      <c r="AC37" s="9"/>
      <c r="AD37" s="9"/>
    </row>
    <row r="38" spans="1:30" ht="130.5">
      <c r="A38" s="3" t="s">
        <v>121</v>
      </c>
      <c r="B38" s="3" t="s">
        <v>9189</v>
      </c>
      <c r="C38" s="3" t="s">
        <v>9191</v>
      </c>
      <c r="F38" t="s">
        <v>3884</v>
      </c>
      <c r="G38" s="9" t="s">
        <v>3885</v>
      </c>
      <c r="H38" s="9"/>
      <c r="I38" s="9">
        <v>1</v>
      </c>
      <c r="J38" s="9">
        <v>3</v>
      </c>
      <c r="K38" s="9" t="s">
        <v>8689</v>
      </c>
      <c r="L38" s="9" t="s">
        <v>8690</v>
      </c>
      <c r="M38" s="9"/>
      <c r="N38" s="10"/>
      <c r="O38" s="9"/>
      <c r="P38" s="9">
        <v>10929</v>
      </c>
      <c r="Q38" s="9">
        <f t="shared" si="0"/>
        <v>1406.0027530843549</v>
      </c>
      <c r="R38" s="9"/>
      <c r="S38" s="9" t="s">
        <v>9321</v>
      </c>
      <c r="T38" s="9" t="s">
        <v>9321</v>
      </c>
      <c r="U38" s="9" t="s">
        <v>4</v>
      </c>
      <c r="V38" s="9"/>
      <c r="W38" s="9"/>
      <c r="X38" s="9"/>
      <c r="Y38" s="9"/>
      <c r="Z38" s="9"/>
      <c r="AA38" s="9"/>
      <c r="AB38" s="9"/>
      <c r="AC38" s="9"/>
      <c r="AD38" s="9"/>
    </row>
    <row r="39" spans="1:30" ht="130.5">
      <c r="A39" s="3" t="s">
        <v>121</v>
      </c>
      <c r="B39" s="3" t="s">
        <v>9189</v>
      </c>
      <c r="C39" s="3" t="s">
        <v>9192</v>
      </c>
      <c r="F39" t="s">
        <v>3884</v>
      </c>
      <c r="G39" s="9" t="s">
        <v>3885</v>
      </c>
      <c r="H39" s="9"/>
      <c r="I39" s="9">
        <v>2</v>
      </c>
      <c r="J39" s="9">
        <v>10</v>
      </c>
      <c r="K39" s="9"/>
      <c r="L39" s="9" t="s">
        <v>8690</v>
      </c>
      <c r="M39" s="9"/>
      <c r="N39" s="10"/>
      <c r="O39" s="9" t="s">
        <v>8691</v>
      </c>
      <c r="P39" s="9">
        <v>9</v>
      </c>
      <c r="Q39" s="9">
        <f t="shared" si="0"/>
        <v>1.1578392147277148</v>
      </c>
      <c r="R39" s="9"/>
      <c r="S39" s="9" t="s">
        <v>9321</v>
      </c>
      <c r="T39" s="9" t="s">
        <v>9321</v>
      </c>
      <c r="U39" s="9"/>
      <c r="V39" s="9"/>
      <c r="W39" s="9"/>
      <c r="X39" s="9"/>
      <c r="Y39" s="9"/>
      <c r="Z39" s="9"/>
      <c r="AA39" s="9"/>
      <c r="AB39" s="9"/>
      <c r="AC39" s="9"/>
      <c r="AD39" s="9"/>
    </row>
    <row r="40" spans="1:30" ht="43.5">
      <c r="A40" s="3" t="s">
        <v>125</v>
      </c>
      <c r="B40" s="3" t="s">
        <v>9194</v>
      </c>
      <c r="C40" s="3" t="s">
        <v>9195</v>
      </c>
      <c r="F40" t="s">
        <v>3884</v>
      </c>
      <c r="G40" s="9" t="s">
        <v>3885</v>
      </c>
      <c r="H40" s="9"/>
      <c r="I40" s="9">
        <v>1</v>
      </c>
      <c r="J40" s="9">
        <v>1</v>
      </c>
      <c r="K40" s="9" t="s">
        <v>8689</v>
      </c>
      <c r="L40" s="9" t="s">
        <v>8730</v>
      </c>
      <c r="M40" s="9"/>
      <c r="N40" s="10"/>
      <c r="O40" s="9"/>
      <c r="P40" s="9">
        <v>10929</v>
      </c>
      <c r="Q40" s="9">
        <f t="shared" si="0"/>
        <v>1406.0027530843549</v>
      </c>
      <c r="R40" s="9"/>
      <c r="S40" s="9" t="s">
        <v>9321</v>
      </c>
      <c r="T40" s="9" t="s">
        <v>9321</v>
      </c>
      <c r="U40" s="9"/>
      <c r="V40" s="9"/>
      <c r="W40" s="9"/>
      <c r="X40" s="9"/>
      <c r="Y40" s="9"/>
      <c r="Z40" s="9"/>
      <c r="AA40" s="9"/>
      <c r="AB40" s="9"/>
      <c r="AC40" s="9"/>
      <c r="AD40" s="9"/>
    </row>
    <row r="41" spans="1:30" ht="87">
      <c r="A41" s="3" t="s">
        <v>129</v>
      </c>
      <c r="B41" s="3" t="s">
        <v>9422</v>
      </c>
      <c r="C41" s="3" t="s">
        <v>9421</v>
      </c>
      <c r="G41" s="9" t="s">
        <v>3889</v>
      </c>
      <c r="H41" s="9"/>
      <c r="I41" s="9">
        <v>1</v>
      </c>
      <c r="J41" s="9">
        <v>5</v>
      </c>
      <c r="K41" s="9" t="s">
        <v>8705</v>
      </c>
      <c r="L41" s="9" t="s">
        <v>8684</v>
      </c>
      <c r="M41" s="9" t="s">
        <v>8777</v>
      </c>
      <c r="N41" s="10" t="s">
        <v>8778</v>
      </c>
      <c r="O41" s="9"/>
      <c r="P41" s="9">
        <v>3678</v>
      </c>
      <c r="Q41" s="9">
        <f t="shared" si="0"/>
        <v>473.17029241872609</v>
      </c>
      <c r="R41" s="9"/>
      <c r="S41" s="9" t="s">
        <v>9321</v>
      </c>
      <c r="T41" s="9" t="s">
        <v>9321</v>
      </c>
      <c r="U41" s="9"/>
      <c r="V41" s="9"/>
      <c r="W41" s="9"/>
      <c r="X41" s="9"/>
      <c r="Y41" s="9"/>
      <c r="Z41" s="9"/>
      <c r="AA41" s="9"/>
      <c r="AB41" s="9"/>
      <c r="AC41" s="9"/>
      <c r="AD41" s="9"/>
    </row>
    <row r="42" spans="1:30">
      <c r="A42" s="3" t="s">
        <v>134</v>
      </c>
      <c r="B42" s="3" t="s">
        <v>4037</v>
      </c>
      <c r="C42" s="3" t="s">
        <v>4038</v>
      </c>
      <c r="G42" s="9" t="s">
        <v>3889</v>
      </c>
      <c r="H42" s="9"/>
      <c r="I42" s="9">
        <v>1</v>
      </c>
      <c r="J42" s="9">
        <v>1</v>
      </c>
      <c r="K42" s="9" t="s">
        <v>8698</v>
      </c>
      <c r="L42" s="9" t="s">
        <v>8730</v>
      </c>
      <c r="M42" s="9"/>
      <c r="N42" s="10"/>
      <c r="O42" s="9"/>
      <c r="P42" s="9">
        <v>73</v>
      </c>
      <c r="Q42" s="9">
        <f t="shared" si="0"/>
        <v>9.3913625194581307</v>
      </c>
      <c r="R42" s="9"/>
      <c r="S42" s="9" t="s">
        <v>9321</v>
      </c>
      <c r="T42" s="9" t="s">
        <v>9321</v>
      </c>
      <c r="U42" s="9"/>
      <c r="V42" s="9"/>
      <c r="W42" s="9"/>
      <c r="X42" s="9"/>
      <c r="Y42" s="9"/>
      <c r="Z42" s="9"/>
      <c r="AA42" s="9"/>
      <c r="AB42" s="9"/>
      <c r="AC42" s="9"/>
      <c r="AD42" s="9"/>
    </row>
    <row r="43" spans="1:30" ht="58">
      <c r="A43" s="3" t="s">
        <v>136</v>
      </c>
      <c r="B43" s="3" t="s">
        <v>4041</v>
      </c>
      <c r="C43" s="3" t="s">
        <v>4042</v>
      </c>
      <c r="G43" s="9" t="s">
        <v>3889</v>
      </c>
      <c r="H43" s="9"/>
      <c r="I43" s="9">
        <v>1</v>
      </c>
      <c r="J43" s="9">
        <v>6</v>
      </c>
      <c r="K43" s="9" t="s">
        <v>8705</v>
      </c>
      <c r="L43" s="9" t="s">
        <v>8684</v>
      </c>
      <c r="M43" s="9" t="s">
        <v>8777</v>
      </c>
      <c r="N43" s="10" t="s">
        <v>8778</v>
      </c>
      <c r="O43" s="9"/>
      <c r="P43" s="9">
        <v>3678</v>
      </c>
      <c r="Q43" s="9">
        <f t="shared" si="0"/>
        <v>473.17029241872609</v>
      </c>
      <c r="R43" s="9"/>
      <c r="S43" s="9" t="s">
        <v>9321</v>
      </c>
      <c r="T43" s="9" t="s">
        <v>9321</v>
      </c>
      <c r="U43" s="9"/>
      <c r="V43" s="9"/>
      <c r="W43" s="9"/>
      <c r="X43" s="9"/>
      <c r="Y43" s="9"/>
      <c r="Z43" s="9"/>
      <c r="AA43" s="9"/>
      <c r="AB43" s="9"/>
      <c r="AC43" s="9"/>
      <c r="AD43" s="9"/>
    </row>
    <row r="44" spans="1:30" ht="43.5">
      <c r="A44" s="3" t="s">
        <v>142</v>
      </c>
      <c r="B44" s="3" t="s">
        <v>4054</v>
      </c>
      <c r="C44" s="3" t="s">
        <v>4055</v>
      </c>
      <c r="G44" s="9" t="s">
        <v>3889</v>
      </c>
      <c r="H44" s="9"/>
      <c r="I44" s="9">
        <v>1</v>
      </c>
      <c r="J44" s="9">
        <v>3</v>
      </c>
      <c r="K44" s="9" t="s">
        <v>8689</v>
      </c>
      <c r="L44" s="9" t="s">
        <v>8684</v>
      </c>
      <c r="M44" s="9" t="s">
        <v>8771</v>
      </c>
      <c r="N44" s="10" t="s">
        <v>8778</v>
      </c>
      <c r="O44" s="9"/>
      <c r="P44" s="9">
        <v>10929</v>
      </c>
      <c r="Q44" s="9">
        <f t="shared" si="0"/>
        <v>1406.0027530843549</v>
      </c>
      <c r="R44" s="9"/>
      <c r="S44" s="9" t="s">
        <v>9321</v>
      </c>
      <c r="T44" s="9" t="s">
        <v>9321</v>
      </c>
      <c r="U44" s="9"/>
      <c r="V44" s="9"/>
      <c r="W44" s="9"/>
      <c r="X44" s="9"/>
      <c r="Y44" s="9"/>
      <c r="Z44" s="9"/>
      <c r="AA44" s="9"/>
      <c r="AB44" s="9"/>
      <c r="AC44" s="9"/>
      <c r="AD44" s="9"/>
    </row>
    <row r="45" spans="1:30" ht="43.5">
      <c r="A45" s="3" t="s">
        <v>143</v>
      </c>
      <c r="B45" s="3" t="s">
        <v>4056</v>
      </c>
      <c r="C45" s="3" t="s">
        <v>4057</v>
      </c>
      <c r="F45" t="s">
        <v>3884</v>
      </c>
      <c r="G45" s="9" t="s">
        <v>3889</v>
      </c>
      <c r="H45" s="9"/>
      <c r="I45" s="9">
        <v>1</v>
      </c>
      <c r="J45" s="9">
        <v>3</v>
      </c>
      <c r="K45" s="9" t="s">
        <v>8689</v>
      </c>
      <c r="L45" s="9" t="s">
        <v>8690</v>
      </c>
      <c r="M45" s="9"/>
      <c r="N45" s="10"/>
      <c r="O45" s="9"/>
      <c r="P45" s="9">
        <v>10929</v>
      </c>
      <c r="Q45" s="9">
        <f t="shared" si="0"/>
        <v>1406.0027530843549</v>
      </c>
      <c r="R45" s="9"/>
      <c r="S45" s="9" t="s">
        <v>9321</v>
      </c>
      <c r="T45" s="9" t="s">
        <v>9321</v>
      </c>
      <c r="U45" s="9"/>
      <c r="V45" s="9"/>
      <c r="W45" s="9"/>
      <c r="X45" s="9"/>
      <c r="Y45" s="9"/>
      <c r="Z45" s="9"/>
      <c r="AA45" s="9"/>
      <c r="AB45" s="9"/>
      <c r="AC45" s="9"/>
      <c r="AD45" s="9"/>
    </row>
    <row r="46" spans="1:30" ht="58">
      <c r="A46" s="3" t="s">
        <v>147</v>
      </c>
      <c r="B46" s="3" t="s">
        <v>4063</v>
      </c>
      <c r="C46" s="3" t="s">
        <v>4064</v>
      </c>
      <c r="F46" t="s">
        <v>3884</v>
      </c>
      <c r="G46" s="9" t="s">
        <v>3885</v>
      </c>
      <c r="H46" s="9"/>
      <c r="I46" s="9">
        <v>1</v>
      </c>
      <c r="J46" s="9">
        <v>1</v>
      </c>
      <c r="K46" s="9" t="s">
        <v>8689</v>
      </c>
      <c r="L46" s="9" t="s">
        <v>8730</v>
      </c>
      <c r="M46" s="9"/>
      <c r="N46" s="10"/>
      <c r="O46" s="9"/>
      <c r="P46" s="9">
        <v>10929</v>
      </c>
      <c r="Q46" s="9">
        <f t="shared" si="0"/>
        <v>1406.0027530843549</v>
      </c>
      <c r="R46" s="9"/>
      <c r="S46" s="9" t="s">
        <v>9321</v>
      </c>
      <c r="T46" s="9" t="s">
        <v>9321</v>
      </c>
      <c r="U46" s="9"/>
      <c r="V46" s="9"/>
      <c r="W46" s="9"/>
      <c r="X46" s="9"/>
      <c r="Y46" s="9"/>
      <c r="Z46" s="9"/>
      <c r="AA46" s="9"/>
      <c r="AB46" s="9"/>
      <c r="AC46" s="9"/>
      <c r="AD46" s="9"/>
    </row>
    <row r="47" spans="1:30" ht="29">
      <c r="A47" s="3" t="s">
        <v>150</v>
      </c>
      <c r="B47" t="s">
        <v>8837</v>
      </c>
      <c r="C47" t="s">
        <v>8836</v>
      </c>
      <c r="G47" s="9" t="s">
        <v>3889</v>
      </c>
      <c r="H47" s="9"/>
      <c r="I47" s="9">
        <v>1</v>
      </c>
      <c r="J47" s="9">
        <v>4</v>
      </c>
      <c r="K47" s="9" t="s">
        <v>8710</v>
      </c>
      <c r="L47" s="9" t="s">
        <v>8690</v>
      </c>
      <c r="M47" s="9"/>
      <c r="N47" s="10"/>
      <c r="O47" s="9"/>
      <c r="P47" s="9">
        <v>266</v>
      </c>
      <c r="Q47" s="9">
        <f t="shared" si="0"/>
        <v>34.220581235285792</v>
      </c>
      <c r="R47" s="9"/>
      <c r="S47" s="9" t="s">
        <v>9321</v>
      </c>
      <c r="T47" s="9" t="s">
        <v>9321</v>
      </c>
      <c r="U47" s="9"/>
      <c r="V47" s="9"/>
      <c r="W47" s="9"/>
      <c r="X47" s="9"/>
      <c r="Y47" s="9"/>
      <c r="Z47" s="9"/>
      <c r="AA47" s="9"/>
      <c r="AB47" s="9"/>
      <c r="AC47" s="9"/>
      <c r="AD47" s="9"/>
    </row>
    <row r="48" spans="1:30" ht="72.5">
      <c r="A48" s="3" t="s">
        <v>151</v>
      </c>
      <c r="B48" s="3" t="s">
        <v>4067</v>
      </c>
      <c r="C48" s="3" t="s">
        <v>4068</v>
      </c>
      <c r="G48" s="9" t="s">
        <v>3889</v>
      </c>
      <c r="H48" s="9"/>
      <c r="I48" s="9">
        <v>2</v>
      </c>
      <c r="J48" s="9">
        <v>10</v>
      </c>
      <c r="K48" s="9"/>
      <c r="L48" s="9" t="s">
        <v>8684</v>
      </c>
      <c r="M48" s="9" t="s">
        <v>8740</v>
      </c>
      <c r="N48" s="10" t="s">
        <v>8813</v>
      </c>
      <c r="O48" s="9"/>
      <c r="P48" s="9"/>
      <c r="Q48" s="9" t="str">
        <f t="shared" si="0"/>
        <v/>
      </c>
      <c r="R48" s="9"/>
      <c r="S48" s="9" t="s">
        <v>9321</v>
      </c>
      <c r="T48" s="9" t="s">
        <v>9321</v>
      </c>
      <c r="U48" s="9"/>
      <c r="V48" s="9"/>
      <c r="W48" s="9"/>
      <c r="X48" s="9"/>
      <c r="Y48" s="9"/>
      <c r="Z48" s="9"/>
      <c r="AA48" s="9"/>
      <c r="AB48" s="9"/>
      <c r="AC48" s="9"/>
      <c r="AD48" s="9"/>
    </row>
    <row r="49" spans="1:30" ht="43.5">
      <c r="A49" s="3" t="s">
        <v>152</v>
      </c>
      <c r="B49" s="3" t="s">
        <v>4072</v>
      </c>
      <c r="C49" s="3" t="s">
        <v>4073</v>
      </c>
      <c r="F49" t="s">
        <v>3884</v>
      </c>
      <c r="G49" s="9" t="s">
        <v>3889</v>
      </c>
      <c r="H49" s="9"/>
      <c r="I49" s="9">
        <v>1</v>
      </c>
      <c r="J49" s="9">
        <v>6</v>
      </c>
      <c r="K49" s="9" t="s">
        <v>8703</v>
      </c>
      <c r="L49" s="9" t="s">
        <v>8684</v>
      </c>
      <c r="M49" s="9" t="s">
        <v>8777</v>
      </c>
      <c r="N49" s="10" t="s">
        <v>8813</v>
      </c>
      <c r="O49" s="9"/>
      <c r="P49" s="9">
        <v>50</v>
      </c>
      <c r="Q49" s="9">
        <f t="shared" si="0"/>
        <v>6.432440081820638</v>
      </c>
      <c r="R49" s="9"/>
      <c r="S49" s="9" t="s">
        <v>9321</v>
      </c>
      <c r="T49" s="9" t="s">
        <v>9321</v>
      </c>
      <c r="U49" s="9"/>
      <c r="V49" s="9"/>
      <c r="W49" s="9"/>
      <c r="X49" s="9"/>
      <c r="Y49" s="9"/>
      <c r="Z49" s="9"/>
      <c r="AA49" s="9"/>
      <c r="AB49" s="9"/>
      <c r="AC49" s="9"/>
      <c r="AD49" s="9"/>
    </row>
    <row r="50" spans="1:30" ht="58">
      <c r="A50" s="3" t="s">
        <v>152</v>
      </c>
      <c r="B50" s="3" t="s">
        <v>8843</v>
      </c>
      <c r="C50" s="3" t="s">
        <v>4074</v>
      </c>
      <c r="G50" s="9" t="s">
        <v>3889</v>
      </c>
      <c r="H50" s="9"/>
      <c r="I50" s="9">
        <v>1</v>
      </c>
      <c r="J50" s="9">
        <v>3</v>
      </c>
      <c r="K50" s="9" t="s">
        <v>8705</v>
      </c>
      <c r="L50" s="9" t="s">
        <v>8690</v>
      </c>
      <c r="M50" s="9"/>
      <c r="N50" s="10"/>
      <c r="O50" s="9"/>
      <c r="P50" s="9">
        <v>1485</v>
      </c>
      <c r="Q50" s="9">
        <f t="shared" si="0"/>
        <v>191.04347043007292</v>
      </c>
      <c r="R50" s="9"/>
      <c r="S50" s="9" t="s">
        <v>9321</v>
      </c>
      <c r="T50" s="9" t="s">
        <v>9321</v>
      </c>
      <c r="U50" s="9"/>
      <c r="V50" s="9"/>
      <c r="W50" s="9"/>
      <c r="X50" s="9"/>
      <c r="Y50" s="9"/>
      <c r="Z50" s="9"/>
      <c r="AA50" s="9"/>
      <c r="AB50" s="9"/>
      <c r="AC50" s="9"/>
      <c r="AD50" s="9"/>
    </row>
    <row r="51" spans="1:30" ht="101.5">
      <c r="A51" s="3" t="s">
        <v>152</v>
      </c>
      <c r="B51" s="3" t="s">
        <v>4075</v>
      </c>
      <c r="C51" s="3" t="s">
        <v>4076</v>
      </c>
      <c r="F51" t="s">
        <v>3884</v>
      </c>
      <c r="G51" s="9" t="s">
        <v>3885</v>
      </c>
      <c r="H51" s="9"/>
      <c r="I51" s="9">
        <v>2</v>
      </c>
      <c r="J51" s="9">
        <v>9</v>
      </c>
      <c r="K51" s="9"/>
      <c r="L51" s="9" t="s">
        <v>8690</v>
      </c>
      <c r="M51" s="9"/>
      <c r="N51" s="10"/>
      <c r="O51" s="9"/>
      <c r="P51" s="9">
        <v>627</v>
      </c>
      <c r="Q51" s="9">
        <f t="shared" si="0"/>
        <v>80.662798626030806</v>
      </c>
      <c r="R51" s="9"/>
      <c r="S51" s="9" t="s">
        <v>9321</v>
      </c>
      <c r="T51" s="9" t="s">
        <v>9321</v>
      </c>
      <c r="U51" s="9"/>
      <c r="V51" s="9"/>
      <c r="W51" s="9"/>
      <c r="X51" s="9"/>
      <c r="Y51" s="9"/>
      <c r="Z51" s="9"/>
      <c r="AA51" s="9"/>
      <c r="AB51" s="9"/>
      <c r="AC51" s="9"/>
      <c r="AD51" s="9"/>
    </row>
    <row r="52" spans="1:30" ht="58">
      <c r="A52" s="3" t="s">
        <v>153</v>
      </c>
      <c r="B52" s="3" t="s">
        <v>4079</v>
      </c>
      <c r="C52" s="3" t="s">
        <v>4080</v>
      </c>
      <c r="F52" t="s">
        <v>3892</v>
      </c>
      <c r="G52" s="9" t="s">
        <v>3889</v>
      </c>
      <c r="H52" s="9"/>
      <c r="I52" s="9">
        <v>1</v>
      </c>
      <c r="J52" s="9">
        <v>2</v>
      </c>
      <c r="K52" s="9" t="s">
        <v>8689</v>
      </c>
      <c r="L52" s="9" t="s">
        <v>8730</v>
      </c>
      <c r="M52" s="9"/>
      <c r="N52" s="10"/>
      <c r="O52" s="9"/>
      <c r="P52" s="9">
        <v>10929</v>
      </c>
      <c r="Q52" s="9">
        <f t="shared" si="0"/>
        <v>1406.0027530843549</v>
      </c>
      <c r="R52" s="9"/>
      <c r="S52" s="9" t="s">
        <v>9321</v>
      </c>
      <c r="T52" s="9" t="s">
        <v>9321</v>
      </c>
      <c r="U52" s="9"/>
      <c r="V52" s="9"/>
      <c r="W52" s="9"/>
      <c r="X52" s="9"/>
      <c r="Y52" s="9"/>
      <c r="Z52" s="9"/>
      <c r="AA52" s="9"/>
      <c r="AB52" s="9"/>
      <c r="AC52" s="9"/>
      <c r="AD52" s="9"/>
    </row>
    <row r="53" spans="1:30" ht="43.5">
      <c r="A53" s="3" t="s">
        <v>154</v>
      </c>
      <c r="B53" s="3" t="s">
        <v>4088</v>
      </c>
      <c r="C53" s="3" t="s">
        <v>4086</v>
      </c>
      <c r="F53" t="s">
        <v>3884</v>
      </c>
      <c r="G53" s="9" t="s">
        <v>3889</v>
      </c>
      <c r="H53" s="9"/>
      <c r="I53" s="9">
        <v>1</v>
      </c>
      <c r="J53" s="9">
        <v>3</v>
      </c>
      <c r="K53" s="9" t="s">
        <v>8689</v>
      </c>
      <c r="L53" s="9" t="s">
        <v>8690</v>
      </c>
      <c r="M53" s="9"/>
      <c r="N53" s="10"/>
      <c r="O53" s="9"/>
      <c r="P53" s="9">
        <v>10929</v>
      </c>
      <c r="Q53" s="9">
        <f t="shared" si="0"/>
        <v>1406.0027530843549</v>
      </c>
      <c r="R53" s="9"/>
      <c r="S53" s="9" t="s">
        <v>9321</v>
      </c>
      <c r="T53" s="9" t="s">
        <v>9321</v>
      </c>
      <c r="U53" s="9"/>
      <c r="V53" s="9"/>
      <c r="W53" s="9"/>
      <c r="X53" s="9"/>
      <c r="Y53" s="9"/>
      <c r="Z53" s="9"/>
      <c r="AA53" s="9"/>
      <c r="AB53" s="9"/>
      <c r="AC53" s="9"/>
      <c r="AD53" s="9"/>
    </row>
    <row r="54" spans="1:30" ht="43.5">
      <c r="A54" s="3" t="s">
        <v>159</v>
      </c>
      <c r="B54" s="3" t="s">
        <v>4094</v>
      </c>
      <c r="C54" s="3" t="s">
        <v>4095</v>
      </c>
      <c r="F54" t="s">
        <v>3884</v>
      </c>
      <c r="G54" s="9" t="s">
        <v>3889</v>
      </c>
      <c r="H54" s="9"/>
      <c r="I54" s="9">
        <v>1</v>
      </c>
      <c r="J54" s="9">
        <v>2</v>
      </c>
      <c r="K54" s="9" t="s">
        <v>8689</v>
      </c>
      <c r="L54" s="9" t="s">
        <v>8730</v>
      </c>
      <c r="M54" s="9"/>
      <c r="N54" s="10"/>
      <c r="O54" s="9"/>
      <c r="P54" s="9">
        <v>10929</v>
      </c>
      <c r="Q54" s="9">
        <f t="shared" si="0"/>
        <v>1406.0027530843549</v>
      </c>
      <c r="R54" s="9"/>
      <c r="S54" s="9" t="s">
        <v>9321</v>
      </c>
      <c r="T54" s="9" t="s">
        <v>9321</v>
      </c>
      <c r="U54" s="9"/>
      <c r="V54" s="9"/>
      <c r="W54" s="9"/>
      <c r="X54" s="9"/>
      <c r="Y54" s="9"/>
      <c r="Z54" s="9"/>
      <c r="AA54" s="9"/>
      <c r="AB54" s="9"/>
      <c r="AC54" s="9"/>
      <c r="AD54" s="9"/>
    </row>
    <row r="55" spans="1:30" ht="43.5">
      <c r="A55" s="3" t="s">
        <v>163</v>
      </c>
      <c r="B55" s="3" t="s">
        <v>4098</v>
      </c>
      <c r="C55" s="3" t="s">
        <v>4099</v>
      </c>
      <c r="F55" t="s">
        <v>3884</v>
      </c>
      <c r="G55" s="9" t="s">
        <v>3885</v>
      </c>
      <c r="H55" s="9"/>
      <c r="I55" s="9">
        <v>1</v>
      </c>
      <c r="J55" s="9">
        <v>5</v>
      </c>
      <c r="K55" s="9" t="s">
        <v>8736</v>
      </c>
      <c r="L55" s="9" t="s">
        <v>8690</v>
      </c>
      <c r="M55" s="9"/>
      <c r="N55" s="10"/>
      <c r="O55" s="9"/>
      <c r="P55" s="9">
        <v>340</v>
      </c>
      <c r="Q55" s="9">
        <f t="shared" si="0"/>
        <v>43.740592556380335</v>
      </c>
      <c r="R55" s="9"/>
      <c r="S55" s="9" t="s">
        <v>9321</v>
      </c>
      <c r="T55" s="9" t="s">
        <v>9321</v>
      </c>
      <c r="U55" s="9"/>
      <c r="V55" s="9"/>
      <c r="W55" s="9"/>
      <c r="X55" s="9"/>
      <c r="Y55" s="9"/>
      <c r="Z55" s="9"/>
      <c r="AA55" s="9"/>
      <c r="AB55" s="9"/>
      <c r="AC55" s="9"/>
      <c r="AD55" s="9"/>
    </row>
    <row r="56" spans="1:30" ht="29">
      <c r="A56" s="3" t="s">
        <v>169</v>
      </c>
      <c r="B56" s="3" t="s">
        <v>4107</v>
      </c>
      <c r="C56" s="3" t="s">
        <v>4108</v>
      </c>
      <c r="F56" t="s">
        <v>3884</v>
      </c>
      <c r="G56" s="9" t="s">
        <v>3889</v>
      </c>
      <c r="H56" s="9"/>
      <c r="I56" s="9">
        <v>1</v>
      </c>
      <c r="J56" s="9">
        <v>3</v>
      </c>
      <c r="K56" s="9" t="s">
        <v>8709</v>
      </c>
      <c r="L56" s="9" t="s">
        <v>8690</v>
      </c>
      <c r="M56" s="9"/>
      <c r="N56" s="10"/>
      <c r="O56" s="9"/>
      <c r="P56" s="9">
        <v>698</v>
      </c>
      <c r="Q56" s="9">
        <f t="shared" si="0"/>
        <v>89.796863542216116</v>
      </c>
      <c r="R56" s="9"/>
      <c r="S56" s="9" t="s">
        <v>9321</v>
      </c>
      <c r="T56" s="9" t="s">
        <v>9321</v>
      </c>
      <c r="U56" s="9"/>
      <c r="V56" s="9"/>
      <c r="W56" s="9"/>
      <c r="X56" s="9"/>
      <c r="Y56" s="9"/>
      <c r="Z56" s="9"/>
      <c r="AA56" s="9"/>
      <c r="AB56" s="9"/>
      <c r="AC56" s="9"/>
      <c r="AD56" s="9"/>
    </row>
    <row r="57" spans="1:30" ht="159.5">
      <c r="A57" s="3" t="s">
        <v>169</v>
      </c>
      <c r="B57" s="3" t="s">
        <v>8850</v>
      </c>
      <c r="C57" s="3" t="s">
        <v>8851</v>
      </c>
      <c r="G57" s="9" t="s">
        <v>3885</v>
      </c>
      <c r="H57" s="9"/>
      <c r="I57" s="9">
        <v>4</v>
      </c>
      <c r="J57" s="9">
        <v>19</v>
      </c>
      <c r="K57" s="9"/>
      <c r="L57" s="9" t="s">
        <v>8684</v>
      </c>
      <c r="M57" s="9" t="s">
        <v>8847</v>
      </c>
      <c r="N57" s="10" t="s">
        <v>8852</v>
      </c>
      <c r="O57" s="9"/>
      <c r="P57" s="9">
        <v>3</v>
      </c>
      <c r="Q57" s="9">
        <f t="shared" si="0"/>
        <v>0.38594640490923826</v>
      </c>
      <c r="R57" s="9"/>
      <c r="S57" s="9" t="s">
        <v>9321</v>
      </c>
      <c r="T57" s="9" t="s">
        <v>9321</v>
      </c>
      <c r="U57" s="9"/>
      <c r="V57" s="9"/>
      <c r="W57" s="9"/>
      <c r="X57" s="9"/>
      <c r="Y57" s="9"/>
      <c r="Z57" s="9"/>
      <c r="AA57" s="9"/>
      <c r="AB57" s="9"/>
      <c r="AC57" s="9"/>
      <c r="AD57" s="9"/>
    </row>
    <row r="58" spans="1:30" ht="29">
      <c r="A58" s="3" t="s">
        <v>171</v>
      </c>
      <c r="B58" s="3" t="s">
        <v>4111</v>
      </c>
      <c r="C58" s="3" t="s">
        <v>4112</v>
      </c>
      <c r="G58" s="9" t="s">
        <v>3889</v>
      </c>
      <c r="H58" s="9"/>
      <c r="I58" s="9">
        <v>1</v>
      </c>
      <c r="J58" s="9">
        <v>2</v>
      </c>
      <c r="K58" s="9" t="s">
        <v>8689</v>
      </c>
      <c r="L58" s="9" t="s">
        <v>8690</v>
      </c>
      <c r="M58" s="9"/>
      <c r="N58" s="10"/>
      <c r="O58" s="9" t="s">
        <v>8685</v>
      </c>
      <c r="P58" s="9">
        <v>10929</v>
      </c>
      <c r="Q58" s="9">
        <f t="shared" si="0"/>
        <v>1406.0027530843549</v>
      </c>
      <c r="R58" s="9"/>
      <c r="S58" s="9" t="s">
        <v>9321</v>
      </c>
      <c r="T58" s="9" t="s">
        <v>9321</v>
      </c>
      <c r="U58" s="9"/>
      <c r="V58" s="9"/>
      <c r="W58" s="9"/>
      <c r="X58" s="9"/>
      <c r="Y58" s="9"/>
      <c r="Z58" s="9"/>
      <c r="AA58" s="9"/>
      <c r="AB58" s="9"/>
      <c r="AC58" s="9"/>
      <c r="AD58" s="9"/>
    </row>
    <row r="59" spans="1:30" ht="43.5">
      <c r="A59" s="3" t="s">
        <v>174</v>
      </c>
      <c r="B59" s="3" t="s">
        <v>8853</v>
      </c>
      <c r="C59" s="3" t="s">
        <v>8854</v>
      </c>
      <c r="G59" s="9" t="s">
        <v>3889</v>
      </c>
      <c r="H59" s="9"/>
      <c r="I59" s="9">
        <v>1</v>
      </c>
      <c r="J59" s="9">
        <v>1</v>
      </c>
      <c r="K59" s="9" t="s">
        <v>8689</v>
      </c>
      <c r="L59" s="9" t="s">
        <v>8730</v>
      </c>
      <c r="M59" s="9"/>
      <c r="N59" s="10"/>
      <c r="O59" s="9"/>
      <c r="P59" s="9">
        <v>10929</v>
      </c>
      <c r="Q59" s="9">
        <f t="shared" si="0"/>
        <v>1406.0027530843549</v>
      </c>
      <c r="R59" s="9"/>
      <c r="S59" s="9" t="s">
        <v>9321</v>
      </c>
      <c r="T59" s="9" t="s">
        <v>9321</v>
      </c>
      <c r="U59" s="9"/>
      <c r="V59" s="9"/>
      <c r="W59" s="9"/>
      <c r="X59" s="9"/>
      <c r="Y59" s="9"/>
      <c r="Z59" s="9"/>
      <c r="AA59" s="9"/>
      <c r="AB59" s="9"/>
      <c r="AC59" s="9"/>
      <c r="AD59" s="9"/>
    </row>
    <row r="60" spans="1:30" ht="29">
      <c r="A60" s="3" t="s">
        <v>183</v>
      </c>
      <c r="B60" s="3" t="s">
        <v>4122</v>
      </c>
      <c r="C60" s="3" t="s">
        <v>4123</v>
      </c>
      <c r="G60" s="9" t="s">
        <v>3885</v>
      </c>
      <c r="H60" s="9"/>
      <c r="I60" s="9">
        <v>1</v>
      </c>
      <c r="J60" s="9">
        <v>2</v>
      </c>
      <c r="K60" s="9" t="s">
        <v>8707</v>
      </c>
      <c r="L60" s="9" t="s">
        <v>8730</v>
      </c>
      <c r="M60" s="9"/>
      <c r="N60" s="10"/>
      <c r="O60" s="9"/>
      <c r="P60" s="9">
        <v>1942</v>
      </c>
      <c r="Q60" s="9">
        <f t="shared" si="0"/>
        <v>249.83597277791355</v>
      </c>
      <c r="R60" s="9"/>
      <c r="S60" s="9" t="s">
        <v>9321</v>
      </c>
      <c r="T60" s="9" t="s">
        <v>9321</v>
      </c>
      <c r="U60" s="9"/>
      <c r="V60" s="9"/>
      <c r="W60" s="9"/>
      <c r="X60" s="9"/>
      <c r="Y60" s="9"/>
      <c r="Z60" s="9"/>
      <c r="AA60" s="9"/>
      <c r="AB60" s="9"/>
      <c r="AC60" s="9"/>
      <c r="AD60" s="9"/>
    </row>
    <row r="61" spans="1:30" ht="72.5">
      <c r="A61" s="3" t="s">
        <v>185</v>
      </c>
      <c r="B61" s="3" t="s">
        <v>4124</v>
      </c>
      <c r="C61" s="3" t="s">
        <v>4125</v>
      </c>
      <c r="G61" s="9" t="s">
        <v>3889</v>
      </c>
      <c r="H61" s="9"/>
      <c r="I61" s="9">
        <v>1</v>
      </c>
      <c r="J61" s="9">
        <v>7</v>
      </c>
      <c r="K61" s="9" t="s">
        <v>8703</v>
      </c>
      <c r="L61" s="9" t="s">
        <v>8684</v>
      </c>
      <c r="M61" s="9" t="s">
        <v>8771</v>
      </c>
      <c r="N61" s="10" t="s">
        <v>8778</v>
      </c>
      <c r="O61" s="9"/>
      <c r="P61" s="9">
        <v>16</v>
      </c>
      <c r="Q61" s="9">
        <f t="shared" si="0"/>
        <v>2.0583808261826042</v>
      </c>
      <c r="R61" s="9"/>
      <c r="S61" s="9" t="s">
        <v>9321</v>
      </c>
      <c r="T61" s="9" t="s">
        <v>9321</v>
      </c>
      <c r="U61" s="9"/>
      <c r="V61" s="9"/>
      <c r="W61" s="9"/>
      <c r="X61" s="9"/>
      <c r="Y61" s="9"/>
      <c r="Z61" s="9"/>
      <c r="AA61" s="9"/>
      <c r="AB61" s="9"/>
      <c r="AC61" s="9"/>
      <c r="AD61" s="9"/>
    </row>
    <row r="62" spans="1:30" ht="58">
      <c r="A62" s="3" t="s">
        <v>192</v>
      </c>
      <c r="B62" s="3" t="s">
        <v>4130</v>
      </c>
      <c r="C62" s="3" t="s">
        <v>8863</v>
      </c>
      <c r="F62" t="s">
        <v>3888</v>
      </c>
      <c r="G62" s="9" t="s">
        <v>3885</v>
      </c>
      <c r="H62" s="9"/>
      <c r="I62" s="9">
        <v>1</v>
      </c>
      <c r="J62" s="9">
        <v>1</v>
      </c>
      <c r="K62" s="9" t="s">
        <v>8689</v>
      </c>
      <c r="L62" s="9" t="s">
        <v>8730</v>
      </c>
      <c r="M62" s="9"/>
      <c r="N62" s="10"/>
      <c r="O62" s="9"/>
      <c r="P62" s="9">
        <v>10929</v>
      </c>
      <c r="Q62" s="9">
        <f t="shared" si="0"/>
        <v>1406.0027530843549</v>
      </c>
      <c r="R62" s="9"/>
      <c r="S62" s="9" t="s">
        <v>9321</v>
      </c>
      <c r="T62" s="9" t="s">
        <v>9321</v>
      </c>
      <c r="U62" s="9" t="s">
        <v>8728</v>
      </c>
      <c r="V62" s="9"/>
      <c r="W62" s="9"/>
      <c r="X62" s="9"/>
      <c r="Y62" s="9"/>
      <c r="Z62" s="9"/>
      <c r="AA62" s="9"/>
      <c r="AB62" s="9"/>
      <c r="AC62" s="9"/>
      <c r="AD62" s="9"/>
    </row>
    <row r="63" spans="1:30" ht="43.5">
      <c r="A63" s="3" t="s">
        <v>195</v>
      </c>
      <c r="B63" s="3" t="s">
        <v>8868</v>
      </c>
      <c r="C63" s="3" t="s">
        <v>8869</v>
      </c>
      <c r="G63" s="9" t="s">
        <v>3889</v>
      </c>
      <c r="H63" s="9"/>
      <c r="I63" s="9">
        <v>1</v>
      </c>
      <c r="J63" s="9">
        <v>1</v>
      </c>
      <c r="K63" s="9" t="s">
        <v>8689</v>
      </c>
      <c r="L63" s="9" t="s">
        <v>8730</v>
      </c>
      <c r="M63" s="9"/>
      <c r="N63" s="10"/>
      <c r="O63" s="9"/>
      <c r="P63" s="9">
        <v>10929</v>
      </c>
      <c r="Q63" s="9">
        <f t="shared" si="0"/>
        <v>1406.0027530843549</v>
      </c>
      <c r="R63" s="9"/>
      <c r="S63" s="9" t="s">
        <v>9321</v>
      </c>
      <c r="T63" s="9" t="s">
        <v>9321</v>
      </c>
      <c r="U63" s="9"/>
      <c r="V63" s="9"/>
      <c r="W63" s="9"/>
      <c r="X63" s="9"/>
      <c r="Y63" s="9"/>
      <c r="Z63" s="9"/>
      <c r="AA63" s="9"/>
      <c r="AB63" s="9"/>
      <c r="AC63" s="9"/>
      <c r="AD63" s="9"/>
    </row>
    <row r="64" spans="1:30" ht="43.5">
      <c r="A64" s="3" t="s">
        <v>199</v>
      </c>
      <c r="B64" s="3" t="s">
        <v>4139</v>
      </c>
      <c r="C64" s="3" t="s">
        <v>4140</v>
      </c>
      <c r="G64" s="9" t="s">
        <v>3889</v>
      </c>
      <c r="H64" s="9"/>
      <c r="I64" s="9">
        <v>1</v>
      </c>
      <c r="J64" s="9">
        <v>7</v>
      </c>
      <c r="K64" s="9" t="s">
        <v>8736</v>
      </c>
      <c r="L64" s="9" t="s">
        <v>8690</v>
      </c>
      <c r="M64" s="9"/>
      <c r="N64" s="10"/>
      <c r="O64" s="9"/>
      <c r="P64" s="9">
        <v>319</v>
      </c>
      <c r="Q64" s="9">
        <f t="shared" si="0"/>
        <v>41.03896772201567</v>
      </c>
      <c r="R64" s="9"/>
      <c r="S64" s="9" t="s">
        <v>9321</v>
      </c>
      <c r="T64" s="9" t="s">
        <v>9321</v>
      </c>
      <c r="U64" s="9"/>
      <c r="V64" s="9"/>
      <c r="W64" s="9"/>
      <c r="X64" s="9"/>
      <c r="Y64" s="9"/>
      <c r="Z64" s="9"/>
      <c r="AA64" s="9"/>
      <c r="AB64" s="9"/>
      <c r="AC64" s="9"/>
      <c r="AD64" s="9"/>
    </row>
    <row r="65" spans="1:30" ht="29">
      <c r="A65" s="3" t="s">
        <v>201</v>
      </c>
      <c r="B65" s="3" t="s">
        <v>4143</v>
      </c>
      <c r="C65" s="3" t="s">
        <v>4144</v>
      </c>
      <c r="G65" s="9" t="s">
        <v>3889</v>
      </c>
      <c r="H65" s="9"/>
      <c r="I65" s="9">
        <v>1</v>
      </c>
      <c r="J65" s="9">
        <v>2</v>
      </c>
      <c r="K65" s="9" t="s">
        <v>8689</v>
      </c>
      <c r="L65" s="9" t="s">
        <v>8730</v>
      </c>
      <c r="M65" s="9"/>
      <c r="N65" s="10"/>
      <c r="O65" s="9"/>
      <c r="P65" s="9">
        <v>10929</v>
      </c>
      <c r="Q65" s="9">
        <f t="shared" si="0"/>
        <v>1406.0027530843549</v>
      </c>
      <c r="R65" s="9"/>
      <c r="S65" s="9" t="s">
        <v>9321</v>
      </c>
      <c r="T65" s="9" t="s">
        <v>9321</v>
      </c>
      <c r="U65" s="9" t="s">
        <v>8728</v>
      </c>
      <c r="V65" s="9"/>
      <c r="W65" s="9"/>
      <c r="X65" s="9"/>
      <c r="Y65" s="9"/>
      <c r="Z65" s="9"/>
      <c r="AA65" s="9"/>
      <c r="AB65" s="9"/>
      <c r="AC65" s="9"/>
      <c r="AD65" s="9"/>
    </row>
    <row r="66" spans="1:30" ht="58">
      <c r="A66" s="3" t="s">
        <v>201</v>
      </c>
      <c r="B66" s="3" t="s">
        <v>9576</v>
      </c>
      <c r="C66" s="4" t="s">
        <v>9577</v>
      </c>
      <c r="D66" t="s">
        <v>4197</v>
      </c>
      <c r="G66" s="9" t="s">
        <v>3889</v>
      </c>
      <c r="H66" s="9"/>
      <c r="I66" s="9">
        <v>1</v>
      </c>
      <c r="J66" s="9">
        <v>2</v>
      </c>
      <c r="K66" s="9" t="s">
        <v>8689</v>
      </c>
      <c r="L66" s="9" t="s">
        <v>8730</v>
      </c>
      <c r="M66" s="9"/>
      <c r="N66" s="10"/>
      <c r="O66" s="9"/>
      <c r="P66" s="9">
        <v>10929</v>
      </c>
      <c r="Q66" s="9">
        <f t="shared" si="0"/>
        <v>1406.0027530843549</v>
      </c>
      <c r="R66" s="9"/>
      <c r="S66" s="9" t="s">
        <v>9321</v>
      </c>
      <c r="T66" s="9" t="s">
        <v>9321</v>
      </c>
      <c r="U66" s="9"/>
      <c r="V66" s="9"/>
      <c r="W66" s="9"/>
      <c r="X66" s="9"/>
      <c r="Y66" s="9"/>
      <c r="Z66" s="9"/>
      <c r="AA66" s="9"/>
      <c r="AB66" s="9"/>
      <c r="AC66" s="9"/>
      <c r="AD66" s="9"/>
    </row>
    <row r="67" spans="1:30" ht="58">
      <c r="A67" s="3" t="s">
        <v>201</v>
      </c>
      <c r="B67" s="3" t="s">
        <v>9578</v>
      </c>
      <c r="C67" s="3" t="s">
        <v>8870</v>
      </c>
      <c r="G67" s="9" t="s">
        <v>3889</v>
      </c>
      <c r="H67" s="9"/>
      <c r="I67" s="9">
        <v>1</v>
      </c>
      <c r="J67" s="9">
        <v>2</v>
      </c>
      <c r="K67" s="9" t="s">
        <v>8689</v>
      </c>
      <c r="L67" s="9" t="s">
        <v>8730</v>
      </c>
      <c r="M67" s="9"/>
      <c r="N67" s="10"/>
      <c r="O67" s="9"/>
      <c r="P67" s="9">
        <v>10929</v>
      </c>
      <c r="Q67" s="9">
        <f t="shared" ref="Q67:Q130" si="1">IF(ISNUMBER(P67), (P67/$E$601)*10000, "")</f>
        <v>1406.0027530843549</v>
      </c>
      <c r="R67" s="9"/>
      <c r="S67" s="9" t="s">
        <v>9321</v>
      </c>
      <c r="T67" s="9" t="s">
        <v>9321</v>
      </c>
      <c r="U67" s="9"/>
      <c r="V67" s="9"/>
      <c r="W67" s="9"/>
      <c r="X67" s="9"/>
      <c r="Y67" s="9"/>
      <c r="Z67" s="9"/>
      <c r="AA67" s="9"/>
      <c r="AB67" s="9"/>
      <c r="AC67" s="9"/>
      <c r="AD67" s="9"/>
    </row>
    <row r="68" spans="1:30" ht="29">
      <c r="A68" s="3" t="s">
        <v>202</v>
      </c>
      <c r="B68" s="3" t="s">
        <v>4143</v>
      </c>
      <c r="C68" s="3" t="s">
        <v>4144</v>
      </c>
      <c r="G68" s="9" t="s">
        <v>3889</v>
      </c>
      <c r="H68" s="9"/>
      <c r="I68" s="9">
        <v>1</v>
      </c>
      <c r="J68" s="9">
        <v>2</v>
      </c>
      <c r="K68" s="9" t="s">
        <v>8689</v>
      </c>
      <c r="L68" s="9" t="s">
        <v>8730</v>
      </c>
      <c r="M68" s="9"/>
      <c r="N68" s="10"/>
      <c r="O68" s="9"/>
      <c r="P68" s="9">
        <v>10929</v>
      </c>
      <c r="Q68" s="9">
        <f t="shared" si="1"/>
        <v>1406.0027530843549</v>
      </c>
      <c r="R68" s="9"/>
      <c r="S68" s="9" t="s">
        <v>9321</v>
      </c>
      <c r="T68" s="9" t="s">
        <v>9321</v>
      </c>
      <c r="U68" s="9" t="s">
        <v>8728</v>
      </c>
      <c r="V68" s="9"/>
      <c r="W68" s="9"/>
      <c r="X68" s="9"/>
      <c r="Y68" s="9"/>
      <c r="Z68" s="9"/>
      <c r="AA68" s="9"/>
      <c r="AB68" s="9"/>
      <c r="AC68" s="9"/>
      <c r="AD68" s="9"/>
    </row>
    <row r="69" spans="1:30" ht="29">
      <c r="A69" s="3" t="s">
        <v>203</v>
      </c>
      <c r="B69" s="3" t="s">
        <v>8872</v>
      </c>
      <c r="C69" s="3" t="s">
        <v>8871</v>
      </c>
      <c r="F69" t="s">
        <v>3884</v>
      </c>
      <c r="G69" s="9" t="s">
        <v>3885</v>
      </c>
      <c r="H69" s="9"/>
      <c r="I69" s="9">
        <v>1</v>
      </c>
      <c r="J69" s="9">
        <v>1</v>
      </c>
      <c r="K69" s="9" t="s">
        <v>8689</v>
      </c>
      <c r="L69" s="9" t="s">
        <v>8730</v>
      </c>
      <c r="M69" s="9"/>
      <c r="N69" s="10"/>
      <c r="O69" s="9"/>
      <c r="P69" s="9">
        <v>10929</v>
      </c>
      <c r="Q69" s="9">
        <f t="shared" si="1"/>
        <v>1406.0027530843549</v>
      </c>
      <c r="R69" s="9"/>
      <c r="S69" s="9" t="s">
        <v>9321</v>
      </c>
      <c r="T69" s="9" t="s">
        <v>9321</v>
      </c>
      <c r="U69" s="9"/>
      <c r="V69" s="9"/>
      <c r="W69" s="9"/>
      <c r="X69" s="9"/>
      <c r="Y69" s="9"/>
      <c r="Z69" s="9"/>
      <c r="AA69" s="9"/>
      <c r="AB69" s="9"/>
      <c r="AC69" s="9"/>
      <c r="AD69" s="9"/>
    </row>
    <row r="70" spans="1:30" ht="29">
      <c r="A70" s="3" t="s">
        <v>206</v>
      </c>
      <c r="B70" s="3" t="s">
        <v>8877</v>
      </c>
      <c r="C70" s="3" t="s">
        <v>8878</v>
      </c>
      <c r="F70" t="s">
        <v>3884</v>
      </c>
      <c r="G70" s="9" t="s">
        <v>3889</v>
      </c>
      <c r="H70" s="9"/>
      <c r="I70" s="9">
        <v>1</v>
      </c>
      <c r="J70" s="9">
        <v>1</v>
      </c>
      <c r="K70" s="9" t="s">
        <v>8689</v>
      </c>
      <c r="L70" s="9" t="s">
        <v>8730</v>
      </c>
      <c r="M70" s="9"/>
      <c r="N70" s="10"/>
      <c r="O70" s="9"/>
      <c r="P70" s="9">
        <v>10929</v>
      </c>
      <c r="Q70" s="9">
        <f t="shared" si="1"/>
        <v>1406.0027530843549</v>
      </c>
      <c r="R70" s="9"/>
      <c r="S70" s="9" t="s">
        <v>9321</v>
      </c>
      <c r="T70" s="9" t="s">
        <v>9321</v>
      </c>
      <c r="U70" s="9"/>
      <c r="V70" s="9"/>
      <c r="W70" s="9"/>
      <c r="X70" s="9"/>
      <c r="Y70" s="9"/>
      <c r="Z70" s="9"/>
      <c r="AA70" s="9"/>
      <c r="AB70" s="9"/>
      <c r="AC70" s="9"/>
      <c r="AD70" s="9"/>
    </row>
    <row r="71" spans="1:30" ht="72.5">
      <c r="A71" s="3" t="s">
        <v>207</v>
      </c>
      <c r="B71" s="3" t="s">
        <v>8879</v>
      </c>
      <c r="C71" s="3" t="s">
        <v>8880</v>
      </c>
      <c r="G71" s="9" t="s">
        <v>3889</v>
      </c>
      <c r="H71" s="9"/>
      <c r="I71" s="9">
        <v>1</v>
      </c>
      <c r="J71" s="9">
        <v>6</v>
      </c>
      <c r="K71" s="9" t="s">
        <v>8683</v>
      </c>
      <c r="L71" s="9" t="s">
        <v>8690</v>
      </c>
      <c r="M71" s="9"/>
      <c r="N71" s="10"/>
      <c r="O71" s="9"/>
      <c r="P71" s="9">
        <v>520</v>
      </c>
      <c r="Q71" s="9">
        <f t="shared" si="1"/>
        <v>66.897376850934634</v>
      </c>
      <c r="R71" s="9"/>
      <c r="S71" s="9" t="s">
        <v>9321</v>
      </c>
      <c r="T71" s="9" t="s">
        <v>9321</v>
      </c>
      <c r="U71" s="9"/>
      <c r="V71" s="9"/>
      <c r="W71" s="9"/>
      <c r="X71" s="9"/>
      <c r="Y71" s="9"/>
      <c r="Z71" s="9"/>
      <c r="AA71" s="9"/>
      <c r="AB71" s="9"/>
      <c r="AC71" s="9"/>
      <c r="AD71" s="9"/>
    </row>
    <row r="72" spans="1:30" ht="58">
      <c r="A72" s="3" t="s">
        <v>209</v>
      </c>
      <c r="B72" s="3" t="s">
        <v>8881</v>
      </c>
      <c r="C72" s="3" t="s">
        <v>8882</v>
      </c>
      <c r="G72" s="9" t="s">
        <v>3889</v>
      </c>
      <c r="H72" s="9"/>
      <c r="I72" s="9">
        <v>1</v>
      </c>
      <c r="J72" s="9">
        <v>7</v>
      </c>
      <c r="K72" s="9" t="s">
        <v>8695</v>
      </c>
      <c r="L72" s="9" t="s">
        <v>8690</v>
      </c>
      <c r="M72" s="9"/>
      <c r="N72" s="10"/>
      <c r="O72" s="9"/>
      <c r="P72" s="9">
        <v>17</v>
      </c>
      <c r="Q72" s="9">
        <f t="shared" si="1"/>
        <v>2.1870296278190167</v>
      </c>
      <c r="R72" s="9"/>
      <c r="S72" s="9" t="s">
        <v>9321</v>
      </c>
      <c r="T72" s="9" t="s">
        <v>9321</v>
      </c>
      <c r="U72" s="9"/>
      <c r="V72" s="9"/>
      <c r="W72" s="9"/>
      <c r="X72" s="9"/>
      <c r="Y72" s="9"/>
      <c r="Z72" s="9"/>
      <c r="AA72" s="9"/>
      <c r="AB72" s="9"/>
      <c r="AC72" s="9"/>
      <c r="AD72" s="9"/>
    </row>
    <row r="73" spans="1:30" ht="43.5">
      <c r="A73" s="3" t="s">
        <v>210</v>
      </c>
      <c r="B73" s="3" t="s">
        <v>4148</v>
      </c>
      <c r="C73" s="3" t="s">
        <v>4149</v>
      </c>
      <c r="F73" t="s">
        <v>3884</v>
      </c>
      <c r="G73" s="9" t="s">
        <v>3889</v>
      </c>
      <c r="H73" s="9"/>
      <c r="I73" s="9">
        <v>1</v>
      </c>
      <c r="J73" s="9">
        <v>2</v>
      </c>
      <c r="K73" s="9" t="s">
        <v>8689</v>
      </c>
      <c r="L73" s="9" t="s">
        <v>8730</v>
      </c>
      <c r="M73" s="9"/>
      <c r="N73" s="10"/>
      <c r="O73" s="9"/>
      <c r="P73" s="9">
        <v>10929</v>
      </c>
      <c r="Q73" s="9">
        <f t="shared" si="1"/>
        <v>1406.0027530843549</v>
      </c>
      <c r="R73" s="9"/>
      <c r="S73" s="9" t="s">
        <v>9321</v>
      </c>
      <c r="T73" s="9" t="s">
        <v>9321</v>
      </c>
      <c r="U73" s="9"/>
      <c r="V73" s="9"/>
      <c r="W73" s="9"/>
      <c r="X73" s="9"/>
      <c r="Y73" s="9"/>
      <c r="Z73" s="9"/>
      <c r="AA73" s="9"/>
      <c r="AB73" s="9"/>
      <c r="AC73" s="9"/>
      <c r="AD73" s="9"/>
    </row>
    <row r="74" spans="1:30" ht="43.5">
      <c r="A74" s="3" t="s">
        <v>211</v>
      </c>
      <c r="B74" s="3" t="s">
        <v>9580</v>
      </c>
      <c r="C74" s="3" t="s">
        <v>9581</v>
      </c>
      <c r="F74" t="s">
        <v>3884</v>
      </c>
      <c r="G74" s="9" t="s">
        <v>3885</v>
      </c>
      <c r="H74" s="9"/>
      <c r="I74" s="9">
        <v>1</v>
      </c>
      <c r="J74" s="9">
        <v>1</v>
      </c>
      <c r="K74" s="9" t="s">
        <v>8698</v>
      </c>
      <c r="L74" s="9" t="s">
        <v>8730</v>
      </c>
      <c r="M74" s="9"/>
      <c r="N74" s="10"/>
      <c r="O74" s="9"/>
      <c r="P74" s="9">
        <v>55</v>
      </c>
      <c r="Q74" s="9">
        <f t="shared" si="1"/>
        <v>7.075684090002702</v>
      </c>
      <c r="R74" s="9"/>
      <c r="S74" s="9" t="s">
        <v>9321</v>
      </c>
      <c r="T74" s="9" t="s">
        <v>9321</v>
      </c>
      <c r="U74" s="9"/>
      <c r="V74" s="9"/>
      <c r="W74" s="9"/>
      <c r="X74" s="9"/>
      <c r="Y74" s="9"/>
      <c r="Z74" s="9"/>
      <c r="AA74" s="9"/>
      <c r="AB74" s="9"/>
      <c r="AC74" s="9"/>
      <c r="AD74" s="9"/>
    </row>
    <row r="75" spans="1:30" ht="43.5">
      <c r="A75" s="3" t="s">
        <v>217</v>
      </c>
      <c r="B75" s="3" t="s">
        <v>4155</v>
      </c>
      <c r="C75" s="3" t="s">
        <v>4156</v>
      </c>
      <c r="G75" s="9" t="s">
        <v>3885</v>
      </c>
      <c r="H75" s="9"/>
      <c r="I75" s="9">
        <v>1</v>
      </c>
      <c r="J75" s="9">
        <v>3</v>
      </c>
      <c r="K75" s="9" t="s">
        <v>8689</v>
      </c>
      <c r="L75" s="9" t="s">
        <v>8690</v>
      </c>
      <c r="M75" s="9"/>
      <c r="N75" s="10"/>
      <c r="O75" s="9"/>
      <c r="P75" s="9">
        <v>10929</v>
      </c>
      <c r="Q75" s="9">
        <f t="shared" si="1"/>
        <v>1406.0027530843549</v>
      </c>
      <c r="R75" s="9"/>
      <c r="S75" s="9" t="s">
        <v>9321</v>
      </c>
      <c r="T75" s="9" t="s">
        <v>9321</v>
      </c>
      <c r="U75" s="9"/>
      <c r="V75" s="9"/>
      <c r="W75" s="9"/>
      <c r="X75" s="9"/>
      <c r="Y75" s="9"/>
      <c r="Z75" s="9"/>
      <c r="AA75" s="9"/>
      <c r="AB75" s="9"/>
      <c r="AC75" s="9"/>
      <c r="AD75" s="9"/>
    </row>
    <row r="76" spans="1:30" ht="43.5">
      <c r="A76" s="3" t="s">
        <v>220</v>
      </c>
      <c r="B76" s="3" t="s">
        <v>4161</v>
      </c>
      <c r="C76" s="3" t="s">
        <v>4160</v>
      </c>
      <c r="F76" t="s">
        <v>3884</v>
      </c>
      <c r="G76" s="9" t="s">
        <v>3889</v>
      </c>
      <c r="H76" s="9"/>
      <c r="I76" s="9">
        <v>2</v>
      </c>
      <c r="J76" s="9">
        <v>6</v>
      </c>
      <c r="K76" s="9"/>
      <c r="L76" s="9" t="s">
        <v>8684</v>
      </c>
      <c r="M76" s="9" t="s">
        <v>8847</v>
      </c>
      <c r="N76" s="10" t="s">
        <v>8813</v>
      </c>
      <c r="O76" s="9"/>
      <c r="P76" s="9">
        <v>12</v>
      </c>
      <c r="Q76" s="9">
        <f t="shared" si="1"/>
        <v>1.543785619636953</v>
      </c>
      <c r="R76" s="9"/>
      <c r="S76" s="9" t="s">
        <v>9321</v>
      </c>
      <c r="T76" s="9" t="s">
        <v>9321</v>
      </c>
      <c r="U76" s="9"/>
      <c r="V76" s="9"/>
      <c r="W76" s="9"/>
      <c r="X76" s="9"/>
      <c r="Y76" s="9"/>
      <c r="Z76" s="9"/>
      <c r="AA76" s="9"/>
      <c r="AB76" s="9"/>
      <c r="AC76" s="9"/>
      <c r="AD76" s="9"/>
    </row>
    <row r="77" spans="1:30" ht="43.5">
      <c r="A77" s="3" t="s">
        <v>222</v>
      </c>
      <c r="B77" s="3" t="s">
        <v>8890</v>
      </c>
      <c r="C77" s="3" t="s">
        <v>8891</v>
      </c>
      <c r="G77" s="9" t="s">
        <v>3889</v>
      </c>
      <c r="H77" s="9"/>
      <c r="I77" s="9">
        <v>1</v>
      </c>
      <c r="J77" s="9">
        <v>3</v>
      </c>
      <c r="K77" s="9" t="s">
        <v>8689</v>
      </c>
      <c r="L77" s="9" t="s">
        <v>8690</v>
      </c>
      <c r="M77" s="9"/>
      <c r="N77" s="10"/>
      <c r="O77" s="9"/>
      <c r="P77" s="9">
        <v>10929</v>
      </c>
      <c r="Q77" s="9">
        <f t="shared" si="1"/>
        <v>1406.0027530843549</v>
      </c>
      <c r="R77" s="9"/>
      <c r="S77" s="9" t="s">
        <v>9321</v>
      </c>
      <c r="T77" s="9" t="s">
        <v>9321</v>
      </c>
      <c r="U77" s="9" t="s">
        <v>8728</v>
      </c>
      <c r="V77" s="9"/>
      <c r="W77" s="9"/>
      <c r="X77" s="9"/>
      <c r="Y77" s="9"/>
      <c r="Z77" s="9"/>
      <c r="AA77" s="9"/>
      <c r="AB77" s="9"/>
      <c r="AC77" s="9"/>
      <c r="AD77" s="9"/>
    </row>
    <row r="78" spans="1:30" ht="29">
      <c r="A78" s="3" t="s">
        <v>228</v>
      </c>
      <c r="B78" s="3" t="s">
        <v>4165</v>
      </c>
      <c r="C78" s="3" t="s">
        <v>4166</v>
      </c>
      <c r="F78" t="s">
        <v>3884</v>
      </c>
      <c r="G78" s="9" t="s">
        <v>3889</v>
      </c>
      <c r="H78" s="9"/>
      <c r="I78" s="9">
        <v>1</v>
      </c>
      <c r="J78" s="9">
        <v>2</v>
      </c>
      <c r="K78" s="9" t="s">
        <v>8689</v>
      </c>
      <c r="L78" s="9" t="s">
        <v>8730</v>
      </c>
      <c r="M78" s="9"/>
      <c r="N78" s="10"/>
      <c r="O78" s="9"/>
      <c r="P78" s="9">
        <v>10929</v>
      </c>
      <c r="Q78" s="9">
        <f t="shared" si="1"/>
        <v>1406.0027530843549</v>
      </c>
      <c r="R78" s="9"/>
      <c r="S78" s="9" t="s">
        <v>9321</v>
      </c>
      <c r="T78" s="9" t="s">
        <v>9321</v>
      </c>
      <c r="U78" s="9"/>
      <c r="V78" s="9"/>
      <c r="W78" s="9"/>
      <c r="X78" s="9"/>
      <c r="Y78" s="9"/>
      <c r="Z78" s="9"/>
      <c r="AA78" s="9"/>
      <c r="AB78" s="9"/>
      <c r="AC78" s="9"/>
      <c r="AD78" s="9"/>
    </row>
    <row r="79" spans="1:30" ht="87">
      <c r="A79" s="3" t="s">
        <v>230</v>
      </c>
      <c r="B79" s="3" t="s">
        <v>4167</v>
      </c>
      <c r="C79" s="3" t="s">
        <v>4168</v>
      </c>
      <c r="F79" t="s">
        <v>3884</v>
      </c>
      <c r="G79" s="9" t="s">
        <v>3889</v>
      </c>
      <c r="H79" s="9"/>
      <c r="I79" s="9">
        <v>2</v>
      </c>
      <c r="J79" s="9">
        <v>11</v>
      </c>
      <c r="K79" s="9"/>
      <c r="L79" s="9" t="s">
        <v>8684</v>
      </c>
      <c r="M79" s="9" t="s">
        <v>8740</v>
      </c>
      <c r="N79" s="10" t="s">
        <v>8892</v>
      </c>
      <c r="O79" s="9"/>
      <c r="P79" s="9">
        <v>132</v>
      </c>
      <c r="Q79" s="9">
        <f t="shared" si="1"/>
        <v>16.981641816006483</v>
      </c>
      <c r="R79" s="9"/>
      <c r="S79" s="9" t="s">
        <v>9321</v>
      </c>
      <c r="T79" s="9" t="s">
        <v>9321</v>
      </c>
      <c r="U79" s="9"/>
      <c r="V79" s="9"/>
      <c r="W79" s="9"/>
      <c r="X79" s="9"/>
      <c r="Y79" s="9"/>
      <c r="Z79" s="9"/>
      <c r="AA79" s="9"/>
      <c r="AB79" s="9"/>
      <c r="AC79" s="9"/>
      <c r="AD79" s="9"/>
    </row>
    <row r="80" spans="1:30" ht="29">
      <c r="A80" s="3" t="s">
        <v>231</v>
      </c>
      <c r="B80" s="3" t="s">
        <v>4169</v>
      </c>
      <c r="C80" s="3" t="s">
        <v>4170</v>
      </c>
      <c r="F80" t="s">
        <v>3884</v>
      </c>
      <c r="G80" s="9" t="s">
        <v>3885</v>
      </c>
      <c r="H80" s="9"/>
      <c r="I80" s="9">
        <v>1</v>
      </c>
      <c r="J80" s="9">
        <v>3</v>
      </c>
      <c r="K80" s="9" t="s">
        <v>8689</v>
      </c>
      <c r="L80" s="9" t="s">
        <v>8690</v>
      </c>
      <c r="M80" s="9"/>
      <c r="N80" s="10"/>
      <c r="O80" s="9"/>
      <c r="P80" s="9">
        <v>10929</v>
      </c>
      <c r="Q80" s="9">
        <f t="shared" si="1"/>
        <v>1406.0027530843549</v>
      </c>
      <c r="R80" s="9"/>
      <c r="S80" s="9" t="s">
        <v>9321</v>
      </c>
      <c r="T80" s="9" t="s">
        <v>9321</v>
      </c>
      <c r="U80" s="9"/>
      <c r="V80" s="9"/>
      <c r="W80" s="9"/>
      <c r="X80" s="9"/>
      <c r="Y80" s="9"/>
      <c r="Z80" s="9"/>
      <c r="AA80" s="9"/>
      <c r="AB80" s="9"/>
      <c r="AC80" s="9"/>
      <c r="AD80" s="9"/>
    </row>
    <row r="81" spans="1:30" ht="72.5">
      <c r="A81" s="3" t="s">
        <v>235</v>
      </c>
      <c r="B81" s="3" t="s">
        <v>4171</v>
      </c>
      <c r="C81" s="3" t="s">
        <v>4172</v>
      </c>
      <c r="G81" s="9" t="s">
        <v>3889</v>
      </c>
      <c r="H81" s="9"/>
      <c r="I81" s="9">
        <v>1</v>
      </c>
      <c r="J81" s="9">
        <v>5</v>
      </c>
      <c r="K81" s="9" t="s">
        <v>8703</v>
      </c>
      <c r="L81" s="9" t="s">
        <v>8690</v>
      </c>
      <c r="M81" s="9"/>
      <c r="N81" s="10"/>
      <c r="O81" s="9"/>
      <c r="P81" s="9">
        <v>336</v>
      </c>
      <c r="Q81" s="9">
        <f t="shared" si="1"/>
        <v>43.225997349834692</v>
      </c>
      <c r="R81" s="9"/>
      <c r="S81" s="9" t="s">
        <v>9321</v>
      </c>
      <c r="T81" s="9" t="s">
        <v>9321</v>
      </c>
      <c r="U81" s="9"/>
      <c r="V81" s="9"/>
      <c r="W81" s="9"/>
      <c r="X81" s="9"/>
      <c r="Y81" s="9"/>
      <c r="Z81" s="9"/>
      <c r="AA81" s="9"/>
      <c r="AB81" s="9"/>
      <c r="AC81" s="9"/>
      <c r="AD81" s="9"/>
    </row>
    <row r="82" spans="1:30" ht="58">
      <c r="A82" s="3" t="s">
        <v>236</v>
      </c>
      <c r="B82" s="3" t="s">
        <v>4173</v>
      </c>
      <c r="C82" s="3" t="s">
        <v>4174</v>
      </c>
      <c r="G82" s="9" t="s">
        <v>3889</v>
      </c>
      <c r="H82" s="9"/>
      <c r="I82" s="9">
        <v>1</v>
      </c>
      <c r="J82" s="9">
        <v>5</v>
      </c>
      <c r="K82" s="9" t="s">
        <v>8705</v>
      </c>
      <c r="L82" s="9" t="s">
        <v>8690</v>
      </c>
      <c r="M82" s="9"/>
      <c r="N82" s="10"/>
      <c r="O82" s="9"/>
      <c r="P82" s="9">
        <v>3678</v>
      </c>
      <c r="Q82" s="9">
        <f t="shared" si="1"/>
        <v>473.17029241872609</v>
      </c>
      <c r="R82" s="9"/>
      <c r="S82" s="9" t="s">
        <v>9321</v>
      </c>
      <c r="T82" s="9" t="s">
        <v>9321</v>
      </c>
      <c r="U82" s="9"/>
      <c r="V82" s="9"/>
      <c r="W82" s="9"/>
      <c r="X82" s="9"/>
      <c r="Y82" s="9"/>
      <c r="Z82" s="9"/>
      <c r="AA82" s="9"/>
      <c r="AB82" s="9"/>
      <c r="AC82" s="9"/>
      <c r="AD82" s="9"/>
    </row>
    <row r="83" spans="1:30" ht="72.5">
      <c r="A83" s="3" t="s">
        <v>237</v>
      </c>
      <c r="B83" s="3" t="s">
        <v>8899</v>
      </c>
      <c r="C83" s="3" t="s">
        <v>9582</v>
      </c>
      <c r="G83" s="9" t="s">
        <v>3889</v>
      </c>
      <c r="H83" s="9"/>
      <c r="I83" s="9">
        <v>1</v>
      </c>
      <c r="J83" s="9">
        <v>5</v>
      </c>
      <c r="K83" s="9" t="s">
        <v>8736</v>
      </c>
      <c r="L83" s="9" t="s">
        <v>8690</v>
      </c>
      <c r="M83" s="9"/>
      <c r="N83" s="10"/>
      <c r="O83" s="9"/>
      <c r="P83" s="9">
        <v>645</v>
      </c>
      <c r="Q83" s="9">
        <f t="shared" si="1"/>
        <v>82.978477055486238</v>
      </c>
      <c r="R83" s="9"/>
      <c r="S83" s="9" t="s">
        <v>9321</v>
      </c>
      <c r="T83" s="9" t="s">
        <v>9321</v>
      </c>
      <c r="U83" s="9"/>
      <c r="V83" s="9"/>
      <c r="W83" s="9"/>
      <c r="X83" s="9"/>
      <c r="Y83" s="9"/>
      <c r="Z83" s="9"/>
      <c r="AA83" s="9"/>
      <c r="AB83" s="9"/>
      <c r="AC83" s="9"/>
      <c r="AD83" s="9"/>
    </row>
    <row r="84" spans="1:30" ht="101.5">
      <c r="A84" s="3" t="s">
        <v>238</v>
      </c>
      <c r="B84" s="3" t="s">
        <v>4177</v>
      </c>
      <c r="C84" s="3" t="s">
        <v>4178</v>
      </c>
      <c r="F84" t="s">
        <v>3888</v>
      </c>
      <c r="G84" s="9" t="s">
        <v>3885</v>
      </c>
      <c r="H84" s="9"/>
      <c r="I84" s="9">
        <v>3</v>
      </c>
      <c r="J84" s="9">
        <v>18</v>
      </c>
      <c r="K84" s="9"/>
      <c r="L84" s="9" t="s">
        <v>8690</v>
      </c>
      <c r="M84" s="9"/>
      <c r="N84" s="10"/>
      <c r="O84" s="9"/>
      <c r="P84" s="9">
        <v>7</v>
      </c>
      <c r="Q84" s="9">
        <f t="shared" si="1"/>
        <v>0.90054161145488931</v>
      </c>
      <c r="R84" s="9"/>
      <c r="S84" s="9" t="s">
        <v>9321</v>
      </c>
      <c r="T84" s="9" t="s">
        <v>9321</v>
      </c>
      <c r="U84" s="9" t="s">
        <v>4</v>
      </c>
      <c r="V84" s="9"/>
      <c r="W84" s="9"/>
      <c r="X84" s="9"/>
      <c r="Y84" s="9"/>
      <c r="Z84" s="9"/>
      <c r="AA84" s="9"/>
      <c r="AB84" s="9"/>
      <c r="AC84" s="9"/>
      <c r="AD84" s="9"/>
    </row>
    <row r="85" spans="1:30" ht="29">
      <c r="A85" s="3" t="s">
        <v>242</v>
      </c>
      <c r="B85" s="3" t="s">
        <v>4184</v>
      </c>
      <c r="C85" s="3" t="s">
        <v>4185</v>
      </c>
      <c r="G85" s="9" t="s">
        <v>3885</v>
      </c>
      <c r="H85" s="9"/>
      <c r="I85" s="9">
        <v>1</v>
      </c>
      <c r="J85" s="9">
        <v>3</v>
      </c>
      <c r="K85" s="9" t="s">
        <v>8689</v>
      </c>
      <c r="L85" s="9" t="s">
        <v>8690</v>
      </c>
      <c r="M85" s="9"/>
      <c r="N85" s="10"/>
      <c r="O85" s="9"/>
      <c r="P85" s="9">
        <v>10929</v>
      </c>
      <c r="Q85" s="9">
        <f t="shared" si="1"/>
        <v>1406.0027530843549</v>
      </c>
      <c r="R85" s="9"/>
      <c r="S85" s="9" t="s">
        <v>9321</v>
      </c>
      <c r="T85" s="9" t="s">
        <v>9321</v>
      </c>
      <c r="U85" s="9"/>
      <c r="V85" s="9"/>
      <c r="W85" s="9"/>
      <c r="X85" s="9"/>
      <c r="Y85" s="9"/>
      <c r="Z85" s="9"/>
      <c r="AA85" s="9"/>
      <c r="AB85" s="9"/>
      <c r="AC85" s="9"/>
      <c r="AD85" s="9"/>
    </row>
    <row r="86" spans="1:30" ht="29">
      <c r="A86" s="3" t="s">
        <v>245</v>
      </c>
      <c r="B86" s="3" t="s">
        <v>4190</v>
      </c>
      <c r="C86" s="3" t="s">
        <v>4191</v>
      </c>
      <c r="F86" t="s">
        <v>3884</v>
      </c>
      <c r="G86" s="9" t="s">
        <v>3885</v>
      </c>
      <c r="H86" s="9"/>
      <c r="I86" s="9">
        <v>1</v>
      </c>
      <c r="J86" s="9">
        <v>3</v>
      </c>
      <c r="K86" s="9" t="s">
        <v>8705</v>
      </c>
      <c r="L86" s="9" t="s">
        <v>8690</v>
      </c>
      <c r="M86" s="9"/>
      <c r="N86" s="10"/>
      <c r="O86" s="9"/>
      <c r="P86" s="9">
        <v>1485</v>
      </c>
      <c r="Q86" s="9">
        <f t="shared" si="1"/>
        <v>191.04347043007292</v>
      </c>
      <c r="R86" s="9"/>
      <c r="S86" s="9" t="s">
        <v>9321</v>
      </c>
      <c r="T86" s="9" t="s">
        <v>9321</v>
      </c>
      <c r="U86" s="9"/>
      <c r="V86" s="9"/>
      <c r="W86" s="9"/>
      <c r="X86" s="9"/>
      <c r="Y86" s="9"/>
      <c r="Z86" s="9"/>
      <c r="AA86" s="9"/>
      <c r="AB86" s="9"/>
      <c r="AC86" s="9"/>
      <c r="AD86" s="9"/>
    </row>
    <row r="87" spans="1:30" ht="43.5">
      <c r="A87" s="3" t="s">
        <v>256</v>
      </c>
      <c r="B87" s="3" t="s">
        <v>4202</v>
      </c>
      <c r="C87" s="3" t="s">
        <v>4203</v>
      </c>
      <c r="G87" s="9" t="s">
        <v>3885</v>
      </c>
      <c r="H87" s="9"/>
      <c r="I87" s="9">
        <v>1</v>
      </c>
      <c r="J87" s="9">
        <v>2</v>
      </c>
      <c r="K87" s="9" t="s">
        <v>8689</v>
      </c>
      <c r="L87" s="9" t="s">
        <v>8730</v>
      </c>
      <c r="M87" s="9"/>
      <c r="N87" s="10"/>
      <c r="O87" s="9"/>
      <c r="P87" s="9">
        <v>10929</v>
      </c>
      <c r="Q87" s="9">
        <f t="shared" si="1"/>
        <v>1406.0027530843549</v>
      </c>
      <c r="R87" s="9"/>
      <c r="S87" s="9" t="s">
        <v>9321</v>
      </c>
      <c r="T87" s="9" t="s">
        <v>9321</v>
      </c>
      <c r="U87" s="9"/>
      <c r="V87" s="9"/>
      <c r="W87" s="9"/>
      <c r="X87" s="9"/>
      <c r="Y87" s="9"/>
      <c r="Z87" s="9"/>
      <c r="AA87" s="9"/>
      <c r="AB87" s="9"/>
      <c r="AC87" s="9"/>
      <c r="AD87" s="9"/>
    </row>
    <row r="88" spans="1:30" ht="43.5">
      <c r="A88" s="3" t="s">
        <v>266</v>
      </c>
      <c r="B88" s="3" t="s">
        <v>4235</v>
      </c>
      <c r="C88" s="3" t="s">
        <v>4236</v>
      </c>
      <c r="F88" t="s">
        <v>3884</v>
      </c>
      <c r="G88" s="9" t="s">
        <v>3885</v>
      </c>
      <c r="H88" s="9"/>
      <c r="I88" s="9">
        <v>1</v>
      </c>
      <c r="J88" s="9">
        <v>2</v>
      </c>
      <c r="K88" s="9" t="s">
        <v>8734</v>
      </c>
      <c r="L88" s="9" t="s">
        <v>8730</v>
      </c>
      <c r="M88" s="9"/>
      <c r="N88" s="10"/>
      <c r="O88" s="9"/>
      <c r="P88" s="9">
        <v>698</v>
      </c>
      <c r="Q88" s="9">
        <f t="shared" si="1"/>
        <v>89.796863542216116</v>
      </c>
      <c r="R88" s="9"/>
      <c r="S88" s="9" t="s">
        <v>9321</v>
      </c>
      <c r="T88" s="9" t="s">
        <v>9321</v>
      </c>
      <c r="U88" s="9"/>
      <c r="V88" s="9"/>
      <c r="W88" s="9"/>
      <c r="X88" s="9"/>
      <c r="Y88" s="9"/>
      <c r="Z88" s="9"/>
      <c r="AA88" s="9"/>
      <c r="AB88" s="9"/>
      <c r="AC88" s="9"/>
      <c r="AD88" s="9"/>
    </row>
    <row r="89" spans="1:30" ht="29">
      <c r="A89" s="3" t="s">
        <v>267</v>
      </c>
      <c r="B89" s="3" t="s">
        <v>4237</v>
      </c>
      <c r="C89" s="3" t="s">
        <v>3909</v>
      </c>
      <c r="G89" s="9" t="s">
        <v>3889</v>
      </c>
      <c r="H89" s="9"/>
      <c r="I89" s="9">
        <v>1</v>
      </c>
      <c r="J89" s="9">
        <v>5</v>
      </c>
      <c r="K89" s="9" t="s">
        <v>8683</v>
      </c>
      <c r="L89" s="9" t="s">
        <v>8690</v>
      </c>
      <c r="M89" s="9"/>
      <c r="N89" s="10"/>
      <c r="O89" s="9"/>
      <c r="P89" s="9">
        <v>68</v>
      </c>
      <c r="Q89" s="9">
        <f t="shared" si="1"/>
        <v>8.7481185112760667</v>
      </c>
      <c r="R89" s="9"/>
      <c r="S89" s="9" t="s">
        <v>9321</v>
      </c>
      <c r="T89" s="9" t="s">
        <v>9321</v>
      </c>
      <c r="U89" s="9"/>
      <c r="V89" s="9"/>
      <c r="W89" s="9"/>
      <c r="X89" s="9"/>
      <c r="Y89" s="9"/>
      <c r="Z89" s="9"/>
      <c r="AA89" s="9"/>
      <c r="AB89" s="9"/>
      <c r="AC89" s="9"/>
      <c r="AD89" s="9"/>
    </row>
    <row r="90" spans="1:30" ht="43.5">
      <c r="A90" s="3" t="s">
        <v>267</v>
      </c>
      <c r="B90" s="3" t="s">
        <v>9445</v>
      </c>
      <c r="C90" s="3" t="s">
        <v>9446</v>
      </c>
      <c r="G90" s="9" t="s">
        <v>3889</v>
      </c>
      <c r="H90" s="9"/>
      <c r="I90" s="9">
        <v>1</v>
      </c>
      <c r="J90" s="9">
        <v>3</v>
      </c>
      <c r="K90" s="9" t="s">
        <v>8689</v>
      </c>
      <c r="L90" s="9" t="s">
        <v>8690</v>
      </c>
      <c r="M90" s="9"/>
      <c r="N90" s="10"/>
      <c r="O90" s="9"/>
      <c r="P90" s="9">
        <v>10929</v>
      </c>
      <c r="Q90" s="9">
        <f t="shared" si="1"/>
        <v>1406.0027530843549</v>
      </c>
      <c r="R90" s="9"/>
      <c r="S90" s="9" t="s">
        <v>9321</v>
      </c>
      <c r="T90" s="9" t="s">
        <v>9321</v>
      </c>
      <c r="U90" s="9" t="s">
        <v>4</v>
      </c>
      <c r="V90" s="9"/>
      <c r="W90" s="9"/>
      <c r="X90" s="9"/>
      <c r="Y90" s="9"/>
      <c r="Z90" s="9"/>
      <c r="AA90" s="9"/>
      <c r="AB90" s="9"/>
      <c r="AC90" s="9"/>
      <c r="AD90" s="9"/>
    </row>
    <row r="91" spans="1:30" ht="43.5">
      <c r="A91" s="3" t="s">
        <v>271</v>
      </c>
      <c r="B91" s="3" t="s">
        <v>4248</v>
      </c>
      <c r="C91" s="3" t="s">
        <v>4249</v>
      </c>
      <c r="G91" s="9" t="s">
        <v>3889</v>
      </c>
      <c r="H91" s="9"/>
      <c r="I91" s="9">
        <v>1</v>
      </c>
      <c r="J91" s="9">
        <v>3</v>
      </c>
      <c r="K91" s="9" t="s">
        <v>8689</v>
      </c>
      <c r="L91" s="9" t="s">
        <v>8690</v>
      </c>
      <c r="M91" s="9"/>
      <c r="N91" s="10"/>
      <c r="O91" s="9"/>
      <c r="P91" s="9">
        <v>10929</v>
      </c>
      <c r="Q91" s="9">
        <f t="shared" si="1"/>
        <v>1406.0027530843549</v>
      </c>
      <c r="R91" s="9"/>
      <c r="S91" s="9" t="s">
        <v>9321</v>
      </c>
      <c r="T91" s="9" t="s">
        <v>9321</v>
      </c>
      <c r="U91" s="9"/>
      <c r="V91" s="9"/>
      <c r="W91" s="9"/>
      <c r="X91" s="9"/>
      <c r="Y91" s="9"/>
      <c r="Z91" s="9"/>
      <c r="AA91" s="9"/>
      <c r="AB91" s="9"/>
      <c r="AC91" s="9"/>
      <c r="AD91" s="9"/>
    </row>
    <row r="92" spans="1:30" ht="87">
      <c r="A92" s="3" t="s">
        <v>273</v>
      </c>
      <c r="B92" s="3" t="s">
        <v>4253</v>
      </c>
      <c r="C92" s="3" t="s">
        <v>4254</v>
      </c>
      <c r="G92" s="9" t="s">
        <v>3889</v>
      </c>
      <c r="H92" s="9"/>
      <c r="I92" s="9">
        <v>3</v>
      </c>
      <c r="J92" s="9">
        <v>15</v>
      </c>
      <c r="K92" s="9"/>
      <c r="L92" s="9" t="s">
        <v>8690</v>
      </c>
      <c r="M92" s="9"/>
      <c r="N92" s="10"/>
      <c r="O92" s="9"/>
      <c r="P92" s="9">
        <v>4</v>
      </c>
      <c r="Q92" s="9">
        <f t="shared" si="1"/>
        <v>0.51459520654565105</v>
      </c>
      <c r="R92" s="9"/>
      <c r="S92" s="9" t="s">
        <v>9321</v>
      </c>
      <c r="T92" s="9" t="s">
        <v>9321</v>
      </c>
      <c r="U92" s="9"/>
      <c r="V92" s="9"/>
      <c r="W92" s="9"/>
      <c r="X92" s="9"/>
      <c r="Y92" s="9"/>
      <c r="Z92" s="9"/>
      <c r="AA92" s="9"/>
      <c r="AB92" s="9"/>
      <c r="AC92" s="9"/>
      <c r="AD92" s="9"/>
    </row>
    <row r="93" spans="1:30" ht="43.5">
      <c r="A93" s="3" t="s">
        <v>274</v>
      </c>
      <c r="B93" s="3" t="s">
        <v>4256</v>
      </c>
      <c r="C93" s="3" t="s">
        <v>4257</v>
      </c>
      <c r="G93" s="9" t="s">
        <v>3885</v>
      </c>
      <c r="H93" s="9"/>
      <c r="I93" s="9">
        <v>1</v>
      </c>
      <c r="J93" s="9">
        <v>2</v>
      </c>
      <c r="K93" s="9" t="s">
        <v>8689</v>
      </c>
      <c r="L93" s="9" t="s">
        <v>8730</v>
      </c>
      <c r="M93" s="9"/>
      <c r="N93" s="10"/>
      <c r="O93" s="9" t="s">
        <v>8685</v>
      </c>
      <c r="P93" s="9">
        <v>10929</v>
      </c>
      <c r="Q93" s="9">
        <f t="shared" si="1"/>
        <v>1406.0027530843549</v>
      </c>
      <c r="R93" s="9"/>
      <c r="S93" s="9" t="s">
        <v>9321</v>
      </c>
      <c r="T93" s="9" t="s">
        <v>9321</v>
      </c>
      <c r="U93" s="9" t="s">
        <v>4</v>
      </c>
      <c r="V93" s="9"/>
      <c r="W93" s="9"/>
      <c r="X93" s="9"/>
      <c r="Y93" s="9"/>
      <c r="Z93" s="9"/>
      <c r="AA93" s="9"/>
      <c r="AB93" s="9"/>
      <c r="AC93" s="9"/>
      <c r="AD93" s="9"/>
    </row>
    <row r="94" spans="1:30" ht="29">
      <c r="A94" s="3" t="s">
        <v>275</v>
      </c>
      <c r="B94" s="3" t="s">
        <v>4260</v>
      </c>
      <c r="C94" s="3" t="s">
        <v>4261</v>
      </c>
      <c r="F94" t="s">
        <v>3884</v>
      </c>
      <c r="G94" s="9" t="s">
        <v>3889</v>
      </c>
      <c r="H94" s="9"/>
      <c r="I94" s="9">
        <v>1</v>
      </c>
      <c r="J94" s="9">
        <v>2</v>
      </c>
      <c r="K94" s="9" t="s">
        <v>8689</v>
      </c>
      <c r="L94" s="9" t="s">
        <v>8730</v>
      </c>
      <c r="M94" s="9"/>
      <c r="N94" s="10"/>
      <c r="O94" s="9"/>
      <c r="P94" s="9">
        <v>10929</v>
      </c>
      <c r="Q94" s="9">
        <f t="shared" si="1"/>
        <v>1406.0027530843549</v>
      </c>
      <c r="R94" s="9"/>
      <c r="S94" s="9" t="s">
        <v>9321</v>
      </c>
      <c r="T94" s="9" t="s">
        <v>9321</v>
      </c>
      <c r="U94" s="9"/>
      <c r="V94" s="9"/>
      <c r="W94" s="9"/>
      <c r="X94" s="9"/>
      <c r="Y94" s="9"/>
      <c r="Z94" s="9"/>
      <c r="AA94" s="9"/>
      <c r="AB94" s="9"/>
      <c r="AC94" s="9"/>
      <c r="AD94" s="9"/>
    </row>
    <row r="95" spans="1:30" ht="72.5">
      <c r="A95" s="3" t="s">
        <v>276</v>
      </c>
      <c r="B95" s="3" t="s">
        <v>8911</v>
      </c>
      <c r="C95" s="3" t="s">
        <v>8910</v>
      </c>
      <c r="G95" s="9" t="s">
        <v>3889</v>
      </c>
      <c r="H95" s="9"/>
      <c r="I95" s="9">
        <v>1</v>
      </c>
      <c r="J95" s="9">
        <v>7</v>
      </c>
      <c r="K95" s="9" t="s">
        <v>8683</v>
      </c>
      <c r="L95" s="9" t="s">
        <v>8690</v>
      </c>
      <c r="M95" s="9"/>
      <c r="N95" s="10"/>
      <c r="O95" s="9"/>
      <c r="P95" s="9">
        <v>89</v>
      </c>
      <c r="Q95" s="9">
        <f t="shared" si="1"/>
        <v>11.449743345640735</v>
      </c>
      <c r="R95" s="9"/>
      <c r="S95" s="9" t="s">
        <v>9321</v>
      </c>
      <c r="T95" s="9" t="s">
        <v>9321</v>
      </c>
      <c r="U95" s="9"/>
      <c r="V95" s="9"/>
      <c r="W95" s="9"/>
      <c r="X95" s="9"/>
      <c r="Y95" s="9"/>
      <c r="Z95" s="9"/>
      <c r="AA95" s="9"/>
      <c r="AB95" s="9"/>
      <c r="AC95" s="9"/>
      <c r="AD95" s="9"/>
    </row>
    <row r="96" spans="1:30" ht="43.5">
      <c r="A96" s="3" t="s">
        <v>278</v>
      </c>
      <c r="B96" s="3" t="s">
        <v>8913</v>
      </c>
      <c r="C96" s="3" t="s">
        <v>8912</v>
      </c>
      <c r="F96" t="s">
        <v>3884</v>
      </c>
      <c r="G96" s="9" t="s">
        <v>3889</v>
      </c>
      <c r="H96" s="9"/>
      <c r="I96" s="9">
        <v>1</v>
      </c>
      <c r="J96" s="9">
        <v>5</v>
      </c>
      <c r="K96" s="9" t="s">
        <v>8705</v>
      </c>
      <c r="L96" s="9" t="s">
        <v>8690</v>
      </c>
      <c r="M96" s="9"/>
      <c r="N96" s="10"/>
      <c r="O96" s="9"/>
      <c r="P96" s="9">
        <v>3678</v>
      </c>
      <c r="Q96" s="9">
        <f t="shared" si="1"/>
        <v>473.17029241872609</v>
      </c>
      <c r="R96" s="9"/>
      <c r="S96" s="9" t="s">
        <v>9321</v>
      </c>
      <c r="T96" s="9" t="s">
        <v>9321</v>
      </c>
      <c r="U96" s="9"/>
      <c r="V96" s="9"/>
      <c r="W96" s="9"/>
      <c r="X96" s="9"/>
      <c r="Y96" s="9"/>
      <c r="Z96" s="9"/>
      <c r="AA96" s="9"/>
      <c r="AB96" s="9"/>
      <c r="AC96" s="9"/>
      <c r="AD96" s="9"/>
    </row>
    <row r="97" spans="1:30" ht="58">
      <c r="A97" s="3" t="s">
        <v>290</v>
      </c>
      <c r="B97" s="3" t="s">
        <v>4281</v>
      </c>
      <c r="C97" s="3" t="s">
        <v>8921</v>
      </c>
      <c r="F97" t="s">
        <v>3884</v>
      </c>
      <c r="G97" s="9" t="s">
        <v>3889</v>
      </c>
      <c r="H97" s="9"/>
      <c r="I97" s="9">
        <v>1</v>
      </c>
      <c r="J97" s="9">
        <v>1</v>
      </c>
      <c r="K97" s="9" t="s">
        <v>8689</v>
      </c>
      <c r="L97" s="9" t="s">
        <v>8730</v>
      </c>
      <c r="M97" s="9"/>
      <c r="N97" s="10"/>
      <c r="O97" s="9" t="s">
        <v>8685</v>
      </c>
      <c r="P97" s="9">
        <v>10929</v>
      </c>
      <c r="Q97" s="9">
        <f t="shared" si="1"/>
        <v>1406.0027530843549</v>
      </c>
      <c r="R97" s="9"/>
      <c r="S97" s="9" t="s">
        <v>9321</v>
      </c>
      <c r="T97" s="9" t="s">
        <v>9321</v>
      </c>
      <c r="U97" s="9"/>
      <c r="V97" s="9"/>
      <c r="W97" s="9"/>
      <c r="X97" s="9"/>
      <c r="Y97" s="9"/>
      <c r="Z97" s="9"/>
      <c r="AA97" s="9"/>
      <c r="AB97" s="9"/>
      <c r="AC97" s="9"/>
      <c r="AD97" s="9"/>
    </row>
    <row r="98" spans="1:30" ht="87">
      <c r="A98" s="3" t="s">
        <v>292</v>
      </c>
      <c r="B98" s="3" t="s">
        <v>4284</v>
      </c>
      <c r="C98" s="3" t="s">
        <v>4287</v>
      </c>
      <c r="G98" s="9" t="s">
        <v>3885</v>
      </c>
      <c r="H98" s="9"/>
      <c r="I98" s="9">
        <v>1</v>
      </c>
      <c r="J98" s="9">
        <v>3</v>
      </c>
      <c r="K98" s="9" t="s">
        <v>8689</v>
      </c>
      <c r="L98" s="9" t="s">
        <v>8690</v>
      </c>
      <c r="M98" s="9"/>
      <c r="N98" s="10"/>
      <c r="O98" s="9" t="s">
        <v>8685</v>
      </c>
      <c r="P98" s="9">
        <v>10929</v>
      </c>
      <c r="Q98" s="9">
        <f t="shared" si="1"/>
        <v>1406.0027530843549</v>
      </c>
      <c r="R98" s="9"/>
      <c r="S98" s="9" t="s">
        <v>9321</v>
      </c>
      <c r="T98" s="9" t="s">
        <v>9321</v>
      </c>
      <c r="U98" s="9"/>
      <c r="V98" s="9"/>
      <c r="W98" s="9"/>
      <c r="X98" s="9"/>
      <c r="Y98" s="9"/>
      <c r="Z98" s="9"/>
      <c r="AA98" s="9"/>
      <c r="AB98" s="9"/>
      <c r="AC98" s="9"/>
      <c r="AD98" s="9"/>
    </row>
    <row r="99" spans="1:30" ht="43.5">
      <c r="A99" s="3" t="s">
        <v>294</v>
      </c>
      <c r="B99" s="3" t="s">
        <v>4288</v>
      </c>
      <c r="C99" s="3" t="s">
        <v>4289</v>
      </c>
      <c r="F99" t="s">
        <v>3884</v>
      </c>
      <c r="G99" s="9" t="s">
        <v>3889</v>
      </c>
      <c r="H99" s="9"/>
      <c r="I99" s="9">
        <v>1</v>
      </c>
      <c r="J99" s="9">
        <v>3</v>
      </c>
      <c r="K99" s="9" t="s">
        <v>8703</v>
      </c>
      <c r="L99" s="9" t="s">
        <v>8690</v>
      </c>
      <c r="M99" s="9"/>
      <c r="N99" s="10"/>
      <c r="O99" s="9"/>
      <c r="P99" s="9">
        <v>655</v>
      </c>
      <c r="Q99" s="9">
        <f t="shared" si="1"/>
        <v>84.264965071850355</v>
      </c>
      <c r="R99" s="9"/>
      <c r="S99" s="9" t="s">
        <v>9321</v>
      </c>
      <c r="T99" s="9" t="s">
        <v>9321</v>
      </c>
      <c r="U99" s="9"/>
      <c r="V99" s="9"/>
      <c r="W99" s="9"/>
      <c r="X99" s="9"/>
      <c r="Y99" s="9"/>
      <c r="Z99" s="9"/>
      <c r="AA99" s="9"/>
      <c r="AB99" s="9"/>
      <c r="AC99" s="9"/>
      <c r="AD99" s="9"/>
    </row>
    <row r="100" spans="1:30" ht="43.5">
      <c r="A100" s="3" t="s">
        <v>297</v>
      </c>
      <c r="B100" s="3" t="s">
        <v>4295</v>
      </c>
      <c r="C100" s="3" t="s">
        <v>4298</v>
      </c>
      <c r="G100" s="9" t="s">
        <v>3885</v>
      </c>
      <c r="H100" s="9"/>
      <c r="I100" s="9">
        <v>1</v>
      </c>
      <c r="J100" s="9">
        <v>2</v>
      </c>
      <c r="K100" s="9" t="s">
        <v>8689</v>
      </c>
      <c r="L100" s="9" t="s">
        <v>8730</v>
      </c>
      <c r="M100" s="9"/>
      <c r="N100" s="10"/>
      <c r="O100" s="9"/>
      <c r="P100" s="9">
        <v>10929</v>
      </c>
      <c r="Q100" s="9">
        <f t="shared" si="1"/>
        <v>1406.0027530843549</v>
      </c>
      <c r="R100" s="9"/>
      <c r="S100" s="9" t="s">
        <v>9321</v>
      </c>
      <c r="T100" s="9" t="s">
        <v>9321</v>
      </c>
      <c r="U100" s="9"/>
      <c r="V100" s="9"/>
      <c r="W100" s="9"/>
      <c r="X100" s="9"/>
      <c r="Y100" s="9"/>
      <c r="Z100" s="9"/>
      <c r="AA100" s="9"/>
      <c r="AB100" s="9"/>
      <c r="AC100" s="9"/>
      <c r="AD100" s="9"/>
    </row>
    <row r="101" spans="1:30" ht="43.5">
      <c r="A101" s="3" t="s">
        <v>302</v>
      </c>
      <c r="B101" s="3" t="s">
        <v>4302</v>
      </c>
      <c r="C101" s="3" t="s">
        <v>4303</v>
      </c>
      <c r="G101" s="9" t="s">
        <v>3885</v>
      </c>
      <c r="H101" s="9"/>
      <c r="I101" s="9">
        <v>1</v>
      </c>
      <c r="J101" s="9">
        <v>1</v>
      </c>
      <c r="K101" s="9" t="s">
        <v>8689</v>
      </c>
      <c r="L101" s="9" t="s">
        <v>8730</v>
      </c>
      <c r="M101" s="9"/>
      <c r="N101" s="10"/>
      <c r="O101" s="9"/>
      <c r="P101" s="9">
        <v>10929</v>
      </c>
      <c r="Q101" s="9">
        <f t="shared" si="1"/>
        <v>1406.0027530843549</v>
      </c>
      <c r="R101" s="9"/>
      <c r="S101" s="9" t="s">
        <v>9321</v>
      </c>
      <c r="T101" s="9" t="s">
        <v>9321</v>
      </c>
      <c r="U101" s="9" t="s">
        <v>8728</v>
      </c>
      <c r="V101" s="9"/>
      <c r="W101" s="9"/>
      <c r="X101" s="9"/>
      <c r="Y101" s="9"/>
      <c r="Z101" s="9"/>
      <c r="AA101" s="9"/>
      <c r="AB101" s="9"/>
      <c r="AC101" s="9"/>
      <c r="AD101" s="9"/>
    </row>
    <row r="102" spans="1:30" ht="87">
      <c r="A102" s="3" t="s">
        <v>304</v>
      </c>
      <c r="B102" s="3" t="s">
        <v>4306</v>
      </c>
      <c r="C102" s="3" t="s">
        <v>4307</v>
      </c>
      <c r="F102" t="s">
        <v>3884</v>
      </c>
      <c r="G102" s="9" t="s">
        <v>3885</v>
      </c>
      <c r="H102" s="9"/>
      <c r="I102" s="9">
        <v>2</v>
      </c>
      <c r="J102" s="9">
        <v>4</v>
      </c>
      <c r="K102" s="9"/>
      <c r="L102" s="9" t="s">
        <v>8690</v>
      </c>
      <c r="M102" s="9"/>
      <c r="N102" s="10"/>
      <c r="O102" s="9"/>
      <c r="P102" s="9">
        <v>1942</v>
      </c>
      <c r="Q102" s="9">
        <f t="shared" si="1"/>
        <v>249.83597277791355</v>
      </c>
      <c r="R102" s="9"/>
      <c r="S102" s="9" t="s">
        <v>9321</v>
      </c>
      <c r="T102" s="9" t="s">
        <v>9321</v>
      </c>
      <c r="U102" s="9"/>
      <c r="V102" s="9"/>
      <c r="W102" s="9"/>
      <c r="X102" s="9"/>
      <c r="Y102" s="9"/>
      <c r="Z102" s="9"/>
      <c r="AA102" s="9"/>
      <c r="AB102" s="9"/>
      <c r="AC102" s="9"/>
      <c r="AD102" s="9"/>
    </row>
    <row r="103" spans="1:30" ht="43.5">
      <c r="A103" s="3" t="s">
        <v>306</v>
      </c>
      <c r="B103" s="3" t="s">
        <v>4312</v>
      </c>
      <c r="C103" s="3" t="s">
        <v>4313</v>
      </c>
      <c r="F103" t="s">
        <v>3884</v>
      </c>
      <c r="G103" s="9" t="s">
        <v>3889</v>
      </c>
      <c r="H103" s="9"/>
      <c r="I103" s="9">
        <v>1</v>
      </c>
      <c r="J103" s="9">
        <v>2</v>
      </c>
      <c r="K103" s="9" t="s">
        <v>8707</v>
      </c>
      <c r="L103" s="9" t="s">
        <v>8730</v>
      </c>
      <c r="M103" s="9"/>
      <c r="N103" s="10"/>
      <c r="O103" s="9"/>
      <c r="P103" s="9">
        <v>1942</v>
      </c>
      <c r="Q103" s="9">
        <f t="shared" si="1"/>
        <v>249.83597277791355</v>
      </c>
      <c r="R103" s="9"/>
      <c r="S103" s="9" t="s">
        <v>9321</v>
      </c>
      <c r="T103" s="9" t="s">
        <v>9321</v>
      </c>
      <c r="U103" s="9"/>
      <c r="V103" s="9"/>
      <c r="W103" s="9"/>
      <c r="X103" s="9"/>
      <c r="Y103" s="9"/>
      <c r="Z103" s="9"/>
      <c r="AA103" s="9"/>
      <c r="AB103" s="9"/>
      <c r="AC103" s="9"/>
      <c r="AD103" s="9"/>
    </row>
    <row r="104" spans="1:30" ht="29">
      <c r="A104" s="3" t="s">
        <v>307</v>
      </c>
      <c r="B104" s="3" t="s">
        <v>4314</v>
      </c>
      <c r="C104" s="3" t="s">
        <v>4315</v>
      </c>
      <c r="G104" s="9" t="s">
        <v>3889</v>
      </c>
      <c r="H104" s="9"/>
      <c r="I104" s="9">
        <v>1</v>
      </c>
      <c r="J104" s="9">
        <v>1</v>
      </c>
      <c r="K104" s="9" t="s">
        <v>8689</v>
      </c>
      <c r="L104" s="9" t="s">
        <v>8730</v>
      </c>
      <c r="M104" s="9"/>
      <c r="N104" s="10"/>
      <c r="O104" s="9"/>
      <c r="P104" s="9">
        <v>10929</v>
      </c>
      <c r="Q104" s="9">
        <f t="shared" si="1"/>
        <v>1406.0027530843549</v>
      </c>
      <c r="R104" s="9"/>
      <c r="S104" s="9" t="s">
        <v>9321</v>
      </c>
      <c r="T104" s="9" t="s">
        <v>9321</v>
      </c>
      <c r="U104" s="9"/>
      <c r="V104" s="9"/>
      <c r="W104" s="9"/>
      <c r="X104" s="9"/>
      <c r="Y104" s="9"/>
      <c r="Z104" s="9"/>
      <c r="AA104" s="9"/>
      <c r="AB104" s="9"/>
      <c r="AC104" s="9"/>
      <c r="AD104" s="9"/>
    </row>
    <row r="105" spans="1:30" ht="29">
      <c r="A105" s="3" t="s">
        <v>311</v>
      </c>
      <c r="B105" s="3" t="s">
        <v>4321</v>
      </c>
      <c r="C105" s="3" t="s">
        <v>4322</v>
      </c>
      <c r="G105" s="9" t="s">
        <v>3885</v>
      </c>
      <c r="H105" s="9"/>
      <c r="I105" s="9">
        <v>1</v>
      </c>
      <c r="J105" s="9">
        <v>1</v>
      </c>
      <c r="K105" s="9" t="s">
        <v>8689</v>
      </c>
      <c r="L105" s="9" t="s">
        <v>8730</v>
      </c>
      <c r="M105" s="9"/>
      <c r="N105" s="10"/>
      <c r="O105" s="9"/>
      <c r="P105" s="9">
        <v>10929</v>
      </c>
      <c r="Q105" s="9">
        <f t="shared" si="1"/>
        <v>1406.0027530843549</v>
      </c>
      <c r="R105" s="9"/>
      <c r="S105" s="9" t="s">
        <v>9321</v>
      </c>
      <c r="T105" s="9" t="s">
        <v>9321</v>
      </c>
      <c r="U105" s="9"/>
      <c r="V105" s="9"/>
      <c r="W105" s="9"/>
      <c r="X105" s="9"/>
      <c r="Y105" s="9"/>
      <c r="Z105" s="9"/>
      <c r="AA105" s="9"/>
      <c r="AB105" s="9"/>
      <c r="AC105" s="9"/>
      <c r="AD105" s="9"/>
    </row>
    <row r="106" spans="1:30" ht="43.5">
      <c r="A106" s="3" t="s">
        <v>313</v>
      </c>
      <c r="B106" s="3" t="s">
        <v>4327</v>
      </c>
      <c r="C106" s="3" t="s">
        <v>4328</v>
      </c>
      <c r="F106" t="s">
        <v>3884</v>
      </c>
      <c r="G106" s="9" t="s">
        <v>3889</v>
      </c>
      <c r="H106" s="9"/>
      <c r="I106" s="9">
        <v>1</v>
      </c>
      <c r="J106" s="9">
        <v>3</v>
      </c>
      <c r="K106" s="9" t="s">
        <v>8689</v>
      </c>
      <c r="L106" s="9" t="s">
        <v>8690</v>
      </c>
      <c r="M106" s="9"/>
      <c r="N106" s="10"/>
      <c r="O106" s="9"/>
      <c r="P106" s="9">
        <v>10929</v>
      </c>
      <c r="Q106" s="9">
        <f t="shared" si="1"/>
        <v>1406.0027530843549</v>
      </c>
      <c r="R106" s="9"/>
      <c r="S106" s="9" t="s">
        <v>9321</v>
      </c>
      <c r="T106" s="9" t="s">
        <v>9321</v>
      </c>
      <c r="U106" s="9"/>
      <c r="V106" s="9"/>
      <c r="W106" s="9"/>
      <c r="X106" s="9"/>
      <c r="Y106" s="9"/>
      <c r="Z106" s="9"/>
      <c r="AA106" s="9"/>
      <c r="AB106" s="9"/>
      <c r="AC106" s="9"/>
      <c r="AD106" s="9"/>
    </row>
    <row r="107" spans="1:30" ht="29">
      <c r="A107" s="3" t="s">
        <v>315</v>
      </c>
      <c r="B107" s="3" t="s">
        <v>9588</v>
      </c>
      <c r="C107" s="3" t="s">
        <v>9589</v>
      </c>
      <c r="G107" s="9" t="s">
        <v>3889</v>
      </c>
      <c r="H107" s="9"/>
      <c r="I107" s="9">
        <v>1</v>
      </c>
      <c r="J107" s="9">
        <v>1</v>
      </c>
      <c r="K107" s="9" t="s">
        <v>8689</v>
      </c>
      <c r="L107" s="9" t="s">
        <v>8730</v>
      </c>
      <c r="M107" s="9"/>
      <c r="N107" s="10"/>
      <c r="O107" s="9"/>
      <c r="P107" s="9">
        <v>10929</v>
      </c>
      <c r="Q107" s="9">
        <f t="shared" si="1"/>
        <v>1406.0027530843549</v>
      </c>
      <c r="R107" s="9"/>
      <c r="S107" s="9" t="s">
        <v>9321</v>
      </c>
      <c r="T107" s="9" t="s">
        <v>9321</v>
      </c>
      <c r="U107" s="9"/>
      <c r="V107" s="9"/>
      <c r="W107" s="9"/>
      <c r="X107" s="9"/>
      <c r="Y107" s="9"/>
      <c r="Z107" s="9"/>
      <c r="AA107" s="9"/>
      <c r="AB107" s="9"/>
      <c r="AC107" s="9"/>
      <c r="AD107" s="9"/>
    </row>
    <row r="108" spans="1:30" ht="58">
      <c r="A108" s="3" t="s">
        <v>319</v>
      </c>
      <c r="B108" s="3" t="s">
        <v>4340</v>
      </c>
      <c r="C108" s="3" t="s">
        <v>4341</v>
      </c>
      <c r="F108" t="s">
        <v>3884</v>
      </c>
      <c r="G108" s="9" t="s">
        <v>3889</v>
      </c>
      <c r="H108" s="9"/>
      <c r="I108" s="9">
        <v>1</v>
      </c>
      <c r="J108" s="9">
        <v>7</v>
      </c>
      <c r="K108" s="9" t="s">
        <v>8703</v>
      </c>
      <c r="L108" s="9" t="s">
        <v>8690</v>
      </c>
      <c r="M108" s="9"/>
      <c r="N108" s="10"/>
      <c r="O108" s="9"/>
      <c r="P108" s="9">
        <v>99</v>
      </c>
      <c r="Q108" s="9">
        <f t="shared" si="1"/>
        <v>12.736231362004862</v>
      </c>
      <c r="R108" s="9"/>
      <c r="S108" s="9" t="s">
        <v>9321</v>
      </c>
      <c r="T108" s="9" t="s">
        <v>9321</v>
      </c>
      <c r="U108" s="9"/>
      <c r="V108" s="9"/>
      <c r="W108" s="9"/>
      <c r="X108" s="9"/>
      <c r="Y108" s="9"/>
      <c r="Z108" s="9"/>
      <c r="AA108" s="9"/>
      <c r="AB108" s="9"/>
      <c r="AC108" s="9"/>
      <c r="AD108" s="9"/>
    </row>
    <row r="109" spans="1:30" ht="58">
      <c r="A109" s="3" t="s">
        <v>322</v>
      </c>
      <c r="B109" s="3" t="s">
        <v>4345</v>
      </c>
      <c r="C109" s="3" t="s">
        <v>4346</v>
      </c>
      <c r="F109" t="s">
        <v>3884</v>
      </c>
      <c r="G109" s="9" t="s">
        <v>3889</v>
      </c>
      <c r="H109" s="9"/>
      <c r="I109" s="9">
        <v>1</v>
      </c>
      <c r="J109" s="9">
        <v>2</v>
      </c>
      <c r="K109" s="9" t="s">
        <v>8698</v>
      </c>
      <c r="L109" s="9" t="s">
        <v>8730</v>
      </c>
      <c r="M109" s="9"/>
      <c r="N109" s="10"/>
      <c r="O109" s="9"/>
      <c r="P109" s="9">
        <v>159</v>
      </c>
      <c r="Q109" s="9">
        <f t="shared" si="1"/>
        <v>20.455159460189627</v>
      </c>
      <c r="R109" s="9"/>
      <c r="S109" s="9" t="s">
        <v>9321</v>
      </c>
      <c r="T109" s="9" t="s">
        <v>9321</v>
      </c>
      <c r="U109" s="9"/>
      <c r="V109" s="9"/>
      <c r="W109" s="9"/>
      <c r="X109" s="9"/>
      <c r="Y109" s="9"/>
      <c r="Z109" s="9"/>
      <c r="AA109" s="9"/>
      <c r="AB109" s="9"/>
      <c r="AC109" s="9"/>
      <c r="AD109" s="9"/>
    </row>
    <row r="110" spans="1:30" ht="29">
      <c r="A110" s="3" t="s">
        <v>327</v>
      </c>
      <c r="B110" s="3" t="s">
        <v>4355</v>
      </c>
      <c r="C110" s="3" t="s">
        <v>4352</v>
      </c>
      <c r="G110" s="9" t="s">
        <v>3889</v>
      </c>
      <c r="H110" s="9"/>
      <c r="I110" s="9">
        <v>1</v>
      </c>
      <c r="J110" s="9">
        <v>1</v>
      </c>
      <c r="K110" s="9" t="s">
        <v>8689</v>
      </c>
      <c r="L110" s="9" t="s">
        <v>8730</v>
      </c>
      <c r="M110" s="9"/>
      <c r="N110" s="10"/>
      <c r="O110" s="9"/>
      <c r="P110" s="9">
        <v>10929</v>
      </c>
      <c r="Q110" s="9">
        <f t="shared" si="1"/>
        <v>1406.0027530843549</v>
      </c>
      <c r="R110" s="9"/>
      <c r="S110" s="9" t="s">
        <v>9321</v>
      </c>
      <c r="T110" s="9" t="s">
        <v>9321</v>
      </c>
      <c r="U110" s="9"/>
      <c r="V110" s="9"/>
      <c r="W110" s="9"/>
      <c r="X110" s="9"/>
      <c r="Y110" s="9"/>
      <c r="Z110" s="9"/>
      <c r="AA110" s="9"/>
      <c r="AB110" s="9"/>
      <c r="AC110" s="9"/>
      <c r="AD110" s="9"/>
    </row>
    <row r="111" spans="1:30" ht="58">
      <c r="A111" s="3" t="s">
        <v>329</v>
      </c>
      <c r="B111" s="3" t="s">
        <v>9450</v>
      </c>
      <c r="C111" s="3" t="s">
        <v>8925</v>
      </c>
      <c r="F111" t="s">
        <v>3884</v>
      </c>
      <c r="G111" s="9" t="s">
        <v>3889</v>
      </c>
      <c r="H111" s="9"/>
      <c r="I111" s="9">
        <v>2</v>
      </c>
      <c r="J111" s="9">
        <v>8</v>
      </c>
      <c r="K111" s="9"/>
      <c r="L111" s="9" t="s">
        <v>8690</v>
      </c>
      <c r="M111" s="9"/>
      <c r="N111" s="10"/>
      <c r="O111" s="9"/>
      <c r="P111" s="9">
        <v>187</v>
      </c>
      <c r="Q111" s="9">
        <f t="shared" si="1"/>
        <v>24.057325906009186</v>
      </c>
      <c r="R111" s="9"/>
      <c r="S111" s="9" t="s">
        <v>9321</v>
      </c>
      <c r="T111" s="9" t="s">
        <v>9321</v>
      </c>
      <c r="U111" s="9"/>
      <c r="V111" s="9"/>
      <c r="W111" s="9"/>
      <c r="X111" s="9"/>
      <c r="Y111" s="9"/>
      <c r="Z111" s="9"/>
      <c r="AA111" s="9"/>
      <c r="AB111" s="9"/>
      <c r="AC111" s="9"/>
      <c r="AD111" s="9"/>
    </row>
    <row r="112" spans="1:30" ht="72.5">
      <c r="A112" s="3" t="s">
        <v>334</v>
      </c>
      <c r="B112" s="3" t="s">
        <v>4362</v>
      </c>
      <c r="C112" s="3" t="s">
        <v>4363</v>
      </c>
      <c r="G112" s="9" t="s">
        <v>3889</v>
      </c>
      <c r="H112" s="9"/>
      <c r="I112" s="9">
        <v>1</v>
      </c>
      <c r="J112" s="9">
        <v>3</v>
      </c>
      <c r="K112" s="9" t="s">
        <v>8689</v>
      </c>
      <c r="L112" s="9" t="s">
        <v>8684</v>
      </c>
      <c r="M112" s="9" t="s">
        <v>8777</v>
      </c>
      <c r="N112" s="10" t="s">
        <v>8778</v>
      </c>
      <c r="O112" s="9" t="s">
        <v>8685</v>
      </c>
      <c r="P112" s="9">
        <v>10929</v>
      </c>
      <c r="Q112" s="9">
        <f t="shared" si="1"/>
        <v>1406.0027530843549</v>
      </c>
      <c r="R112" s="9"/>
      <c r="S112" s="9" t="s">
        <v>9321</v>
      </c>
      <c r="T112" s="9" t="s">
        <v>9321</v>
      </c>
      <c r="U112" s="9"/>
      <c r="V112" s="9"/>
      <c r="W112" s="9"/>
      <c r="X112" s="9"/>
      <c r="Y112" s="9"/>
      <c r="Z112" s="9"/>
      <c r="AA112" s="9"/>
      <c r="AB112" s="9"/>
      <c r="AC112" s="9"/>
      <c r="AD112" s="9"/>
    </row>
    <row r="113" spans="1:30" ht="87">
      <c r="A113" s="3" t="s">
        <v>338</v>
      </c>
      <c r="B113" s="3" t="s">
        <v>4372</v>
      </c>
      <c r="C113" s="3" t="s">
        <v>4376</v>
      </c>
      <c r="F113" t="s">
        <v>3884</v>
      </c>
      <c r="G113" s="9" t="s">
        <v>3885</v>
      </c>
      <c r="H113" s="9"/>
      <c r="I113" s="9">
        <v>2</v>
      </c>
      <c r="J113" s="9">
        <v>10</v>
      </c>
      <c r="K113" s="9"/>
      <c r="L113" s="9" t="s">
        <v>8690</v>
      </c>
      <c r="M113" s="9"/>
      <c r="N113" s="10"/>
      <c r="O113" s="9"/>
      <c r="P113" s="9">
        <v>206</v>
      </c>
      <c r="Q113" s="9">
        <f t="shared" si="1"/>
        <v>26.50165313710103</v>
      </c>
      <c r="R113" s="9"/>
      <c r="S113" s="9" t="s">
        <v>9321</v>
      </c>
      <c r="T113" s="9" t="s">
        <v>9321</v>
      </c>
      <c r="U113" s="9"/>
      <c r="V113" s="9"/>
      <c r="W113" s="9"/>
      <c r="X113" s="9"/>
      <c r="Y113" s="9"/>
      <c r="Z113" s="9"/>
      <c r="AA113" s="9"/>
      <c r="AB113" s="9"/>
      <c r="AC113" s="9"/>
      <c r="AD113" s="9"/>
    </row>
    <row r="114" spans="1:30" ht="43.5">
      <c r="A114" s="3" t="s">
        <v>340</v>
      </c>
      <c r="B114" s="3" t="s">
        <v>9592</v>
      </c>
      <c r="C114" s="3" t="s">
        <v>9593</v>
      </c>
      <c r="D114" t="s">
        <v>4197</v>
      </c>
      <c r="F114" t="s">
        <v>3884</v>
      </c>
      <c r="G114" s="9" t="s">
        <v>3885</v>
      </c>
      <c r="H114" s="9"/>
      <c r="I114" s="9">
        <v>1</v>
      </c>
      <c r="J114" s="9">
        <v>6</v>
      </c>
      <c r="K114" s="9" t="s">
        <v>8695</v>
      </c>
      <c r="L114" s="9" t="s">
        <v>8690</v>
      </c>
      <c r="M114" s="9"/>
      <c r="N114" s="10"/>
      <c r="O114" s="9" t="s">
        <v>8691</v>
      </c>
      <c r="P114" s="9">
        <v>17</v>
      </c>
      <c r="Q114" s="9">
        <f t="shared" si="1"/>
        <v>2.1870296278190167</v>
      </c>
      <c r="R114" s="9"/>
      <c r="S114" s="9"/>
      <c r="T114" s="9"/>
      <c r="U114" s="9"/>
      <c r="V114" s="9"/>
      <c r="W114" s="9"/>
      <c r="X114" s="9"/>
      <c r="Y114" s="9"/>
      <c r="Z114" s="9"/>
      <c r="AA114" s="9"/>
      <c r="AB114" s="9"/>
      <c r="AC114" s="9"/>
      <c r="AD114" s="9"/>
    </row>
    <row r="115" spans="1:30" ht="43.5">
      <c r="A115" s="3" t="s">
        <v>343</v>
      </c>
      <c r="B115" s="3" t="s">
        <v>4391</v>
      </c>
      <c r="C115" s="3" t="s">
        <v>4392</v>
      </c>
      <c r="F115" t="s">
        <v>3884</v>
      </c>
      <c r="G115" s="9" t="s">
        <v>3885</v>
      </c>
      <c r="H115" s="9"/>
      <c r="I115" s="9">
        <v>1</v>
      </c>
      <c r="J115" s="9">
        <v>2</v>
      </c>
      <c r="K115" s="9" t="s">
        <v>8705</v>
      </c>
      <c r="L115" s="9" t="s">
        <v>8730</v>
      </c>
      <c r="M115" s="9"/>
      <c r="N115" s="10"/>
      <c r="O115" s="9" t="s">
        <v>8691</v>
      </c>
      <c r="P115" s="9">
        <v>1485</v>
      </c>
      <c r="Q115" s="9">
        <f t="shared" si="1"/>
        <v>191.04347043007292</v>
      </c>
      <c r="R115" s="9"/>
      <c r="S115" s="9" t="s">
        <v>9321</v>
      </c>
      <c r="T115" s="9" t="s">
        <v>9321</v>
      </c>
      <c r="U115" s="9"/>
      <c r="V115" s="9"/>
      <c r="W115" s="9"/>
      <c r="X115" s="9"/>
      <c r="Y115" s="9"/>
      <c r="Z115" s="9"/>
      <c r="AA115" s="9"/>
      <c r="AB115" s="9"/>
      <c r="AC115" s="9"/>
      <c r="AD115" s="9"/>
    </row>
    <row r="116" spans="1:30" ht="43.5">
      <c r="A116" s="3" t="s">
        <v>344</v>
      </c>
      <c r="B116" s="3" t="s">
        <v>4395</v>
      </c>
      <c r="C116" s="3" t="s">
        <v>4396</v>
      </c>
      <c r="D116" t="s">
        <v>4397</v>
      </c>
      <c r="G116" s="9" t="s">
        <v>3885</v>
      </c>
      <c r="H116" s="9"/>
      <c r="I116" s="9">
        <v>1</v>
      </c>
      <c r="J116" s="9">
        <v>3</v>
      </c>
      <c r="K116" s="9" t="s">
        <v>8698</v>
      </c>
      <c r="L116" s="9" t="s">
        <v>8690</v>
      </c>
      <c r="M116" s="9"/>
      <c r="N116" s="10"/>
      <c r="O116" s="9"/>
      <c r="P116" s="9">
        <v>4</v>
      </c>
      <c r="Q116" s="9">
        <f t="shared" si="1"/>
        <v>0.51459520654565105</v>
      </c>
      <c r="R116" s="9"/>
      <c r="S116" s="9" t="s">
        <v>9321</v>
      </c>
      <c r="T116" s="9" t="s">
        <v>9321</v>
      </c>
      <c r="U116" s="9" t="s">
        <v>8728</v>
      </c>
      <c r="V116" s="9"/>
      <c r="W116" s="9"/>
      <c r="X116" s="9"/>
      <c r="Y116" s="9"/>
      <c r="Z116" s="9"/>
      <c r="AA116" s="9"/>
      <c r="AB116" s="9"/>
      <c r="AC116" s="9"/>
      <c r="AD116" s="9"/>
    </row>
    <row r="117" spans="1:30" ht="43.5">
      <c r="A117" s="3" t="s">
        <v>350</v>
      </c>
      <c r="B117" s="3" t="s">
        <v>4403</v>
      </c>
      <c r="C117" s="3" t="s">
        <v>8932</v>
      </c>
      <c r="G117" s="9" t="s">
        <v>3889</v>
      </c>
      <c r="H117" s="9"/>
      <c r="I117" s="9">
        <v>1</v>
      </c>
      <c r="J117" s="9">
        <v>6</v>
      </c>
      <c r="K117" s="9" t="s">
        <v>8703</v>
      </c>
      <c r="L117" s="9" t="s">
        <v>8684</v>
      </c>
      <c r="M117" s="9" t="s">
        <v>8777</v>
      </c>
      <c r="N117" s="10" t="s">
        <v>8778</v>
      </c>
      <c r="O117" s="9"/>
      <c r="P117" s="9">
        <v>50</v>
      </c>
      <c r="Q117" s="9">
        <f t="shared" si="1"/>
        <v>6.432440081820638</v>
      </c>
      <c r="R117" s="9"/>
      <c r="S117" s="9" t="s">
        <v>9321</v>
      </c>
      <c r="T117" s="9" t="s">
        <v>9321</v>
      </c>
      <c r="U117" s="9"/>
      <c r="V117" s="9"/>
      <c r="W117" s="9"/>
      <c r="X117" s="9"/>
      <c r="Y117" s="9"/>
      <c r="Z117" s="9"/>
      <c r="AA117" s="9"/>
      <c r="AB117" s="9"/>
      <c r="AC117" s="9"/>
      <c r="AD117" s="9"/>
    </row>
    <row r="118" spans="1:30" ht="43.5">
      <c r="A118" s="3" t="s">
        <v>353</v>
      </c>
      <c r="B118" s="3" t="s">
        <v>4405</v>
      </c>
      <c r="C118" s="3" t="s">
        <v>4406</v>
      </c>
      <c r="F118" t="s">
        <v>3884</v>
      </c>
      <c r="G118" s="9" t="s">
        <v>3885</v>
      </c>
      <c r="H118" s="9"/>
      <c r="I118" s="9">
        <v>1</v>
      </c>
      <c r="J118" s="9">
        <v>4</v>
      </c>
      <c r="K118" s="9" t="s">
        <v>8710</v>
      </c>
      <c r="L118" s="9" t="s">
        <v>8690</v>
      </c>
      <c r="M118" s="9"/>
      <c r="N118" s="10"/>
      <c r="O118" s="9"/>
      <c r="P118" s="9">
        <v>266</v>
      </c>
      <c r="Q118" s="9">
        <f t="shared" si="1"/>
        <v>34.220581235285792</v>
      </c>
      <c r="R118" s="9"/>
      <c r="S118" s="9" t="s">
        <v>9321</v>
      </c>
      <c r="T118" s="9" t="s">
        <v>9321</v>
      </c>
      <c r="U118" s="9"/>
      <c r="V118" s="9"/>
      <c r="W118" s="9"/>
      <c r="X118" s="9"/>
      <c r="Y118" s="9"/>
      <c r="Z118" s="9"/>
      <c r="AA118" s="9"/>
      <c r="AB118" s="9"/>
      <c r="AC118" s="9"/>
      <c r="AD118" s="9"/>
    </row>
    <row r="119" spans="1:30" ht="58">
      <c r="A119" s="3" t="s">
        <v>355</v>
      </c>
      <c r="B119" s="3" t="s">
        <v>4410</v>
      </c>
      <c r="C119" s="3" t="s">
        <v>4411</v>
      </c>
      <c r="F119" t="s">
        <v>3884</v>
      </c>
      <c r="G119" s="9" t="s">
        <v>3889</v>
      </c>
      <c r="H119" s="9"/>
      <c r="I119" s="9">
        <v>1</v>
      </c>
      <c r="J119" s="9">
        <v>6</v>
      </c>
      <c r="K119" s="9" t="s">
        <v>8703</v>
      </c>
      <c r="L119" s="9" t="s">
        <v>8690</v>
      </c>
      <c r="M119" s="9"/>
      <c r="N119" s="10"/>
      <c r="O119" s="9"/>
      <c r="P119" s="9">
        <v>7</v>
      </c>
      <c r="Q119" s="9">
        <f t="shared" si="1"/>
        <v>0.90054161145488931</v>
      </c>
      <c r="R119" s="9"/>
      <c r="S119" s="9" t="s">
        <v>9321</v>
      </c>
      <c r="T119" s="9" t="s">
        <v>9321</v>
      </c>
      <c r="U119" s="9" t="s">
        <v>8728</v>
      </c>
      <c r="V119" s="9"/>
      <c r="W119" s="9"/>
      <c r="X119" s="9"/>
      <c r="Y119" s="9"/>
      <c r="Z119" s="9"/>
      <c r="AA119" s="9"/>
      <c r="AB119" s="9"/>
      <c r="AC119" s="9"/>
      <c r="AD119" s="9"/>
    </row>
    <row r="120" spans="1:30" ht="130.5">
      <c r="A120" s="3" t="s">
        <v>361</v>
      </c>
      <c r="B120" s="3" t="s">
        <v>4433</v>
      </c>
      <c r="C120" s="3" t="s">
        <v>4434</v>
      </c>
      <c r="F120" t="s">
        <v>3892</v>
      </c>
      <c r="G120" s="9" t="s">
        <v>3889</v>
      </c>
      <c r="H120" s="9"/>
      <c r="I120" s="9">
        <v>1</v>
      </c>
      <c r="J120" s="9">
        <v>3</v>
      </c>
      <c r="K120" s="9" t="s">
        <v>8707</v>
      </c>
      <c r="L120" s="9" t="s">
        <v>8690</v>
      </c>
      <c r="M120" s="9"/>
      <c r="N120" s="10"/>
      <c r="O120" s="9"/>
      <c r="P120" s="9">
        <v>991</v>
      </c>
      <c r="Q120" s="9">
        <f t="shared" si="1"/>
        <v>127.49096242168504</v>
      </c>
      <c r="R120" s="9"/>
      <c r="S120" s="9" t="s">
        <v>9321</v>
      </c>
      <c r="T120" s="9" t="s">
        <v>9321</v>
      </c>
      <c r="U120" s="9"/>
      <c r="V120" s="9"/>
      <c r="W120" s="9"/>
      <c r="X120" s="9"/>
      <c r="Y120" s="9"/>
      <c r="Z120" s="9"/>
      <c r="AA120" s="9"/>
      <c r="AB120" s="9"/>
      <c r="AC120" s="9"/>
      <c r="AD120" s="9"/>
    </row>
    <row r="121" spans="1:30" ht="43.5">
      <c r="A121" s="3" t="s">
        <v>363</v>
      </c>
      <c r="B121" s="3" t="s">
        <v>4440</v>
      </c>
      <c r="C121" s="3" t="s">
        <v>4441</v>
      </c>
      <c r="G121" s="9" t="s">
        <v>3889</v>
      </c>
      <c r="H121" s="9"/>
      <c r="I121" s="9">
        <v>1</v>
      </c>
      <c r="J121" s="9">
        <v>7</v>
      </c>
      <c r="K121" s="9" t="s">
        <v>8703</v>
      </c>
      <c r="L121" s="9" t="s">
        <v>8690</v>
      </c>
      <c r="M121" s="9"/>
      <c r="N121" s="10"/>
      <c r="O121" s="9"/>
      <c r="P121" s="9">
        <v>99</v>
      </c>
      <c r="Q121" s="9">
        <f t="shared" si="1"/>
        <v>12.736231362004862</v>
      </c>
      <c r="R121" s="9"/>
      <c r="S121" s="9" t="s">
        <v>9321</v>
      </c>
      <c r="T121" s="9" t="s">
        <v>9321</v>
      </c>
      <c r="U121" s="9" t="s">
        <v>8728</v>
      </c>
      <c r="V121" s="9"/>
      <c r="W121" s="9"/>
      <c r="X121" s="9"/>
      <c r="Y121" s="9"/>
      <c r="Z121" s="9"/>
      <c r="AA121" s="9"/>
      <c r="AB121" s="9"/>
      <c r="AC121" s="9"/>
      <c r="AD121" s="9"/>
    </row>
    <row r="122" spans="1:30" ht="43.5">
      <c r="A122" s="3" t="s">
        <v>364</v>
      </c>
      <c r="B122" s="3" t="s">
        <v>4444</v>
      </c>
      <c r="C122" s="3" t="s">
        <v>4445</v>
      </c>
      <c r="F122" t="s">
        <v>3884</v>
      </c>
      <c r="G122" s="9" t="s">
        <v>3889</v>
      </c>
      <c r="H122" s="9"/>
      <c r="I122" s="9">
        <v>1</v>
      </c>
      <c r="J122" s="9">
        <v>3</v>
      </c>
      <c r="K122" s="9" t="s">
        <v>8689</v>
      </c>
      <c r="L122" s="9" t="s">
        <v>8690</v>
      </c>
      <c r="M122" s="9"/>
      <c r="N122" s="10"/>
      <c r="O122" s="9"/>
      <c r="P122" s="9">
        <v>10929</v>
      </c>
      <c r="Q122" s="9">
        <f t="shared" si="1"/>
        <v>1406.0027530843549</v>
      </c>
      <c r="R122" s="9"/>
      <c r="S122" s="9" t="s">
        <v>9321</v>
      </c>
      <c r="T122" s="9" t="s">
        <v>9321</v>
      </c>
      <c r="U122" s="9"/>
      <c r="V122" s="9"/>
      <c r="W122" s="9"/>
      <c r="X122" s="9"/>
      <c r="Y122" s="9"/>
      <c r="Z122" s="9"/>
      <c r="AA122" s="9"/>
      <c r="AB122" s="9"/>
      <c r="AC122" s="9"/>
      <c r="AD122" s="9"/>
    </row>
    <row r="123" spans="1:30" ht="43.5">
      <c r="A123" s="3" t="s">
        <v>365</v>
      </c>
      <c r="B123" s="3" t="s">
        <v>4449</v>
      </c>
      <c r="C123" s="3" t="s">
        <v>4450</v>
      </c>
      <c r="G123" s="9" t="s">
        <v>3889</v>
      </c>
      <c r="H123" s="9"/>
      <c r="I123" s="9">
        <v>1</v>
      </c>
      <c r="J123" s="9">
        <v>2</v>
      </c>
      <c r="K123" s="9" t="s">
        <v>8689</v>
      </c>
      <c r="L123" s="9" t="s">
        <v>8730</v>
      </c>
      <c r="M123" s="9"/>
      <c r="N123" s="10"/>
      <c r="O123" s="9"/>
      <c r="P123" s="9">
        <v>10929</v>
      </c>
      <c r="Q123" s="9">
        <f t="shared" si="1"/>
        <v>1406.0027530843549</v>
      </c>
      <c r="R123" s="9"/>
      <c r="S123" s="9" t="s">
        <v>9321</v>
      </c>
      <c r="T123" s="9" t="s">
        <v>9321</v>
      </c>
      <c r="U123" s="9"/>
      <c r="V123" s="9"/>
      <c r="W123" s="9"/>
      <c r="X123" s="9"/>
      <c r="Y123" s="9"/>
      <c r="Z123" s="9"/>
      <c r="AA123" s="9"/>
      <c r="AB123" s="9"/>
      <c r="AC123" s="9"/>
      <c r="AD123" s="9"/>
    </row>
    <row r="124" spans="1:30" ht="58">
      <c r="A124" s="3" t="s">
        <v>365</v>
      </c>
      <c r="B124" s="3" t="s">
        <v>8936</v>
      </c>
      <c r="C124" s="3" t="s">
        <v>8937</v>
      </c>
      <c r="F124" t="s">
        <v>3884</v>
      </c>
      <c r="G124" s="9" t="s">
        <v>3885</v>
      </c>
      <c r="H124" s="9"/>
      <c r="I124" s="9">
        <v>1</v>
      </c>
      <c r="J124" s="9">
        <v>3</v>
      </c>
      <c r="K124" s="9" t="s">
        <v>8698</v>
      </c>
      <c r="L124" s="9" t="s">
        <v>8690</v>
      </c>
      <c r="M124" s="9"/>
      <c r="N124" s="10"/>
      <c r="O124" s="9"/>
      <c r="P124" s="9">
        <v>9418</v>
      </c>
      <c r="Q124" s="9">
        <f t="shared" si="1"/>
        <v>1211.6144138117354</v>
      </c>
      <c r="R124" s="9"/>
      <c r="S124" s="9" t="s">
        <v>9321</v>
      </c>
      <c r="T124" s="9" t="s">
        <v>9321</v>
      </c>
      <c r="U124" s="9"/>
      <c r="V124" s="9"/>
      <c r="W124" s="9"/>
      <c r="X124" s="9"/>
      <c r="Y124" s="9"/>
      <c r="Z124" s="9"/>
      <c r="AA124" s="9"/>
      <c r="AB124" s="9"/>
      <c r="AC124" s="9"/>
      <c r="AD124" s="9"/>
    </row>
    <row r="125" spans="1:30" ht="72.5">
      <c r="A125" s="3" t="s">
        <v>370</v>
      </c>
      <c r="B125" s="3" t="s">
        <v>9212</v>
      </c>
      <c r="C125" s="3" t="s">
        <v>4459</v>
      </c>
      <c r="F125" t="s">
        <v>3884</v>
      </c>
      <c r="G125" s="9" t="s">
        <v>3889</v>
      </c>
      <c r="H125" s="9"/>
      <c r="I125" s="9">
        <v>2</v>
      </c>
      <c r="J125" s="9">
        <v>11</v>
      </c>
      <c r="K125" s="9"/>
      <c r="L125" s="9" t="s">
        <v>8690</v>
      </c>
      <c r="M125" s="9"/>
      <c r="N125" s="10"/>
      <c r="O125" s="9"/>
      <c r="P125" s="9">
        <v>152</v>
      </c>
      <c r="Q125" s="9">
        <f t="shared" si="1"/>
        <v>19.55461784873474</v>
      </c>
      <c r="R125" s="9"/>
      <c r="S125" s="9" t="s">
        <v>9321</v>
      </c>
      <c r="T125" s="9" t="s">
        <v>9321</v>
      </c>
      <c r="U125" s="9"/>
      <c r="V125" s="9"/>
      <c r="W125" s="9"/>
      <c r="X125" s="9"/>
      <c r="Y125" s="9"/>
      <c r="Z125" s="9"/>
      <c r="AA125" s="9"/>
      <c r="AB125" s="9"/>
      <c r="AC125" s="9"/>
      <c r="AD125" s="9"/>
    </row>
    <row r="126" spans="1:30" ht="43.5">
      <c r="A126" s="3" t="s">
        <v>370</v>
      </c>
      <c r="B126" s="3" t="s">
        <v>4460</v>
      </c>
      <c r="C126" s="3" t="s">
        <v>4461</v>
      </c>
      <c r="G126" s="9" t="s">
        <v>3885</v>
      </c>
      <c r="H126" s="9"/>
      <c r="I126" s="9">
        <v>1</v>
      </c>
      <c r="J126" s="9">
        <v>2</v>
      </c>
      <c r="K126" s="9" t="s">
        <v>8689</v>
      </c>
      <c r="L126" s="9" t="s">
        <v>8730</v>
      </c>
      <c r="M126" s="9"/>
      <c r="N126" s="10"/>
      <c r="O126" s="9"/>
      <c r="P126" s="9">
        <v>10929</v>
      </c>
      <c r="Q126" s="9">
        <f t="shared" si="1"/>
        <v>1406.0027530843549</v>
      </c>
      <c r="R126" s="9"/>
      <c r="S126" s="9" t="s">
        <v>9321</v>
      </c>
      <c r="T126" s="9" t="s">
        <v>9321</v>
      </c>
      <c r="U126" s="9"/>
      <c r="V126" s="9"/>
      <c r="W126" s="9"/>
      <c r="X126" s="9"/>
      <c r="Y126" s="9"/>
      <c r="Z126" s="9"/>
      <c r="AA126" s="9"/>
      <c r="AB126" s="9"/>
      <c r="AC126" s="9"/>
      <c r="AD126" s="9"/>
    </row>
    <row r="127" spans="1:30" ht="43.5">
      <c r="A127" s="3" t="s">
        <v>372</v>
      </c>
      <c r="B127" s="3" t="s">
        <v>8938</v>
      </c>
      <c r="C127" s="3" t="s">
        <v>8939</v>
      </c>
      <c r="F127" t="s">
        <v>3884</v>
      </c>
      <c r="G127" s="9" t="s">
        <v>3885</v>
      </c>
      <c r="H127" s="9"/>
      <c r="I127" s="9">
        <v>1</v>
      </c>
      <c r="J127" s="9">
        <v>1</v>
      </c>
      <c r="K127" s="9" t="s">
        <v>8705</v>
      </c>
      <c r="L127" s="9" t="s">
        <v>8730</v>
      </c>
      <c r="M127" s="9"/>
      <c r="N127" s="10"/>
      <c r="O127" s="9"/>
      <c r="P127" s="9">
        <v>615</v>
      </c>
      <c r="Q127" s="9">
        <f t="shared" si="1"/>
        <v>79.119013006393843</v>
      </c>
      <c r="R127" s="9"/>
      <c r="S127" s="9" t="s">
        <v>9321</v>
      </c>
      <c r="T127" s="9" t="s">
        <v>9321</v>
      </c>
      <c r="U127" s="9"/>
      <c r="V127" s="9"/>
      <c r="W127" s="9"/>
      <c r="X127" s="9"/>
      <c r="Y127" s="9"/>
      <c r="Z127" s="9"/>
      <c r="AA127" s="9"/>
      <c r="AB127" s="9"/>
      <c r="AC127" s="9"/>
      <c r="AD127" s="9"/>
    </row>
    <row r="128" spans="1:30" ht="29">
      <c r="A128" s="3" t="s">
        <v>374</v>
      </c>
      <c r="B128" s="3" t="s">
        <v>9456</v>
      </c>
      <c r="C128" s="3" t="s">
        <v>9454</v>
      </c>
      <c r="G128" s="9" t="s">
        <v>3889</v>
      </c>
      <c r="H128" s="9"/>
      <c r="I128" s="9">
        <v>1</v>
      </c>
      <c r="J128" s="9">
        <v>2</v>
      </c>
      <c r="K128" s="9" t="s">
        <v>8698</v>
      </c>
      <c r="L128" s="9" t="s">
        <v>8730</v>
      </c>
      <c r="M128" s="9"/>
      <c r="N128" s="10"/>
      <c r="O128" s="9" t="s">
        <v>8685</v>
      </c>
      <c r="P128" s="9">
        <v>159</v>
      </c>
      <c r="Q128" s="9">
        <f t="shared" si="1"/>
        <v>20.455159460189627</v>
      </c>
      <c r="R128" s="9"/>
      <c r="S128" s="9" t="s">
        <v>9321</v>
      </c>
      <c r="T128" s="9" t="s">
        <v>9321</v>
      </c>
      <c r="U128" s="9"/>
      <c r="V128" s="9"/>
      <c r="W128" s="9"/>
      <c r="X128" s="9"/>
      <c r="Y128" s="9"/>
      <c r="Z128" s="9"/>
      <c r="AA128" s="9"/>
      <c r="AB128" s="9"/>
      <c r="AC128" s="9"/>
      <c r="AD128" s="9"/>
    </row>
    <row r="129" spans="1:30" ht="43.5">
      <c r="A129" s="3" t="s">
        <v>378</v>
      </c>
      <c r="B129" s="3" t="s">
        <v>4469</v>
      </c>
      <c r="C129" s="3" t="s">
        <v>4472</v>
      </c>
      <c r="F129" t="s">
        <v>3884</v>
      </c>
      <c r="G129" s="9" t="s">
        <v>3885</v>
      </c>
      <c r="H129" s="9"/>
      <c r="I129" s="9">
        <v>1</v>
      </c>
      <c r="J129" s="9">
        <v>2</v>
      </c>
      <c r="K129" s="9" t="s">
        <v>8689</v>
      </c>
      <c r="L129" s="9" t="s">
        <v>8730</v>
      </c>
      <c r="M129" s="9"/>
      <c r="N129" s="10"/>
      <c r="O129" s="9"/>
      <c r="P129" s="9">
        <v>10929</v>
      </c>
      <c r="Q129" s="9">
        <f t="shared" si="1"/>
        <v>1406.0027530843549</v>
      </c>
      <c r="R129" s="9"/>
      <c r="S129" s="9" t="s">
        <v>9321</v>
      </c>
      <c r="T129" s="9" t="s">
        <v>9321</v>
      </c>
      <c r="U129" s="9"/>
      <c r="V129" s="9"/>
      <c r="W129" s="9"/>
      <c r="X129" s="9"/>
      <c r="Y129" s="9"/>
      <c r="Z129" s="9"/>
      <c r="AA129" s="9"/>
      <c r="AB129" s="9"/>
      <c r="AC129" s="9"/>
      <c r="AD129" s="9"/>
    </row>
    <row r="130" spans="1:30" ht="58">
      <c r="A130" s="3" t="s">
        <v>385</v>
      </c>
      <c r="B130" s="3" t="s">
        <v>4483</v>
      </c>
      <c r="C130" s="3" t="s">
        <v>4484</v>
      </c>
      <c r="G130" s="9" t="s">
        <v>3889</v>
      </c>
      <c r="H130" s="9"/>
      <c r="I130" s="9">
        <v>1</v>
      </c>
      <c r="J130" s="9">
        <v>2</v>
      </c>
      <c r="K130" s="9" t="s">
        <v>8689</v>
      </c>
      <c r="L130" s="9" t="s">
        <v>8730</v>
      </c>
      <c r="M130" s="9"/>
      <c r="N130" s="10"/>
      <c r="O130" s="9"/>
      <c r="P130" s="9">
        <v>10929</v>
      </c>
      <c r="Q130" s="9">
        <f t="shared" si="1"/>
        <v>1406.0027530843549</v>
      </c>
      <c r="R130" s="9"/>
      <c r="S130" s="9" t="s">
        <v>9321</v>
      </c>
      <c r="T130" s="9" t="s">
        <v>9321</v>
      </c>
      <c r="U130" s="9"/>
      <c r="V130" s="9"/>
      <c r="W130" s="9"/>
      <c r="X130" s="9"/>
      <c r="Y130" s="9"/>
      <c r="Z130" s="9"/>
      <c r="AA130" s="9"/>
      <c r="AB130" s="9"/>
      <c r="AC130" s="9"/>
      <c r="AD130" s="9"/>
    </row>
    <row r="131" spans="1:30" ht="43.5">
      <c r="A131" s="3" t="s">
        <v>386</v>
      </c>
      <c r="B131" s="3" t="s">
        <v>4486</v>
      </c>
      <c r="C131" s="3" t="s">
        <v>4487</v>
      </c>
      <c r="G131" s="9" t="s">
        <v>3885</v>
      </c>
      <c r="H131" s="9"/>
      <c r="I131" s="9">
        <v>1</v>
      </c>
      <c r="J131" s="9">
        <v>2</v>
      </c>
      <c r="K131" s="9" t="s">
        <v>8689</v>
      </c>
      <c r="L131" s="9" t="s">
        <v>8730</v>
      </c>
      <c r="M131" s="9"/>
      <c r="N131" s="10"/>
      <c r="O131" s="9"/>
      <c r="P131" s="9">
        <v>10929</v>
      </c>
      <c r="Q131" s="9">
        <f t="shared" ref="Q131:Q194" si="2">IF(ISNUMBER(P131), (P131/$E$601)*10000, "")</f>
        <v>1406.0027530843549</v>
      </c>
      <c r="R131" s="9"/>
      <c r="S131" s="9" t="s">
        <v>9321</v>
      </c>
      <c r="T131" s="9" t="s">
        <v>9321</v>
      </c>
      <c r="U131" s="9" t="s">
        <v>8728</v>
      </c>
      <c r="V131" s="9"/>
      <c r="W131" s="9"/>
      <c r="X131" s="9"/>
      <c r="Y131" s="9"/>
      <c r="Z131" s="9"/>
      <c r="AA131" s="9"/>
      <c r="AB131" s="9"/>
      <c r="AC131" s="9"/>
      <c r="AD131" s="9"/>
    </row>
    <row r="132" spans="1:30" ht="58">
      <c r="A132" s="3" t="s">
        <v>386</v>
      </c>
      <c r="B132" s="3" t="s">
        <v>4490</v>
      </c>
      <c r="C132" s="3" t="s">
        <v>4491</v>
      </c>
      <c r="F132" t="s">
        <v>3884</v>
      </c>
      <c r="G132" s="9" t="s">
        <v>3885</v>
      </c>
      <c r="H132" s="9"/>
      <c r="I132" s="9">
        <v>1</v>
      </c>
      <c r="J132" s="9">
        <v>5</v>
      </c>
      <c r="K132" s="9" t="s">
        <v>8703</v>
      </c>
      <c r="L132" s="9" t="s">
        <v>8684</v>
      </c>
      <c r="M132" s="9" t="s">
        <v>8777</v>
      </c>
      <c r="N132" s="10" t="s">
        <v>8941</v>
      </c>
      <c r="O132" s="9" t="s">
        <v>8685</v>
      </c>
      <c r="P132" s="9">
        <v>9</v>
      </c>
      <c r="Q132" s="9">
        <f t="shared" si="2"/>
        <v>1.1578392147277148</v>
      </c>
      <c r="R132" s="9"/>
      <c r="S132" s="9" t="s">
        <v>9321</v>
      </c>
      <c r="T132" s="9" t="s">
        <v>9321</v>
      </c>
      <c r="U132" s="9"/>
      <c r="V132" s="9"/>
      <c r="W132" s="9"/>
      <c r="X132" s="9"/>
      <c r="Y132" s="9"/>
      <c r="Z132" s="9"/>
      <c r="AA132" s="9"/>
      <c r="AB132" s="9"/>
      <c r="AC132" s="9"/>
      <c r="AD132" s="9"/>
    </row>
    <row r="133" spans="1:30" ht="58">
      <c r="A133" s="3" t="s">
        <v>387</v>
      </c>
      <c r="B133" s="3" t="s">
        <v>4494</v>
      </c>
      <c r="C133" s="3" t="s">
        <v>4495</v>
      </c>
      <c r="G133" s="9" t="s">
        <v>3885</v>
      </c>
      <c r="H133" s="9"/>
      <c r="I133" s="9">
        <v>1</v>
      </c>
      <c r="J133" s="9">
        <v>1</v>
      </c>
      <c r="K133" s="9" t="s">
        <v>8689</v>
      </c>
      <c r="L133" s="9" t="s">
        <v>8730</v>
      </c>
      <c r="M133" s="9"/>
      <c r="N133" s="10"/>
      <c r="O133" s="9"/>
      <c r="P133" s="9">
        <v>10929</v>
      </c>
      <c r="Q133" s="9">
        <f t="shared" si="2"/>
        <v>1406.0027530843549</v>
      </c>
      <c r="R133" s="9"/>
      <c r="S133" s="9" t="s">
        <v>9321</v>
      </c>
      <c r="T133" s="9" t="s">
        <v>9321</v>
      </c>
      <c r="U133" s="9"/>
      <c r="V133" s="9"/>
      <c r="W133" s="9"/>
      <c r="X133" s="9"/>
      <c r="Y133" s="9"/>
      <c r="Z133" s="9"/>
      <c r="AA133" s="9"/>
      <c r="AB133" s="9"/>
      <c r="AC133" s="9"/>
      <c r="AD133" s="9"/>
    </row>
    <row r="134" spans="1:30" ht="29">
      <c r="A134" s="3" t="s">
        <v>387</v>
      </c>
      <c r="B134" s="3" t="s">
        <v>4498</v>
      </c>
      <c r="C134" s="3" t="s">
        <v>4499</v>
      </c>
      <c r="G134" s="9" t="s">
        <v>3885</v>
      </c>
      <c r="H134" s="9"/>
      <c r="I134" s="9">
        <v>1</v>
      </c>
      <c r="J134" s="9">
        <v>1</v>
      </c>
      <c r="K134" s="9" t="s">
        <v>8689</v>
      </c>
      <c r="L134" s="9" t="s">
        <v>8730</v>
      </c>
      <c r="M134" s="9"/>
      <c r="N134" s="10"/>
      <c r="O134" s="9"/>
      <c r="P134" s="9">
        <v>10929</v>
      </c>
      <c r="Q134" s="9">
        <f t="shared" si="2"/>
        <v>1406.0027530843549</v>
      </c>
      <c r="R134" s="9"/>
      <c r="S134" s="9" t="s">
        <v>9321</v>
      </c>
      <c r="T134" s="9" t="s">
        <v>9321</v>
      </c>
      <c r="U134" s="9"/>
      <c r="V134" s="9"/>
      <c r="W134" s="9"/>
      <c r="X134" s="9"/>
      <c r="Y134" s="9"/>
      <c r="Z134" s="9"/>
      <c r="AA134" s="9"/>
      <c r="AB134" s="9"/>
      <c r="AC134" s="9"/>
      <c r="AD134" s="9"/>
    </row>
    <row r="135" spans="1:30" ht="217.5">
      <c r="A135" s="3" t="s">
        <v>389</v>
      </c>
      <c r="B135" s="3" t="s">
        <v>4500</v>
      </c>
      <c r="C135" s="3" t="s">
        <v>4501</v>
      </c>
      <c r="F135" t="s">
        <v>3884</v>
      </c>
      <c r="G135" s="9" t="s">
        <v>3889</v>
      </c>
      <c r="H135" s="9"/>
      <c r="I135" s="9">
        <v>8</v>
      </c>
      <c r="J135" s="9">
        <v>41</v>
      </c>
      <c r="K135" s="9"/>
      <c r="L135" s="9" t="s">
        <v>8684</v>
      </c>
      <c r="M135" s="9" t="s">
        <v>8944</v>
      </c>
      <c r="N135" s="10" t="s">
        <v>8945</v>
      </c>
      <c r="O135" s="9"/>
      <c r="P135" s="9">
        <v>3</v>
      </c>
      <c r="Q135" s="9">
        <f t="shared" si="2"/>
        <v>0.38594640490923826</v>
      </c>
      <c r="R135" s="9"/>
      <c r="S135" s="9" t="s">
        <v>9321</v>
      </c>
      <c r="T135" s="9" t="s">
        <v>9321</v>
      </c>
      <c r="U135" s="9"/>
      <c r="V135" s="9"/>
      <c r="W135" s="9"/>
      <c r="X135" s="9"/>
      <c r="Y135" s="9"/>
      <c r="Z135" s="9"/>
      <c r="AA135" s="9"/>
      <c r="AB135" s="9"/>
      <c r="AC135" s="9"/>
      <c r="AD135" s="9"/>
    </row>
    <row r="136" spans="1:30" ht="29">
      <c r="A136" s="3" t="s">
        <v>390</v>
      </c>
      <c r="B136" s="3" t="s">
        <v>4502</v>
      </c>
      <c r="C136" s="3" t="s">
        <v>8948</v>
      </c>
      <c r="F136" t="s">
        <v>3884</v>
      </c>
      <c r="G136" s="9" t="s">
        <v>3889</v>
      </c>
      <c r="H136" s="9"/>
      <c r="I136" s="9">
        <v>1</v>
      </c>
      <c r="J136" s="9">
        <v>3</v>
      </c>
      <c r="K136" s="9" t="s">
        <v>8689</v>
      </c>
      <c r="L136" s="9" t="s">
        <v>8690</v>
      </c>
      <c r="M136" s="9"/>
      <c r="N136" s="10"/>
      <c r="O136" s="9"/>
      <c r="P136" s="9">
        <v>10929</v>
      </c>
      <c r="Q136" s="9">
        <f t="shared" si="2"/>
        <v>1406.0027530843549</v>
      </c>
      <c r="R136" s="9"/>
      <c r="S136" s="9" t="s">
        <v>9321</v>
      </c>
      <c r="T136" s="9" t="s">
        <v>9321</v>
      </c>
      <c r="U136" s="9"/>
      <c r="V136" s="9"/>
      <c r="W136" s="9"/>
      <c r="X136" s="9"/>
      <c r="Y136" s="9"/>
      <c r="Z136" s="9"/>
      <c r="AA136" s="9"/>
      <c r="AB136" s="9"/>
      <c r="AC136" s="9"/>
      <c r="AD136" s="9"/>
    </row>
    <row r="137" spans="1:30" ht="29">
      <c r="A137" s="3" t="s">
        <v>395</v>
      </c>
      <c r="B137" s="3" t="s">
        <v>4514</v>
      </c>
      <c r="C137" s="3" t="s">
        <v>4515</v>
      </c>
      <c r="G137" s="9" t="s">
        <v>3889</v>
      </c>
      <c r="H137" s="9"/>
      <c r="I137" s="9">
        <v>1</v>
      </c>
      <c r="J137" s="9">
        <v>3</v>
      </c>
      <c r="K137" s="9" t="s">
        <v>8698</v>
      </c>
      <c r="L137" s="9" t="s">
        <v>8690</v>
      </c>
      <c r="M137" s="9"/>
      <c r="N137" s="10"/>
      <c r="O137" s="9"/>
      <c r="P137" s="9">
        <v>9418</v>
      </c>
      <c r="Q137" s="9">
        <f t="shared" si="2"/>
        <v>1211.6144138117354</v>
      </c>
      <c r="R137" s="9"/>
      <c r="S137" s="9" t="s">
        <v>9321</v>
      </c>
      <c r="T137" s="9" t="s">
        <v>9321</v>
      </c>
      <c r="U137" s="9"/>
      <c r="V137" s="9"/>
      <c r="W137" s="9"/>
      <c r="X137" s="9"/>
      <c r="Y137" s="9"/>
      <c r="Z137" s="9"/>
      <c r="AA137" s="9"/>
      <c r="AB137" s="9"/>
      <c r="AC137" s="9"/>
      <c r="AD137" s="9"/>
    </row>
    <row r="138" spans="1:30" ht="29">
      <c r="A138" s="3" t="s">
        <v>396</v>
      </c>
      <c r="B138" s="3" t="s">
        <v>4518</v>
      </c>
      <c r="C138" s="3" t="s">
        <v>4519</v>
      </c>
      <c r="F138" t="s">
        <v>3884</v>
      </c>
      <c r="G138" s="9" t="s">
        <v>3885</v>
      </c>
      <c r="H138" s="9"/>
      <c r="I138" s="9">
        <v>1</v>
      </c>
      <c r="J138" s="9">
        <v>1</v>
      </c>
      <c r="K138" s="9" t="s">
        <v>8698</v>
      </c>
      <c r="L138" s="9" t="s">
        <v>8730</v>
      </c>
      <c r="M138" s="9"/>
      <c r="N138" s="10"/>
      <c r="O138" s="9"/>
      <c r="P138" s="9">
        <v>1</v>
      </c>
      <c r="Q138" s="9">
        <f t="shared" si="2"/>
        <v>0.12864880163641276</v>
      </c>
      <c r="R138" s="9"/>
      <c r="S138" s="9" t="s">
        <v>9321</v>
      </c>
      <c r="T138" s="9" t="s">
        <v>9321</v>
      </c>
      <c r="U138" s="9"/>
      <c r="V138" s="9"/>
      <c r="W138" s="9"/>
      <c r="X138" s="9"/>
      <c r="Y138" s="9"/>
      <c r="Z138" s="9"/>
      <c r="AA138" s="9"/>
      <c r="AB138" s="9"/>
      <c r="AC138" s="9"/>
      <c r="AD138" s="9"/>
    </row>
    <row r="139" spans="1:30" ht="101.5">
      <c r="A139" s="3" t="s">
        <v>401</v>
      </c>
      <c r="B139" s="3" t="s">
        <v>4533</v>
      </c>
      <c r="C139" s="3" t="s">
        <v>9595</v>
      </c>
      <c r="F139" t="s">
        <v>3892</v>
      </c>
      <c r="G139" s="9" t="s">
        <v>3885</v>
      </c>
      <c r="H139" s="9"/>
      <c r="I139" s="9">
        <v>1</v>
      </c>
      <c r="J139" s="9">
        <v>3</v>
      </c>
      <c r="K139" s="9" t="s">
        <v>8698</v>
      </c>
      <c r="L139" s="9" t="s">
        <v>8690</v>
      </c>
      <c r="M139" s="9"/>
      <c r="N139" s="10"/>
      <c r="O139" s="9"/>
      <c r="P139" s="9">
        <v>9418</v>
      </c>
      <c r="Q139" s="9">
        <f t="shared" si="2"/>
        <v>1211.6144138117354</v>
      </c>
      <c r="R139" s="9"/>
      <c r="S139" s="9" t="s">
        <v>9321</v>
      </c>
      <c r="T139" s="9" t="s">
        <v>9321</v>
      </c>
      <c r="U139" s="9"/>
      <c r="V139" s="9"/>
      <c r="W139" s="9"/>
      <c r="X139" s="9"/>
      <c r="Y139" s="9"/>
      <c r="Z139" s="9"/>
      <c r="AA139" s="9"/>
      <c r="AB139" s="9"/>
      <c r="AC139" s="9"/>
      <c r="AD139" s="9"/>
    </row>
    <row r="140" spans="1:30" ht="29">
      <c r="A140" s="3" t="s">
        <v>404</v>
      </c>
      <c r="B140" s="3" t="s">
        <v>4536</v>
      </c>
      <c r="C140" s="3" t="s">
        <v>4537</v>
      </c>
      <c r="G140" s="9" t="s">
        <v>3885</v>
      </c>
      <c r="H140" s="9"/>
      <c r="I140" s="9">
        <v>1</v>
      </c>
      <c r="J140" s="9">
        <v>3</v>
      </c>
      <c r="K140" s="9" t="s">
        <v>8689</v>
      </c>
      <c r="L140" s="9" t="s">
        <v>8690</v>
      </c>
      <c r="M140" s="9"/>
      <c r="N140" s="10"/>
      <c r="O140" s="9"/>
      <c r="P140" s="9">
        <v>10929</v>
      </c>
      <c r="Q140" s="9">
        <f t="shared" si="2"/>
        <v>1406.0027530843549</v>
      </c>
      <c r="R140" s="9"/>
      <c r="S140" s="9" t="s">
        <v>9321</v>
      </c>
      <c r="T140" s="9" t="s">
        <v>9321</v>
      </c>
      <c r="U140" s="9"/>
      <c r="V140" s="9"/>
      <c r="W140" s="9"/>
      <c r="X140" s="9"/>
      <c r="Y140" s="9"/>
      <c r="Z140" s="9"/>
      <c r="AA140" s="9"/>
      <c r="AB140" s="9"/>
      <c r="AC140" s="9"/>
      <c r="AD140" s="9"/>
    </row>
    <row r="141" spans="1:30" ht="29">
      <c r="A141" s="3" t="s">
        <v>409</v>
      </c>
      <c r="B141" s="3" t="s">
        <v>4544</v>
      </c>
      <c r="C141" s="3" t="s">
        <v>4545</v>
      </c>
      <c r="G141" s="9" t="s">
        <v>3889</v>
      </c>
      <c r="H141" s="9"/>
      <c r="I141" s="9">
        <v>1</v>
      </c>
      <c r="J141" s="9">
        <v>3</v>
      </c>
      <c r="K141" s="9" t="s">
        <v>8689</v>
      </c>
      <c r="L141" s="9" t="s">
        <v>8690</v>
      </c>
      <c r="M141" s="9"/>
      <c r="N141" s="10"/>
      <c r="O141" s="9"/>
      <c r="P141" s="9">
        <v>10929</v>
      </c>
      <c r="Q141" s="9">
        <f t="shared" si="2"/>
        <v>1406.0027530843549</v>
      </c>
      <c r="R141" s="9"/>
      <c r="S141" s="9" t="s">
        <v>9321</v>
      </c>
      <c r="T141" s="9" t="s">
        <v>9321</v>
      </c>
      <c r="U141" s="9"/>
      <c r="V141" s="9"/>
      <c r="W141" s="9"/>
      <c r="X141" s="9"/>
      <c r="Y141" s="9"/>
      <c r="Z141" s="9"/>
      <c r="AA141" s="9"/>
      <c r="AB141" s="9"/>
      <c r="AC141" s="9"/>
      <c r="AD141" s="9"/>
    </row>
    <row r="142" spans="1:30" ht="72.5">
      <c r="A142" s="3" t="s">
        <v>417</v>
      </c>
      <c r="B142" s="3" t="s">
        <v>4557</v>
      </c>
      <c r="C142" s="3" t="s">
        <v>4558</v>
      </c>
      <c r="G142" s="9" t="s">
        <v>3885</v>
      </c>
      <c r="H142" s="9"/>
      <c r="I142" s="9">
        <v>1</v>
      </c>
      <c r="J142" s="9">
        <v>2</v>
      </c>
      <c r="K142" s="9" t="s">
        <v>8689</v>
      </c>
      <c r="L142" s="9" t="s">
        <v>8730</v>
      </c>
      <c r="M142" s="9"/>
      <c r="N142" s="10"/>
      <c r="O142" s="9"/>
      <c r="P142" s="9">
        <v>10929</v>
      </c>
      <c r="Q142" s="9">
        <f t="shared" si="2"/>
        <v>1406.0027530843549</v>
      </c>
      <c r="R142" s="9"/>
      <c r="S142" s="9" t="s">
        <v>9321</v>
      </c>
      <c r="T142" s="9" t="s">
        <v>9321</v>
      </c>
      <c r="U142" s="9"/>
      <c r="V142" s="9"/>
      <c r="W142" s="9"/>
      <c r="X142" s="9"/>
      <c r="Y142" s="9"/>
      <c r="Z142" s="9"/>
      <c r="AA142" s="9"/>
      <c r="AB142" s="9"/>
      <c r="AC142" s="9"/>
      <c r="AD142" s="9"/>
    </row>
    <row r="143" spans="1:30" ht="43.5">
      <c r="A143" s="3" t="s">
        <v>424</v>
      </c>
      <c r="B143" s="3" t="s">
        <v>4569</v>
      </c>
      <c r="C143" s="3" t="s">
        <v>4570</v>
      </c>
      <c r="F143" t="s">
        <v>3884</v>
      </c>
      <c r="G143" s="9" t="s">
        <v>3885</v>
      </c>
      <c r="H143" s="9"/>
      <c r="I143" s="9">
        <v>1</v>
      </c>
      <c r="J143" s="9">
        <v>3</v>
      </c>
      <c r="K143" s="9" t="s">
        <v>8689</v>
      </c>
      <c r="L143" s="9" t="s">
        <v>8690</v>
      </c>
      <c r="M143" s="9"/>
      <c r="N143" s="10"/>
      <c r="O143" s="9"/>
      <c r="P143" s="9">
        <v>10929</v>
      </c>
      <c r="Q143" s="9">
        <f t="shared" si="2"/>
        <v>1406.0027530843549</v>
      </c>
      <c r="R143" s="9"/>
      <c r="S143" s="9" t="s">
        <v>9321</v>
      </c>
      <c r="T143" s="9" t="s">
        <v>9321</v>
      </c>
      <c r="U143" s="9"/>
      <c r="V143" s="9"/>
      <c r="W143" s="9"/>
      <c r="X143" s="9"/>
      <c r="Y143" s="9"/>
      <c r="Z143" s="9"/>
      <c r="AA143" s="9"/>
      <c r="AB143" s="9"/>
      <c r="AC143" s="9"/>
      <c r="AD143" s="9"/>
    </row>
    <row r="144" spans="1:30" ht="406">
      <c r="A144" s="3" t="s">
        <v>426</v>
      </c>
      <c r="B144" s="3" t="s">
        <v>4571</v>
      </c>
      <c r="C144" s="3" t="s">
        <v>4572</v>
      </c>
      <c r="F144" t="s">
        <v>3884</v>
      </c>
      <c r="G144" s="9" t="s">
        <v>3889</v>
      </c>
      <c r="H144" s="9"/>
      <c r="I144" s="9">
        <v>19</v>
      </c>
      <c r="J144" s="9">
        <v>93</v>
      </c>
      <c r="K144" s="9"/>
      <c r="L144" s="9" t="s">
        <v>8684</v>
      </c>
      <c r="M144" s="9" t="s">
        <v>8944</v>
      </c>
      <c r="N144" s="10" t="s">
        <v>8950</v>
      </c>
      <c r="O144" s="9"/>
      <c r="P144" s="9">
        <v>11</v>
      </c>
      <c r="Q144" s="9">
        <f t="shared" si="2"/>
        <v>1.4151368180005404</v>
      </c>
      <c r="R144" s="9"/>
      <c r="S144" s="9" t="s">
        <v>9321</v>
      </c>
      <c r="T144" s="9" t="s">
        <v>9321</v>
      </c>
      <c r="U144" s="9"/>
      <c r="V144" s="9"/>
      <c r="W144" s="9"/>
      <c r="X144" s="9"/>
      <c r="Y144" s="9"/>
      <c r="Z144" s="9"/>
      <c r="AA144" s="9"/>
      <c r="AB144" s="9"/>
      <c r="AC144" s="9"/>
      <c r="AD144" s="9"/>
    </row>
    <row r="145" spans="1:30" ht="43.5">
      <c r="A145" s="3" t="s">
        <v>428</v>
      </c>
      <c r="B145" s="3" t="s">
        <v>8953</v>
      </c>
      <c r="C145" s="3" t="s">
        <v>8952</v>
      </c>
      <c r="G145" s="9" t="s">
        <v>3885</v>
      </c>
      <c r="H145" s="9"/>
      <c r="I145" s="9">
        <v>1</v>
      </c>
      <c r="J145" s="9">
        <v>3</v>
      </c>
      <c r="K145" s="9" t="s">
        <v>8705</v>
      </c>
      <c r="L145" s="9" t="s">
        <v>8690</v>
      </c>
      <c r="M145" s="9"/>
      <c r="N145" s="10"/>
      <c r="O145" s="9"/>
      <c r="P145" s="9">
        <v>1485</v>
      </c>
      <c r="Q145" s="9">
        <f t="shared" si="2"/>
        <v>191.04347043007292</v>
      </c>
      <c r="R145" s="9"/>
      <c r="S145" s="9" t="s">
        <v>9321</v>
      </c>
      <c r="T145" s="9" t="s">
        <v>9321</v>
      </c>
      <c r="U145" s="9"/>
      <c r="V145" s="9"/>
      <c r="W145" s="9"/>
      <c r="X145" s="9"/>
      <c r="Y145" s="9"/>
      <c r="Z145" s="9"/>
      <c r="AA145" s="9"/>
      <c r="AB145" s="9"/>
      <c r="AC145" s="9"/>
      <c r="AD145" s="9"/>
    </row>
    <row r="146" spans="1:30" ht="43.5">
      <c r="A146" s="3" t="s">
        <v>430</v>
      </c>
      <c r="B146" s="3" t="s">
        <v>4579</v>
      </c>
      <c r="C146" s="3" t="s">
        <v>4580</v>
      </c>
      <c r="F146" t="s">
        <v>3884</v>
      </c>
      <c r="G146" s="9" t="s">
        <v>3885</v>
      </c>
      <c r="H146" s="9"/>
      <c r="I146" s="9">
        <v>1</v>
      </c>
      <c r="J146" s="9">
        <v>2</v>
      </c>
      <c r="K146" s="9" t="s">
        <v>8698</v>
      </c>
      <c r="L146" s="9" t="s">
        <v>8730</v>
      </c>
      <c r="M146" s="9"/>
      <c r="N146" s="10"/>
      <c r="O146" s="9" t="s">
        <v>8685</v>
      </c>
      <c r="P146" s="9">
        <v>1</v>
      </c>
      <c r="Q146" s="9">
        <f t="shared" si="2"/>
        <v>0.12864880163641276</v>
      </c>
      <c r="R146" s="9"/>
      <c r="S146" s="9" t="s">
        <v>9321</v>
      </c>
      <c r="T146" s="9" t="s">
        <v>9321</v>
      </c>
      <c r="U146" s="9"/>
      <c r="V146" s="9"/>
      <c r="W146" s="9"/>
      <c r="X146" s="9"/>
      <c r="Y146" s="9"/>
      <c r="Z146" s="9"/>
      <c r="AA146" s="9"/>
      <c r="AB146" s="9"/>
      <c r="AC146" s="9"/>
      <c r="AD146" s="9"/>
    </row>
    <row r="147" spans="1:30" ht="43.5">
      <c r="A147" s="3" t="s">
        <v>432</v>
      </c>
      <c r="B147" s="3" t="s">
        <v>4583</v>
      </c>
      <c r="C147" s="3" t="s">
        <v>4584</v>
      </c>
      <c r="F147" t="s">
        <v>3884</v>
      </c>
      <c r="G147" s="9" t="s">
        <v>3889</v>
      </c>
      <c r="H147" s="9"/>
      <c r="I147" s="9">
        <v>1</v>
      </c>
      <c r="J147" s="9">
        <v>3</v>
      </c>
      <c r="K147" s="9" t="s">
        <v>8705</v>
      </c>
      <c r="L147" s="9" t="s">
        <v>8690</v>
      </c>
      <c r="M147" s="9"/>
      <c r="N147" s="10"/>
      <c r="O147" s="9"/>
      <c r="P147" s="9">
        <v>1443</v>
      </c>
      <c r="Q147" s="9">
        <f t="shared" si="2"/>
        <v>185.64022076134361</v>
      </c>
      <c r="R147" s="9"/>
      <c r="S147" s="9" t="s">
        <v>9321</v>
      </c>
      <c r="T147" s="9" t="s">
        <v>9321</v>
      </c>
      <c r="U147" s="9"/>
      <c r="V147" s="9"/>
      <c r="W147" s="9"/>
      <c r="X147" s="9"/>
      <c r="Y147" s="9"/>
      <c r="Z147" s="9"/>
      <c r="AA147" s="9"/>
      <c r="AB147" s="9"/>
      <c r="AC147" s="9"/>
      <c r="AD147" s="9"/>
    </row>
    <row r="148" spans="1:30" ht="29">
      <c r="A148" s="3" t="s">
        <v>433</v>
      </c>
      <c r="B148" s="3" t="s">
        <v>4585</v>
      </c>
      <c r="C148" s="3" t="s">
        <v>4586</v>
      </c>
      <c r="G148" s="9" t="s">
        <v>3885</v>
      </c>
      <c r="H148" s="9"/>
      <c r="I148" s="9">
        <v>1</v>
      </c>
      <c r="J148" s="9">
        <v>4</v>
      </c>
      <c r="K148" s="9" t="s">
        <v>8689</v>
      </c>
      <c r="L148" s="9" t="s">
        <v>8690</v>
      </c>
      <c r="M148" s="9"/>
      <c r="N148" s="10"/>
      <c r="O148" s="9"/>
      <c r="P148" s="9">
        <v>10929</v>
      </c>
      <c r="Q148" s="9">
        <f t="shared" si="2"/>
        <v>1406.0027530843549</v>
      </c>
      <c r="R148" s="9"/>
      <c r="S148" s="9" t="s">
        <v>9321</v>
      </c>
      <c r="T148" s="9" t="s">
        <v>9321</v>
      </c>
      <c r="U148" s="9"/>
      <c r="V148" s="9"/>
      <c r="W148" s="9"/>
      <c r="X148" s="9"/>
      <c r="Y148" s="9"/>
      <c r="Z148" s="9"/>
      <c r="AA148" s="9"/>
      <c r="AB148" s="9"/>
      <c r="AC148" s="9"/>
      <c r="AD148" s="9"/>
    </row>
    <row r="149" spans="1:30" ht="29">
      <c r="A149" s="3" t="s">
        <v>433</v>
      </c>
      <c r="B149" s="3" t="s">
        <v>8954</v>
      </c>
      <c r="C149" s="3" t="s">
        <v>8955</v>
      </c>
      <c r="G149" s="9" t="s">
        <v>3885</v>
      </c>
      <c r="H149" s="9"/>
      <c r="I149" s="9">
        <v>1</v>
      </c>
      <c r="J149" s="9">
        <v>1</v>
      </c>
      <c r="K149" s="9" t="s">
        <v>8689</v>
      </c>
      <c r="L149" s="9" t="s">
        <v>8730</v>
      </c>
      <c r="M149" s="9"/>
      <c r="N149" s="10"/>
      <c r="O149" s="9"/>
      <c r="P149" s="9">
        <v>10929</v>
      </c>
      <c r="Q149" s="9">
        <f t="shared" si="2"/>
        <v>1406.0027530843549</v>
      </c>
      <c r="R149" s="9"/>
      <c r="S149" s="9" t="s">
        <v>9321</v>
      </c>
      <c r="T149" s="9" t="s">
        <v>9321</v>
      </c>
      <c r="U149" s="9"/>
      <c r="V149" s="9"/>
      <c r="W149" s="9"/>
      <c r="X149" s="9"/>
      <c r="Y149" s="9"/>
      <c r="Z149" s="9"/>
      <c r="AA149" s="9"/>
      <c r="AB149" s="9"/>
      <c r="AC149" s="9"/>
      <c r="AD149" s="9"/>
    </row>
    <row r="150" spans="1:30" ht="58">
      <c r="A150" s="3" t="s">
        <v>434</v>
      </c>
      <c r="B150" s="3" t="s">
        <v>9596</v>
      </c>
      <c r="C150" s="3" t="s">
        <v>9597</v>
      </c>
      <c r="G150" s="9" t="s">
        <v>3889</v>
      </c>
      <c r="H150" s="9"/>
      <c r="I150" s="9">
        <v>1</v>
      </c>
      <c r="J150" s="9">
        <v>2</v>
      </c>
      <c r="K150" s="9" t="s">
        <v>8689</v>
      </c>
      <c r="L150" s="9" t="s">
        <v>8730</v>
      </c>
      <c r="M150" s="9"/>
      <c r="N150" s="10"/>
      <c r="O150" s="9"/>
      <c r="P150" s="9">
        <v>10929</v>
      </c>
      <c r="Q150" s="9">
        <f t="shared" si="2"/>
        <v>1406.0027530843549</v>
      </c>
      <c r="R150" s="9"/>
      <c r="S150" s="9" t="s">
        <v>9321</v>
      </c>
      <c r="T150" s="9" t="s">
        <v>9321</v>
      </c>
      <c r="U150" s="9"/>
      <c r="V150" s="9"/>
      <c r="W150" s="9"/>
      <c r="X150" s="9"/>
      <c r="Y150" s="9"/>
      <c r="Z150" s="9"/>
      <c r="AA150" s="9"/>
      <c r="AB150" s="9"/>
      <c r="AC150" s="9"/>
      <c r="AD150" s="9"/>
    </row>
    <row r="151" spans="1:30" ht="43.5">
      <c r="A151" s="3" t="s">
        <v>446</v>
      </c>
      <c r="B151" s="3" t="s">
        <v>4602</v>
      </c>
      <c r="C151" s="3" t="s">
        <v>4603</v>
      </c>
      <c r="F151" t="s">
        <v>3884</v>
      </c>
      <c r="G151" s="9" t="s">
        <v>3885</v>
      </c>
      <c r="H151" s="9"/>
      <c r="I151" s="9">
        <v>1</v>
      </c>
      <c r="J151" s="9">
        <v>2</v>
      </c>
      <c r="K151" s="9" t="s">
        <v>8698</v>
      </c>
      <c r="L151" s="9" t="s">
        <v>8730</v>
      </c>
      <c r="M151" s="9"/>
      <c r="N151" s="10"/>
      <c r="O151" s="9"/>
      <c r="P151" s="9">
        <v>55</v>
      </c>
      <c r="Q151" s="9">
        <f t="shared" si="2"/>
        <v>7.075684090002702</v>
      </c>
      <c r="R151" s="9"/>
      <c r="S151" s="9" t="s">
        <v>9321</v>
      </c>
      <c r="T151" s="9" t="s">
        <v>9321</v>
      </c>
      <c r="U151" s="9"/>
      <c r="V151" s="9"/>
      <c r="W151" s="9"/>
      <c r="X151" s="9"/>
      <c r="Y151" s="9"/>
      <c r="Z151" s="9"/>
      <c r="AA151" s="9"/>
      <c r="AB151" s="9"/>
      <c r="AC151" s="9"/>
      <c r="AD151" s="9"/>
    </row>
    <row r="152" spans="1:30" ht="203">
      <c r="A152" s="3" t="s">
        <v>450</v>
      </c>
      <c r="B152" s="3" t="s">
        <v>8957</v>
      </c>
      <c r="C152" s="3" t="s">
        <v>8956</v>
      </c>
      <c r="F152" t="s">
        <v>3884</v>
      </c>
      <c r="G152" s="9" t="s">
        <v>3889</v>
      </c>
      <c r="H152" s="9"/>
      <c r="I152" s="9">
        <v>10</v>
      </c>
      <c r="J152" s="9">
        <v>50</v>
      </c>
      <c r="K152" s="9"/>
      <c r="L152" s="9" t="s">
        <v>8684</v>
      </c>
      <c r="M152" s="9" t="s">
        <v>8740</v>
      </c>
      <c r="N152" s="10" t="s">
        <v>8958</v>
      </c>
      <c r="O152" s="9"/>
      <c r="P152" s="9">
        <v>19</v>
      </c>
      <c r="Q152" s="9">
        <f t="shared" si="2"/>
        <v>2.4443272310918425</v>
      </c>
      <c r="R152" s="9"/>
      <c r="S152" s="9" t="s">
        <v>9321</v>
      </c>
      <c r="T152" s="9" t="s">
        <v>9321</v>
      </c>
      <c r="U152" s="9"/>
      <c r="V152" s="9"/>
      <c r="W152" s="9"/>
      <c r="X152" s="9"/>
      <c r="Y152" s="9"/>
      <c r="Z152" s="9"/>
      <c r="AA152" s="9"/>
      <c r="AB152" s="9"/>
      <c r="AC152" s="9"/>
      <c r="AD152" s="9"/>
    </row>
    <row r="153" spans="1:30" ht="29">
      <c r="A153" s="3" t="s">
        <v>452</v>
      </c>
      <c r="B153" s="3" t="s">
        <v>4616</v>
      </c>
      <c r="C153" s="3" t="s">
        <v>4617</v>
      </c>
      <c r="F153" t="s">
        <v>3884</v>
      </c>
      <c r="G153" s="9" t="s">
        <v>3889</v>
      </c>
      <c r="H153" s="9"/>
      <c r="I153" s="9">
        <v>1</v>
      </c>
      <c r="J153" s="9">
        <v>5</v>
      </c>
      <c r="K153" s="9" t="s">
        <v>8736</v>
      </c>
      <c r="L153" s="9" t="s">
        <v>8690</v>
      </c>
      <c r="M153" s="9"/>
      <c r="N153" s="10"/>
      <c r="O153" s="9"/>
      <c r="P153" s="9">
        <v>645</v>
      </c>
      <c r="Q153" s="9">
        <f t="shared" si="2"/>
        <v>82.978477055486238</v>
      </c>
      <c r="R153" s="9"/>
      <c r="S153" s="9" t="s">
        <v>9321</v>
      </c>
      <c r="T153" s="9" t="s">
        <v>9321</v>
      </c>
      <c r="U153" s="9"/>
      <c r="V153" s="9"/>
      <c r="W153" s="9"/>
      <c r="X153" s="9"/>
      <c r="Y153" s="9"/>
      <c r="Z153" s="9"/>
      <c r="AA153" s="9"/>
      <c r="AB153" s="9"/>
      <c r="AC153" s="9"/>
      <c r="AD153" s="9"/>
    </row>
    <row r="154" spans="1:30" ht="58">
      <c r="A154" s="3" t="s">
        <v>452</v>
      </c>
      <c r="B154" s="3" t="s">
        <v>4618</v>
      </c>
      <c r="C154" s="3" t="s">
        <v>4619</v>
      </c>
      <c r="F154" t="s">
        <v>3884</v>
      </c>
      <c r="G154" s="9" t="s">
        <v>3885</v>
      </c>
      <c r="H154" s="9"/>
      <c r="I154" s="9">
        <v>1</v>
      </c>
      <c r="J154" s="9">
        <v>3</v>
      </c>
      <c r="K154" s="9" t="s">
        <v>8705</v>
      </c>
      <c r="L154" s="9" t="s">
        <v>8690</v>
      </c>
      <c r="M154" s="9"/>
      <c r="N154" s="10"/>
      <c r="O154" s="9"/>
      <c r="P154" s="9">
        <v>1485</v>
      </c>
      <c r="Q154" s="9">
        <f t="shared" si="2"/>
        <v>191.04347043007292</v>
      </c>
      <c r="R154" s="9"/>
      <c r="S154" s="9" t="s">
        <v>9321</v>
      </c>
      <c r="T154" s="9" t="s">
        <v>9321</v>
      </c>
      <c r="U154" s="9"/>
      <c r="V154" s="9"/>
      <c r="W154" s="9"/>
      <c r="X154" s="9"/>
      <c r="Y154" s="9"/>
      <c r="Z154" s="9"/>
      <c r="AA154" s="9"/>
      <c r="AB154" s="9"/>
      <c r="AC154" s="9"/>
      <c r="AD154" s="9"/>
    </row>
    <row r="155" spans="1:30" ht="58">
      <c r="A155" s="3" t="s">
        <v>452</v>
      </c>
      <c r="B155" s="3" t="s">
        <v>8964</v>
      </c>
      <c r="C155" s="3" t="s">
        <v>8965</v>
      </c>
      <c r="G155" s="9" t="s">
        <v>3885</v>
      </c>
      <c r="H155" s="9"/>
      <c r="I155" s="9">
        <v>1</v>
      </c>
      <c r="J155" s="9">
        <v>3</v>
      </c>
      <c r="K155" s="9" t="s">
        <v>8689</v>
      </c>
      <c r="L155" s="9" t="s">
        <v>8690</v>
      </c>
      <c r="M155" s="9"/>
      <c r="N155" s="10"/>
      <c r="O155" s="9"/>
      <c r="P155" s="9">
        <v>10929</v>
      </c>
      <c r="Q155" s="9">
        <f t="shared" si="2"/>
        <v>1406.0027530843549</v>
      </c>
      <c r="R155" s="9"/>
      <c r="S155" s="9" t="s">
        <v>9321</v>
      </c>
      <c r="T155" s="9" t="s">
        <v>9321</v>
      </c>
      <c r="U155" s="9"/>
      <c r="V155" s="9"/>
      <c r="W155" s="9"/>
      <c r="X155" s="9"/>
      <c r="Y155" s="9"/>
      <c r="Z155" s="9"/>
      <c r="AA155" s="9"/>
      <c r="AB155" s="9"/>
      <c r="AC155" s="9"/>
      <c r="AD155" s="9"/>
    </row>
    <row r="156" spans="1:30" ht="58">
      <c r="A156" s="3" t="s">
        <v>453</v>
      </c>
      <c r="B156" s="3" t="s">
        <v>4623</v>
      </c>
      <c r="C156" s="3" t="s">
        <v>4624</v>
      </c>
      <c r="F156" t="s">
        <v>3888</v>
      </c>
      <c r="G156" s="9" t="s">
        <v>3889</v>
      </c>
      <c r="H156" s="9"/>
      <c r="I156" s="9">
        <v>3</v>
      </c>
      <c r="J156" s="9">
        <v>10</v>
      </c>
      <c r="K156" s="9"/>
      <c r="L156" s="9" t="s">
        <v>8690</v>
      </c>
      <c r="M156" s="9"/>
      <c r="N156" s="10"/>
      <c r="O156" s="9"/>
      <c r="P156" s="9">
        <v>1225</v>
      </c>
      <c r="Q156" s="9">
        <f t="shared" si="2"/>
        <v>157.59478200460561</v>
      </c>
      <c r="R156" s="9"/>
      <c r="S156" s="9" t="s">
        <v>9321</v>
      </c>
      <c r="T156" s="9" t="s">
        <v>9321</v>
      </c>
      <c r="U156" s="9"/>
      <c r="V156" s="9"/>
      <c r="W156" s="9"/>
      <c r="X156" s="9"/>
      <c r="Y156" s="9"/>
      <c r="Z156" s="9"/>
      <c r="AA156" s="9"/>
      <c r="AB156" s="9"/>
      <c r="AC156" s="9"/>
      <c r="AD156" s="9"/>
    </row>
    <row r="157" spans="1:30" ht="43.5">
      <c r="A157" s="3" t="s">
        <v>455</v>
      </c>
      <c r="B157" s="3" t="s">
        <v>8966</v>
      </c>
      <c r="C157" s="3" t="s">
        <v>8967</v>
      </c>
      <c r="G157" s="9" t="s">
        <v>3885</v>
      </c>
      <c r="H157" s="9"/>
      <c r="I157" s="9">
        <v>1</v>
      </c>
      <c r="J157" s="9">
        <v>3</v>
      </c>
      <c r="K157" s="9" t="s">
        <v>8689</v>
      </c>
      <c r="L157" s="9" t="s">
        <v>8690</v>
      </c>
      <c r="M157" s="9"/>
      <c r="N157" s="10"/>
      <c r="O157" s="9"/>
      <c r="P157" s="9">
        <v>10929</v>
      </c>
      <c r="Q157" s="9">
        <f t="shared" si="2"/>
        <v>1406.0027530843549</v>
      </c>
      <c r="R157" s="9"/>
      <c r="S157" s="9" t="s">
        <v>9321</v>
      </c>
      <c r="T157" s="9" t="s">
        <v>9321</v>
      </c>
      <c r="U157" s="9" t="s">
        <v>4</v>
      </c>
      <c r="V157" s="9"/>
      <c r="W157" s="9"/>
      <c r="X157" s="9"/>
      <c r="Y157" s="9"/>
      <c r="Z157" s="9"/>
      <c r="AA157" s="9"/>
      <c r="AB157" s="9"/>
      <c r="AC157" s="9"/>
      <c r="AD157" s="9"/>
    </row>
    <row r="158" spans="1:30" ht="43.5">
      <c r="A158" s="3" t="s">
        <v>458</v>
      </c>
      <c r="B158" s="3" t="s">
        <v>9461</v>
      </c>
      <c r="C158" s="3" t="s">
        <v>9462</v>
      </c>
      <c r="F158" t="s">
        <v>3884</v>
      </c>
      <c r="G158" s="9" t="s">
        <v>3889</v>
      </c>
      <c r="H158" s="9"/>
      <c r="I158" s="9">
        <v>1</v>
      </c>
      <c r="J158" s="9">
        <v>3</v>
      </c>
      <c r="K158" s="9" t="s">
        <v>8689</v>
      </c>
      <c r="L158" s="9" t="s">
        <v>8690</v>
      </c>
      <c r="M158" s="9"/>
      <c r="N158" s="10"/>
      <c r="O158" s="9"/>
      <c r="P158" s="9">
        <v>10929</v>
      </c>
      <c r="Q158" s="9">
        <f t="shared" si="2"/>
        <v>1406.0027530843549</v>
      </c>
      <c r="R158" s="9"/>
      <c r="S158" s="9" t="s">
        <v>9321</v>
      </c>
      <c r="T158" s="9" t="s">
        <v>9321</v>
      </c>
      <c r="U158" s="9"/>
      <c r="V158" s="9"/>
      <c r="W158" s="9"/>
      <c r="X158" s="9"/>
      <c r="Y158" s="9"/>
      <c r="Z158" s="9"/>
      <c r="AA158" s="9"/>
      <c r="AB158" s="9"/>
      <c r="AC158" s="9"/>
      <c r="AD158" s="9"/>
    </row>
    <row r="159" spans="1:30" ht="43.5">
      <c r="A159" s="3" t="s">
        <v>460</v>
      </c>
      <c r="B159" s="3" t="s">
        <v>4629</v>
      </c>
      <c r="C159" s="3" t="s">
        <v>4626</v>
      </c>
      <c r="G159" s="9" t="s">
        <v>3889</v>
      </c>
      <c r="H159" s="9"/>
      <c r="I159" s="9">
        <v>1</v>
      </c>
      <c r="J159" s="9">
        <v>2</v>
      </c>
      <c r="K159" s="9" t="s">
        <v>8703</v>
      </c>
      <c r="L159" s="9" t="s">
        <v>8730</v>
      </c>
      <c r="M159" s="9"/>
      <c r="N159" s="10"/>
      <c r="O159" s="9"/>
      <c r="P159" s="9">
        <v>1225</v>
      </c>
      <c r="Q159" s="9">
        <f t="shared" si="2"/>
        <v>157.59478200460561</v>
      </c>
      <c r="R159" s="9"/>
      <c r="S159" s="9" t="s">
        <v>9321</v>
      </c>
      <c r="T159" s="9" t="s">
        <v>9321</v>
      </c>
      <c r="U159" s="9"/>
      <c r="V159" s="9"/>
      <c r="W159" s="9"/>
      <c r="X159" s="9"/>
      <c r="Y159" s="9"/>
      <c r="Z159" s="9"/>
      <c r="AA159" s="9"/>
      <c r="AB159" s="9"/>
      <c r="AC159" s="9"/>
      <c r="AD159" s="9"/>
    </row>
    <row r="160" spans="1:30" ht="29">
      <c r="A160" s="3" t="s">
        <v>460</v>
      </c>
      <c r="B160" s="3" t="s">
        <v>4630</v>
      </c>
      <c r="C160" s="3" t="s">
        <v>4631</v>
      </c>
      <c r="G160" s="9" t="s">
        <v>3885</v>
      </c>
      <c r="H160" s="9"/>
      <c r="I160" s="9">
        <v>1</v>
      </c>
      <c r="J160" s="9">
        <v>3</v>
      </c>
      <c r="K160" s="9" t="s">
        <v>8689</v>
      </c>
      <c r="L160" s="9" t="s">
        <v>8690</v>
      </c>
      <c r="M160" s="9"/>
      <c r="N160" s="10"/>
      <c r="O160" s="9"/>
      <c r="P160" s="9">
        <v>10929</v>
      </c>
      <c r="Q160" s="9">
        <f t="shared" si="2"/>
        <v>1406.0027530843549</v>
      </c>
      <c r="R160" s="9"/>
      <c r="S160" s="9" t="s">
        <v>9321</v>
      </c>
      <c r="T160" s="9" t="s">
        <v>9321</v>
      </c>
      <c r="U160" s="9"/>
      <c r="V160" s="9"/>
      <c r="W160" s="9"/>
      <c r="X160" s="9"/>
      <c r="Y160" s="9"/>
      <c r="Z160" s="9"/>
      <c r="AA160" s="9"/>
      <c r="AB160" s="9"/>
      <c r="AC160" s="9"/>
      <c r="AD160" s="9"/>
    </row>
    <row r="161" spans="1:30" ht="29">
      <c r="A161" s="3" t="s">
        <v>473</v>
      </c>
      <c r="B161" s="3" t="s">
        <v>4239</v>
      </c>
      <c r="C161" s="3" t="s">
        <v>4238</v>
      </c>
      <c r="G161" s="9" t="s">
        <v>3885</v>
      </c>
      <c r="H161" s="9"/>
      <c r="I161" s="9">
        <v>1</v>
      </c>
      <c r="J161" s="9">
        <v>3</v>
      </c>
      <c r="K161" s="9" t="s">
        <v>8689</v>
      </c>
      <c r="L161" s="9" t="s">
        <v>8690</v>
      </c>
      <c r="M161" s="9"/>
      <c r="N161" s="10"/>
      <c r="O161" s="9"/>
      <c r="P161" s="9">
        <v>10929</v>
      </c>
      <c r="Q161" s="9">
        <f t="shared" si="2"/>
        <v>1406.0027530843549</v>
      </c>
      <c r="R161" s="9"/>
      <c r="S161" s="9" t="s">
        <v>9321</v>
      </c>
      <c r="T161" s="9" t="s">
        <v>9321</v>
      </c>
      <c r="U161" s="9"/>
      <c r="V161" s="9"/>
      <c r="W161" s="9"/>
      <c r="X161" s="9"/>
      <c r="Y161" s="9"/>
      <c r="Z161" s="9"/>
      <c r="AA161" s="9"/>
      <c r="AB161" s="9"/>
      <c r="AC161" s="9"/>
      <c r="AD161" s="9"/>
    </row>
    <row r="162" spans="1:30" ht="72.5">
      <c r="A162" s="3" t="s">
        <v>475</v>
      </c>
      <c r="B162" s="3" t="s">
        <v>4648</v>
      </c>
      <c r="C162" s="3" t="s">
        <v>9604</v>
      </c>
      <c r="G162" s="9" t="s">
        <v>3889</v>
      </c>
      <c r="H162" s="9"/>
      <c r="I162" s="9">
        <v>2</v>
      </c>
      <c r="J162" s="9">
        <v>10</v>
      </c>
      <c r="K162" s="9"/>
      <c r="L162" s="9" t="s">
        <v>8690</v>
      </c>
      <c r="M162" s="9"/>
      <c r="N162" s="10"/>
      <c r="O162" s="9"/>
      <c r="P162" s="9">
        <v>57</v>
      </c>
      <c r="Q162" s="9">
        <f t="shared" si="2"/>
        <v>7.332981693275527</v>
      </c>
      <c r="R162" s="9"/>
      <c r="S162" s="9" t="s">
        <v>9321</v>
      </c>
      <c r="T162" s="9" t="s">
        <v>9321</v>
      </c>
      <c r="U162" s="9"/>
      <c r="V162" s="9"/>
      <c r="W162" s="9"/>
      <c r="X162" s="9"/>
      <c r="Y162" s="9"/>
      <c r="Z162" s="9"/>
      <c r="AA162" s="9"/>
      <c r="AB162" s="9"/>
      <c r="AC162" s="9"/>
      <c r="AD162" s="9"/>
    </row>
    <row r="163" spans="1:30" ht="43.5">
      <c r="A163" s="3" t="s">
        <v>476</v>
      </c>
      <c r="B163" s="3" t="s">
        <v>4649</v>
      </c>
      <c r="C163" s="3" t="s">
        <v>4650</v>
      </c>
      <c r="F163" t="s">
        <v>3884</v>
      </c>
      <c r="G163" s="9" t="s">
        <v>3889</v>
      </c>
      <c r="H163" s="9"/>
      <c r="I163" s="9">
        <v>1</v>
      </c>
      <c r="J163" s="9">
        <v>2</v>
      </c>
      <c r="K163" s="9" t="s">
        <v>8689</v>
      </c>
      <c r="L163" s="9" t="s">
        <v>8730</v>
      </c>
      <c r="M163" s="9"/>
      <c r="N163" s="10"/>
      <c r="O163" s="9"/>
      <c r="P163" s="9">
        <v>10929</v>
      </c>
      <c r="Q163" s="9">
        <f t="shared" si="2"/>
        <v>1406.0027530843549</v>
      </c>
      <c r="R163" s="9"/>
      <c r="S163" s="9" t="s">
        <v>9321</v>
      </c>
      <c r="T163" s="9" t="s">
        <v>9321</v>
      </c>
      <c r="U163" s="9"/>
      <c r="V163" s="9"/>
      <c r="W163" s="9"/>
      <c r="X163" s="9"/>
      <c r="Y163" s="9"/>
      <c r="Z163" s="9"/>
      <c r="AA163" s="9"/>
      <c r="AB163" s="9"/>
      <c r="AC163" s="9"/>
      <c r="AD163" s="9"/>
    </row>
    <row r="164" spans="1:30" ht="29">
      <c r="A164" s="3" t="s">
        <v>481</v>
      </c>
      <c r="B164" s="3" t="s">
        <v>4536</v>
      </c>
      <c r="C164" s="3" t="s">
        <v>4537</v>
      </c>
      <c r="G164" s="9" t="s">
        <v>3885</v>
      </c>
      <c r="H164" s="9"/>
      <c r="I164" s="9">
        <v>1</v>
      </c>
      <c r="J164" s="9">
        <v>3</v>
      </c>
      <c r="K164" s="9" t="s">
        <v>8689</v>
      </c>
      <c r="L164" s="9" t="s">
        <v>8690</v>
      </c>
      <c r="M164" s="9"/>
      <c r="N164" s="10"/>
      <c r="O164" s="9"/>
      <c r="P164" s="9">
        <v>10929</v>
      </c>
      <c r="Q164" s="9">
        <f t="shared" si="2"/>
        <v>1406.0027530843549</v>
      </c>
      <c r="R164" s="9"/>
      <c r="S164" s="9" t="s">
        <v>9321</v>
      </c>
      <c r="T164" s="9" t="s">
        <v>9321</v>
      </c>
      <c r="U164" s="9"/>
      <c r="V164" s="9"/>
      <c r="W164" s="9"/>
      <c r="X164" s="9"/>
      <c r="Y164" s="9"/>
      <c r="Z164" s="9"/>
      <c r="AA164" s="9"/>
      <c r="AB164" s="9"/>
      <c r="AC164" s="9"/>
      <c r="AD164" s="9"/>
    </row>
    <row r="165" spans="1:30" ht="72.5">
      <c r="A165" s="3" t="s">
        <v>489</v>
      </c>
      <c r="B165" s="3" t="s">
        <v>8972</v>
      </c>
      <c r="C165" s="3" t="s">
        <v>4670</v>
      </c>
      <c r="F165" t="s">
        <v>3884</v>
      </c>
      <c r="G165" s="9" t="s">
        <v>3889</v>
      </c>
      <c r="H165" s="9"/>
      <c r="I165" s="9">
        <v>3</v>
      </c>
      <c r="J165" s="9">
        <v>14</v>
      </c>
      <c r="K165" s="9"/>
      <c r="L165" s="9" t="s">
        <v>8684</v>
      </c>
      <c r="M165" s="9" t="s">
        <v>8777</v>
      </c>
      <c r="N165" s="10" t="s">
        <v>8973</v>
      </c>
      <c r="O165" s="9"/>
      <c r="P165" s="9">
        <v>2</v>
      </c>
      <c r="Q165" s="9">
        <f t="shared" si="2"/>
        <v>0.25729760327282553</v>
      </c>
      <c r="R165" s="9"/>
      <c r="S165" s="9" t="s">
        <v>9321</v>
      </c>
      <c r="T165" s="9" t="s">
        <v>9321</v>
      </c>
      <c r="U165" s="9"/>
      <c r="V165" s="9"/>
      <c r="W165" s="9"/>
      <c r="X165" s="9"/>
      <c r="Y165" s="9"/>
      <c r="Z165" s="9"/>
      <c r="AA165" s="9"/>
      <c r="AB165" s="9"/>
      <c r="AC165" s="9"/>
      <c r="AD165" s="9"/>
    </row>
    <row r="166" spans="1:30" ht="58">
      <c r="A166" s="3" t="s">
        <v>499</v>
      </c>
      <c r="B166" s="3" t="s">
        <v>4684</v>
      </c>
      <c r="C166" s="3" t="s">
        <v>4685</v>
      </c>
      <c r="F166" t="s">
        <v>3884</v>
      </c>
      <c r="G166" s="9" t="s">
        <v>3889</v>
      </c>
      <c r="H166" s="9"/>
      <c r="I166" s="9">
        <v>2</v>
      </c>
      <c r="J166" s="9">
        <v>4</v>
      </c>
      <c r="K166" s="9"/>
      <c r="L166" s="9" t="s">
        <v>8684</v>
      </c>
      <c r="M166" s="9" t="s">
        <v>8771</v>
      </c>
      <c r="N166" s="10" t="s">
        <v>8772</v>
      </c>
      <c r="O166" s="9"/>
      <c r="P166" s="9">
        <v>1942</v>
      </c>
      <c r="Q166" s="9">
        <f t="shared" si="2"/>
        <v>249.83597277791355</v>
      </c>
      <c r="R166" s="9"/>
      <c r="S166" s="9" t="s">
        <v>9321</v>
      </c>
      <c r="T166" s="9" t="s">
        <v>9321</v>
      </c>
      <c r="U166" s="9"/>
      <c r="V166" s="9"/>
      <c r="W166" s="9"/>
      <c r="X166" s="9"/>
      <c r="Y166" s="9"/>
      <c r="Z166" s="9"/>
      <c r="AA166" s="9"/>
      <c r="AB166" s="9"/>
      <c r="AC166" s="9"/>
      <c r="AD166" s="9"/>
    </row>
    <row r="167" spans="1:30" ht="43.5">
      <c r="A167" s="3" t="s">
        <v>502</v>
      </c>
      <c r="B167" s="3" t="s">
        <v>4690</v>
      </c>
      <c r="C167" s="3" t="s">
        <v>4687</v>
      </c>
      <c r="F167" t="s">
        <v>3884</v>
      </c>
      <c r="G167" s="9" t="s">
        <v>3889</v>
      </c>
      <c r="H167" s="9"/>
      <c r="I167" s="9">
        <v>1</v>
      </c>
      <c r="J167" s="9">
        <v>3</v>
      </c>
      <c r="K167" s="9" t="s">
        <v>8689</v>
      </c>
      <c r="L167" s="9" t="s">
        <v>8690</v>
      </c>
      <c r="M167" s="9"/>
      <c r="N167" s="10"/>
      <c r="O167" s="9"/>
      <c r="P167" s="9">
        <v>10929</v>
      </c>
      <c r="Q167" s="9">
        <f t="shared" si="2"/>
        <v>1406.0027530843549</v>
      </c>
      <c r="R167" s="9"/>
      <c r="S167" s="9" t="s">
        <v>9321</v>
      </c>
      <c r="T167" s="9" t="s">
        <v>9321</v>
      </c>
      <c r="U167" s="9"/>
      <c r="V167" s="9"/>
      <c r="W167" s="9"/>
      <c r="X167" s="9"/>
      <c r="Y167" s="9"/>
      <c r="Z167" s="9"/>
      <c r="AA167" s="9"/>
      <c r="AB167" s="9"/>
      <c r="AC167" s="9"/>
      <c r="AD167" s="9"/>
    </row>
    <row r="168" spans="1:30" ht="275.5">
      <c r="A168" s="3" t="s">
        <v>504</v>
      </c>
      <c r="B168" s="3" t="s">
        <v>4693</v>
      </c>
      <c r="C168" s="3" t="s">
        <v>4694</v>
      </c>
      <c r="F168" t="s">
        <v>3884</v>
      </c>
      <c r="G168" s="9" t="s">
        <v>3889</v>
      </c>
      <c r="H168" s="9"/>
      <c r="I168" s="9">
        <v>14</v>
      </c>
      <c r="J168" s="9">
        <v>62</v>
      </c>
      <c r="K168" s="9"/>
      <c r="L168" s="9" t="s">
        <v>8684</v>
      </c>
      <c r="M168" s="9" t="s">
        <v>8944</v>
      </c>
      <c r="N168" s="10" t="s">
        <v>8946</v>
      </c>
      <c r="O168" s="9"/>
      <c r="P168" s="9">
        <v>0</v>
      </c>
      <c r="Q168" s="9">
        <f t="shared" si="2"/>
        <v>0</v>
      </c>
      <c r="R168" s="9"/>
      <c r="S168" s="9" t="s">
        <v>9321</v>
      </c>
      <c r="T168" s="9" t="s">
        <v>9321</v>
      </c>
      <c r="U168" s="9"/>
      <c r="V168" s="9"/>
      <c r="W168" s="9"/>
      <c r="X168" s="9"/>
      <c r="Y168" s="9"/>
      <c r="Z168" s="9"/>
      <c r="AA168" s="9"/>
      <c r="AB168" s="9"/>
      <c r="AC168" s="9"/>
      <c r="AD168" s="9"/>
    </row>
    <row r="169" spans="1:30" ht="58">
      <c r="A169" s="3" t="s">
        <v>504</v>
      </c>
      <c r="B169" s="3" t="s">
        <v>4695</v>
      </c>
      <c r="C169" s="3" t="s">
        <v>4696</v>
      </c>
      <c r="G169" s="9" t="s">
        <v>3885</v>
      </c>
      <c r="H169" s="9"/>
      <c r="I169" s="9">
        <v>1</v>
      </c>
      <c r="J169" s="9">
        <v>5</v>
      </c>
      <c r="K169" s="9" t="s">
        <v>8736</v>
      </c>
      <c r="L169" s="9" t="s">
        <v>8690</v>
      </c>
      <c r="M169" s="9"/>
      <c r="N169" s="10"/>
      <c r="O169" s="9"/>
      <c r="P169" s="9">
        <v>645</v>
      </c>
      <c r="Q169" s="9">
        <f t="shared" si="2"/>
        <v>82.978477055486238</v>
      </c>
      <c r="R169" s="9"/>
      <c r="S169" s="9" t="s">
        <v>9321</v>
      </c>
      <c r="T169" s="9" t="s">
        <v>9321</v>
      </c>
      <c r="U169" s="9"/>
      <c r="V169" s="9"/>
      <c r="W169" s="9"/>
      <c r="X169" s="9"/>
      <c r="Y169" s="9"/>
      <c r="Z169" s="9"/>
      <c r="AA169" s="9"/>
      <c r="AB169" s="9"/>
      <c r="AC169" s="9"/>
      <c r="AD169" s="9"/>
    </row>
    <row r="170" spans="1:30" ht="101.5">
      <c r="A170" s="3" t="s">
        <v>515</v>
      </c>
      <c r="B170" s="3" t="s">
        <v>4716</v>
      </c>
      <c r="C170" s="3" t="s">
        <v>4717</v>
      </c>
      <c r="G170" s="9" t="s">
        <v>3885</v>
      </c>
      <c r="H170" s="9"/>
      <c r="I170" s="9">
        <v>2</v>
      </c>
      <c r="J170" s="9">
        <v>12</v>
      </c>
      <c r="K170" s="9"/>
      <c r="L170" s="9" t="s">
        <v>8684</v>
      </c>
      <c r="M170" s="9" t="s">
        <v>8777</v>
      </c>
      <c r="N170" s="10" t="s">
        <v>8982</v>
      </c>
      <c r="O170" s="9"/>
      <c r="P170" s="9">
        <v>174</v>
      </c>
      <c r="Q170" s="9">
        <f t="shared" si="2"/>
        <v>22.384891484735821</v>
      </c>
      <c r="R170" s="9"/>
      <c r="S170" s="9" t="s">
        <v>9321</v>
      </c>
      <c r="T170" s="9" t="s">
        <v>9321</v>
      </c>
      <c r="U170" s="9" t="s">
        <v>4</v>
      </c>
      <c r="V170" s="9"/>
      <c r="W170" s="9"/>
      <c r="X170" s="9"/>
      <c r="Y170" s="9"/>
      <c r="Z170" s="9"/>
      <c r="AA170" s="9"/>
      <c r="AB170" s="9"/>
      <c r="AC170" s="9"/>
      <c r="AD170" s="9"/>
    </row>
    <row r="171" spans="1:30" ht="58">
      <c r="A171" s="3" t="s">
        <v>519</v>
      </c>
      <c r="B171" s="3" t="s">
        <v>4728</v>
      </c>
      <c r="C171" s="3" t="s">
        <v>4729</v>
      </c>
      <c r="F171" t="s">
        <v>3884</v>
      </c>
      <c r="G171" s="9" t="s">
        <v>3889</v>
      </c>
      <c r="H171" s="9"/>
      <c r="I171" s="9">
        <v>1</v>
      </c>
      <c r="J171" s="9">
        <v>3</v>
      </c>
      <c r="K171" s="9" t="s">
        <v>8689</v>
      </c>
      <c r="L171" s="9" t="s">
        <v>8690</v>
      </c>
      <c r="M171" s="9"/>
      <c r="N171" s="10"/>
      <c r="O171" s="9"/>
      <c r="P171" s="9">
        <v>10929</v>
      </c>
      <c r="Q171" s="9">
        <f t="shared" si="2"/>
        <v>1406.0027530843549</v>
      </c>
      <c r="R171" s="9"/>
      <c r="S171" s="9" t="s">
        <v>9321</v>
      </c>
      <c r="T171" s="9" t="s">
        <v>9321</v>
      </c>
      <c r="U171" s="9"/>
      <c r="V171" s="9"/>
      <c r="W171" s="9"/>
      <c r="X171" s="9"/>
      <c r="Y171" s="9"/>
      <c r="Z171" s="9"/>
      <c r="AA171" s="9"/>
      <c r="AB171" s="9"/>
      <c r="AC171" s="9"/>
      <c r="AD171" s="9"/>
    </row>
    <row r="172" spans="1:30" ht="130.5">
      <c r="A172" s="3" t="s">
        <v>520</v>
      </c>
      <c r="B172" s="3" t="s">
        <v>4730</v>
      </c>
      <c r="C172" s="3" t="s">
        <v>4731</v>
      </c>
      <c r="F172" t="s">
        <v>3888</v>
      </c>
      <c r="G172" s="9" t="s">
        <v>3889</v>
      </c>
      <c r="H172" s="9"/>
      <c r="I172" s="9">
        <v>4</v>
      </c>
      <c r="J172" s="9">
        <v>21</v>
      </c>
      <c r="K172" s="9"/>
      <c r="L172" s="9" t="s">
        <v>8684</v>
      </c>
      <c r="M172" s="9" t="s">
        <v>8944</v>
      </c>
      <c r="N172" s="10" t="s">
        <v>8984</v>
      </c>
      <c r="O172" s="9"/>
      <c r="P172" s="9">
        <v>0</v>
      </c>
      <c r="Q172" s="9">
        <f t="shared" si="2"/>
        <v>0</v>
      </c>
      <c r="R172" s="9"/>
      <c r="S172" s="9" t="s">
        <v>9321</v>
      </c>
      <c r="T172" s="9" t="s">
        <v>9321</v>
      </c>
      <c r="U172" s="9"/>
      <c r="V172" s="9"/>
      <c r="W172" s="9"/>
      <c r="X172" s="9"/>
      <c r="Y172" s="9"/>
      <c r="Z172" s="9"/>
      <c r="AA172" s="9"/>
      <c r="AB172" s="9"/>
      <c r="AC172" s="9"/>
      <c r="AD172" s="9"/>
    </row>
    <row r="173" spans="1:30" ht="87">
      <c r="A173" s="3" t="s">
        <v>548</v>
      </c>
      <c r="B173" s="3" t="s">
        <v>4781</v>
      </c>
      <c r="C173" s="3" t="s">
        <v>4782</v>
      </c>
      <c r="G173" s="9" t="s">
        <v>3889</v>
      </c>
      <c r="H173" s="9"/>
      <c r="I173" s="9">
        <v>3</v>
      </c>
      <c r="J173" s="9">
        <v>15</v>
      </c>
      <c r="K173" s="9"/>
      <c r="L173" s="9" t="s">
        <v>8690</v>
      </c>
      <c r="M173" s="9"/>
      <c r="N173" s="10"/>
      <c r="O173" s="9"/>
      <c r="P173" s="9">
        <v>174</v>
      </c>
      <c r="Q173" s="9">
        <f t="shared" si="2"/>
        <v>22.384891484735821</v>
      </c>
      <c r="R173" s="9"/>
      <c r="S173" s="9" t="s">
        <v>9321</v>
      </c>
      <c r="T173" s="9" t="s">
        <v>9321</v>
      </c>
      <c r="U173" s="9"/>
      <c r="V173" s="9"/>
      <c r="W173" s="9"/>
      <c r="X173" s="9"/>
      <c r="Y173" s="9"/>
      <c r="Z173" s="9"/>
      <c r="AA173" s="9"/>
      <c r="AB173" s="9"/>
      <c r="AC173" s="9"/>
      <c r="AD173" s="9"/>
    </row>
    <row r="174" spans="1:30" ht="43.5">
      <c r="A174" s="3" t="s">
        <v>555</v>
      </c>
      <c r="B174" s="3" t="s">
        <v>4800</v>
      </c>
      <c r="C174" s="3" t="s">
        <v>4801</v>
      </c>
      <c r="G174" s="9" t="s">
        <v>3885</v>
      </c>
      <c r="H174" s="9"/>
      <c r="I174" s="9">
        <v>1</v>
      </c>
      <c r="J174" s="9">
        <v>3</v>
      </c>
      <c r="K174" s="9" t="s">
        <v>8705</v>
      </c>
      <c r="L174" s="9" t="s">
        <v>8690</v>
      </c>
      <c r="M174" s="9"/>
      <c r="N174" s="10"/>
      <c r="O174" s="9"/>
      <c r="P174" s="9">
        <v>1485</v>
      </c>
      <c r="Q174" s="9">
        <f t="shared" si="2"/>
        <v>191.04347043007292</v>
      </c>
      <c r="R174" s="9"/>
      <c r="S174" s="9" t="s">
        <v>9321</v>
      </c>
      <c r="T174" s="9" t="s">
        <v>9321</v>
      </c>
      <c r="U174" s="9"/>
      <c r="V174" s="9"/>
      <c r="W174" s="9"/>
      <c r="X174" s="9"/>
      <c r="Y174" s="9"/>
      <c r="Z174" s="9"/>
      <c r="AA174" s="9"/>
      <c r="AB174" s="9"/>
      <c r="AC174" s="9"/>
      <c r="AD174" s="9"/>
    </row>
    <row r="175" spans="1:30" ht="29">
      <c r="A175" s="3" t="s">
        <v>555</v>
      </c>
      <c r="B175" s="3" t="s">
        <v>4802</v>
      </c>
      <c r="C175" s="3" t="s">
        <v>4803</v>
      </c>
      <c r="G175" s="9" t="s">
        <v>3889</v>
      </c>
      <c r="H175" s="9"/>
      <c r="I175" s="9">
        <v>1</v>
      </c>
      <c r="J175" s="9">
        <v>1</v>
      </c>
      <c r="K175" s="9" t="s">
        <v>8689</v>
      </c>
      <c r="L175" s="9" t="s">
        <v>8730</v>
      </c>
      <c r="M175" s="9"/>
      <c r="N175" s="10"/>
      <c r="O175" s="9"/>
      <c r="P175" s="9">
        <v>10929</v>
      </c>
      <c r="Q175" s="9">
        <f t="shared" si="2"/>
        <v>1406.0027530843549</v>
      </c>
      <c r="R175" s="9"/>
      <c r="S175" s="9" t="s">
        <v>9321</v>
      </c>
      <c r="T175" s="9" t="s">
        <v>9321</v>
      </c>
      <c r="U175" s="9" t="s">
        <v>8728</v>
      </c>
      <c r="V175" s="9"/>
      <c r="W175" s="9"/>
      <c r="X175" s="9"/>
      <c r="Y175" s="9"/>
      <c r="Z175" s="9"/>
      <c r="AA175" s="9"/>
      <c r="AB175" s="9"/>
      <c r="AC175" s="9"/>
      <c r="AD175" s="9"/>
    </row>
    <row r="176" spans="1:30" ht="43.5">
      <c r="A176" s="3" t="s">
        <v>560</v>
      </c>
      <c r="B176" s="3" t="s">
        <v>4806</v>
      </c>
      <c r="C176" s="3" t="s">
        <v>4807</v>
      </c>
      <c r="G176" s="9" t="s">
        <v>3889</v>
      </c>
      <c r="H176" s="9"/>
      <c r="I176" s="9">
        <v>1</v>
      </c>
      <c r="J176" s="9">
        <v>5</v>
      </c>
      <c r="K176" s="9" t="s">
        <v>8705</v>
      </c>
      <c r="L176" s="9" t="s">
        <v>8690</v>
      </c>
      <c r="M176" s="9"/>
      <c r="N176" s="10"/>
      <c r="O176" s="9"/>
      <c r="P176" s="9">
        <v>3678</v>
      </c>
      <c r="Q176" s="9">
        <f t="shared" si="2"/>
        <v>473.17029241872609</v>
      </c>
      <c r="R176" s="9"/>
      <c r="S176" s="9" t="s">
        <v>9321</v>
      </c>
      <c r="T176" s="9" t="s">
        <v>9321</v>
      </c>
      <c r="U176" s="9"/>
      <c r="V176" s="9"/>
      <c r="W176" s="9"/>
      <c r="X176" s="9"/>
      <c r="Y176" s="9"/>
      <c r="Z176" s="9"/>
      <c r="AA176" s="9"/>
      <c r="AB176" s="9"/>
      <c r="AC176" s="9"/>
      <c r="AD176" s="9"/>
    </row>
    <row r="177" spans="1:30" ht="43.5">
      <c r="A177" s="3" t="s">
        <v>560</v>
      </c>
      <c r="B177" s="3" t="s">
        <v>4808</v>
      </c>
      <c r="C177" s="3" t="s">
        <v>4813</v>
      </c>
      <c r="F177" t="s">
        <v>3884</v>
      </c>
      <c r="G177" s="9" t="s">
        <v>3885</v>
      </c>
      <c r="H177" s="9"/>
      <c r="I177" s="9">
        <v>1</v>
      </c>
      <c r="J177" s="9">
        <v>3</v>
      </c>
      <c r="K177" s="9" t="s">
        <v>8698</v>
      </c>
      <c r="L177" s="9" t="s">
        <v>8690</v>
      </c>
      <c r="M177" s="9"/>
      <c r="N177" s="10"/>
      <c r="O177" s="9"/>
      <c r="P177" s="9">
        <v>653</v>
      </c>
      <c r="Q177" s="9">
        <f t="shared" si="2"/>
        <v>84.007667468577537</v>
      </c>
      <c r="R177" s="9"/>
      <c r="S177" s="9" t="s">
        <v>9321</v>
      </c>
      <c r="T177" s="9" t="s">
        <v>9321</v>
      </c>
      <c r="U177" s="9"/>
      <c r="V177" s="9"/>
      <c r="W177" s="9"/>
      <c r="X177" s="9"/>
      <c r="Y177" s="9"/>
      <c r="Z177" s="9"/>
      <c r="AA177" s="9"/>
      <c r="AB177" s="9"/>
      <c r="AC177" s="9"/>
      <c r="AD177" s="9"/>
    </row>
    <row r="178" spans="1:30" ht="43.5">
      <c r="A178" s="3" t="s">
        <v>560</v>
      </c>
      <c r="B178" s="3" t="s">
        <v>4815</v>
      </c>
      <c r="C178" s="3" t="s">
        <v>4816</v>
      </c>
      <c r="G178" s="9" t="s">
        <v>3889</v>
      </c>
      <c r="H178" s="9"/>
      <c r="I178" s="9">
        <v>1</v>
      </c>
      <c r="J178" s="9">
        <v>4</v>
      </c>
      <c r="K178" s="9" t="s">
        <v>8705</v>
      </c>
      <c r="L178" s="9" t="s">
        <v>8690</v>
      </c>
      <c r="M178" s="9"/>
      <c r="N178" s="10"/>
      <c r="O178" s="9"/>
      <c r="P178" s="9">
        <v>3678</v>
      </c>
      <c r="Q178" s="9">
        <f t="shared" si="2"/>
        <v>473.17029241872609</v>
      </c>
      <c r="R178" s="9"/>
      <c r="S178" s="9" t="s">
        <v>9321</v>
      </c>
      <c r="T178" s="9" t="s">
        <v>9321</v>
      </c>
      <c r="U178" s="9"/>
      <c r="V178" s="9"/>
      <c r="W178" s="9"/>
      <c r="X178" s="9"/>
      <c r="Y178" s="9"/>
      <c r="Z178" s="9"/>
      <c r="AA178" s="9"/>
      <c r="AB178" s="9"/>
      <c r="AC178" s="9"/>
      <c r="AD178" s="9"/>
    </row>
    <row r="179" spans="1:30" ht="29">
      <c r="A179" s="3" t="s">
        <v>564</v>
      </c>
      <c r="B179" t="s">
        <v>4569</v>
      </c>
      <c r="C179" t="s">
        <v>4570</v>
      </c>
      <c r="G179" s="9" t="s">
        <v>3885</v>
      </c>
      <c r="H179" s="9"/>
      <c r="I179" s="9">
        <v>1</v>
      </c>
      <c r="J179" s="9">
        <v>3</v>
      </c>
      <c r="K179" s="9" t="s">
        <v>8689</v>
      </c>
      <c r="L179" s="9" t="s">
        <v>8690</v>
      </c>
      <c r="M179" s="9"/>
      <c r="N179" s="10"/>
      <c r="O179" s="9"/>
      <c r="P179" s="9">
        <v>10929</v>
      </c>
      <c r="Q179" s="9">
        <f t="shared" si="2"/>
        <v>1406.0027530843549</v>
      </c>
      <c r="R179" s="9"/>
      <c r="S179" s="9" t="s">
        <v>9321</v>
      </c>
      <c r="T179" s="9" t="s">
        <v>9321</v>
      </c>
      <c r="U179" s="9"/>
      <c r="V179" s="9"/>
      <c r="W179" s="9"/>
      <c r="X179" s="9"/>
      <c r="Y179" s="9"/>
      <c r="Z179" s="9"/>
      <c r="AA179" s="9"/>
      <c r="AB179" s="9"/>
      <c r="AC179" s="9"/>
      <c r="AD179" s="9"/>
    </row>
    <row r="180" spans="1:30" ht="58">
      <c r="A180" s="3" t="s">
        <v>566</v>
      </c>
      <c r="B180" s="3" t="s">
        <v>4831</v>
      </c>
      <c r="C180" s="3" t="s">
        <v>4830</v>
      </c>
      <c r="F180" t="s">
        <v>3884</v>
      </c>
      <c r="G180" s="9" t="s">
        <v>3889</v>
      </c>
      <c r="H180" s="9"/>
      <c r="I180" s="9">
        <v>1</v>
      </c>
      <c r="J180" s="9">
        <v>3</v>
      </c>
      <c r="K180" s="9" t="s">
        <v>8689</v>
      </c>
      <c r="L180" s="9" t="s">
        <v>8684</v>
      </c>
      <c r="M180" s="9" t="s">
        <v>8771</v>
      </c>
      <c r="N180" s="10" t="s">
        <v>8778</v>
      </c>
      <c r="O180" s="9"/>
      <c r="P180" s="9">
        <v>10929</v>
      </c>
      <c r="Q180" s="9">
        <f t="shared" si="2"/>
        <v>1406.0027530843549</v>
      </c>
      <c r="R180" s="9"/>
      <c r="S180" s="9" t="s">
        <v>9321</v>
      </c>
      <c r="T180" s="9" t="s">
        <v>9321</v>
      </c>
      <c r="U180" s="9"/>
      <c r="V180" s="9"/>
      <c r="W180" s="9"/>
      <c r="X180" s="9"/>
      <c r="Y180" s="9"/>
      <c r="Z180" s="9"/>
      <c r="AA180" s="9"/>
      <c r="AB180" s="9"/>
      <c r="AC180" s="9"/>
      <c r="AD180" s="9"/>
    </row>
    <row r="181" spans="1:30">
      <c r="A181" s="3" t="s">
        <v>574</v>
      </c>
      <c r="B181" t="s">
        <v>4845</v>
      </c>
      <c r="C181" t="s">
        <v>4846</v>
      </c>
      <c r="F181" t="s">
        <v>3884</v>
      </c>
      <c r="G181" s="9" t="s">
        <v>3885</v>
      </c>
      <c r="H181" s="9"/>
      <c r="I181" s="9">
        <v>1</v>
      </c>
      <c r="J181" s="9">
        <v>5</v>
      </c>
      <c r="K181" s="9" t="s">
        <v>8703</v>
      </c>
      <c r="L181" s="9" t="s">
        <v>8690</v>
      </c>
      <c r="M181" s="9"/>
      <c r="N181" s="10"/>
      <c r="O181" s="9"/>
      <c r="P181" s="9">
        <v>655</v>
      </c>
      <c r="Q181" s="9">
        <f t="shared" si="2"/>
        <v>84.264965071850355</v>
      </c>
      <c r="R181" s="9"/>
      <c r="S181" s="9" t="s">
        <v>9321</v>
      </c>
      <c r="T181" s="9" t="s">
        <v>9321</v>
      </c>
      <c r="U181" s="9"/>
      <c r="V181" s="9"/>
      <c r="W181" s="9"/>
      <c r="X181" s="9"/>
      <c r="Y181" s="9"/>
      <c r="Z181" s="9"/>
      <c r="AA181" s="9"/>
      <c r="AB181" s="9"/>
      <c r="AC181" s="9"/>
      <c r="AD181" s="9"/>
    </row>
    <row r="182" spans="1:30" ht="29">
      <c r="A182" s="3" t="s">
        <v>577</v>
      </c>
      <c r="B182" s="3" t="s">
        <v>4850</v>
      </c>
      <c r="C182" s="3" t="s">
        <v>4851</v>
      </c>
      <c r="G182" s="9" t="s">
        <v>3885</v>
      </c>
      <c r="H182" s="9"/>
      <c r="I182" s="9">
        <v>1</v>
      </c>
      <c r="J182" s="9">
        <v>2</v>
      </c>
      <c r="K182" s="9" t="s">
        <v>8689</v>
      </c>
      <c r="L182" s="9" t="s">
        <v>8730</v>
      </c>
      <c r="M182" s="9"/>
      <c r="N182" s="10"/>
      <c r="O182" s="9"/>
      <c r="P182" s="9">
        <v>10929</v>
      </c>
      <c r="Q182" s="9">
        <f t="shared" si="2"/>
        <v>1406.0027530843549</v>
      </c>
      <c r="R182" s="9"/>
      <c r="S182" s="9" t="s">
        <v>9321</v>
      </c>
      <c r="T182" s="9" t="s">
        <v>9321</v>
      </c>
      <c r="U182" s="9"/>
      <c r="V182" s="9"/>
      <c r="W182" s="9"/>
      <c r="X182" s="9"/>
      <c r="Y182" s="9"/>
      <c r="Z182" s="9"/>
      <c r="AA182" s="9"/>
      <c r="AB182" s="9"/>
      <c r="AC182" s="9"/>
      <c r="AD182" s="9"/>
    </row>
    <row r="183" spans="1:30" ht="87">
      <c r="A183" s="3" t="s">
        <v>583</v>
      </c>
      <c r="B183" s="3" t="s">
        <v>4859</v>
      </c>
      <c r="C183" s="3" t="s">
        <v>4856</v>
      </c>
      <c r="G183" s="9" t="s">
        <v>3889</v>
      </c>
      <c r="H183" s="9"/>
      <c r="I183" s="9">
        <v>2</v>
      </c>
      <c r="J183" s="9">
        <v>9</v>
      </c>
      <c r="K183" s="9"/>
      <c r="L183" s="9" t="s">
        <v>8690</v>
      </c>
      <c r="M183" s="9"/>
      <c r="N183" s="10"/>
      <c r="O183" s="9"/>
      <c r="P183" s="9">
        <v>336</v>
      </c>
      <c r="Q183" s="9">
        <f t="shared" si="2"/>
        <v>43.225997349834692</v>
      </c>
      <c r="R183" s="9"/>
      <c r="S183" s="9" t="s">
        <v>9321</v>
      </c>
      <c r="T183" s="9" t="s">
        <v>9321</v>
      </c>
      <c r="U183" s="9"/>
      <c r="V183" s="9"/>
      <c r="W183" s="9"/>
      <c r="X183" s="9"/>
      <c r="Y183" s="9"/>
      <c r="Z183" s="9"/>
      <c r="AA183" s="9"/>
      <c r="AB183" s="9"/>
      <c r="AC183" s="9"/>
      <c r="AD183" s="9"/>
    </row>
    <row r="184" spans="1:30" ht="87">
      <c r="A184" s="3" t="s">
        <v>587</v>
      </c>
      <c r="B184" s="3" t="s">
        <v>4864</v>
      </c>
      <c r="C184" s="3" t="s">
        <v>4865</v>
      </c>
      <c r="F184" t="s">
        <v>3884</v>
      </c>
      <c r="G184" s="9" t="s">
        <v>3885</v>
      </c>
      <c r="H184" s="9"/>
      <c r="I184" s="9">
        <v>2</v>
      </c>
      <c r="J184" s="9">
        <v>8</v>
      </c>
      <c r="K184" s="9"/>
      <c r="L184" s="9" t="s">
        <v>8690</v>
      </c>
      <c r="M184" s="9"/>
      <c r="N184" s="10"/>
      <c r="O184" s="9"/>
      <c r="P184" s="9">
        <v>106</v>
      </c>
      <c r="Q184" s="9">
        <f t="shared" si="2"/>
        <v>13.636772973459752</v>
      </c>
      <c r="R184" s="9"/>
      <c r="S184" s="9" t="s">
        <v>9321</v>
      </c>
      <c r="T184" s="9" t="s">
        <v>9321</v>
      </c>
      <c r="U184" s="9"/>
      <c r="V184" s="9"/>
      <c r="W184" s="9"/>
      <c r="X184" s="9"/>
      <c r="Y184" s="9"/>
      <c r="Z184" s="9"/>
      <c r="AA184" s="9"/>
      <c r="AB184" s="9"/>
      <c r="AC184" s="9"/>
      <c r="AD184" s="9"/>
    </row>
    <row r="185" spans="1:30" ht="43.5">
      <c r="A185" s="3" t="s">
        <v>590</v>
      </c>
      <c r="B185" s="3" t="s">
        <v>4870</v>
      </c>
      <c r="C185" s="3" t="s">
        <v>4871</v>
      </c>
      <c r="G185" s="9" t="s">
        <v>3885</v>
      </c>
      <c r="H185" s="9"/>
      <c r="I185" s="9">
        <v>1</v>
      </c>
      <c r="J185" s="9">
        <v>2</v>
      </c>
      <c r="K185" s="9" t="s">
        <v>8689</v>
      </c>
      <c r="L185" s="9" t="s">
        <v>8730</v>
      </c>
      <c r="M185" s="9"/>
      <c r="N185" s="10"/>
      <c r="O185" s="9"/>
      <c r="P185" s="9">
        <v>10929</v>
      </c>
      <c r="Q185" s="9">
        <f t="shared" si="2"/>
        <v>1406.0027530843549</v>
      </c>
      <c r="R185" s="9"/>
      <c r="S185" s="9" t="s">
        <v>9321</v>
      </c>
      <c r="T185" s="9" t="s">
        <v>9321</v>
      </c>
      <c r="U185" s="9"/>
      <c r="V185" s="9"/>
      <c r="W185" s="9"/>
      <c r="X185" s="9"/>
      <c r="Y185" s="9"/>
      <c r="Z185" s="9"/>
      <c r="AA185" s="9"/>
      <c r="AB185" s="9"/>
      <c r="AC185" s="9"/>
      <c r="AD185" s="9"/>
    </row>
    <row r="186" spans="1:30" ht="43.5">
      <c r="A186" s="3" t="s">
        <v>591</v>
      </c>
      <c r="B186" s="3" t="s">
        <v>4872</v>
      </c>
      <c r="C186" s="3" t="s">
        <v>4875</v>
      </c>
      <c r="F186" t="s">
        <v>3884</v>
      </c>
      <c r="G186" s="9" t="s">
        <v>3885</v>
      </c>
      <c r="H186" s="9"/>
      <c r="I186" s="9">
        <v>1</v>
      </c>
      <c r="J186" s="9">
        <v>1</v>
      </c>
      <c r="K186" s="9" t="s">
        <v>8689</v>
      </c>
      <c r="L186" s="9" t="s">
        <v>8730</v>
      </c>
      <c r="M186" s="9"/>
      <c r="N186" s="10"/>
      <c r="O186" s="9"/>
      <c r="P186" s="9">
        <v>10929</v>
      </c>
      <c r="Q186" s="9">
        <f t="shared" si="2"/>
        <v>1406.0027530843549</v>
      </c>
      <c r="R186" s="9"/>
      <c r="S186" s="9" t="s">
        <v>9321</v>
      </c>
      <c r="T186" s="9" t="s">
        <v>9321</v>
      </c>
      <c r="U186" s="9"/>
      <c r="V186" s="9"/>
      <c r="W186" s="9"/>
      <c r="X186" s="9"/>
      <c r="Y186" s="9"/>
      <c r="Z186" s="9"/>
      <c r="AA186" s="9"/>
      <c r="AB186" s="9"/>
      <c r="AC186" s="9"/>
      <c r="AD186" s="9"/>
    </row>
    <row r="187" spans="1:30" ht="29">
      <c r="A187" s="3" t="s">
        <v>594</v>
      </c>
      <c r="B187" s="3" t="s">
        <v>4878</v>
      </c>
      <c r="C187" s="3" t="s">
        <v>4879</v>
      </c>
      <c r="G187" s="9" t="s">
        <v>3889</v>
      </c>
      <c r="H187" s="9"/>
      <c r="I187" s="9">
        <v>1</v>
      </c>
      <c r="J187" s="9">
        <v>2</v>
      </c>
      <c r="K187" s="9" t="s">
        <v>8689</v>
      </c>
      <c r="L187" s="9" t="s">
        <v>8730</v>
      </c>
      <c r="M187" s="9"/>
      <c r="N187" s="10"/>
      <c r="O187" s="9"/>
      <c r="P187" s="9">
        <v>10929</v>
      </c>
      <c r="Q187" s="9">
        <f t="shared" si="2"/>
        <v>1406.0027530843549</v>
      </c>
      <c r="R187" s="9"/>
      <c r="S187" s="9" t="s">
        <v>9321</v>
      </c>
      <c r="T187" s="9" t="s">
        <v>9321</v>
      </c>
      <c r="U187" s="9"/>
      <c r="V187" s="9"/>
      <c r="W187" s="9"/>
      <c r="X187" s="9"/>
      <c r="Y187" s="9"/>
      <c r="Z187" s="9"/>
      <c r="AA187" s="9"/>
      <c r="AB187" s="9"/>
      <c r="AC187" s="9"/>
      <c r="AD187" s="9"/>
    </row>
    <row r="188" spans="1:30" ht="29">
      <c r="A188" s="3" t="s">
        <v>598</v>
      </c>
      <c r="B188" t="s">
        <v>4886</v>
      </c>
      <c r="C188" t="s">
        <v>4887</v>
      </c>
      <c r="F188" t="s">
        <v>3884</v>
      </c>
      <c r="G188" s="9" t="s">
        <v>3885</v>
      </c>
      <c r="H188" s="9"/>
      <c r="I188" s="9">
        <v>1</v>
      </c>
      <c r="J188" s="9">
        <v>2</v>
      </c>
      <c r="K188" s="9" t="s">
        <v>8689</v>
      </c>
      <c r="L188" s="9" t="s">
        <v>8730</v>
      </c>
      <c r="M188" s="9"/>
      <c r="N188" s="10"/>
      <c r="O188" s="9"/>
      <c r="P188" s="9">
        <v>10929</v>
      </c>
      <c r="Q188" s="9">
        <f t="shared" si="2"/>
        <v>1406.0027530843549</v>
      </c>
      <c r="R188" s="9"/>
      <c r="S188" s="9" t="s">
        <v>9321</v>
      </c>
      <c r="T188" s="9" t="s">
        <v>9321</v>
      </c>
      <c r="U188" s="9"/>
      <c r="V188" s="9"/>
      <c r="W188" s="9"/>
      <c r="X188" s="9"/>
      <c r="Y188" s="9"/>
      <c r="Z188" s="9"/>
      <c r="AA188" s="9"/>
      <c r="AB188" s="9"/>
      <c r="AC188" s="9"/>
      <c r="AD188" s="9"/>
    </row>
    <row r="189" spans="1:30" ht="43.5">
      <c r="A189" s="3" t="s">
        <v>603</v>
      </c>
      <c r="B189" s="3" t="s">
        <v>4899</v>
      </c>
      <c r="C189" s="3" t="s">
        <v>4900</v>
      </c>
      <c r="G189" s="9" t="s">
        <v>3889</v>
      </c>
      <c r="H189" s="9"/>
      <c r="I189" s="9">
        <v>1</v>
      </c>
      <c r="J189" s="9">
        <v>3</v>
      </c>
      <c r="K189" s="9" t="s">
        <v>8689</v>
      </c>
      <c r="L189" s="9" t="s">
        <v>8690</v>
      </c>
      <c r="M189" s="9"/>
      <c r="N189" s="10"/>
      <c r="O189" s="9"/>
      <c r="P189" s="9">
        <v>10929</v>
      </c>
      <c r="Q189" s="9">
        <f t="shared" si="2"/>
        <v>1406.0027530843549</v>
      </c>
      <c r="R189" s="9"/>
      <c r="S189" s="9" t="s">
        <v>9321</v>
      </c>
      <c r="T189" s="9" t="s">
        <v>9321</v>
      </c>
      <c r="U189" s="9"/>
      <c r="V189" s="9"/>
      <c r="W189" s="9"/>
      <c r="X189" s="9"/>
      <c r="Y189" s="9"/>
      <c r="Z189" s="9"/>
      <c r="AA189" s="9"/>
      <c r="AB189" s="9"/>
      <c r="AC189" s="9"/>
      <c r="AD189" s="9"/>
    </row>
    <row r="190" spans="1:30" ht="43.5">
      <c r="A190" s="3" t="s">
        <v>604</v>
      </c>
      <c r="B190" s="3" t="s">
        <v>4901</v>
      </c>
      <c r="C190" s="3" t="s">
        <v>4902</v>
      </c>
      <c r="F190" t="s">
        <v>3884</v>
      </c>
      <c r="G190" s="9" t="s">
        <v>3885</v>
      </c>
      <c r="H190" s="9"/>
      <c r="I190" s="9">
        <v>1</v>
      </c>
      <c r="J190" s="9">
        <v>3</v>
      </c>
      <c r="K190" s="9" t="s">
        <v>8698</v>
      </c>
      <c r="L190" s="9" t="s">
        <v>8690</v>
      </c>
      <c r="M190" s="9"/>
      <c r="N190" s="10"/>
      <c r="O190" s="9"/>
      <c r="P190" s="9">
        <v>9418</v>
      </c>
      <c r="Q190" s="9">
        <f t="shared" si="2"/>
        <v>1211.6144138117354</v>
      </c>
      <c r="R190" s="9"/>
      <c r="S190" s="9" t="s">
        <v>9321</v>
      </c>
      <c r="T190" s="9" t="s">
        <v>9321</v>
      </c>
      <c r="U190" s="9"/>
      <c r="V190" s="9"/>
      <c r="W190" s="9"/>
      <c r="X190" s="9"/>
      <c r="Y190" s="9"/>
      <c r="Z190" s="9"/>
      <c r="AA190" s="9"/>
      <c r="AB190" s="9"/>
      <c r="AC190" s="9"/>
      <c r="AD190" s="9"/>
    </row>
    <row r="191" spans="1:30" ht="43.5">
      <c r="A191" s="3" t="s">
        <v>605</v>
      </c>
      <c r="B191" s="3" t="s">
        <v>4903</v>
      </c>
      <c r="C191" s="3" t="s">
        <v>4904</v>
      </c>
      <c r="G191" s="9" t="s">
        <v>3885</v>
      </c>
      <c r="H191" s="9"/>
      <c r="I191" s="9">
        <v>1</v>
      </c>
      <c r="J191" s="9">
        <v>2</v>
      </c>
      <c r="K191" s="9" t="s">
        <v>8707</v>
      </c>
      <c r="L191" s="9" t="s">
        <v>8730</v>
      </c>
      <c r="M191" s="9"/>
      <c r="N191" s="10"/>
      <c r="O191" s="9"/>
      <c r="P191" s="9">
        <v>1942</v>
      </c>
      <c r="Q191" s="9">
        <f t="shared" si="2"/>
        <v>249.83597277791355</v>
      </c>
      <c r="R191" s="9"/>
      <c r="S191" s="9" t="s">
        <v>9321</v>
      </c>
      <c r="T191" s="9" t="s">
        <v>9321</v>
      </c>
      <c r="U191" s="9"/>
      <c r="V191" s="9"/>
      <c r="W191" s="9"/>
      <c r="X191" s="9"/>
      <c r="Y191" s="9"/>
      <c r="Z191" s="9"/>
      <c r="AA191" s="9"/>
      <c r="AB191" s="9"/>
      <c r="AC191" s="9"/>
      <c r="AD191" s="9"/>
    </row>
    <row r="192" spans="1:30" ht="130.5">
      <c r="A192" s="3" t="s">
        <v>611</v>
      </c>
      <c r="B192" s="3" t="s">
        <v>4907</v>
      </c>
      <c r="C192" s="3" t="s">
        <v>4909</v>
      </c>
      <c r="F192" t="s">
        <v>3884</v>
      </c>
      <c r="G192" s="9" t="s">
        <v>3885</v>
      </c>
      <c r="H192" s="9"/>
      <c r="I192" s="9">
        <v>1</v>
      </c>
      <c r="J192" s="9">
        <v>2</v>
      </c>
      <c r="K192" s="9" t="s">
        <v>8705</v>
      </c>
      <c r="L192" s="9" t="s">
        <v>8730</v>
      </c>
      <c r="M192" s="9"/>
      <c r="N192" s="10"/>
      <c r="O192" s="9"/>
      <c r="P192" s="9">
        <v>615</v>
      </c>
      <c r="Q192" s="9">
        <f t="shared" si="2"/>
        <v>79.119013006393843</v>
      </c>
      <c r="R192" s="9"/>
      <c r="S192" s="9" t="s">
        <v>9321</v>
      </c>
      <c r="T192" s="9" t="s">
        <v>9321</v>
      </c>
      <c r="U192" s="9"/>
      <c r="V192" s="9"/>
      <c r="W192" s="9"/>
      <c r="X192" s="9"/>
      <c r="Y192" s="9"/>
      <c r="Z192" s="9"/>
      <c r="AA192" s="9"/>
      <c r="AB192" s="9"/>
      <c r="AC192" s="9"/>
      <c r="AD192" s="9"/>
    </row>
    <row r="193" spans="1:30" ht="58">
      <c r="A193" s="3" t="s">
        <v>621</v>
      </c>
      <c r="B193" s="3" t="s">
        <v>4922</v>
      </c>
      <c r="C193" s="3" t="s">
        <v>4923</v>
      </c>
      <c r="G193" s="9" t="s">
        <v>3889</v>
      </c>
      <c r="H193" s="9"/>
      <c r="I193" s="9">
        <v>1</v>
      </c>
      <c r="J193" s="9">
        <v>3</v>
      </c>
      <c r="K193" s="9" t="s">
        <v>8703</v>
      </c>
      <c r="L193" s="9" t="s">
        <v>8690</v>
      </c>
      <c r="M193" s="9"/>
      <c r="N193" s="10"/>
      <c r="O193" s="9"/>
      <c r="P193" s="9">
        <v>627</v>
      </c>
      <c r="Q193" s="9">
        <f t="shared" si="2"/>
        <v>80.662798626030806</v>
      </c>
      <c r="R193" s="9"/>
      <c r="S193" s="9" t="s">
        <v>9321</v>
      </c>
      <c r="T193" s="9" t="s">
        <v>9321</v>
      </c>
      <c r="U193" s="9"/>
      <c r="V193" s="9"/>
      <c r="W193" s="9"/>
      <c r="X193" s="9"/>
      <c r="Y193" s="9"/>
      <c r="Z193" s="9"/>
      <c r="AA193" s="9"/>
      <c r="AB193" s="9"/>
      <c r="AC193" s="9"/>
      <c r="AD193" s="9"/>
    </row>
    <row r="194" spans="1:30" ht="29">
      <c r="A194" s="3" t="s">
        <v>626</v>
      </c>
      <c r="B194" s="3" t="s">
        <v>4927</v>
      </c>
      <c r="C194" s="3" t="s">
        <v>4928</v>
      </c>
      <c r="D194" t="s">
        <v>4397</v>
      </c>
      <c r="F194" t="s">
        <v>3884</v>
      </c>
      <c r="G194" s="9" t="s">
        <v>3885</v>
      </c>
      <c r="H194" s="9"/>
      <c r="I194" s="9">
        <v>1</v>
      </c>
      <c r="J194" s="9">
        <v>3</v>
      </c>
      <c r="K194" s="9" t="s">
        <v>8695</v>
      </c>
      <c r="L194" s="9" t="s">
        <v>8684</v>
      </c>
      <c r="M194" s="9" t="s">
        <v>8777</v>
      </c>
      <c r="N194" s="10" t="s">
        <v>8778</v>
      </c>
      <c r="O194" s="9"/>
      <c r="P194" s="9">
        <v>78</v>
      </c>
      <c r="Q194" s="9">
        <f t="shared" si="2"/>
        <v>10.034606527640195</v>
      </c>
      <c r="R194" s="9"/>
      <c r="S194" s="9" t="s">
        <v>9321</v>
      </c>
      <c r="T194" s="9" t="s">
        <v>9321</v>
      </c>
      <c r="U194" s="9"/>
      <c r="V194" s="9"/>
      <c r="W194" s="9"/>
      <c r="X194" s="9"/>
      <c r="Y194" s="9"/>
      <c r="Z194" s="9"/>
      <c r="AA194" s="9"/>
      <c r="AB194" s="9"/>
      <c r="AC194" s="9"/>
      <c r="AD194" s="9"/>
    </row>
    <row r="195" spans="1:30" ht="43.5">
      <c r="A195" s="3" t="s">
        <v>626</v>
      </c>
      <c r="B195" s="3" t="s">
        <v>4929</v>
      </c>
      <c r="C195" s="3" t="s">
        <v>4930</v>
      </c>
      <c r="F195" t="s">
        <v>3884</v>
      </c>
      <c r="G195" s="9" t="s">
        <v>3889</v>
      </c>
      <c r="H195" s="9"/>
      <c r="I195" s="9">
        <v>1</v>
      </c>
      <c r="J195" s="9">
        <v>5</v>
      </c>
      <c r="K195" s="9" t="s">
        <v>8736</v>
      </c>
      <c r="L195" s="9" t="s">
        <v>8690</v>
      </c>
      <c r="M195" s="9"/>
      <c r="N195" s="10"/>
      <c r="O195" s="9"/>
      <c r="P195" s="9">
        <v>206</v>
      </c>
      <c r="Q195" s="9">
        <f t="shared" ref="Q195:Q258" si="3">IF(ISNUMBER(P195), (P195/$E$601)*10000, "")</f>
        <v>26.50165313710103</v>
      </c>
      <c r="R195" s="9"/>
      <c r="S195" s="9" t="s">
        <v>9321</v>
      </c>
      <c r="T195" s="9" t="s">
        <v>9321</v>
      </c>
      <c r="U195" s="9"/>
      <c r="V195" s="9"/>
      <c r="W195" s="9"/>
      <c r="X195" s="9"/>
      <c r="Y195" s="9"/>
      <c r="Z195" s="9"/>
      <c r="AA195" s="9"/>
      <c r="AB195" s="9"/>
      <c r="AC195" s="9"/>
      <c r="AD195" s="9"/>
    </row>
    <row r="196" spans="1:30" ht="72.5">
      <c r="A196" s="3" t="s">
        <v>626</v>
      </c>
      <c r="B196" s="3" t="s">
        <v>9473</v>
      </c>
      <c r="C196" s="3" t="s">
        <v>9472</v>
      </c>
      <c r="G196" s="9" t="s">
        <v>3889</v>
      </c>
      <c r="H196" s="9"/>
      <c r="I196" s="9">
        <v>2</v>
      </c>
      <c r="J196" s="9">
        <v>6</v>
      </c>
      <c r="K196" s="9"/>
      <c r="L196" s="9" t="s">
        <v>8690</v>
      </c>
      <c r="M196" s="9"/>
      <c r="N196" s="10"/>
      <c r="O196" s="9"/>
      <c r="P196" s="9">
        <v>886</v>
      </c>
      <c r="Q196" s="9">
        <f t="shared" si="3"/>
        <v>113.9828382498617</v>
      </c>
      <c r="R196" s="9"/>
      <c r="S196" s="9" t="s">
        <v>9321</v>
      </c>
      <c r="T196" s="9" t="s">
        <v>9321</v>
      </c>
      <c r="U196" s="9"/>
      <c r="V196" s="9"/>
      <c r="W196" s="9"/>
      <c r="X196" s="9"/>
      <c r="Y196" s="9"/>
      <c r="Z196" s="9"/>
      <c r="AA196" s="9"/>
      <c r="AB196" s="9"/>
      <c r="AC196" s="9"/>
      <c r="AD196" s="9"/>
    </row>
    <row r="197" spans="1:30" ht="72.5">
      <c r="A197" s="3" t="s">
        <v>627</v>
      </c>
      <c r="B197" s="3" t="s">
        <v>8996</v>
      </c>
      <c r="C197" s="3" t="s">
        <v>8997</v>
      </c>
      <c r="F197" t="s">
        <v>3884</v>
      </c>
      <c r="G197" s="9" t="s">
        <v>3885</v>
      </c>
      <c r="H197" s="9"/>
      <c r="I197" s="9">
        <v>1</v>
      </c>
      <c r="J197" s="9">
        <v>2</v>
      </c>
      <c r="K197" s="9" t="s">
        <v>8705</v>
      </c>
      <c r="L197" s="9" t="s">
        <v>8730</v>
      </c>
      <c r="M197" s="9"/>
      <c r="N197" s="10"/>
      <c r="O197" s="9" t="s">
        <v>8685</v>
      </c>
      <c r="P197" s="9">
        <v>615</v>
      </c>
      <c r="Q197" s="9">
        <f t="shared" si="3"/>
        <v>79.119013006393843</v>
      </c>
      <c r="R197" s="9"/>
      <c r="S197" s="9" t="s">
        <v>9321</v>
      </c>
      <c r="T197" s="9" t="s">
        <v>9321</v>
      </c>
      <c r="U197" s="9"/>
      <c r="V197" s="9"/>
      <c r="W197" s="9"/>
      <c r="X197" s="9"/>
      <c r="Y197" s="9"/>
      <c r="Z197" s="9"/>
      <c r="AA197" s="9"/>
      <c r="AB197" s="9"/>
      <c r="AC197" s="9"/>
      <c r="AD197" s="9"/>
    </row>
    <row r="198" spans="1:30" ht="43.5">
      <c r="A198" s="3" t="s">
        <v>627</v>
      </c>
      <c r="B198" s="3" t="s">
        <v>4931</v>
      </c>
      <c r="C198" t="s">
        <v>4932</v>
      </c>
      <c r="G198" s="9" t="s">
        <v>3889</v>
      </c>
      <c r="H198" s="9"/>
      <c r="I198" s="9">
        <v>1</v>
      </c>
      <c r="J198" s="9">
        <v>6</v>
      </c>
      <c r="K198" s="9" t="s">
        <v>8683</v>
      </c>
      <c r="L198" s="9" t="s">
        <v>8690</v>
      </c>
      <c r="M198" s="9"/>
      <c r="N198" s="10"/>
      <c r="O198" s="9"/>
      <c r="P198" s="9">
        <v>4</v>
      </c>
      <c r="Q198" s="9">
        <f t="shared" si="3"/>
        <v>0.51459520654565105</v>
      </c>
      <c r="R198" s="9"/>
      <c r="S198" s="9" t="s">
        <v>9321</v>
      </c>
      <c r="T198" s="9" t="s">
        <v>9321</v>
      </c>
      <c r="U198" s="9"/>
      <c r="V198" s="9"/>
      <c r="W198" s="9"/>
      <c r="X198" s="9"/>
      <c r="Y198" s="9"/>
      <c r="Z198" s="9"/>
      <c r="AA198" s="9"/>
      <c r="AB198" s="9"/>
      <c r="AC198" s="9"/>
      <c r="AD198" s="9"/>
    </row>
    <row r="199" spans="1:30" ht="43.5">
      <c r="A199" s="3" t="s">
        <v>631</v>
      </c>
      <c r="B199" s="3" t="s">
        <v>4936</v>
      </c>
      <c r="C199" s="3" t="s">
        <v>4937</v>
      </c>
      <c r="F199" t="s">
        <v>3884</v>
      </c>
      <c r="G199" s="9" t="s">
        <v>3889</v>
      </c>
      <c r="H199" s="9"/>
      <c r="I199" s="9">
        <v>1</v>
      </c>
      <c r="J199" s="9">
        <v>3</v>
      </c>
      <c r="K199" s="9" t="s">
        <v>8689</v>
      </c>
      <c r="L199" s="9" t="s">
        <v>8690</v>
      </c>
      <c r="M199" s="9"/>
      <c r="N199" s="10"/>
      <c r="O199" s="9"/>
      <c r="P199" s="9">
        <v>10929</v>
      </c>
      <c r="Q199" s="9">
        <f t="shared" si="3"/>
        <v>1406.0027530843549</v>
      </c>
      <c r="R199" s="9"/>
      <c r="S199" s="9" t="s">
        <v>9321</v>
      </c>
      <c r="T199" s="9" t="s">
        <v>9321</v>
      </c>
      <c r="U199" s="9"/>
      <c r="V199" s="9"/>
      <c r="W199" s="9"/>
      <c r="X199" s="9"/>
      <c r="Y199" s="9"/>
      <c r="Z199" s="9"/>
      <c r="AA199" s="9"/>
      <c r="AB199" s="9"/>
      <c r="AC199" s="9"/>
      <c r="AD199" s="9"/>
    </row>
    <row r="200" spans="1:30" ht="43.5">
      <c r="A200" s="3" t="s">
        <v>634</v>
      </c>
      <c r="B200" s="3" t="s">
        <v>2904</v>
      </c>
      <c r="C200" s="3" t="s">
        <v>9611</v>
      </c>
      <c r="G200" s="9" t="s">
        <v>3885</v>
      </c>
      <c r="H200" s="9"/>
      <c r="I200" s="9">
        <v>1</v>
      </c>
      <c r="J200" s="9">
        <v>3</v>
      </c>
      <c r="K200" s="9" t="s">
        <v>8689</v>
      </c>
      <c r="L200" s="9" t="s">
        <v>8690</v>
      </c>
      <c r="M200" s="9"/>
      <c r="N200" s="10"/>
      <c r="O200" s="9"/>
      <c r="P200" s="9">
        <v>10929</v>
      </c>
      <c r="Q200" s="9">
        <f t="shared" si="3"/>
        <v>1406.0027530843549</v>
      </c>
      <c r="R200" s="9"/>
      <c r="S200" s="9" t="s">
        <v>9321</v>
      </c>
      <c r="T200" s="9" t="s">
        <v>9321</v>
      </c>
      <c r="U200" s="9"/>
      <c r="V200" s="9"/>
      <c r="W200" s="9"/>
      <c r="X200" s="9"/>
      <c r="Y200" s="9"/>
      <c r="Z200" s="9"/>
      <c r="AA200" s="9"/>
      <c r="AB200" s="9"/>
      <c r="AC200" s="9"/>
      <c r="AD200" s="9"/>
    </row>
    <row r="201" spans="1:30" ht="43.5">
      <c r="A201" s="3" t="s">
        <v>640</v>
      </c>
      <c r="B201" s="3" t="s">
        <v>4962</v>
      </c>
      <c r="C201" s="3" t="s">
        <v>4963</v>
      </c>
      <c r="G201" s="9" t="s">
        <v>3889</v>
      </c>
      <c r="H201" s="9"/>
      <c r="I201" s="9">
        <v>1</v>
      </c>
      <c r="J201" s="9">
        <v>4</v>
      </c>
      <c r="K201" s="9" t="s">
        <v>8710</v>
      </c>
      <c r="L201" s="9" t="s">
        <v>8690</v>
      </c>
      <c r="M201" s="9"/>
      <c r="N201" s="10"/>
      <c r="O201" s="9"/>
      <c r="P201" s="9">
        <v>266</v>
      </c>
      <c r="Q201" s="9">
        <f t="shared" si="3"/>
        <v>34.220581235285792</v>
      </c>
      <c r="R201" s="9"/>
      <c r="S201" s="9" t="s">
        <v>9321</v>
      </c>
      <c r="T201" s="9" t="s">
        <v>9321</v>
      </c>
      <c r="U201" s="9"/>
      <c r="V201" s="9"/>
      <c r="W201" s="9"/>
      <c r="X201" s="9"/>
      <c r="Y201" s="9"/>
      <c r="Z201" s="9"/>
      <c r="AA201" s="9"/>
      <c r="AB201" s="9"/>
      <c r="AC201" s="9"/>
      <c r="AD201" s="9"/>
    </row>
    <row r="202" spans="1:30" ht="174">
      <c r="A202" s="3" t="s">
        <v>641</v>
      </c>
      <c r="B202" s="3" t="s">
        <v>4967</v>
      </c>
      <c r="C202" s="3" t="s">
        <v>4964</v>
      </c>
      <c r="G202" s="9" t="s">
        <v>3889</v>
      </c>
      <c r="H202" s="9"/>
      <c r="I202" s="9">
        <v>5</v>
      </c>
      <c r="J202" s="9">
        <v>24</v>
      </c>
      <c r="K202" s="9"/>
      <c r="L202" s="9" t="s">
        <v>8684</v>
      </c>
      <c r="M202" s="9" t="s">
        <v>8944</v>
      </c>
      <c r="N202" s="10" t="s">
        <v>9000</v>
      </c>
      <c r="O202" s="9"/>
      <c r="P202" s="9">
        <v>74</v>
      </c>
      <c r="Q202" s="9">
        <f t="shared" si="3"/>
        <v>9.5200113210945432</v>
      </c>
      <c r="R202" s="9"/>
      <c r="S202" s="9" t="s">
        <v>9321</v>
      </c>
      <c r="T202" s="9" t="s">
        <v>9321</v>
      </c>
      <c r="U202" s="9"/>
      <c r="V202" s="9"/>
      <c r="W202" s="9"/>
      <c r="X202" s="9"/>
      <c r="Y202" s="9"/>
      <c r="Z202" s="9"/>
      <c r="AA202" s="9"/>
      <c r="AB202" s="9"/>
      <c r="AC202" s="9"/>
      <c r="AD202" s="9"/>
    </row>
    <row r="203" spans="1:30" ht="43.5">
      <c r="A203" s="3" t="s">
        <v>642</v>
      </c>
      <c r="B203" s="3" t="s">
        <v>4972</v>
      </c>
      <c r="C203" s="3" t="s">
        <v>4973</v>
      </c>
      <c r="G203" s="9" t="s">
        <v>3889</v>
      </c>
      <c r="H203" s="9"/>
      <c r="I203" s="9">
        <v>1</v>
      </c>
      <c r="J203" s="9">
        <v>3</v>
      </c>
      <c r="K203" s="9" t="s">
        <v>8689</v>
      </c>
      <c r="L203" s="9" t="s">
        <v>8690</v>
      </c>
      <c r="M203" s="9"/>
      <c r="N203" s="10"/>
      <c r="O203" s="9"/>
      <c r="P203" s="9">
        <v>10929</v>
      </c>
      <c r="Q203" s="9">
        <f t="shared" si="3"/>
        <v>1406.0027530843549</v>
      </c>
      <c r="R203" s="9"/>
      <c r="S203" s="9" t="s">
        <v>9321</v>
      </c>
      <c r="T203" s="9" t="s">
        <v>9321</v>
      </c>
      <c r="U203" s="9"/>
      <c r="V203" s="9"/>
      <c r="W203" s="9"/>
      <c r="X203" s="9"/>
      <c r="Y203" s="9"/>
      <c r="Z203" s="9"/>
      <c r="AA203" s="9"/>
      <c r="AB203" s="9"/>
      <c r="AC203" s="9"/>
      <c r="AD203" s="9"/>
    </row>
    <row r="204" spans="1:30" ht="29">
      <c r="A204" s="3" t="s">
        <v>642</v>
      </c>
      <c r="B204" s="3" t="s">
        <v>4974</v>
      </c>
      <c r="C204" s="3" t="s">
        <v>4975</v>
      </c>
      <c r="G204" s="9" t="s">
        <v>3889</v>
      </c>
      <c r="H204" s="9"/>
      <c r="I204" s="9">
        <v>1</v>
      </c>
      <c r="J204" s="9">
        <v>1</v>
      </c>
      <c r="K204" s="9" t="s">
        <v>8689</v>
      </c>
      <c r="L204" s="9" t="s">
        <v>8730</v>
      </c>
      <c r="M204" s="9"/>
      <c r="N204" s="10"/>
      <c r="O204" s="9" t="s">
        <v>8685</v>
      </c>
      <c r="P204" s="9">
        <v>10929</v>
      </c>
      <c r="Q204" s="9">
        <f t="shared" si="3"/>
        <v>1406.0027530843549</v>
      </c>
      <c r="R204" s="9"/>
      <c r="S204" s="9" t="s">
        <v>9321</v>
      </c>
      <c r="T204" s="9" t="s">
        <v>9321</v>
      </c>
      <c r="U204" s="9"/>
      <c r="V204" s="9"/>
      <c r="W204" s="9"/>
      <c r="X204" s="9"/>
      <c r="Y204" s="9"/>
      <c r="Z204" s="9"/>
      <c r="AA204" s="9"/>
      <c r="AB204" s="9"/>
      <c r="AC204" s="9"/>
      <c r="AD204" s="9"/>
    </row>
    <row r="205" spans="1:30" ht="29">
      <c r="A205" s="3" t="s">
        <v>647</v>
      </c>
      <c r="B205" s="3" t="s">
        <v>4982</v>
      </c>
      <c r="C205" s="3" t="s">
        <v>4983</v>
      </c>
      <c r="G205" s="9" t="s">
        <v>3885</v>
      </c>
      <c r="H205" s="9"/>
      <c r="I205" s="9">
        <v>1</v>
      </c>
      <c r="J205" s="9">
        <v>2</v>
      </c>
      <c r="K205" s="9" t="s">
        <v>8689</v>
      </c>
      <c r="L205" s="9" t="s">
        <v>8730</v>
      </c>
      <c r="M205" s="9"/>
      <c r="N205" s="10"/>
      <c r="O205" s="9" t="s">
        <v>8685</v>
      </c>
      <c r="P205" s="9">
        <v>10929</v>
      </c>
      <c r="Q205" s="9">
        <f t="shared" si="3"/>
        <v>1406.0027530843549</v>
      </c>
      <c r="R205" s="9"/>
      <c r="S205" s="9" t="s">
        <v>9321</v>
      </c>
      <c r="T205" s="9" t="s">
        <v>9321</v>
      </c>
      <c r="U205" s="9"/>
      <c r="V205" s="9"/>
      <c r="W205" s="9"/>
      <c r="X205" s="9"/>
      <c r="Y205" s="9"/>
      <c r="Z205" s="9"/>
      <c r="AA205" s="9"/>
      <c r="AB205" s="9"/>
      <c r="AC205" s="9"/>
      <c r="AD205" s="9"/>
    </row>
    <row r="206" spans="1:30" ht="72.5">
      <c r="A206" s="3" t="s">
        <v>651</v>
      </c>
      <c r="B206" s="3" t="s">
        <v>4989</v>
      </c>
      <c r="C206" s="3" t="s">
        <v>4990</v>
      </c>
      <c r="F206" t="s">
        <v>3884</v>
      </c>
      <c r="G206" s="9" t="s">
        <v>3889</v>
      </c>
      <c r="H206" s="9"/>
      <c r="I206" s="9">
        <v>3</v>
      </c>
      <c r="J206" s="9">
        <v>12</v>
      </c>
      <c r="K206" s="9"/>
      <c r="L206" s="9" t="s">
        <v>8690</v>
      </c>
      <c r="M206" s="9"/>
      <c r="N206" s="10"/>
      <c r="O206" s="9"/>
      <c r="P206" s="9">
        <v>2</v>
      </c>
      <c r="Q206" s="9">
        <f t="shared" si="3"/>
        <v>0.25729760327282553</v>
      </c>
      <c r="R206" s="9"/>
      <c r="S206" s="9" t="s">
        <v>9321</v>
      </c>
      <c r="T206" s="9" t="s">
        <v>9321</v>
      </c>
      <c r="U206" s="9"/>
      <c r="V206" s="9"/>
      <c r="W206" s="9"/>
      <c r="X206" s="9"/>
      <c r="Y206" s="9"/>
      <c r="Z206" s="9"/>
      <c r="AA206" s="9"/>
      <c r="AB206" s="9"/>
      <c r="AC206" s="9"/>
      <c r="AD206" s="9"/>
    </row>
    <row r="207" spans="1:30" ht="43.5">
      <c r="A207" s="3" t="s">
        <v>653</v>
      </c>
      <c r="B207" s="3" t="s">
        <v>4994</v>
      </c>
      <c r="C207" s="3" t="s">
        <v>4993</v>
      </c>
      <c r="F207" t="s">
        <v>3884</v>
      </c>
      <c r="G207" s="9" t="s">
        <v>3889</v>
      </c>
      <c r="H207" s="9"/>
      <c r="I207" s="9">
        <v>1</v>
      </c>
      <c r="J207" s="9">
        <v>1</v>
      </c>
      <c r="K207" s="9" t="s">
        <v>8689</v>
      </c>
      <c r="L207" s="9" t="s">
        <v>8730</v>
      </c>
      <c r="M207" s="9"/>
      <c r="N207" s="10"/>
      <c r="O207" s="9"/>
      <c r="P207" s="9">
        <v>10929</v>
      </c>
      <c r="Q207" s="9">
        <f t="shared" si="3"/>
        <v>1406.0027530843549</v>
      </c>
      <c r="R207" s="9"/>
      <c r="S207" s="9" t="s">
        <v>9321</v>
      </c>
      <c r="T207" s="9" t="s">
        <v>9321</v>
      </c>
      <c r="U207" s="9"/>
      <c r="V207" s="9"/>
      <c r="W207" s="9"/>
      <c r="X207" s="9"/>
      <c r="Y207" s="9"/>
      <c r="Z207" s="9"/>
      <c r="AA207" s="9"/>
      <c r="AB207" s="9"/>
      <c r="AC207" s="9"/>
      <c r="AD207" s="9"/>
    </row>
    <row r="208" spans="1:30" ht="43.5">
      <c r="A208" s="3" t="s">
        <v>653</v>
      </c>
      <c r="B208" s="3" t="s">
        <v>4995</v>
      </c>
      <c r="C208" s="3" t="s">
        <v>4993</v>
      </c>
      <c r="F208" t="s">
        <v>3884</v>
      </c>
      <c r="G208" s="9" t="s">
        <v>3889</v>
      </c>
      <c r="H208" s="9"/>
      <c r="I208" s="9">
        <v>1</v>
      </c>
      <c r="J208" s="9">
        <v>3</v>
      </c>
      <c r="K208" s="9" t="s">
        <v>8689</v>
      </c>
      <c r="L208" s="9" t="s">
        <v>8690</v>
      </c>
      <c r="M208" s="9"/>
      <c r="N208" s="10"/>
      <c r="O208" s="9"/>
      <c r="P208" s="9">
        <v>10929</v>
      </c>
      <c r="Q208" s="9">
        <f t="shared" si="3"/>
        <v>1406.0027530843549</v>
      </c>
      <c r="R208" s="9"/>
      <c r="S208" s="9" t="s">
        <v>9321</v>
      </c>
      <c r="T208" s="9" t="s">
        <v>9321</v>
      </c>
      <c r="U208" s="9"/>
      <c r="V208" s="9"/>
      <c r="W208" s="9"/>
      <c r="X208" s="9"/>
      <c r="Y208" s="9"/>
      <c r="Z208" s="9"/>
      <c r="AA208" s="9"/>
      <c r="AB208" s="9"/>
      <c r="AC208" s="9"/>
      <c r="AD208" s="9"/>
    </row>
    <row r="209" spans="1:30" ht="43.5">
      <c r="A209" s="3" t="s">
        <v>660</v>
      </c>
      <c r="B209" s="3" t="s">
        <v>5002</v>
      </c>
      <c r="C209" s="3" t="s">
        <v>5003</v>
      </c>
      <c r="F209" t="s">
        <v>3884</v>
      </c>
      <c r="G209" s="9" t="s">
        <v>3885</v>
      </c>
      <c r="H209" s="9"/>
      <c r="I209" s="9">
        <v>1</v>
      </c>
      <c r="J209" s="9">
        <v>2</v>
      </c>
      <c r="K209" s="9" t="s">
        <v>8689</v>
      </c>
      <c r="L209" s="9" t="s">
        <v>8730</v>
      </c>
      <c r="M209" s="9"/>
      <c r="N209" s="10"/>
      <c r="O209" s="9"/>
      <c r="P209" s="9">
        <v>10929</v>
      </c>
      <c r="Q209" s="9">
        <f t="shared" si="3"/>
        <v>1406.0027530843549</v>
      </c>
      <c r="R209" s="9"/>
      <c r="S209" s="9" t="s">
        <v>9321</v>
      </c>
      <c r="T209" s="9" t="s">
        <v>9321</v>
      </c>
      <c r="U209" s="9"/>
      <c r="V209" s="9"/>
      <c r="W209" s="9"/>
      <c r="X209" s="9"/>
      <c r="Y209" s="9"/>
      <c r="Z209" s="9"/>
      <c r="AA209" s="9"/>
      <c r="AB209" s="9"/>
      <c r="AC209" s="9"/>
      <c r="AD209" s="9"/>
    </row>
    <row r="210" spans="1:30" ht="43.5">
      <c r="A210" s="3" t="s">
        <v>661</v>
      </c>
      <c r="B210" s="3" t="s">
        <v>5004</v>
      </c>
      <c r="C210" s="3" t="s">
        <v>5005</v>
      </c>
      <c r="G210" s="9" t="s">
        <v>3885</v>
      </c>
      <c r="H210" s="9"/>
      <c r="I210" s="9">
        <v>1</v>
      </c>
      <c r="J210" s="9">
        <v>2</v>
      </c>
      <c r="K210" s="9" t="s">
        <v>8707</v>
      </c>
      <c r="L210" s="9" t="s">
        <v>8730</v>
      </c>
      <c r="M210" s="9"/>
      <c r="N210" s="10"/>
      <c r="O210" s="9"/>
      <c r="P210" s="9">
        <v>329</v>
      </c>
      <c r="Q210" s="9">
        <f t="shared" si="3"/>
        <v>42.325455738379794</v>
      </c>
      <c r="R210" s="9"/>
      <c r="S210" s="9" t="s">
        <v>9321</v>
      </c>
      <c r="T210" s="9" t="s">
        <v>9321</v>
      </c>
      <c r="U210" s="9"/>
      <c r="V210" s="9"/>
      <c r="W210" s="9"/>
      <c r="X210" s="9"/>
      <c r="Y210" s="9"/>
      <c r="Z210" s="9"/>
      <c r="AA210" s="9"/>
      <c r="AB210" s="9"/>
      <c r="AC210" s="9"/>
      <c r="AD210" s="9"/>
    </row>
    <row r="211" spans="1:30" ht="43.5">
      <c r="A211" s="3" t="s">
        <v>669</v>
      </c>
      <c r="B211" s="3" t="s">
        <v>5027</v>
      </c>
      <c r="C211" s="3" t="s">
        <v>5028</v>
      </c>
      <c r="F211" t="s">
        <v>3884</v>
      </c>
      <c r="G211" s="9" t="s">
        <v>3889</v>
      </c>
      <c r="H211" s="9"/>
      <c r="I211" s="9">
        <v>1</v>
      </c>
      <c r="J211" s="9">
        <v>3</v>
      </c>
      <c r="K211" s="9" t="s">
        <v>8689</v>
      </c>
      <c r="L211" s="9" t="s">
        <v>8690</v>
      </c>
      <c r="M211" s="9"/>
      <c r="N211" s="10"/>
      <c r="O211" s="9"/>
      <c r="P211" s="9">
        <v>10929</v>
      </c>
      <c r="Q211" s="9">
        <f t="shared" si="3"/>
        <v>1406.0027530843549</v>
      </c>
      <c r="R211" s="9"/>
      <c r="S211" s="9" t="s">
        <v>9321</v>
      </c>
      <c r="T211" s="9" t="s">
        <v>9321</v>
      </c>
      <c r="U211" s="9"/>
      <c r="V211" s="9"/>
      <c r="W211" s="9"/>
      <c r="X211" s="9"/>
      <c r="Y211" s="9"/>
      <c r="Z211" s="9"/>
      <c r="AA211" s="9"/>
      <c r="AB211" s="9"/>
      <c r="AC211" s="9"/>
      <c r="AD211" s="9"/>
    </row>
    <row r="212" spans="1:30" ht="58">
      <c r="A212" s="3" t="s">
        <v>676</v>
      </c>
      <c r="B212" s="3" t="s">
        <v>5040</v>
      </c>
      <c r="C212" s="3" t="s">
        <v>5041</v>
      </c>
      <c r="F212" t="s">
        <v>3884</v>
      </c>
      <c r="G212" s="9" t="s">
        <v>3885</v>
      </c>
      <c r="H212" s="9"/>
      <c r="I212" s="9">
        <v>1</v>
      </c>
      <c r="J212" s="9">
        <v>3</v>
      </c>
      <c r="K212" s="9" t="s">
        <v>8698</v>
      </c>
      <c r="L212" s="9" t="s">
        <v>8690</v>
      </c>
      <c r="M212" s="9"/>
      <c r="N212" s="10"/>
      <c r="O212" s="9"/>
      <c r="P212" s="9">
        <v>9418</v>
      </c>
      <c r="Q212" s="9">
        <f t="shared" si="3"/>
        <v>1211.6144138117354</v>
      </c>
      <c r="R212" s="9"/>
      <c r="S212" s="9" t="s">
        <v>9321</v>
      </c>
      <c r="T212" s="9" t="s">
        <v>9321</v>
      </c>
      <c r="U212" s="9"/>
      <c r="V212" s="9"/>
      <c r="W212" s="9"/>
      <c r="X212" s="9"/>
      <c r="Y212" s="9"/>
      <c r="Z212" s="9"/>
      <c r="AA212" s="9"/>
      <c r="AB212" s="9"/>
      <c r="AC212" s="9"/>
      <c r="AD212" s="9"/>
    </row>
    <row r="213" spans="1:30" ht="72.5">
      <c r="A213" s="3" t="s">
        <v>677</v>
      </c>
      <c r="B213" s="3" t="s">
        <v>5044</v>
      </c>
      <c r="C213" s="3" t="s">
        <v>5045</v>
      </c>
      <c r="G213" s="9" t="s">
        <v>3889</v>
      </c>
      <c r="H213" s="9"/>
      <c r="I213" s="9">
        <v>1</v>
      </c>
      <c r="J213" s="9">
        <v>3</v>
      </c>
      <c r="K213" s="9" t="s">
        <v>8689</v>
      </c>
      <c r="L213" s="9" t="s">
        <v>8684</v>
      </c>
      <c r="M213" s="9" t="s">
        <v>8777</v>
      </c>
      <c r="N213" s="10" t="s">
        <v>8778</v>
      </c>
      <c r="O213" s="9" t="s">
        <v>8685</v>
      </c>
      <c r="P213" s="9">
        <v>10929</v>
      </c>
      <c r="Q213" s="9">
        <f t="shared" si="3"/>
        <v>1406.0027530843549</v>
      </c>
      <c r="R213" s="9"/>
      <c r="S213" s="9" t="s">
        <v>9321</v>
      </c>
      <c r="T213" s="9" t="s">
        <v>9321</v>
      </c>
      <c r="U213" s="9"/>
      <c r="V213" s="9"/>
      <c r="W213" s="9"/>
      <c r="X213" s="9"/>
      <c r="Y213" s="9"/>
      <c r="Z213" s="9"/>
      <c r="AA213" s="9"/>
      <c r="AB213" s="9"/>
      <c r="AC213" s="9"/>
      <c r="AD213" s="9"/>
    </row>
    <row r="214" spans="1:30" ht="29">
      <c r="A214" s="3" t="s">
        <v>680</v>
      </c>
      <c r="B214" s="3" t="s">
        <v>5051</v>
      </c>
      <c r="C214" s="3" t="s">
        <v>5052</v>
      </c>
      <c r="F214" t="s">
        <v>3884</v>
      </c>
      <c r="G214" s="9" t="s">
        <v>3889</v>
      </c>
      <c r="H214" s="9"/>
      <c r="I214" s="9">
        <v>1</v>
      </c>
      <c r="J214" s="9">
        <v>3</v>
      </c>
      <c r="K214" s="9" t="s">
        <v>8689</v>
      </c>
      <c r="L214" s="9" t="s">
        <v>8690</v>
      </c>
      <c r="M214" s="9"/>
      <c r="N214" s="10"/>
      <c r="O214" s="9"/>
      <c r="P214" s="9">
        <v>10929</v>
      </c>
      <c r="Q214" s="9">
        <f t="shared" si="3"/>
        <v>1406.0027530843549</v>
      </c>
      <c r="R214" s="9"/>
      <c r="S214" s="9" t="s">
        <v>9321</v>
      </c>
      <c r="T214" s="9" t="s">
        <v>9321</v>
      </c>
      <c r="U214" s="9"/>
      <c r="V214" s="9"/>
      <c r="W214" s="9"/>
      <c r="X214" s="9"/>
      <c r="Y214" s="9"/>
      <c r="Z214" s="9"/>
      <c r="AA214" s="9"/>
      <c r="AB214" s="9"/>
      <c r="AC214" s="9"/>
      <c r="AD214" s="9"/>
    </row>
    <row r="215" spans="1:30" ht="58">
      <c r="A215" s="3" t="s">
        <v>681</v>
      </c>
      <c r="B215" s="3" t="s">
        <v>5057</v>
      </c>
      <c r="C215" s="3" t="s">
        <v>9615</v>
      </c>
      <c r="G215" s="9" t="s">
        <v>3885</v>
      </c>
      <c r="H215" s="9"/>
      <c r="I215" s="9">
        <v>1</v>
      </c>
      <c r="J215" s="9">
        <v>3</v>
      </c>
      <c r="K215" s="9" t="s">
        <v>8689</v>
      </c>
      <c r="L215" s="9" t="s">
        <v>8690</v>
      </c>
      <c r="M215" s="9"/>
      <c r="N215" s="10"/>
      <c r="O215" s="9"/>
      <c r="P215" s="9">
        <v>10929</v>
      </c>
      <c r="Q215" s="9">
        <f t="shared" si="3"/>
        <v>1406.0027530843549</v>
      </c>
      <c r="R215" s="9"/>
      <c r="S215" s="9" t="s">
        <v>9321</v>
      </c>
      <c r="T215" s="9" t="s">
        <v>9321</v>
      </c>
      <c r="U215" s="9"/>
      <c r="V215" s="9"/>
      <c r="W215" s="9"/>
      <c r="X215" s="9"/>
      <c r="Y215" s="9"/>
      <c r="Z215" s="9"/>
      <c r="AA215" s="9"/>
      <c r="AB215" s="9"/>
      <c r="AC215" s="9"/>
      <c r="AD215" s="9"/>
    </row>
    <row r="216" spans="1:30" ht="188.5">
      <c r="A216" s="3" t="s">
        <v>682</v>
      </c>
      <c r="B216" s="3" t="s">
        <v>5059</v>
      </c>
      <c r="C216" s="3" t="s">
        <v>5060</v>
      </c>
      <c r="F216" t="s">
        <v>3884</v>
      </c>
      <c r="G216" s="9" t="s">
        <v>3889</v>
      </c>
      <c r="H216" s="9"/>
      <c r="I216" s="9">
        <v>9</v>
      </c>
      <c r="J216" s="9">
        <v>38</v>
      </c>
      <c r="K216" s="9"/>
      <c r="L216" s="9" t="s">
        <v>8684</v>
      </c>
      <c r="M216" s="9" t="s">
        <v>8944</v>
      </c>
      <c r="N216" s="10" t="s">
        <v>9003</v>
      </c>
      <c r="O216" s="9"/>
      <c r="P216" s="9">
        <v>27</v>
      </c>
      <c r="Q216" s="9">
        <f t="shared" si="3"/>
        <v>3.4735176441831443</v>
      </c>
      <c r="R216" s="9"/>
      <c r="S216" s="9" t="s">
        <v>9321</v>
      </c>
      <c r="T216" s="9" t="s">
        <v>9321</v>
      </c>
      <c r="U216" s="9"/>
      <c r="V216" s="9"/>
      <c r="W216" s="9"/>
      <c r="X216" s="9"/>
      <c r="Y216" s="9"/>
      <c r="Z216" s="9"/>
      <c r="AA216" s="9"/>
      <c r="AB216" s="9"/>
      <c r="AC216" s="9"/>
      <c r="AD216" s="9"/>
    </row>
    <row r="217" spans="1:30" ht="43.5">
      <c r="A217" s="3" t="s">
        <v>683</v>
      </c>
      <c r="B217" s="3" t="s">
        <v>5061</v>
      </c>
      <c r="C217" s="3" t="s">
        <v>5062</v>
      </c>
      <c r="F217" t="s">
        <v>3884</v>
      </c>
      <c r="G217" s="9" t="s">
        <v>3889</v>
      </c>
      <c r="H217" s="9"/>
      <c r="I217" s="9">
        <v>1</v>
      </c>
      <c r="J217" s="9">
        <v>2</v>
      </c>
      <c r="K217" s="9" t="s">
        <v>8689</v>
      </c>
      <c r="L217" s="9" t="s">
        <v>8730</v>
      </c>
      <c r="M217" s="9"/>
      <c r="N217" s="10"/>
      <c r="O217" s="9"/>
      <c r="P217" s="9">
        <v>10929</v>
      </c>
      <c r="Q217" s="9">
        <f t="shared" si="3"/>
        <v>1406.0027530843549</v>
      </c>
      <c r="R217" s="9"/>
      <c r="S217" s="9" t="s">
        <v>9321</v>
      </c>
      <c r="T217" s="9" t="s">
        <v>9321</v>
      </c>
      <c r="U217" s="9"/>
      <c r="V217" s="9"/>
      <c r="W217" s="9"/>
      <c r="X217" s="9"/>
      <c r="Y217" s="9"/>
      <c r="Z217" s="9"/>
      <c r="AA217" s="9"/>
      <c r="AB217" s="9"/>
      <c r="AC217" s="9"/>
      <c r="AD217" s="9"/>
    </row>
    <row r="218" spans="1:30" ht="43.5">
      <c r="A218" s="3" t="s">
        <v>686</v>
      </c>
      <c r="B218" s="3" t="s">
        <v>5071</v>
      </c>
      <c r="C218" s="3" t="s">
        <v>5072</v>
      </c>
      <c r="G218" s="9" t="s">
        <v>3889</v>
      </c>
      <c r="H218" s="9"/>
      <c r="I218" s="9">
        <v>1</v>
      </c>
      <c r="J218" s="9">
        <v>1</v>
      </c>
      <c r="K218" s="9" t="s">
        <v>8689</v>
      </c>
      <c r="L218" s="9" t="s">
        <v>8730</v>
      </c>
      <c r="M218" s="9"/>
      <c r="N218" s="10"/>
      <c r="O218" s="9"/>
      <c r="P218" s="9">
        <v>10929</v>
      </c>
      <c r="Q218" s="9">
        <f t="shared" si="3"/>
        <v>1406.0027530843549</v>
      </c>
      <c r="R218" s="9"/>
      <c r="S218" s="9" t="s">
        <v>9321</v>
      </c>
      <c r="T218" s="9" t="s">
        <v>9321</v>
      </c>
      <c r="U218" s="9"/>
      <c r="V218" s="9"/>
      <c r="W218" s="9"/>
      <c r="X218" s="9"/>
      <c r="Y218" s="9"/>
      <c r="Z218" s="9"/>
      <c r="AA218" s="9"/>
      <c r="AB218" s="9"/>
      <c r="AC218" s="9"/>
      <c r="AD218" s="9"/>
    </row>
    <row r="219" spans="1:30" ht="29">
      <c r="A219" s="3" t="s">
        <v>687</v>
      </c>
      <c r="B219" s="3" t="s">
        <v>5073</v>
      </c>
      <c r="C219" s="3" t="s">
        <v>5074</v>
      </c>
      <c r="G219" s="9" t="s">
        <v>3889</v>
      </c>
      <c r="H219" s="9"/>
      <c r="I219" s="9">
        <v>1</v>
      </c>
      <c r="J219" s="9">
        <v>3</v>
      </c>
      <c r="K219" s="9" t="s">
        <v>8689</v>
      </c>
      <c r="L219" s="9" t="s">
        <v>8690</v>
      </c>
      <c r="M219" s="9"/>
      <c r="N219" s="10"/>
      <c r="O219" s="9"/>
      <c r="P219" s="9">
        <v>10929</v>
      </c>
      <c r="Q219" s="9">
        <f t="shared" si="3"/>
        <v>1406.0027530843549</v>
      </c>
      <c r="R219" s="9"/>
      <c r="S219" s="9" t="s">
        <v>9321</v>
      </c>
      <c r="T219" s="9" t="s">
        <v>9321</v>
      </c>
      <c r="U219" s="9"/>
      <c r="V219" s="9"/>
      <c r="W219" s="9"/>
      <c r="X219" s="9"/>
      <c r="Y219" s="9"/>
      <c r="Z219" s="9"/>
      <c r="AA219" s="9"/>
      <c r="AB219" s="9"/>
      <c r="AC219" s="9"/>
      <c r="AD219" s="9"/>
    </row>
    <row r="220" spans="1:30" ht="29">
      <c r="A220" s="3" t="s">
        <v>690</v>
      </c>
      <c r="B220" s="3" t="s">
        <v>5078</v>
      </c>
      <c r="C220" s="3" t="s">
        <v>5079</v>
      </c>
      <c r="G220" s="9" t="s">
        <v>3889</v>
      </c>
      <c r="H220" s="9"/>
      <c r="I220" s="9">
        <v>1</v>
      </c>
      <c r="J220" s="9">
        <v>3</v>
      </c>
      <c r="K220" s="9" t="s">
        <v>8689</v>
      </c>
      <c r="L220" s="9" t="s">
        <v>8690</v>
      </c>
      <c r="M220" s="9"/>
      <c r="N220" s="10"/>
      <c r="O220" s="9"/>
      <c r="P220" s="9">
        <v>10929</v>
      </c>
      <c r="Q220" s="9">
        <f t="shared" si="3"/>
        <v>1406.0027530843549</v>
      </c>
      <c r="R220" s="9"/>
      <c r="S220" s="9" t="s">
        <v>9321</v>
      </c>
      <c r="T220" s="9" t="s">
        <v>9321</v>
      </c>
      <c r="U220" s="9"/>
      <c r="V220" s="9"/>
      <c r="W220" s="9"/>
      <c r="X220" s="9"/>
      <c r="Y220" s="9"/>
      <c r="Z220" s="9"/>
      <c r="AA220" s="9"/>
      <c r="AB220" s="9"/>
      <c r="AC220" s="9"/>
      <c r="AD220" s="9"/>
    </row>
    <row r="221" spans="1:30" ht="43.5">
      <c r="A221" s="3" t="s">
        <v>694</v>
      </c>
      <c r="B221" s="3" t="s">
        <v>4843</v>
      </c>
      <c r="C221" s="3" t="s">
        <v>5083</v>
      </c>
      <c r="F221" t="s">
        <v>3884</v>
      </c>
      <c r="G221" s="9" t="s">
        <v>3889</v>
      </c>
      <c r="H221" s="9"/>
      <c r="I221" s="9">
        <v>1</v>
      </c>
      <c r="J221" s="9">
        <v>4</v>
      </c>
      <c r="K221" s="9" t="s">
        <v>8707</v>
      </c>
      <c r="L221" s="9" t="s">
        <v>8690</v>
      </c>
      <c r="M221" s="9"/>
      <c r="N221" s="10"/>
      <c r="O221" s="9"/>
      <c r="P221" s="9">
        <v>428</v>
      </c>
      <c r="Q221" s="9">
        <f t="shared" si="3"/>
        <v>55.06168710038466</v>
      </c>
      <c r="R221" s="9"/>
      <c r="S221" s="9" t="s">
        <v>9321</v>
      </c>
      <c r="T221" s="9" t="s">
        <v>9321</v>
      </c>
      <c r="U221" s="9"/>
      <c r="V221" s="9"/>
      <c r="W221" s="9"/>
      <c r="X221" s="9"/>
      <c r="Y221" s="9"/>
      <c r="Z221" s="9"/>
      <c r="AA221" s="9"/>
      <c r="AB221" s="9"/>
      <c r="AC221" s="9"/>
      <c r="AD221" s="9"/>
    </row>
    <row r="222" spans="1:30" ht="72.5">
      <c r="A222" s="3" t="s">
        <v>698</v>
      </c>
      <c r="B222" s="3" t="s">
        <v>5088</v>
      </c>
      <c r="C222" s="3" t="s">
        <v>5089</v>
      </c>
      <c r="F222" t="s">
        <v>3884</v>
      </c>
      <c r="G222" s="9" t="s">
        <v>3885</v>
      </c>
      <c r="H222" s="9"/>
      <c r="I222" s="9">
        <v>1</v>
      </c>
      <c r="J222" s="9">
        <v>2</v>
      </c>
      <c r="K222" s="9" t="s">
        <v>8689</v>
      </c>
      <c r="L222" s="9" t="s">
        <v>8730</v>
      </c>
      <c r="M222" s="9"/>
      <c r="N222" s="10"/>
      <c r="O222" s="9"/>
      <c r="P222" s="9">
        <v>10929</v>
      </c>
      <c r="Q222" s="9">
        <f t="shared" si="3"/>
        <v>1406.0027530843549</v>
      </c>
      <c r="R222" s="9"/>
      <c r="S222" s="9" t="s">
        <v>9321</v>
      </c>
      <c r="T222" s="9" t="s">
        <v>9321</v>
      </c>
      <c r="U222" s="9"/>
      <c r="V222" s="9"/>
      <c r="W222" s="9"/>
      <c r="X222" s="9"/>
      <c r="Y222" s="9"/>
      <c r="Z222" s="9"/>
      <c r="AA222" s="9"/>
      <c r="AB222" s="9"/>
      <c r="AC222" s="9"/>
      <c r="AD222" s="9"/>
    </row>
    <row r="223" spans="1:30" ht="101.5">
      <c r="A223" s="3" t="s">
        <v>700</v>
      </c>
      <c r="B223" s="3" t="s">
        <v>9008</v>
      </c>
      <c r="C223" s="3" t="s">
        <v>9009</v>
      </c>
      <c r="F223" t="s">
        <v>3884</v>
      </c>
      <c r="G223" s="9" t="s">
        <v>3885</v>
      </c>
      <c r="H223" s="9"/>
      <c r="I223" s="9">
        <v>1</v>
      </c>
      <c r="J223" s="9">
        <v>6</v>
      </c>
      <c r="K223" s="9" t="s">
        <v>8703</v>
      </c>
      <c r="L223" s="9" t="s">
        <v>8684</v>
      </c>
      <c r="M223" s="9" t="s">
        <v>8771</v>
      </c>
      <c r="N223" s="10" t="s">
        <v>8772</v>
      </c>
      <c r="O223" s="9" t="s">
        <v>8691</v>
      </c>
      <c r="P223" s="9">
        <v>221</v>
      </c>
      <c r="Q223" s="9">
        <f t="shared" si="3"/>
        <v>28.431385161647221</v>
      </c>
      <c r="R223" s="9"/>
      <c r="S223" s="9" t="s">
        <v>9321</v>
      </c>
      <c r="T223" s="9" t="s">
        <v>9321</v>
      </c>
      <c r="U223" s="9"/>
      <c r="V223" s="9"/>
      <c r="W223" s="9"/>
      <c r="X223" s="9"/>
      <c r="Y223" s="9"/>
      <c r="Z223" s="9"/>
      <c r="AA223" s="9"/>
      <c r="AB223" s="9"/>
      <c r="AC223" s="9"/>
      <c r="AD223" s="9"/>
    </row>
    <row r="224" spans="1:30" ht="203">
      <c r="A224" s="3" t="s">
        <v>701</v>
      </c>
      <c r="B224" s="3" t="s">
        <v>5093</v>
      </c>
      <c r="C224" s="3" t="s">
        <v>9010</v>
      </c>
      <c r="F224" t="s">
        <v>3884</v>
      </c>
      <c r="G224" s="9" t="s">
        <v>3889</v>
      </c>
      <c r="H224" s="9"/>
      <c r="I224" s="9">
        <v>8</v>
      </c>
      <c r="J224" s="9">
        <v>43</v>
      </c>
      <c r="K224" s="9"/>
      <c r="L224" s="9" t="s">
        <v>8684</v>
      </c>
      <c r="M224" s="9" t="s">
        <v>8944</v>
      </c>
      <c r="N224" s="10" t="s">
        <v>9011</v>
      </c>
      <c r="O224" s="9"/>
      <c r="P224" s="9">
        <v>1</v>
      </c>
      <c r="Q224" s="9">
        <f t="shared" si="3"/>
        <v>0.12864880163641276</v>
      </c>
      <c r="R224" s="9"/>
      <c r="S224" s="9" t="s">
        <v>9321</v>
      </c>
      <c r="T224" s="9" t="s">
        <v>9321</v>
      </c>
      <c r="U224" s="9"/>
      <c r="V224" s="9"/>
      <c r="W224" s="9"/>
      <c r="X224" s="9"/>
      <c r="Y224" s="9"/>
      <c r="Z224" s="9"/>
      <c r="AA224" s="9"/>
      <c r="AB224" s="9"/>
      <c r="AC224" s="9"/>
      <c r="AD224" s="9"/>
    </row>
    <row r="225" spans="1:30" ht="188.5">
      <c r="A225" s="3" t="s">
        <v>702</v>
      </c>
      <c r="B225" s="3" t="s">
        <v>5094</v>
      </c>
      <c r="C225" s="3" t="s">
        <v>5096</v>
      </c>
      <c r="F225" t="s">
        <v>3884</v>
      </c>
      <c r="G225" s="9" t="s">
        <v>3885</v>
      </c>
      <c r="H225" s="9"/>
      <c r="I225" s="9">
        <v>1</v>
      </c>
      <c r="J225" s="9">
        <v>3</v>
      </c>
      <c r="K225" s="9" t="s">
        <v>8689</v>
      </c>
      <c r="L225" s="9" t="s">
        <v>8690</v>
      </c>
      <c r="M225" s="9"/>
      <c r="N225" s="10"/>
      <c r="O225" s="9"/>
      <c r="P225" s="9">
        <v>10929</v>
      </c>
      <c r="Q225" s="9">
        <f t="shared" si="3"/>
        <v>1406.0027530843549</v>
      </c>
      <c r="R225" s="9"/>
      <c r="S225" s="9" t="s">
        <v>9321</v>
      </c>
      <c r="T225" s="9" t="s">
        <v>9321</v>
      </c>
      <c r="U225" s="9"/>
      <c r="V225" s="9"/>
      <c r="W225" s="9"/>
      <c r="X225" s="9"/>
      <c r="Y225" s="9"/>
      <c r="Z225" s="9"/>
      <c r="AA225" s="9"/>
      <c r="AB225" s="9"/>
      <c r="AC225" s="9"/>
      <c r="AD225" s="9"/>
    </row>
    <row r="226" spans="1:30" ht="58">
      <c r="A226" s="3" t="s">
        <v>706</v>
      </c>
      <c r="B226" s="3" t="s">
        <v>5111</v>
      </c>
      <c r="C226" s="3" t="s">
        <v>5112</v>
      </c>
      <c r="F226" t="s">
        <v>3884</v>
      </c>
      <c r="G226" s="9" t="s">
        <v>3885</v>
      </c>
      <c r="H226" s="9"/>
      <c r="I226" s="9">
        <v>1</v>
      </c>
      <c r="J226" s="9">
        <v>3</v>
      </c>
      <c r="K226" s="9" t="s">
        <v>8698</v>
      </c>
      <c r="L226" s="9" t="s">
        <v>8690</v>
      </c>
      <c r="M226" s="9"/>
      <c r="N226" s="10"/>
      <c r="O226" s="9"/>
      <c r="P226" s="9">
        <v>9418</v>
      </c>
      <c r="Q226" s="9">
        <f t="shared" si="3"/>
        <v>1211.6144138117354</v>
      </c>
      <c r="R226" s="9"/>
      <c r="S226" s="9" t="s">
        <v>9321</v>
      </c>
      <c r="T226" s="9" t="s">
        <v>9321</v>
      </c>
      <c r="U226" s="9"/>
      <c r="V226" s="9"/>
      <c r="W226" s="9"/>
      <c r="X226" s="9"/>
      <c r="Y226" s="9"/>
      <c r="Z226" s="9"/>
      <c r="AA226" s="9"/>
      <c r="AB226" s="9"/>
      <c r="AC226" s="9"/>
      <c r="AD226" s="9"/>
    </row>
    <row r="227" spans="1:30" ht="58">
      <c r="A227" s="3" t="s">
        <v>712</v>
      </c>
      <c r="B227" s="3" t="s">
        <v>5126</v>
      </c>
      <c r="C227" s="3" t="s">
        <v>5124</v>
      </c>
      <c r="G227" s="9" t="s">
        <v>3889</v>
      </c>
      <c r="H227" s="9"/>
      <c r="I227" s="9">
        <v>1</v>
      </c>
      <c r="J227" s="9">
        <v>3</v>
      </c>
      <c r="K227" s="9" t="s">
        <v>8705</v>
      </c>
      <c r="L227" s="9" t="s">
        <v>8690</v>
      </c>
      <c r="M227" s="9"/>
      <c r="N227" s="10"/>
      <c r="O227" s="9"/>
      <c r="P227" s="9">
        <v>1485</v>
      </c>
      <c r="Q227" s="9">
        <f t="shared" si="3"/>
        <v>191.04347043007292</v>
      </c>
      <c r="R227" s="9"/>
      <c r="S227" s="9" t="s">
        <v>9321</v>
      </c>
      <c r="T227" s="9" t="s">
        <v>9321</v>
      </c>
      <c r="U227" s="9" t="s">
        <v>8728</v>
      </c>
      <c r="V227" s="9"/>
      <c r="W227" s="9"/>
      <c r="X227" s="9"/>
      <c r="Y227" s="9"/>
      <c r="Z227" s="9"/>
      <c r="AA227" s="9"/>
      <c r="AB227" s="9"/>
      <c r="AC227" s="9"/>
      <c r="AD227" s="9"/>
    </row>
    <row r="228" spans="1:30" ht="72.5">
      <c r="A228" s="3" t="s">
        <v>713</v>
      </c>
      <c r="B228" s="3" t="s">
        <v>5127</v>
      </c>
      <c r="C228" s="3" t="s">
        <v>5131</v>
      </c>
      <c r="F228" t="s">
        <v>3884</v>
      </c>
      <c r="G228" s="9" t="s">
        <v>3885</v>
      </c>
      <c r="H228" s="9"/>
      <c r="I228" s="9">
        <v>1</v>
      </c>
      <c r="J228" s="9">
        <v>1</v>
      </c>
      <c r="K228" s="9" t="s">
        <v>8683</v>
      </c>
      <c r="L228" s="9" t="s">
        <v>8730</v>
      </c>
      <c r="M228" s="9"/>
      <c r="N228" s="10"/>
      <c r="O228" s="9"/>
      <c r="P228" s="9">
        <v>36</v>
      </c>
      <c r="Q228" s="9">
        <f t="shared" si="3"/>
        <v>4.6313568589108591</v>
      </c>
      <c r="R228" s="9"/>
      <c r="S228" s="9" t="s">
        <v>9321</v>
      </c>
      <c r="T228" s="9" t="s">
        <v>9321</v>
      </c>
      <c r="U228" s="9"/>
      <c r="V228" s="9"/>
      <c r="W228" s="9"/>
      <c r="X228" s="9"/>
      <c r="Y228" s="9"/>
      <c r="Z228" s="9"/>
      <c r="AA228" s="9"/>
      <c r="AB228" s="9"/>
      <c r="AC228" s="9"/>
      <c r="AD228" s="9"/>
    </row>
    <row r="229" spans="1:30" ht="72.5">
      <c r="A229" s="3" t="s">
        <v>713</v>
      </c>
      <c r="B229" s="3" t="s">
        <v>5132</v>
      </c>
      <c r="C229" s="3" t="s">
        <v>5128</v>
      </c>
      <c r="F229" t="s">
        <v>3884</v>
      </c>
      <c r="G229" s="9" t="s">
        <v>3889</v>
      </c>
      <c r="H229" s="9"/>
      <c r="I229" s="9">
        <v>1</v>
      </c>
      <c r="J229" s="9">
        <v>1</v>
      </c>
      <c r="K229" s="9" t="s">
        <v>8689</v>
      </c>
      <c r="L229" s="9" t="s">
        <v>8730</v>
      </c>
      <c r="M229" s="9"/>
      <c r="N229" s="10"/>
      <c r="O229" s="9"/>
      <c r="P229" s="9">
        <v>10929</v>
      </c>
      <c r="Q229" s="9">
        <f t="shared" si="3"/>
        <v>1406.0027530843549</v>
      </c>
      <c r="R229" s="9"/>
      <c r="S229" s="9" t="s">
        <v>9321</v>
      </c>
      <c r="T229" s="9" t="s">
        <v>9321</v>
      </c>
      <c r="U229" s="9"/>
      <c r="V229" s="9"/>
      <c r="W229" s="9"/>
      <c r="X229" s="9"/>
      <c r="Y229" s="9"/>
      <c r="Z229" s="9"/>
      <c r="AA229" s="9"/>
      <c r="AB229" s="9"/>
      <c r="AC229" s="9"/>
      <c r="AD229" s="9"/>
    </row>
    <row r="230" spans="1:30" ht="43.5">
      <c r="A230" s="3" t="s">
        <v>716</v>
      </c>
      <c r="B230" s="3" t="s">
        <v>5139</v>
      </c>
      <c r="C230" s="3" t="s">
        <v>5140</v>
      </c>
      <c r="G230" s="9" t="s">
        <v>3885</v>
      </c>
      <c r="H230" s="9"/>
      <c r="I230" s="9">
        <v>1</v>
      </c>
      <c r="J230" s="9">
        <v>1</v>
      </c>
      <c r="K230" s="9" t="s">
        <v>8689</v>
      </c>
      <c r="L230" s="9" t="s">
        <v>8730</v>
      </c>
      <c r="M230" s="9"/>
      <c r="N230" s="10"/>
      <c r="O230" s="9"/>
      <c r="P230" s="9">
        <v>10929</v>
      </c>
      <c r="Q230" s="9">
        <f t="shared" si="3"/>
        <v>1406.0027530843549</v>
      </c>
      <c r="R230" s="9"/>
      <c r="S230" s="9" t="s">
        <v>9321</v>
      </c>
      <c r="T230" s="9" t="s">
        <v>9321</v>
      </c>
      <c r="U230" s="9"/>
      <c r="V230" s="9"/>
      <c r="W230" s="9"/>
      <c r="X230" s="9"/>
      <c r="Y230" s="9"/>
      <c r="Z230" s="9"/>
      <c r="AA230" s="9"/>
      <c r="AB230" s="9"/>
      <c r="AC230" s="9"/>
      <c r="AD230" s="9"/>
    </row>
    <row r="231" spans="1:30" ht="43.5">
      <c r="A231" s="3" t="s">
        <v>717</v>
      </c>
      <c r="B231" s="3" t="s">
        <v>5146</v>
      </c>
      <c r="C231" s="3" t="s">
        <v>5147</v>
      </c>
      <c r="G231" s="9" t="s">
        <v>3885</v>
      </c>
      <c r="H231" s="9"/>
      <c r="I231" s="9">
        <v>1</v>
      </c>
      <c r="J231" s="9">
        <v>3</v>
      </c>
      <c r="K231" s="9" t="s">
        <v>8689</v>
      </c>
      <c r="L231" s="9" t="s">
        <v>8690</v>
      </c>
      <c r="M231" s="9"/>
      <c r="N231" s="10"/>
      <c r="O231" s="9"/>
      <c r="P231" s="9">
        <v>10929</v>
      </c>
      <c r="Q231" s="9">
        <f t="shared" si="3"/>
        <v>1406.0027530843549</v>
      </c>
      <c r="R231" s="9"/>
      <c r="S231" s="9" t="s">
        <v>9321</v>
      </c>
      <c r="T231" s="9" t="s">
        <v>9321</v>
      </c>
      <c r="U231" s="9"/>
      <c r="V231" s="9"/>
      <c r="W231" s="9"/>
      <c r="X231" s="9"/>
      <c r="Y231" s="9"/>
      <c r="Z231" s="9"/>
      <c r="AA231" s="9"/>
      <c r="AB231" s="9"/>
      <c r="AC231" s="9"/>
      <c r="AD231" s="9"/>
    </row>
    <row r="232" spans="1:30" ht="43.5">
      <c r="A232" s="3" t="s">
        <v>719</v>
      </c>
      <c r="B232" s="3" t="s">
        <v>5150</v>
      </c>
      <c r="C232" s="3" t="s">
        <v>5151</v>
      </c>
      <c r="F232" t="s">
        <v>3884</v>
      </c>
      <c r="G232" s="9" t="s">
        <v>3885</v>
      </c>
      <c r="H232" s="9"/>
      <c r="I232" s="9">
        <v>1</v>
      </c>
      <c r="J232" s="9">
        <v>5</v>
      </c>
      <c r="K232" s="9" t="s">
        <v>8705</v>
      </c>
      <c r="L232" s="9" t="s">
        <v>8690</v>
      </c>
      <c r="M232" s="9"/>
      <c r="N232" s="10"/>
      <c r="O232" s="9"/>
      <c r="P232" s="9">
        <v>3678</v>
      </c>
      <c r="Q232" s="9">
        <f t="shared" si="3"/>
        <v>473.17029241872609</v>
      </c>
      <c r="R232" s="9"/>
      <c r="S232" s="9" t="s">
        <v>9321</v>
      </c>
      <c r="T232" s="9" t="s">
        <v>9321</v>
      </c>
      <c r="U232" s="9"/>
      <c r="V232" s="9"/>
      <c r="W232" s="9"/>
      <c r="X232" s="9"/>
      <c r="Y232" s="9"/>
      <c r="Z232" s="9"/>
      <c r="AA232" s="9"/>
      <c r="AB232" s="9"/>
      <c r="AC232" s="9"/>
      <c r="AD232" s="9"/>
    </row>
    <row r="233" spans="1:30" ht="130.5">
      <c r="A233" s="3" t="s">
        <v>720</v>
      </c>
      <c r="B233" s="3" t="s">
        <v>5152</v>
      </c>
      <c r="C233" s="3" t="s">
        <v>5153</v>
      </c>
      <c r="F233" t="s">
        <v>3884</v>
      </c>
      <c r="G233" s="9" t="s">
        <v>3889</v>
      </c>
      <c r="H233" s="9"/>
      <c r="I233" s="9">
        <v>5</v>
      </c>
      <c r="J233" s="9">
        <v>28</v>
      </c>
      <c r="K233" s="9"/>
      <c r="L233" s="9" t="s">
        <v>8684</v>
      </c>
      <c r="M233" s="9" t="s">
        <v>8944</v>
      </c>
      <c r="N233" s="10" t="s">
        <v>9015</v>
      </c>
      <c r="O233" s="9"/>
      <c r="P233" s="9">
        <v>2</v>
      </c>
      <c r="Q233" s="9">
        <f t="shared" si="3"/>
        <v>0.25729760327282553</v>
      </c>
      <c r="R233" s="9"/>
      <c r="S233" s="9" t="s">
        <v>9321</v>
      </c>
      <c r="T233" s="9" t="s">
        <v>9321</v>
      </c>
      <c r="U233" s="9"/>
      <c r="V233" s="9"/>
      <c r="W233" s="9"/>
      <c r="X233" s="9"/>
      <c r="Y233" s="9"/>
      <c r="Z233" s="9"/>
      <c r="AA233" s="9"/>
      <c r="AB233" s="9"/>
      <c r="AC233" s="9"/>
      <c r="AD233" s="9"/>
    </row>
    <row r="234" spans="1:30" ht="43.5">
      <c r="A234" s="3" t="s">
        <v>722</v>
      </c>
      <c r="B234" s="3" t="s">
        <v>5157</v>
      </c>
      <c r="C234" s="3" t="s">
        <v>5156</v>
      </c>
      <c r="G234" s="9" t="s">
        <v>3889</v>
      </c>
      <c r="H234" s="9"/>
      <c r="I234" s="9">
        <v>1</v>
      </c>
      <c r="J234" s="9">
        <v>3</v>
      </c>
      <c r="K234" s="9" t="s">
        <v>8689</v>
      </c>
      <c r="L234" s="9" t="s">
        <v>8684</v>
      </c>
      <c r="M234" s="9" t="s">
        <v>8944</v>
      </c>
      <c r="N234" s="10" t="s">
        <v>8778</v>
      </c>
      <c r="O234" s="9" t="s">
        <v>8685</v>
      </c>
      <c r="P234" s="9">
        <v>10929</v>
      </c>
      <c r="Q234" s="9">
        <f t="shared" si="3"/>
        <v>1406.0027530843549</v>
      </c>
      <c r="R234" s="9"/>
      <c r="S234" s="9" t="s">
        <v>9321</v>
      </c>
      <c r="T234" s="9" t="s">
        <v>9321</v>
      </c>
      <c r="U234" s="9"/>
      <c r="V234" s="9"/>
      <c r="W234" s="9"/>
      <c r="X234" s="9"/>
      <c r="Y234" s="9"/>
      <c r="Z234" s="9"/>
      <c r="AA234" s="9"/>
      <c r="AB234" s="9"/>
      <c r="AC234" s="9"/>
      <c r="AD234" s="9"/>
    </row>
    <row r="235" spans="1:30" ht="29">
      <c r="A235" s="3" t="s">
        <v>723</v>
      </c>
      <c r="B235" s="3" t="s">
        <v>5159</v>
      </c>
      <c r="C235" s="3" t="s">
        <v>4277</v>
      </c>
      <c r="F235" t="s">
        <v>3884</v>
      </c>
      <c r="G235" s="9" t="s">
        <v>3885</v>
      </c>
      <c r="H235" s="9"/>
      <c r="I235" s="9">
        <v>1</v>
      </c>
      <c r="J235" s="9">
        <v>2</v>
      </c>
      <c r="K235" s="9" t="s">
        <v>8689</v>
      </c>
      <c r="L235" s="9" t="s">
        <v>8730</v>
      </c>
      <c r="M235" s="9"/>
      <c r="N235" s="10"/>
      <c r="O235" s="9"/>
      <c r="P235" s="9">
        <v>10929</v>
      </c>
      <c r="Q235" s="9">
        <f t="shared" si="3"/>
        <v>1406.0027530843549</v>
      </c>
      <c r="R235" s="9"/>
      <c r="S235" s="9" t="s">
        <v>9321</v>
      </c>
      <c r="T235" s="9" t="s">
        <v>9321</v>
      </c>
      <c r="U235" s="9"/>
      <c r="V235" s="9"/>
      <c r="W235" s="9"/>
      <c r="X235" s="9"/>
      <c r="Y235" s="9"/>
      <c r="Z235" s="9"/>
      <c r="AA235" s="9"/>
      <c r="AB235" s="9"/>
      <c r="AC235" s="9"/>
      <c r="AD235" s="9"/>
    </row>
    <row r="236" spans="1:30" ht="116">
      <c r="A236" s="3" t="s">
        <v>733</v>
      </c>
      <c r="B236" s="3" t="s">
        <v>5173</v>
      </c>
      <c r="C236" s="3" t="s">
        <v>5174</v>
      </c>
      <c r="G236" s="9" t="s">
        <v>3889</v>
      </c>
      <c r="H236" s="9"/>
      <c r="I236" s="9">
        <v>4</v>
      </c>
      <c r="J236" s="9">
        <v>20</v>
      </c>
      <c r="K236" s="9"/>
      <c r="L236" s="9" t="s">
        <v>8684</v>
      </c>
      <c r="M236" s="9" t="s">
        <v>8740</v>
      </c>
      <c r="N236" s="10" t="s">
        <v>9018</v>
      </c>
      <c r="O236" s="9"/>
      <c r="P236" s="9">
        <v>160</v>
      </c>
      <c r="Q236" s="9">
        <f t="shared" si="3"/>
        <v>20.583808261826039</v>
      </c>
      <c r="R236" s="9"/>
      <c r="S236" s="9" t="s">
        <v>9321</v>
      </c>
      <c r="T236" s="9" t="s">
        <v>9321</v>
      </c>
      <c r="U236" s="9"/>
      <c r="V236" s="9"/>
      <c r="W236" s="9"/>
      <c r="X236" s="9"/>
      <c r="Y236" s="9"/>
      <c r="Z236" s="9"/>
      <c r="AA236" s="9"/>
      <c r="AB236" s="9"/>
      <c r="AC236" s="9"/>
      <c r="AD236" s="9"/>
    </row>
    <row r="237" spans="1:30" ht="29">
      <c r="A237" s="3" t="s">
        <v>735</v>
      </c>
      <c r="B237" s="3" t="s">
        <v>5179</v>
      </c>
      <c r="C237" s="3" t="s">
        <v>5180</v>
      </c>
      <c r="F237" t="s">
        <v>3884</v>
      </c>
      <c r="G237" s="9" t="s">
        <v>3885</v>
      </c>
      <c r="H237" s="9"/>
      <c r="I237" s="9">
        <v>1</v>
      </c>
      <c r="J237" s="9">
        <v>1</v>
      </c>
      <c r="K237" s="9" t="s">
        <v>8689</v>
      </c>
      <c r="L237" s="9" t="s">
        <v>8730</v>
      </c>
      <c r="M237" s="9"/>
      <c r="N237" s="10"/>
      <c r="O237" s="9"/>
      <c r="P237" s="9">
        <v>10929</v>
      </c>
      <c r="Q237" s="9">
        <f t="shared" si="3"/>
        <v>1406.0027530843549</v>
      </c>
      <c r="R237" s="9"/>
      <c r="S237" s="9" t="s">
        <v>9321</v>
      </c>
      <c r="T237" s="9" t="s">
        <v>9321</v>
      </c>
      <c r="U237" s="9"/>
      <c r="V237" s="9"/>
      <c r="W237" s="9"/>
      <c r="X237" s="9"/>
      <c r="Y237" s="9"/>
      <c r="Z237" s="9"/>
      <c r="AA237" s="9"/>
      <c r="AB237" s="9"/>
      <c r="AC237" s="9"/>
      <c r="AD237" s="9"/>
    </row>
    <row r="238" spans="1:30" ht="261">
      <c r="A238" s="3" t="s">
        <v>739</v>
      </c>
      <c r="B238" s="3" t="s">
        <v>9019</v>
      </c>
      <c r="C238" s="3" t="s">
        <v>9620</v>
      </c>
      <c r="F238" t="s">
        <v>3884</v>
      </c>
      <c r="G238" s="9" t="s">
        <v>3889</v>
      </c>
      <c r="H238" s="9"/>
      <c r="I238" s="9">
        <v>13</v>
      </c>
      <c r="J238" s="9">
        <v>59</v>
      </c>
      <c r="K238" s="9"/>
      <c r="L238" s="9" t="s">
        <v>8684</v>
      </c>
      <c r="M238" s="9" t="s">
        <v>8944</v>
      </c>
      <c r="N238" s="10" t="s">
        <v>9020</v>
      </c>
      <c r="O238" s="9"/>
      <c r="P238" s="9">
        <v>27</v>
      </c>
      <c r="Q238" s="9">
        <f t="shared" si="3"/>
        <v>3.4735176441831443</v>
      </c>
      <c r="R238" s="9"/>
      <c r="S238" s="9" t="s">
        <v>9321</v>
      </c>
      <c r="T238" s="9" t="s">
        <v>9321</v>
      </c>
      <c r="U238" s="9"/>
      <c r="V238" s="9"/>
      <c r="W238" s="9"/>
      <c r="X238" s="9"/>
      <c r="Y238" s="9"/>
      <c r="Z238" s="9"/>
      <c r="AA238" s="9"/>
      <c r="AB238" s="9"/>
      <c r="AC238" s="9"/>
      <c r="AD238" s="9"/>
    </row>
    <row r="239" spans="1:30" ht="58">
      <c r="A239" s="3" t="s">
        <v>742</v>
      </c>
      <c r="B239" s="3" t="s">
        <v>5197</v>
      </c>
      <c r="C239" s="3" t="s">
        <v>5198</v>
      </c>
      <c r="F239" t="s">
        <v>3884</v>
      </c>
      <c r="G239" s="9" t="s">
        <v>3885</v>
      </c>
      <c r="H239" s="9"/>
      <c r="I239" s="9">
        <v>1</v>
      </c>
      <c r="J239" s="9">
        <v>5</v>
      </c>
      <c r="K239" s="9" t="s">
        <v>8736</v>
      </c>
      <c r="L239" s="9" t="s">
        <v>8684</v>
      </c>
      <c r="M239" s="9" t="s">
        <v>8771</v>
      </c>
      <c r="N239" s="10" t="s">
        <v>8941</v>
      </c>
      <c r="O239" s="9"/>
      <c r="P239" s="9">
        <v>340</v>
      </c>
      <c r="Q239" s="9">
        <f t="shared" si="3"/>
        <v>43.740592556380335</v>
      </c>
      <c r="R239" s="9"/>
      <c r="S239" s="9" t="s">
        <v>9321</v>
      </c>
      <c r="T239" s="9" t="s">
        <v>9321</v>
      </c>
      <c r="U239" s="9"/>
      <c r="V239" s="9"/>
      <c r="W239" s="9"/>
      <c r="X239" s="9"/>
      <c r="Y239" s="9"/>
      <c r="Z239" s="9"/>
      <c r="AA239" s="9"/>
      <c r="AB239" s="9"/>
      <c r="AC239" s="9"/>
      <c r="AD239" s="9"/>
    </row>
    <row r="240" spans="1:30" ht="58">
      <c r="A240" s="3" t="s">
        <v>748</v>
      </c>
      <c r="B240" s="3" t="s">
        <v>5224</v>
      </c>
      <c r="C240" s="3" t="s">
        <v>5225</v>
      </c>
      <c r="F240" t="s">
        <v>3884</v>
      </c>
      <c r="G240" s="9" t="s">
        <v>3889</v>
      </c>
      <c r="H240" s="9"/>
      <c r="I240" s="9">
        <v>2</v>
      </c>
      <c r="J240" s="9">
        <v>8</v>
      </c>
      <c r="K240" s="9"/>
      <c r="L240" s="9" t="s">
        <v>8684</v>
      </c>
      <c r="M240" s="9" t="s">
        <v>8847</v>
      </c>
      <c r="N240" s="10" t="s">
        <v>8813</v>
      </c>
      <c r="O240" s="9"/>
      <c r="P240" s="9">
        <v>32</v>
      </c>
      <c r="Q240" s="9">
        <f t="shared" si="3"/>
        <v>4.1167616523652084</v>
      </c>
      <c r="R240" s="9"/>
      <c r="S240" s="9" t="s">
        <v>9321</v>
      </c>
      <c r="T240" s="9" t="s">
        <v>9321</v>
      </c>
      <c r="U240" s="9"/>
      <c r="V240" s="9"/>
      <c r="W240" s="9"/>
      <c r="X240" s="9"/>
      <c r="Y240" s="9"/>
      <c r="Z240" s="9"/>
      <c r="AA240" s="9"/>
      <c r="AB240" s="9"/>
      <c r="AC240" s="9"/>
      <c r="AD240" s="9"/>
    </row>
    <row r="241" spans="1:30" ht="43.5">
      <c r="A241" s="3" t="s">
        <v>753</v>
      </c>
      <c r="B241" s="3" t="s">
        <v>5234</v>
      </c>
      <c r="C241" s="3" t="s">
        <v>5235</v>
      </c>
      <c r="G241" s="9" t="s">
        <v>3889</v>
      </c>
      <c r="H241" s="9"/>
      <c r="I241" s="9">
        <v>1</v>
      </c>
      <c r="J241" s="9">
        <v>1</v>
      </c>
      <c r="K241" s="9" t="s">
        <v>8689</v>
      </c>
      <c r="L241" s="9" t="s">
        <v>8730</v>
      </c>
      <c r="M241" s="9"/>
      <c r="N241" s="10"/>
      <c r="O241" s="9"/>
      <c r="P241" s="9">
        <v>10929</v>
      </c>
      <c r="Q241" s="9">
        <f t="shared" si="3"/>
        <v>1406.0027530843549</v>
      </c>
      <c r="R241" s="9"/>
      <c r="S241" s="9" t="s">
        <v>9321</v>
      </c>
      <c r="T241" s="9" t="s">
        <v>9321</v>
      </c>
      <c r="U241" s="9" t="s">
        <v>8728</v>
      </c>
      <c r="V241" s="9"/>
      <c r="W241" s="9"/>
      <c r="X241" s="9"/>
      <c r="Y241" s="9"/>
      <c r="Z241" s="9"/>
      <c r="AA241" s="9"/>
      <c r="AB241" s="9"/>
      <c r="AC241" s="9"/>
      <c r="AD241" s="9"/>
    </row>
    <row r="242" spans="1:30" ht="72.5">
      <c r="A242" s="3" t="s">
        <v>754</v>
      </c>
      <c r="B242" s="3" t="s">
        <v>9026</v>
      </c>
      <c r="C242" s="3" t="s">
        <v>9027</v>
      </c>
      <c r="G242" s="9" t="s">
        <v>3889</v>
      </c>
      <c r="H242" s="9"/>
      <c r="I242" s="9">
        <v>1</v>
      </c>
      <c r="J242" s="9">
        <v>2</v>
      </c>
      <c r="K242" s="9" t="s">
        <v>8698</v>
      </c>
      <c r="L242" s="9" t="s">
        <v>8730</v>
      </c>
      <c r="M242" s="9"/>
      <c r="N242" s="10"/>
      <c r="O242" s="9"/>
      <c r="P242" s="9">
        <v>159</v>
      </c>
      <c r="Q242" s="9">
        <f t="shared" si="3"/>
        <v>20.455159460189627</v>
      </c>
      <c r="R242" s="9"/>
      <c r="S242" s="9" t="s">
        <v>9321</v>
      </c>
      <c r="T242" s="9" t="s">
        <v>9321</v>
      </c>
      <c r="U242" s="9"/>
      <c r="V242" s="9"/>
      <c r="W242" s="9"/>
      <c r="X242" s="9"/>
      <c r="Y242" s="9"/>
      <c r="Z242" s="9"/>
      <c r="AA242" s="9"/>
      <c r="AB242" s="9"/>
      <c r="AC242" s="9"/>
      <c r="AD242" s="9"/>
    </row>
    <row r="243" spans="1:30" ht="43.5">
      <c r="A243" s="3" t="s">
        <v>756</v>
      </c>
      <c r="B243" s="3" t="s">
        <v>5245</v>
      </c>
      <c r="C243" s="3" t="s">
        <v>5246</v>
      </c>
      <c r="F243" t="s">
        <v>3884</v>
      </c>
      <c r="G243" s="9" t="s">
        <v>3885</v>
      </c>
      <c r="H243" s="9"/>
      <c r="I243" s="9">
        <v>1</v>
      </c>
      <c r="J243" s="9">
        <v>3</v>
      </c>
      <c r="K243" s="9" t="s">
        <v>8705</v>
      </c>
      <c r="L243" s="9" t="s">
        <v>8690</v>
      </c>
      <c r="M243" s="9"/>
      <c r="N243" s="10"/>
      <c r="O243" s="9"/>
      <c r="P243" s="9">
        <v>1485</v>
      </c>
      <c r="Q243" s="9">
        <f t="shared" si="3"/>
        <v>191.04347043007292</v>
      </c>
      <c r="R243" s="9"/>
      <c r="S243" s="9" t="s">
        <v>9321</v>
      </c>
      <c r="T243" s="9" t="s">
        <v>9321</v>
      </c>
      <c r="U243" s="9"/>
      <c r="V243" s="9"/>
      <c r="W243" s="9"/>
      <c r="X243" s="9"/>
      <c r="Y243" s="9"/>
      <c r="Z243" s="9"/>
      <c r="AA243" s="9"/>
      <c r="AB243" s="9"/>
      <c r="AC243" s="9"/>
      <c r="AD243" s="9"/>
    </row>
    <row r="244" spans="1:30" ht="58">
      <c r="A244" s="3" t="s">
        <v>759</v>
      </c>
      <c r="B244" s="3" t="s">
        <v>5251</v>
      </c>
      <c r="C244" s="3" t="s">
        <v>5252</v>
      </c>
      <c r="G244" s="9" t="s">
        <v>3889</v>
      </c>
      <c r="H244" s="9"/>
      <c r="I244" s="9">
        <v>1</v>
      </c>
      <c r="J244" s="9">
        <v>2</v>
      </c>
      <c r="K244" s="9" t="s">
        <v>8689</v>
      </c>
      <c r="L244" s="9" t="s">
        <v>8730</v>
      </c>
      <c r="M244" s="9"/>
      <c r="N244" s="10"/>
      <c r="O244" s="9"/>
      <c r="P244" s="9">
        <v>10929</v>
      </c>
      <c r="Q244" s="9">
        <f t="shared" si="3"/>
        <v>1406.0027530843549</v>
      </c>
      <c r="R244" s="9"/>
      <c r="S244" s="9" t="s">
        <v>9321</v>
      </c>
      <c r="T244" s="9" t="s">
        <v>9321</v>
      </c>
      <c r="U244" s="9"/>
      <c r="V244" s="9"/>
      <c r="W244" s="9"/>
      <c r="X244" s="9"/>
      <c r="Y244" s="9"/>
      <c r="Z244" s="9"/>
      <c r="AA244" s="9"/>
      <c r="AB244" s="9"/>
      <c r="AC244" s="9"/>
      <c r="AD244" s="9"/>
    </row>
    <row r="245" spans="1:30" ht="43.5">
      <c r="A245" s="3" t="s">
        <v>762</v>
      </c>
      <c r="B245" s="3" t="s">
        <v>5259</v>
      </c>
      <c r="C245" s="3" t="s">
        <v>5260</v>
      </c>
      <c r="F245" t="s">
        <v>3884</v>
      </c>
      <c r="G245" s="9" t="s">
        <v>3889</v>
      </c>
      <c r="H245" s="9"/>
      <c r="I245" s="9">
        <v>1</v>
      </c>
      <c r="J245" s="9">
        <v>2</v>
      </c>
      <c r="K245" s="9" t="s">
        <v>8689</v>
      </c>
      <c r="L245" s="9" t="s">
        <v>8730</v>
      </c>
      <c r="M245" s="9"/>
      <c r="N245" s="10"/>
      <c r="O245" s="9"/>
      <c r="P245" s="9">
        <v>10929</v>
      </c>
      <c r="Q245" s="9">
        <f t="shared" si="3"/>
        <v>1406.0027530843549</v>
      </c>
      <c r="R245" s="9"/>
      <c r="S245" s="9" t="s">
        <v>9321</v>
      </c>
      <c r="T245" s="9" t="s">
        <v>9321</v>
      </c>
      <c r="U245" s="9" t="s">
        <v>8728</v>
      </c>
      <c r="V245" s="9"/>
      <c r="W245" s="9"/>
      <c r="X245" s="9"/>
      <c r="Y245" s="9"/>
      <c r="Z245" s="9"/>
      <c r="AA245" s="9"/>
      <c r="AB245" s="9"/>
      <c r="AC245" s="9"/>
      <c r="AD245" s="9"/>
    </row>
    <row r="246" spans="1:30" ht="58">
      <c r="A246" s="3" t="s">
        <v>767</v>
      </c>
      <c r="B246" s="3" t="s">
        <v>5275</v>
      </c>
      <c r="C246" s="3" t="s">
        <v>5276</v>
      </c>
      <c r="G246" s="9" t="s">
        <v>3889</v>
      </c>
      <c r="H246" s="9"/>
      <c r="I246" s="9">
        <v>1</v>
      </c>
      <c r="J246" s="9">
        <v>2</v>
      </c>
      <c r="K246" s="9" t="s">
        <v>8707</v>
      </c>
      <c r="L246" s="9" t="s">
        <v>8730</v>
      </c>
      <c r="M246" s="9"/>
      <c r="N246" s="10"/>
      <c r="O246" s="9" t="s">
        <v>8685</v>
      </c>
      <c r="P246" s="9">
        <v>1942</v>
      </c>
      <c r="Q246" s="9">
        <f t="shared" si="3"/>
        <v>249.83597277791355</v>
      </c>
      <c r="R246" s="9"/>
      <c r="S246" s="9" t="s">
        <v>9321</v>
      </c>
      <c r="T246" s="9" t="s">
        <v>9321</v>
      </c>
      <c r="U246" s="9"/>
      <c r="V246" s="9"/>
      <c r="W246" s="9"/>
      <c r="X246" s="9"/>
      <c r="Y246" s="9"/>
      <c r="Z246" s="9"/>
      <c r="AA246" s="9"/>
      <c r="AB246" s="9"/>
      <c r="AC246" s="9"/>
      <c r="AD246" s="9"/>
    </row>
    <row r="247" spans="1:30" ht="72.5">
      <c r="A247" s="3" t="s">
        <v>768</v>
      </c>
      <c r="B247" s="3" t="s">
        <v>5279</v>
      </c>
      <c r="C247" s="3" t="s">
        <v>5280</v>
      </c>
      <c r="G247" s="9" t="s">
        <v>3889</v>
      </c>
      <c r="H247" s="9"/>
      <c r="I247" s="9">
        <v>2</v>
      </c>
      <c r="J247" s="9">
        <v>6</v>
      </c>
      <c r="K247" s="9"/>
      <c r="L247" s="9" t="s">
        <v>8690</v>
      </c>
      <c r="M247" s="9"/>
      <c r="N247" s="10"/>
      <c r="O247" s="9"/>
      <c r="P247" s="9">
        <v>655</v>
      </c>
      <c r="Q247" s="9">
        <f t="shared" si="3"/>
        <v>84.264965071850355</v>
      </c>
      <c r="R247" s="9"/>
      <c r="S247" s="9" t="s">
        <v>9321</v>
      </c>
      <c r="T247" s="9" t="s">
        <v>9321</v>
      </c>
      <c r="U247" s="9"/>
      <c r="V247" s="9"/>
      <c r="W247" s="9"/>
      <c r="X247" s="9"/>
      <c r="Y247" s="9"/>
      <c r="Z247" s="9"/>
      <c r="AA247" s="9"/>
      <c r="AB247" s="9"/>
      <c r="AC247" s="9"/>
      <c r="AD247" s="9"/>
    </row>
    <row r="248" spans="1:30" ht="58">
      <c r="A248" s="3" t="s">
        <v>769</v>
      </c>
      <c r="B248" s="3" t="s">
        <v>9031</v>
      </c>
      <c r="C248" s="3" t="s">
        <v>5285</v>
      </c>
      <c r="G248" s="9" t="s">
        <v>3889</v>
      </c>
      <c r="H248" s="9"/>
      <c r="I248" s="9">
        <v>1</v>
      </c>
      <c r="J248" s="9">
        <v>2</v>
      </c>
      <c r="K248" s="9" t="s">
        <v>8705</v>
      </c>
      <c r="L248" s="9" t="s">
        <v>8730</v>
      </c>
      <c r="M248" s="9"/>
      <c r="N248" s="10"/>
      <c r="O248" s="9"/>
      <c r="P248" s="9">
        <v>16</v>
      </c>
      <c r="Q248" s="9">
        <f t="shared" si="3"/>
        <v>2.0583808261826042</v>
      </c>
      <c r="R248" s="9"/>
      <c r="S248" s="9" t="s">
        <v>9321</v>
      </c>
      <c r="T248" s="9" t="s">
        <v>9321</v>
      </c>
      <c r="U248" s="9"/>
      <c r="V248" s="9"/>
      <c r="W248" s="9"/>
      <c r="X248" s="9"/>
      <c r="Y248" s="9"/>
      <c r="Z248" s="9"/>
      <c r="AA248" s="9"/>
      <c r="AB248" s="9"/>
      <c r="AC248" s="9"/>
      <c r="AD248" s="9"/>
    </row>
    <row r="249" spans="1:30" ht="72.5">
      <c r="A249" s="3" t="s">
        <v>770</v>
      </c>
      <c r="B249" s="3" t="s">
        <v>5288</v>
      </c>
      <c r="C249" s="3" t="s">
        <v>5289</v>
      </c>
      <c r="G249" s="9" t="s">
        <v>3889</v>
      </c>
      <c r="H249" s="9"/>
      <c r="I249" s="9">
        <v>1</v>
      </c>
      <c r="J249" s="9">
        <v>3</v>
      </c>
      <c r="K249" s="9" t="s">
        <v>8689</v>
      </c>
      <c r="L249" s="9" t="s">
        <v>8690</v>
      </c>
      <c r="M249" s="9"/>
      <c r="N249" s="10"/>
      <c r="O249" s="9"/>
      <c r="P249" s="9">
        <v>10929</v>
      </c>
      <c r="Q249" s="9">
        <f t="shared" si="3"/>
        <v>1406.0027530843549</v>
      </c>
      <c r="R249" s="9"/>
      <c r="S249" s="9" t="s">
        <v>9321</v>
      </c>
      <c r="T249" s="9" t="s">
        <v>9321</v>
      </c>
      <c r="U249" s="9"/>
      <c r="V249" s="9"/>
      <c r="W249" s="9"/>
      <c r="X249" s="9"/>
      <c r="Y249" s="9"/>
      <c r="Z249" s="9"/>
      <c r="AA249" s="9"/>
      <c r="AB249" s="9"/>
      <c r="AC249" s="9"/>
      <c r="AD249" s="9"/>
    </row>
    <row r="250" spans="1:30" ht="43.5">
      <c r="A250" s="3" t="s">
        <v>772</v>
      </c>
      <c r="B250" s="3" t="s">
        <v>5292</v>
      </c>
      <c r="C250" s="3" t="s">
        <v>5293</v>
      </c>
      <c r="G250" s="9" t="s">
        <v>3889</v>
      </c>
      <c r="H250" s="9"/>
      <c r="I250" s="9">
        <v>1</v>
      </c>
      <c r="J250" s="9">
        <v>2</v>
      </c>
      <c r="K250" s="9" t="s">
        <v>8734</v>
      </c>
      <c r="L250" s="9" t="s">
        <v>8730</v>
      </c>
      <c r="M250" s="9"/>
      <c r="N250" s="10"/>
      <c r="O250" s="9"/>
      <c r="P250" s="9">
        <v>120</v>
      </c>
      <c r="Q250" s="9">
        <f t="shared" si="3"/>
        <v>15.43785619636953</v>
      </c>
      <c r="R250" s="9"/>
      <c r="S250" s="9" t="s">
        <v>9321</v>
      </c>
      <c r="T250" s="9" t="s">
        <v>9321</v>
      </c>
      <c r="U250" s="9" t="s">
        <v>4</v>
      </c>
      <c r="V250" s="9"/>
      <c r="W250" s="9"/>
      <c r="X250" s="9"/>
      <c r="Y250" s="9"/>
      <c r="Z250" s="9"/>
      <c r="AA250" s="9"/>
      <c r="AB250" s="9"/>
      <c r="AC250" s="9"/>
      <c r="AD250" s="9"/>
    </row>
    <row r="251" spans="1:30" ht="29">
      <c r="A251" s="3" t="s">
        <v>774</v>
      </c>
      <c r="B251" s="3" t="s">
        <v>5297</v>
      </c>
      <c r="C251" s="3" t="s">
        <v>5298</v>
      </c>
      <c r="G251" s="9" t="s">
        <v>3889</v>
      </c>
      <c r="H251" s="9"/>
      <c r="I251" s="9">
        <v>1</v>
      </c>
      <c r="J251" s="9">
        <v>3</v>
      </c>
      <c r="K251" s="9" t="s">
        <v>8689</v>
      </c>
      <c r="L251" s="9" t="s">
        <v>8690</v>
      </c>
      <c r="M251" s="9"/>
      <c r="N251" s="10"/>
      <c r="O251" s="9"/>
      <c r="P251" s="9">
        <v>10929</v>
      </c>
      <c r="Q251" s="9">
        <f t="shared" si="3"/>
        <v>1406.0027530843549</v>
      </c>
      <c r="R251" s="9"/>
      <c r="S251" s="9" t="s">
        <v>9321</v>
      </c>
      <c r="T251" s="9" t="s">
        <v>9321</v>
      </c>
      <c r="U251" s="9" t="s">
        <v>8728</v>
      </c>
      <c r="V251" s="9"/>
      <c r="W251" s="9"/>
      <c r="X251" s="9"/>
      <c r="Y251" s="9"/>
      <c r="Z251" s="9"/>
      <c r="AA251" s="9"/>
      <c r="AB251" s="9"/>
      <c r="AC251" s="9"/>
      <c r="AD251" s="9"/>
    </row>
    <row r="252" spans="1:30" ht="43.5">
      <c r="A252" s="3" t="s">
        <v>778</v>
      </c>
      <c r="B252" s="3" t="s">
        <v>5312</v>
      </c>
      <c r="C252" s="3" t="s">
        <v>5311</v>
      </c>
      <c r="G252" s="9" t="s">
        <v>3885</v>
      </c>
      <c r="H252" s="9"/>
      <c r="I252" s="9">
        <v>1</v>
      </c>
      <c r="J252" s="9">
        <v>1</v>
      </c>
      <c r="K252" s="9" t="s">
        <v>8705</v>
      </c>
      <c r="L252" s="9" t="s">
        <v>8730</v>
      </c>
      <c r="M252" s="9"/>
      <c r="N252" s="10"/>
      <c r="O252" s="9"/>
      <c r="P252" s="9">
        <v>615</v>
      </c>
      <c r="Q252" s="9">
        <f t="shared" si="3"/>
        <v>79.119013006393843</v>
      </c>
      <c r="R252" s="9"/>
      <c r="S252" s="9" t="s">
        <v>9321</v>
      </c>
      <c r="T252" s="9" t="s">
        <v>9321</v>
      </c>
      <c r="U252" s="9" t="s">
        <v>4</v>
      </c>
      <c r="V252" s="9"/>
      <c r="W252" s="9"/>
      <c r="X252" s="9"/>
      <c r="Y252" s="9"/>
      <c r="Z252" s="9"/>
      <c r="AA252" s="9"/>
      <c r="AB252" s="9"/>
      <c r="AC252" s="9"/>
      <c r="AD252" s="9"/>
    </row>
    <row r="253" spans="1:30" ht="72.5">
      <c r="A253" s="3" t="s">
        <v>783</v>
      </c>
      <c r="B253" s="3" t="s">
        <v>5319</v>
      </c>
      <c r="C253" s="3" t="s">
        <v>5320</v>
      </c>
      <c r="F253" t="s">
        <v>3884</v>
      </c>
      <c r="G253" s="9" t="s">
        <v>3889</v>
      </c>
      <c r="H253" s="9"/>
      <c r="I253" s="9">
        <v>2</v>
      </c>
      <c r="J253" s="9">
        <v>9</v>
      </c>
      <c r="K253" s="9"/>
      <c r="L253" s="9" t="s">
        <v>8690</v>
      </c>
      <c r="M253" s="9"/>
      <c r="N253" s="10"/>
      <c r="O253" s="9"/>
      <c r="P253" s="9">
        <v>15</v>
      </c>
      <c r="Q253" s="9">
        <f t="shared" si="3"/>
        <v>1.9297320245461913</v>
      </c>
      <c r="R253" s="9"/>
      <c r="S253" s="9" t="s">
        <v>9321</v>
      </c>
      <c r="T253" s="9" t="s">
        <v>9321</v>
      </c>
      <c r="U253" s="9"/>
      <c r="V253" s="9"/>
      <c r="W253" s="9"/>
      <c r="X253" s="9"/>
      <c r="Y253" s="9"/>
      <c r="Z253" s="9"/>
      <c r="AA253" s="9"/>
      <c r="AB253" s="9"/>
      <c r="AC253" s="9"/>
      <c r="AD253" s="9"/>
    </row>
    <row r="254" spans="1:30" ht="72.5">
      <c r="A254" s="3" t="s">
        <v>790</v>
      </c>
      <c r="B254" s="3" t="s">
        <v>5335</v>
      </c>
      <c r="C254" s="3" t="s">
        <v>9035</v>
      </c>
      <c r="G254" s="9" t="s">
        <v>3885</v>
      </c>
      <c r="H254" s="9"/>
      <c r="I254" s="9">
        <v>1</v>
      </c>
      <c r="J254" s="9">
        <v>1</v>
      </c>
      <c r="K254" s="9" t="s">
        <v>8689</v>
      </c>
      <c r="L254" s="9" t="s">
        <v>8730</v>
      </c>
      <c r="M254" s="9"/>
      <c r="N254" s="10"/>
      <c r="O254" s="9"/>
      <c r="P254" s="9">
        <v>10929</v>
      </c>
      <c r="Q254" s="9">
        <f t="shared" si="3"/>
        <v>1406.0027530843549</v>
      </c>
      <c r="R254" s="9"/>
      <c r="S254" s="9" t="s">
        <v>9321</v>
      </c>
      <c r="T254" s="9" t="s">
        <v>9321</v>
      </c>
      <c r="U254" s="9"/>
      <c r="V254" s="9"/>
      <c r="W254" s="9"/>
      <c r="X254" s="9"/>
      <c r="Y254" s="9"/>
      <c r="Z254" s="9"/>
      <c r="AA254" s="9"/>
      <c r="AB254" s="9"/>
      <c r="AC254" s="9"/>
      <c r="AD254" s="9"/>
    </row>
    <row r="255" spans="1:30" ht="29">
      <c r="A255" s="3" t="s">
        <v>795</v>
      </c>
      <c r="B255" s="3" t="s">
        <v>5346</v>
      </c>
      <c r="C255" s="3" t="s">
        <v>5347</v>
      </c>
      <c r="G255" s="9" t="s">
        <v>3889</v>
      </c>
      <c r="H255" s="9"/>
      <c r="I255" s="9">
        <v>1</v>
      </c>
      <c r="J255" s="9">
        <v>1</v>
      </c>
      <c r="K255" s="9" t="s">
        <v>8689</v>
      </c>
      <c r="L255" s="9" t="s">
        <v>8730</v>
      </c>
      <c r="M255" s="9"/>
      <c r="N255" s="10"/>
      <c r="O255" s="9"/>
      <c r="P255" s="9">
        <v>10929</v>
      </c>
      <c r="Q255" s="9">
        <f t="shared" si="3"/>
        <v>1406.0027530843549</v>
      </c>
      <c r="R255" s="9"/>
      <c r="S255" s="9" t="s">
        <v>9321</v>
      </c>
      <c r="T255" s="9" t="s">
        <v>9321</v>
      </c>
      <c r="U255" s="9"/>
      <c r="V255" s="9"/>
      <c r="W255" s="9"/>
      <c r="X255" s="9"/>
      <c r="Y255" s="9"/>
      <c r="Z255" s="9"/>
      <c r="AA255" s="9"/>
      <c r="AB255" s="9"/>
      <c r="AC255" s="9"/>
      <c r="AD255" s="9"/>
    </row>
    <row r="256" spans="1:30" ht="43.5">
      <c r="A256" s="3" t="s">
        <v>796</v>
      </c>
      <c r="B256" s="3" t="s">
        <v>5350</v>
      </c>
      <c r="C256" s="3" t="s">
        <v>5351</v>
      </c>
      <c r="G256" s="9" t="s">
        <v>3889</v>
      </c>
      <c r="H256" s="9"/>
      <c r="I256" s="9">
        <v>1</v>
      </c>
      <c r="J256" s="9">
        <v>3</v>
      </c>
      <c r="K256" s="9" t="s">
        <v>8683</v>
      </c>
      <c r="L256" s="9" t="s">
        <v>8690</v>
      </c>
      <c r="M256" s="9"/>
      <c r="N256" s="10"/>
      <c r="O256" s="9"/>
      <c r="P256" s="9">
        <v>162</v>
      </c>
      <c r="Q256" s="9">
        <f t="shared" si="3"/>
        <v>20.841105865098868</v>
      </c>
      <c r="R256" s="9"/>
      <c r="S256" s="9" t="s">
        <v>9321</v>
      </c>
      <c r="T256" s="9" t="s">
        <v>9321</v>
      </c>
      <c r="U256" s="9"/>
      <c r="V256" s="9"/>
      <c r="W256" s="9"/>
      <c r="X256" s="9"/>
      <c r="Y256" s="9"/>
      <c r="Z256" s="9"/>
      <c r="AA256" s="9"/>
      <c r="AB256" s="9"/>
      <c r="AC256" s="9"/>
      <c r="AD256" s="9"/>
    </row>
    <row r="257" spans="1:30" ht="29">
      <c r="A257" s="3" t="s">
        <v>799</v>
      </c>
      <c r="B257" s="3" t="s">
        <v>5359</v>
      </c>
      <c r="C257" s="3" t="s">
        <v>5347</v>
      </c>
      <c r="G257" s="9" t="s">
        <v>3889</v>
      </c>
      <c r="H257" s="9"/>
      <c r="I257" s="9">
        <v>1</v>
      </c>
      <c r="J257" s="9">
        <v>1</v>
      </c>
      <c r="K257" s="9" t="s">
        <v>8689</v>
      </c>
      <c r="L257" s="9" t="s">
        <v>8730</v>
      </c>
      <c r="M257" s="9"/>
      <c r="N257" s="10"/>
      <c r="O257" s="9"/>
      <c r="P257" s="9">
        <v>10929</v>
      </c>
      <c r="Q257" s="9">
        <f t="shared" si="3"/>
        <v>1406.0027530843549</v>
      </c>
      <c r="R257" s="9"/>
      <c r="S257" s="9" t="s">
        <v>9321</v>
      </c>
      <c r="T257" s="9" t="s">
        <v>9321</v>
      </c>
      <c r="U257" s="9"/>
      <c r="V257" s="9"/>
      <c r="W257" s="9"/>
      <c r="X257" s="9"/>
      <c r="Y257" s="9"/>
      <c r="Z257" s="9"/>
      <c r="AA257" s="9"/>
      <c r="AB257" s="9"/>
      <c r="AC257" s="9"/>
      <c r="AD257" s="9"/>
    </row>
    <row r="258" spans="1:30" ht="29">
      <c r="A258" s="3" t="s">
        <v>799</v>
      </c>
      <c r="B258" s="3" t="s">
        <v>5362</v>
      </c>
      <c r="C258" s="3" t="s">
        <v>5363</v>
      </c>
      <c r="G258" s="9" t="s">
        <v>3889</v>
      </c>
      <c r="H258" s="9"/>
      <c r="I258" s="9">
        <v>1</v>
      </c>
      <c r="J258" s="9">
        <v>1</v>
      </c>
      <c r="K258" s="9" t="s">
        <v>8689</v>
      </c>
      <c r="L258" s="9" t="s">
        <v>8730</v>
      </c>
      <c r="M258" s="9"/>
      <c r="N258" s="10"/>
      <c r="O258" s="9"/>
      <c r="P258" s="9">
        <v>10929</v>
      </c>
      <c r="Q258" s="9">
        <f t="shared" si="3"/>
        <v>1406.0027530843549</v>
      </c>
      <c r="R258" s="9"/>
      <c r="S258" s="9" t="s">
        <v>9321</v>
      </c>
      <c r="T258" s="9" t="s">
        <v>9321</v>
      </c>
      <c r="U258" s="9"/>
      <c r="V258" s="9"/>
      <c r="W258" s="9"/>
      <c r="X258" s="9"/>
      <c r="Y258" s="9"/>
      <c r="Z258" s="9"/>
      <c r="AA258" s="9"/>
      <c r="AB258" s="9"/>
      <c r="AC258" s="9"/>
      <c r="AD258" s="9"/>
    </row>
    <row r="259" spans="1:30" ht="101.5">
      <c r="A259" s="3" t="s">
        <v>807</v>
      </c>
      <c r="B259" s="3" t="s">
        <v>5384</v>
      </c>
      <c r="C259" s="3" t="s">
        <v>5383</v>
      </c>
      <c r="F259" t="s">
        <v>3884</v>
      </c>
      <c r="G259" s="9" t="s">
        <v>3889</v>
      </c>
      <c r="H259" s="9"/>
      <c r="I259" s="9">
        <v>1</v>
      </c>
      <c r="J259" s="9">
        <v>3</v>
      </c>
      <c r="K259" s="9" t="s">
        <v>8705</v>
      </c>
      <c r="L259" s="9" t="s">
        <v>8690</v>
      </c>
      <c r="M259" s="9"/>
      <c r="N259" s="10"/>
      <c r="O259" s="9"/>
      <c r="P259" s="9">
        <v>1485</v>
      </c>
      <c r="Q259" s="9">
        <f t="shared" ref="Q259:Q322" si="4">IF(ISNUMBER(P259), (P259/$E$601)*10000, "")</f>
        <v>191.04347043007292</v>
      </c>
      <c r="R259" s="9"/>
      <c r="S259" s="9" t="s">
        <v>9321</v>
      </c>
      <c r="T259" s="9" t="s">
        <v>9321</v>
      </c>
      <c r="U259" s="9"/>
      <c r="V259" s="9"/>
      <c r="W259" s="9"/>
      <c r="X259" s="9"/>
      <c r="Y259" s="9"/>
      <c r="Z259" s="9"/>
      <c r="AA259" s="9"/>
      <c r="AB259" s="9"/>
      <c r="AC259" s="9"/>
      <c r="AD259" s="9"/>
    </row>
    <row r="260" spans="1:30" ht="29">
      <c r="A260" s="3" t="s">
        <v>810</v>
      </c>
      <c r="B260" s="3" t="s">
        <v>5394</v>
      </c>
      <c r="C260" s="3" t="s">
        <v>5395</v>
      </c>
      <c r="G260" s="9" t="s">
        <v>3885</v>
      </c>
      <c r="H260" s="9"/>
      <c r="I260" s="9">
        <v>1</v>
      </c>
      <c r="J260" s="9">
        <v>3</v>
      </c>
      <c r="K260" s="9" t="s">
        <v>8689</v>
      </c>
      <c r="L260" s="9" t="s">
        <v>8690</v>
      </c>
      <c r="M260" s="9"/>
      <c r="N260" s="10"/>
      <c r="O260" s="9"/>
      <c r="P260" s="9">
        <v>10929</v>
      </c>
      <c r="Q260" s="9">
        <f t="shared" si="4"/>
        <v>1406.0027530843549</v>
      </c>
      <c r="R260" s="9"/>
      <c r="S260" s="9" t="s">
        <v>9321</v>
      </c>
      <c r="T260" s="9" t="s">
        <v>9321</v>
      </c>
      <c r="U260" s="9"/>
      <c r="V260" s="9"/>
      <c r="W260" s="9"/>
      <c r="X260" s="9"/>
      <c r="Y260" s="9"/>
      <c r="Z260" s="9"/>
      <c r="AA260" s="9"/>
      <c r="AB260" s="9"/>
      <c r="AC260" s="9"/>
      <c r="AD260" s="9"/>
    </row>
    <row r="261" spans="1:30" ht="29">
      <c r="A261" s="3" t="s">
        <v>811</v>
      </c>
      <c r="B261" s="3" t="s">
        <v>5398</v>
      </c>
      <c r="C261" s="3" t="s">
        <v>5399</v>
      </c>
      <c r="F261" t="s">
        <v>3884</v>
      </c>
      <c r="G261" s="9" t="s">
        <v>3889</v>
      </c>
      <c r="H261" s="9"/>
      <c r="I261" s="9">
        <v>1</v>
      </c>
      <c r="J261" s="9">
        <v>2</v>
      </c>
      <c r="K261" s="9" t="s">
        <v>8689</v>
      </c>
      <c r="L261" s="9" t="s">
        <v>8730</v>
      </c>
      <c r="M261" s="9"/>
      <c r="N261" s="10"/>
      <c r="O261" s="9"/>
      <c r="P261" s="9">
        <v>10929</v>
      </c>
      <c r="Q261" s="9">
        <f t="shared" si="4"/>
        <v>1406.0027530843549</v>
      </c>
      <c r="R261" s="9"/>
      <c r="S261" s="9" t="s">
        <v>9321</v>
      </c>
      <c r="T261" s="9" t="s">
        <v>9321</v>
      </c>
      <c r="U261" s="9"/>
      <c r="V261" s="9"/>
      <c r="W261" s="9"/>
      <c r="X261" s="9"/>
      <c r="Y261" s="9"/>
      <c r="Z261" s="9"/>
      <c r="AA261" s="9"/>
      <c r="AB261" s="9"/>
      <c r="AC261" s="9"/>
      <c r="AD261" s="9"/>
    </row>
    <row r="262" spans="1:30" ht="43.5">
      <c r="A262" s="3" t="s">
        <v>812</v>
      </c>
      <c r="B262" s="3" t="s">
        <v>5402</v>
      </c>
      <c r="C262" s="3" t="s">
        <v>5403</v>
      </c>
      <c r="G262" s="9" t="s">
        <v>3889</v>
      </c>
      <c r="H262" s="9"/>
      <c r="I262" s="9">
        <v>1</v>
      </c>
      <c r="J262" s="9">
        <v>1</v>
      </c>
      <c r="K262" s="9" t="s">
        <v>8689</v>
      </c>
      <c r="L262" s="9" t="s">
        <v>8730</v>
      </c>
      <c r="M262" s="9"/>
      <c r="N262" s="10"/>
      <c r="O262" s="9" t="s">
        <v>8685</v>
      </c>
      <c r="P262" s="9">
        <v>10929</v>
      </c>
      <c r="Q262" s="9">
        <f t="shared" si="4"/>
        <v>1406.0027530843549</v>
      </c>
      <c r="R262" s="9"/>
      <c r="S262" s="9" t="s">
        <v>9321</v>
      </c>
      <c r="T262" s="9" t="s">
        <v>9321</v>
      </c>
      <c r="U262" s="9"/>
      <c r="V262" s="9"/>
      <c r="W262" s="9"/>
      <c r="X262" s="9"/>
      <c r="Y262" s="9"/>
      <c r="Z262" s="9"/>
      <c r="AA262" s="9"/>
      <c r="AB262" s="9"/>
      <c r="AC262" s="9"/>
      <c r="AD262" s="9"/>
    </row>
    <row r="263" spans="1:30" ht="29">
      <c r="A263" s="3" t="s">
        <v>813</v>
      </c>
      <c r="B263" s="3" t="s">
        <v>5412</v>
      </c>
      <c r="C263" s="3" t="s">
        <v>5413</v>
      </c>
      <c r="F263" t="s">
        <v>3884</v>
      </c>
      <c r="G263" s="9" t="s">
        <v>3889</v>
      </c>
      <c r="H263" s="9"/>
      <c r="I263" s="9">
        <v>1</v>
      </c>
      <c r="J263" s="9">
        <v>3</v>
      </c>
      <c r="K263" s="9" t="s">
        <v>8689</v>
      </c>
      <c r="L263" s="9" t="s">
        <v>8690</v>
      </c>
      <c r="M263" s="9"/>
      <c r="N263" s="10"/>
      <c r="O263" s="9"/>
      <c r="P263" s="9">
        <v>10929</v>
      </c>
      <c r="Q263" s="9">
        <f t="shared" si="4"/>
        <v>1406.0027530843549</v>
      </c>
      <c r="R263" s="9"/>
      <c r="S263" s="9" t="s">
        <v>9321</v>
      </c>
      <c r="T263" s="9" t="s">
        <v>9321</v>
      </c>
      <c r="U263" s="9"/>
      <c r="V263" s="9"/>
      <c r="W263" s="9"/>
      <c r="X263" s="9"/>
      <c r="Y263" s="9"/>
      <c r="Z263" s="9"/>
      <c r="AA263" s="9"/>
      <c r="AB263" s="9"/>
      <c r="AC263" s="9"/>
      <c r="AD263" s="9"/>
    </row>
    <row r="264" spans="1:30" ht="43.5">
      <c r="A264" s="3" t="s">
        <v>814</v>
      </c>
      <c r="B264" s="3" t="s">
        <v>5433</v>
      </c>
      <c r="C264" s="3" t="s">
        <v>5434</v>
      </c>
      <c r="F264" t="s">
        <v>3884</v>
      </c>
      <c r="G264" s="9" t="s">
        <v>3885</v>
      </c>
      <c r="H264" s="9"/>
      <c r="I264" s="9">
        <v>1</v>
      </c>
      <c r="J264" s="9">
        <v>1</v>
      </c>
      <c r="K264" s="9" t="s">
        <v>8698</v>
      </c>
      <c r="L264" s="9" t="s">
        <v>8730</v>
      </c>
      <c r="M264" s="9"/>
      <c r="N264" s="10"/>
      <c r="O264" s="9"/>
      <c r="P264" s="9">
        <v>1</v>
      </c>
      <c r="Q264" s="9">
        <f t="shared" si="4"/>
        <v>0.12864880163641276</v>
      </c>
      <c r="R264" s="9"/>
      <c r="S264" s="9" t="s">
        <v>9321</v>
      </c>
      <c r="T264" s="9" t="s">
        <v>9321</v>
      </c>
      <c r="U264" s="9"/>
      <c r="V264" s="9"/>
      <c r="W264" s="9"/>
      <c r="X264" s="9"/>
      <c r="Y264" s="9"/>
      <c r="Z264" s="9"/>
      <c r="AA264" s="9"/>
      <c r="AB264" s="9"/>
      <c r="AC264" s="9"/>
      <c r="AD264" s="9"/>
    </row>
    <row r="265" spans="1:30" ht="58">
      <c r="A265" s="3" t="s">
        <v>815</v>
      </c>
      <c r="B265" s="3" t="s">
        <v>5437</v>
      </c>
      <c r="C265" s="3" t="s">
        <v>5438</v>
      </c>
      <c r="G265" s="9" t="s">
        <v>3889</v>
      </c>
      <c r="H265" s="9"/>
      <c r="I265" s="9">
        <v>1</v>
      </c>
      <c r="J265" s="9">
        <v>3</v>
      </c>
      <c r="K265" s="9" t="s">
        <v>8698</v>
      </c>
      <c r="L265" s="9" t="s">
        <v>8690</v>
      </c>
      <c r="M265" s="9"/>
      <c r="N265" s="10"/>
      <c r="O265" s="9"/>
      <c r="P265" s="9">
        <v>9418</v>
      </c>
      <c r="Q265" s="9">
        <f t="shared" si="4"/>
        <v>1211.6144138117354</v>
      </c>
      <c r="R265" s="9"/>
      <c r="S265" s="9" t="s">
        <v>9321</v>
      </c>
      <c r="T265" s="9" t="s">
        <v>9321</v>
      </c>
      <c r="U265" s="9"/>
      <c r="V265" s="9"/>
      <c r="W265" s="9"/>
      <c r="X265" s="9"/>
      <c r="Y265" s="9"/>
      <c r="Z265" s="9"/>
      <c r="AA265" s="9"/>
      <c r="AB265" s="9"/>
      <c r="AC265" s="9"/>
      <c r="AD265" s="9"/>
    </row>
    <row r="266" spans="1:30" ht="29">
      <c r="A266" s="3" t="s">
        <v>822</v>
      </c>
      <c r="B266" s="3" t="s">
        <v>5449</v>
      </c>
      <c r="C266" s="3" t="s">
        <v>5450</v>
      </c>
      <c r="F266" t="s">
        <v>3884</v>
      </c>
      <c r="G266" s="9" t="s">
        <v>3885</v>
      </c>
      <c r="H266" s="9"/>
      <c r="I266" s="9">
        <v>1</v>
      </c>
      <c r="J266" s="9">
        <v>2</v>
      </c>
      <c r="K266" s="9" t="s">
        <v>8689</v>
      </c>
      <c r="L266" s="9" t="s">
        <v>8730</v>
      </c>
      <c r="M266" s="9"/>
      <c r="N266" s="10"/>
      <c r="O266" s="9"/>
      <c r="P266" s="9">
        <v>10929</v>
      </c>
      <c r="Q266" s="9">
        <f t="shared" si="4"/>
        <v>1406.0027530843549</v>
      </c>
      <c r="R266" s="9"/>
      <c r="S266" s="9" t="s">
        <v>9321</v>
      </c>
      <c r="T266" s="9" t="s">
        <v>9321</v>
      </c>
      <c r="U266" s="9"/>
      <c r="V266" s="9"/>
      <c r="W266" s="9"/>
      <c r="X266" s="9"/>
      <c r="Y266" s="9"/>
      <c r="Z266" s="9"/>
      <c r="AA266" s="9"/>
      <c r="AB266" s="9"/>
      <c r="AC266" s="9"/>
      <c r="AD266" s="9"/>
    </row>
    <row r="267" spans="1:30" ht="43.5">
      <c r="A267" s="3" t="s">
        <v>831</v>
      </c>
      <c r="B267" s="3" t="s">
        <v>5471</v>
      </c>
      <c r="C267" s="3" t="s">
        <v>5472</v>
      </c>
      <c r="F267" t="s">
        <v>3884</v>
      </c>
      <c r="G267" s="9" t="s">
        <v>3889</v>
      </c>
      <c r="H267" s="9"/>
      <c r="I267" s="9">
        <v>1</v>
      </c>
      <c r="J267" s="9">
        <v>3</v>
      </c>
      <c r="K267" s="9" t="s">
        <v>8698</v>
      </c>
      <c r="L267" s="9" t="s">
        <v>8690</v>
      </c>
      <c r="M267" s="9"/>
      <c r="N267" s="10"/>
      <c r="O267" s="9"/>
      <c r="P267" s="9">
        <v>653</v>
      </c>
      <c r="Q267" s="9">
        <f t="shared" si="4"/>
        <v>84.007667468577537</v>
      </c>
      <c r="R267" s="9"/>
      <c r="S267" s="9" t="s">
        <v>9321</v>
      </c>
      <c r="T267" s="9" t="s">
        <v>9321</v>
      </c>
      <c r="U267" s="9"/>
      <c r="V267" s="9"/>
      <c r="W267" s="9"/>
      <c r="X267" s="9"/>
      <c r="Y267" s="9"/>
      <c r="Z267" s="9"/>
      <c r="AA267" s="9"/>
      <c r="AB267" s="9"/>
      <c r="AC267" s="9"/>
      <c r="AD267" s="9"/>
    </row>
    <row r="268" spans="1:30" ht="43.5">
      <c r="A268" s="3" t="s">
        <v>835</v>
      </c>
      <c r="B268" s="3" t="s">
        <v>5475</v>
      </c>
      <c r="C268" s="3" t="s">
        <v>5476</v>
      </c>
      <c r="G268" s="9" t="s">
        <v>3885</v>
      </c>
      <c r="H268" s="9"/>
      <c r="I268" s="9">
        <v>1</v>
      </c>
      <c r="J268" s="9">
        <v>3</v>
      </c>
      <c r="K268" s="9" t="s">
        <v>8689</v>
      </c>
      <c r="L268" s="9" t="s">
        <v>8690</v>
      </c>
      <c r="M268" s="9"/>
      <c r="N268" s="10"/>
      <c r="O268" s="9"/>
      <c r="P268" s="9">
        <v>10929</v>
      </c>
      <c r="Q268" s="9">
        <f t="shared" si="4"/>
        <v>1406.0027530843549</v>
      </c>
      <c r="R268" s="9"/>
      <c r="S268" s="9" t="s">
        <v>9321</v>
      </c>
      <c r="T268" s="9" t="s">
        <v>9321</v>
      </c>
      <c r="U268" s="9"/>
      <c r="V268" s="9"/>
      <c r="W268" s="9"/>
      <c r="X268" s="9"/>
      <c r="Y268" s="9"/>
      <c r="Z268" s="9"/>
      <c r="AA268" s="9"/>
      <c r="AB268" s="9"/>
      <c r="AC268" s="9"/>
      <c r="AD268" s="9"/>
    </row>
    <row r="269" spans="1:30" ht="58">
      <c r="A269" s="3" t="s">
        <v>837</v>
      </c>
      <c r="B269" s="3" t="s">
        <v>5481</v>
      </c>
      <c r="C269" s="3" t="s">
        <v>5482</v>
      </c>
      <c r="G269" s="9" t="s">
        <v>3889</v>
      </c>
      <c r="H269" s="9"/>
      <c r="I269" s="9">
        <v>2</v>
      </c>
      <c r="J269" s="9">
        <v>6</v>
      </c>
      <c r="K269" s="9"/>
      <c r="L269" s="9" t="s">
        <v>8690</v>
      </c>
      <c r="M269" s="9"/>
      <c r="N269" s="10"/>
      <c r="O269" s="9"/>
      <c r="P269" s="9">
        <v>205</v>
      </c>
      <c r="Q269" s="9">
        <f t="shared" si="4"/>
        <v>26.373004335464618</v>
      </c>
      <c r="R269" s="9"/>
      <c r="S269" s="9" t="s">
        <v>9321</v>
      </c>
      <c r="T269" s="9" t="s">
        <v>9321</v>
      </c>
      <c r="U269" s="9"/>
      <c r="V269" s="9"/>
      <c r="W269" s="9"/>
      <c r="X269" s="9"/>
      <c r="Y269" s="9"/>
      <c r="Z269" s="9"/>
      <c r="AA269" s="9"/>
      <c r="AB269" s="9"/>
      <c r="AC269" s="9"/>
      <c r="AD269" s="9"/>
    </row>
    <row r="270" spans="1:30" ht="58">
      <c r="A270" s="3" t="s">
        <v>851</v>
      </c>
      <c r="B270" s="3" t="s">
        <v>5496</v>
      </c>
      <c r="C270" s="3" t="s">
        <v>5497</v>
      </c>
      <c r="F270" t="s">
        <v>3884</v>
      </c>
      <c r="G270" s="9" t="s">
        <v>3889</v>
      </c>
      <c r="H270" s="9"/>
      <c r="I270" s="9">
        <v>1</v>
      </c>
      <c r="J270" s="9">
        <v>3</v>
      </c>
      <c r="K270" s="9" t="s">
        <v>8689</v>
      </c>
      <c r="L270" s="9" t="s">
        <v>8690</v>
      </c>
      <c r="M270" s="9"/>
      <c r="N270" s="10"/>
      <c r="O270" s="9"/>
      <c r="P270" s="9">
        <v>10929</v>
      </c>
      <c r="Q270" s="9">
        <f t="shared" si="4"/>
        <v>1406.0027530843549</v>
      </c>
      <c r="R270" s="9"/>
      <c r="S270" s="9" t="s">
        <v>9321</v>
      </c>
      <c r="T270" s="9" t="s">
        <v>9321</v>
      </c>
      <c r="U270" s="9"/>
      <c r="V270" s="9"/>
      <c r="W270" s="9"/>
      <c r="X270" s="9"/>
      <c r="Y270" s="9"/>
      <c r="Z270" s="9"/>
      <c r="AA270" s="9"/>
      <c r="AB270" s="9"/>
      <c r="AC270" s="9"/>
      <c r="AD270" s="9"/>
    </row>
    <row r="271" spans="1:30" ht="58">
      <c r="A271" s="3" t="s">
        <v>851</v>
      </c>
      <c r="B271" s="3" t="s">
        <v>5498</v>
      </c>
      <c r="C271" s="3" t="s">
        <v>5499</v>
      </c>
      <c r="F271" t="s">
        <v>3884</v>
      </c>
      <c r="G271" s="9" t="s">
        <v>3885</v>
      </c>
      <c r="H271" s="9"/>
      <c r="I271" s="9">
        <v>1</v>
      </c>
      <c r="J271" s="9">
        <v>2</v>
      </c>
      <c r="K271" s="9" t="s">
        <v>8734</v>
      </c>
      <c r="L271" s="9" t="s">
        <v>8730</v>
      </c>
      <c r="M271" s="9"/>
      <c r="N271" s="10"/>
      <c r="O271" s="9"/>
      <c r="P271" s="9">
        <v>120</v>
      </c>
      <c r="Q271" s="9">
        <f t="shared" si="4"/>
        <v>15.43785619636953</v>
      </c>
      <c r="R271" s="9"/>
      <c r="S271" s="9" t="s">
        <v>9321</v>
      </c>
      <c r="T271" s="9" t="s">
        <v>9321</v>
      </c>
      <c r="U271" s="9"/>
      <c r="V271" s="9"/>
      <c r="W271" s="9"/>
      <c r="X271" s="9"/>
      <c r="Y271" s="9"/>
      <c r="Z271" s="9"/>
      <c r="AA271" s="9"/>
      <c r="AB271" s="9"/>
      <c r="AC271" s="9"/>
      <c r="AD271" s="9"/>
    </row>
    <row r="272" spans="1:30" ht="72.5">
      <c r="A272" s="3" t="s">
        <v>854</v>
      </c>
      <c r="B272" s="3" t="s">
        <v>9045</v>
      </c>
      <c r="C272" s="3" t="s">
        <v>9046</v>
      </c>
      <c r="G272" s="9" t="s">
        <v>3885</v>
      </c>
      <c r="H272" s="9"/>
      <c r="I272" s="9">
        <v>1</v>
      </c>
      <c r="J272" s="9">
        <v>3</v>
      </c>
      <c r="K272" s="9" t="s">
        <v>8698</v>
      </c>
      <c r="L272" s="9" t="s">
        <v>8690</v>
      </c>
      <c r="M272" s="9"/>
      <c r="N272" s="10"/>
      <c r="O272" s="9"/>
      <c r="P272" s="9">
        <v>9418</v>
      </c>
      <c r="Q272" s="9">
        <f t="shared" si="4"/>
        <v>1211.6144138117354</v>
      </c>
      <c r="R272" s="9"/>
      <c r="S272" s="9" t="s">
        <v>9321</v>
      </c>
      <c r="T272" s="9" t="s">
        <v>9321</v>
      </c>
      <c r="U272" s="9"/>
      <c r="V272" s="9"/>
      <c r="W272" s="9"/>
      <c r="X272" s="9"/>
      <c r="Y272" s="9"/>
      <c r="Z272" s="9"/>
      <c r="AA272" s="9"/>
      <c r="AB272" s="9"/>
      <c r="AC272" s="9"/>
      <c r="AD272" s="9"/>
    </row>
    <row r="273" spans="1:30" ht="29">
      <c r="A273" s="3" t="s">
        <v>856</v>
      </c>
      <c r="B273" s="3" t="s">
        <v>5520</v>
      </c>
      <c r="C273" s="3" t="s">
        <v>5521</v>
      </c>
      <c r="G273" s="9" t="s">
        <v>3889</v>
      </c>
      <c r="H273" s="9"/>
      <c r="I273" s="9">
        <v>1</v>
      </c>
      <c r="J273" s="9">
        <v>2</v>
      </c>
      <c r="K273" s="9" t="s">
        <v>8689</v>
      </c>
      <c r="L273" s="9" t="s">
        <v>8730</v>
      </c>
      <c r="M273" s="9"/>
      <c r="N273" s="10"/>
      <c r="O273" s="9" t="s">
        <v>8685</v>
      </c>
      <c r="P273" s="9">
        <v>10929</v>
      </c>
      <c r="Q273" s="9">
        <f t="shared" si="4"/>
        <v>1406.0027530843549</v>
      </c>
      <c r="R273" s="9"/>
      <c r="S273" s="9" t="s">
        <v>9321</v>
      </c>
      <c r="T273" s="9" t="s">
        <v>9321</v>
      </c>
      <c r="U273" s="9"/>
      <c r="V273" s="9"/>
      <c r="W273" s="9"/>
      <c r="X273" s="9"/>
      <c r="Y273" s="9"/>
      <c r="Z273" s="9"/>
      <c r="AA273" s="9"/>
      <c r="AB273" s="9"/>
      <c r="AC273" s="9"/>
      <c r="AD273" s="9"/>
    </row>
    <row r="274" spans="1:30" ht="29">
      <c r="A274" s="3" t="s">
        <v>861</v>
      </c>
      <c r="B274" s="3" t="s">
        <v>5530</v>
      </c>
      <c r="C274" s="3" t="s">
        <v>5531</v>
      </c>
      <c r="G274" s="9" t="s">
        <v>3889</v>
      </c>
      <c r="H274" s="9"/>
      <c r="I274" s="9">
        <v>1</v>
      </c>
      <c r="J274" s="9">
        <v>1</v>
      </c>
      <c r="K274" s="9" t="s">
        <v>8689</v>
      </c>
      <c r="L274" s="9" t="s">
        <v>8730</v>
      </c>
      <c r="M274" s="9"/>
      <c r="N274" s="10"/>
      <c r="O274" s="9"/>
      <c r="P274" s="9">
        <v>10929</v>
      </c>
      <c r="Q274" s="9">
        <f t="shared" si="4"/>
        <v>1406.0027530843549</v>
      </c>
      <c r="R274" s="9"/>
      <c r="S274" s="9" t="s">
        <v>9321</v>
      </c>
      <c r="T274" s="9" t="s">
        <v>9321</v>
      </c>
      <c r="U274" s="9"/>
      <c r="V274" s="9"/>
      <c r="W274" s="9"/>
      <c r="X274" s="9"/>
      <c r="Y274" s="9"/>
      <c r="Z274" s="9"/>
      <c r="AA274" s="9"/>
      <c r="AB274" s="9"/>
      <c r="AC274" s="9"/>
      <c r="AD274" s="9"/>
    </row>
    <row r="275" spans="1:30" ht="58">
      <c r="A275" s="3" t="s">
        <v>863</v>
      </c>
      <c r="B275" s="3" t="s">
        <v>5542</v>
      </c>
      <c r="C275" s="3" t="s">
        <v>5539</v>
      </c>
      <c r="G275" s="9" t="s">
        <v>3889</v>
      </c>
      <c r="H275" s="9"/>
      <c r="I275" s="9">
        <v>1</v>
      </c>
      <c r="J275" s="9">
        <v>3</v>
      </c>
      <c r="K275" s="9" t="s">
        <v>8689</v>
      </c>
      <c r="L275" s="9" t="s">
        <v>8690</v>
      </c>
      <c r="M275" s="9"/>
      <c r="N275" s="10"/>
      <c r="O275" s="9"/>
      <c r="P275" s="9">
        <v>10929</v>
      </c>
      <c r="Q275" s="9">
        <f t="shared" si="4"/>
        <v>1406.0027530843549</v>
      </c>
      <c r="R275" s="9"/>
      <c r="S275" s="9" t="s">
        <v>9321</v>
      </c>
      <c r="T275" s="9" t="s">
        <v>9321</v>
      </c>
      <c r="U275" s="9"/>
      <c r="V275" s="9"/>
      <c r="W275" s="9"/>
      <c r="X275" s="9"/>
      <c r="Y275" s="9"/>
      <c r="Z275" s="9"/>
      <c r="AA275" s="9"/>
      <c r="AB275" s="9"/>
      <c r="AC275" s="9"/>
      <c r="AD275" s="9"/>
    </row>
    <row r="276" spans="1:30" ht="29">
      <c r="A276" s="3" t="s">
        <v>866</v>
      </c>
      <c r="B276" s="3" t="s">
        <v>5549</v>
      </c>
      <c r="C276" s="3" t="s">
        <v>5550</v>
      </c>
      <c r="G276" s="9" t="s">
        <v>3889</v>
      </c>
      <c r="H276" s="9"/>
      <c r="I276" s="9">
        <v>1</v>
      </c>
      <c r="J276" s="9">
        <v>5</v>
      </c>
      <c r="K276" s="9" t="s">
        <v>8705</v>
      </c>
      <c r="L276" s="9" t="s">
        <v>8690</v>
      </c>
      <c r="M276" s="9"/>
      <c r="N276" s="10"/>
      <c r="O276" s="9"/>
      <c r="P276" s="9">
        <v>3678</v>
      </c>
      <c r="Q276" s="9">
        <f t="shared" si="4"/>
        <v>473.17029241872609</v>
      </c>
      <c r="R276" s="9"/>
      <c r="S276" s="9" t="s">
        <v>9321</v>
      </c>
      <c r="T276" s="9" t="s">
        <v>9321</v>
      </c>
      <c r="U276" s="9"/>
      <c r="V276" s="9"/>
      <c r="W276" s="9"/>
      <c r="X276" s="9"/>
      <c r="Y276" s="9"/>
      <c r="Z276" s="9"/>
      <c r="AA276" s="9"/>
      <c r="AB276" s="9"/>
      <c r="AC276" s="9"/>
      <c r="AD276" s="9"/>
    </row>
    <row r="277" spans="1:30" ht="58">
      <c r="A277" s="3" t="s">
        <v>871</v>
      </c>
      <c r="B277" s="3" t="s">
        <v>5561</v>
      </c>
      <c r="C277" s="3" t="s">
        <v>5562</v>
      </c>
      <c r="G277" s="9" t="s">
        <v>3885</v>
      </c>
      <c r="H277" s="9"/>
      <c r="I277" s="9">
        <v>1</v>
      </c>
      <c r="J277" s="9">
        <v>3</v>
      </c>
      <c r="K277" s="9" t="s">
        <v>8689</v>
      </c>
      <c r="L277" s="9" t="s">
        <v>8690</v>
      </c>
      <c r="M277" s="9"/>
      <c r="N277" s="10"/>
      <c r="O277" s="9"/>
      <c r="P277" s="9">
        <v>10929</v>
      </c>
      <c r="Q277" s="9">
        <f t="shared" si="4"/>
        <v>1406.0027530843549</v>
      </c>
      <c r="R277" s="9"/>
      <c r="S277" s="9" t="s">
        <v>9321</v>
      </c>
      <c r="T277" s="9" t="s">
        <v>9321</v>
      </c>
      <c r="U277" s="9"/>
      <c r="V277" s="9"/>
      <c r="W277" s="9"/>
      <c r="X277" s="9"/>
      <c r="Y277" s="9"/>
      <c r="Z277" s="9"/>
      <c r="AA277" s="9"/>
      <c r="AB277" s="9"/>
      <c r="AC277" s="9"/>
      <c r="AD277" s="9"/>
    </row>
    <row r="278" spans="1:30" ht="58">
      <c r="A278" s="3" t="s">
        <v>871</v>
      </c>
      <c r="B278" s="3" t="s">
        <v>5563</v>
      </c>
      <c r="C278" s="3" t="s">
        <v>5564</v>
      </c>
      <c r="G278" s="9" t="s">
        <v>3889</v>
      </c>
      <c r="H278" s="9"/>
      <c r="I278" s="9">
        <v>1</v>
      </c>
      <c r="J278" s="9">
        <v>2</v>
      </c>
      <c r="K278" s="9" t="s">
        <v>8703</v>
      </c>
      <c r="L278" s="9" t="s">
        <v>8730</v>
      </c>
      <c r="M278" s="9"/>
      <c r="N278" s="10"/>
      <c r="O278" s="9"/>
      <c r="P278" s="9">
        <v>1225</v>
      </c>
      <c r="Q278" s="9">
        <f t="shared" si="4"/>
        <v>157.59478200460561</v>
      </c>
      <c r="R278" s="9"/>
      <c r="S278" s="9" t="s">
        <v>9321</v>
      </c>
      <c r="T278" s="9" t="s">
        <v>9321</v>
      </c>
      <c r="U278" s="9"/>
      <c r="V278" s="9"/>
      <c r="W278" s="9"/>
      <c r="X278" s="9"/>
      <c r="Y278" s="9"/>
      <c r="Z278" s="9"/>
      <c r="AA278" s="9"/>
      <c r="AB278" s="9"/>
      <c r="AC278" s="9"/>
      <c r="AD278" s="9"/>
    </row>
    <row r="279" spans="1:30" ht="58">
      <c r="A279" s="3" t="s">
        <v>872</v>
      </c>
      <c r="B279" s="3" t="s">
        <v>5565</v>
      </c>
      <c r="C279" s="3" t="s">
        <v>5566</v>
      </c>
      <c r="F279" t="s">
        <v>3884</v>
      </c>
      <c r="G279" s="9" t="s">
        <v>3885</v>
      </c>
      <c r="H279" s="9"/>
      <c r="I279" s="9">
        <v>1</v>
      </c>
      <c r="J279" s="9">
        <v>3</v>
      </c>
      <c r="K279" s="9" t="s">
        <v>8698</v>
      </c>
      <c r="L279" s="9" t="s">
        <v>8690</v>
      </c>
      <c r="M279" s="9"/>
      <c r="N279" s="10"/>
      <c r="O279" s="9"/>
      <c r="P279" s="9">
        <v>9418</v>
      </c>
      <c r="Q279" s="9">
        <f t="shared" si="4"/>
        <v>1211.6144138117354</v>
      </c>
      <c r="R279" s="9"/>
      <c r="S279" s="9" t="s">
        <v>9321</v>
      </c>
      <c r="T279" s="9" t="s">
        <v>9321</v>
      </c>
      <c r="U279" s="9"/>
      <c r="V279" s="9"/>
      <c r="W279" s="9"/>
      <c r="X279" s="9"/>
      <c r="Y279" s="9"/>
      <c r="Z279" s="9"/>
      <c r="AA279" s="9"/>
      <c r="AB279" s="9"/>
      <c r="AC279" s="9"/>
      <c r="AD279" s="9"/>
    </row>
    <row r="280" spans="1:30" ht="43.5">
      <c r="A280" s="3" t="s">
        <v>877</v>
      </c>
      <c r="B280" s="3" t="s">
        <v>5576</v>
      </c>
      <c r="C280" s="3" t="s">
        <v>5577</v>
      </c>
      <c r="G280" s="9" t="s">
        <v>3885</v>
      </c>
      <c r="H280" s="9"/>
      <c r="I280" s="9">
        <v>1</v>
      </c>
      <c r="J280" s="9">
        <v>1</v>
      </c>
      <c r="K280" s="9" t="s">
        <v>8689</v>
      </c>
      <c r="L280" s="9" t="s">
        <v>8730</v>
      </c>
      <c r="M280" s="9"/>
      <c r="N280" s="10"/>
      <c r="O280" s="9"/>
      <c r="P280" s="9">
        <v>10929</v>
      </c>
      <c r="Q280" s="9">
        <f t="shared" si="4"/>
        <v>1406.0027530843549</v>
      </c>
      <c r="R280" s="9"/>
      <c r="S280" s="9" t="s">
        <v>9321</v>
      </c>
      <c r="T280" s="9" t="s">
        <v>9321</v>
      </c>
      <c r="U280" s="9"/>
      <c r="V280" s="9"/>
      <c r="W280" s="9"/>
      <c r="X280" s="9"/>
      <c r="Y280" s="9"/>
      <c r="Z280" s="9"/>
      <c r="AA280" s="9"/>
      <c r="AB280" s="9"/>
      <c r="AC280" s="9"/>
      <c r="AD280" s="9"/>
    </row>
    <row r="281" spans="1:30" ht="43.5">
      <c r="A281" s="3" t="s">
        <v>879</v>
      </c>
      <c r="B281" s="3" t="s">
        <v>5580</v>
      </c>
      <c r="C281" s="3" t="s">
        <v>5581</v>
      </c>
      <c r="G281" s="9" t="s">
        <v>3889</v>
      </c>
      <c r="H281" s="9"/>
      <c r="I281" s="9">
        <v>1</v>
      </c>
      <c r="J281" s="9">
        <v>5</v>
      </c>
      <c r="K281" s="9" t="s">
        <v>8705</v>
      </c>
      <c r="L281" s="9" t="s">
        <v>8690</v>
      </c>
      <c r="M281" s="9"/>
      <c r="N281" s="10"/>
      <c r="O281" s="9"/>
      <c r="P281" s="9">
        <v>3678</v>
      </c>
      <c r="Q281" s="9">
        <f t="shared" si="4"/>
        <v>473.17029241872609</v>
      </c>
      <c r="R281" s="9"/>
      <c r="S281" s="9" t="s">
        <v>9321</v>
      </c>
      <c r="T281" s="9" t="s">
        <v>9321</v>
      </c>
      <c r="U281" s="9"/>
      <c r="V281" s="9"/>
      <c r="W281" s="9"/>
      <c r="X281" s="9"/>
      <c r="Y281" s="9"/>
      <c r="Z281" s="9"/>
      <c r="AA281" s="9"/>
      <c r="AB281" s="9"/>
      <c r="AC281" s="9"/>
      <c r="AD281" s="9"/>
    </row>
    <row r="282" spans="1:30" ht="58">
      <c r="A282" s="3" t="s">
        <v>882</v>
      </c>
      <c r="B282" s="3" t="s">
        <v>5582</v>
      </c>
      <c r="C282" s="3" t="s">
        <v>5583</v>
      </c>
      <c r="G282" s="9" t="s">
        <v>3889</v>
      </c>
      <c r="H282" s="9"/>
      <c r="I282" s="9">
        <v>1</v>
      </c>
      <c r="J282" s="9">
        <v>3</v>
      </c>
      <c r="K282" s="9" t="s">
        <v>8698</v>
      </c>
      <c r="L282" s="9" t="s">
        <v>8690</v>
      </c>
      <c r="M282" s="9"/>
      <c r="N282" s="10"/>
      <c r="O282" s="9"/>
      <c r="P282" s="9">
        <v>9418</v>
      </c>
      <c r="Q282" s="9">
        <f t="shared" si="4"/>
        <v>1211.6144138117354</v>
      </c>
      <c r="R282" s="9"/>
      <c r="S282" s="9" t="s">
        <v>9321</v>
      </c>
      <c r="T282" s="9" t="s">
        <v>9321</v>
      </c>
      <c r="U282" s="9"/>
      <c r="V282" s="9"/>
      <c r="W282" s="9"/>
      <c r="X282" s="9"/>
      <c r="Y282" s="9"/>
      <c r="Z282" s="9"/>
      <c r="AA282" s="9"/>
      <c r="AB282" s="9"/>
      <c r="AC282" s="9"/>
      <c r="AD282" s="9"/>
    </row>
    <row r="283" spans="1:30" ht="58">
      <c r="A283" s="3" t="s">
        <v>891</v>
      </c>
      <c r="B283" s="3" t="s">
        <v>5598</v>
      </c>
      <c r="C283" s="3" t="s">
        <v>5599</v>
      </c>
      <c r="F283" t="s">
        <v>3884</v>
      </c>
      <c r="G283" s="9" t="s">
        <v>3885</v>
      </c>
      <c r="H283" s="9"/>
      <c r="I283" s="9">
        <v>1</v>
      </c>
      <c r="J283" s="9">
        <v>9</v>
      </c>
      <c r="K283" s="9" t="s">
        <v>8703</v>
      </c>
      <c r="L283" s="9" t="s">
        <v>8690</v>
      </c>
      <c r="M283" s="9"/>
      <c r="N283" s="10"/>
      <c r="O283" s="9"/>
      <c r="P283" s="9">
        <v>109</v>
      </c>
      <c r="Q283" s="9">
        <f t="shared" si="4"/>
        <v>14.022719378368992</v>
      </c>
      <c r="R283" s="9"/>
      <c r="S283" s="9" t="s">
        <v>9321</v>
      </c>
      <c r="T283" s="9" t="s">
        <v>9321</v>
      </c>
      <c r="U283" s="9"/>
      <c r="V283" s="9"/>
      <c r="W283" s="9"/>
      <c r="X283" s="9"/>
      <c r="Y283" s="9"/>
      <c r="Z283" s="9"/>
      <c r="AA283" s="9"/>
      <c r="AB283" s="9"/>
      <c r="AC283" s="9"/>
      <c r="AD283" s="9"/>
    </row>
    <row r="284" spans="1:30" ht="43.5">
      <c r="A284" s="3" t="s">
        <v>892</v>
      </c>
      <c r="B284" s="3" t="s">
        <v>5600</v>
      </c>
      <c r="C284" s="3" t="s">
        <v>5601</v>
      </c>
      <c r="G284" s="9" t="s">
        <v>3889</v>
      </c>
      <c r="H284" s="9"/>
      <c r="I284" s="9">
        <v>1</v>
      </c>
      <c r="J284" s="9">
        <v>3</v>
      </c>
      <c r="K284" s="9" t="s">
        <v>8689</v>
      </c>
      <c r="L284" s="9" t="s">
        <v>8684</v>
      </c>
      <c r="M284" s="9" t="s">
        <v>8777</v>
      </c>
      <c r="N284" s="10" t="s">
        <v>8778</v>
      </c>
      <c r="O284" s="9"/>
      <c r="P284" s="9">
        <v>10929</v>
      </c>
      <c r="Q284" s="9">
        <f t="shared" si="4"/>
        <v>1406.0027530843549</v>
      </c>
      <c r="R284" s="9"/>
      <c r="S284" s="9" t="s">
        <v>9321</v>
      </c>
      <c r="T284" s="9" t="s">
        <v>9321</v>
      </c>
      <c r="U284" s="9"/>
      <c r="V284" s="9"/>
      <c r="W284" s="9"/>
      <c r="X284" s="9"/>
      <c r="Y284" s="9"/>
      <c r="Z284" s="9"/>
      <c r="AA284" s="9"/>
      <c r="AB284" s="9"/>
      <c r="AC284" s="9"/>
      <c r="AD284" s="9"/>
    </row>
    <row r="285" spans="1:30" ht="43.5">
      <c r="A285" s="3" t="s">
        <v>892</v>
      </c>
      <c r="B285" s="3" t="s">
        <v>5602</v>
      </c>
      <c r="C285" s="3" t="s">
        <v>5603</v>
      </c>
      <c r="G285" s="9" t="s">
        <v>3889</v>
      </c>
      <c r="H285" s="9"/>
      <c r="I285" s="9">
        <v>1</v>
      </c>
      <c r="J285" s="9">
        <v>2</v>
      </c>
      <c r="K285" s="9" t="s">
        <v>8695</v>
      </c>
      <c r="L285" s="9" t="s">
        <v>8730</v>
      </c>
      <c r="M285" s="9"/>
      <c r="N285" s="10"/>
      <c r="O285" s="9"/>
      <c r="P285" s="9">
        <v>203</v>
      </c>
      <c r="Q285" s="9">
        <f t="shared" si="4"/>
        <v>26.115706732191789</v>
      </c>
      <c r="R285" s="9"/>
      <c r="S285" s="9" t="s">
        <v>9321</v>
      </c>
      <c r="T285" s="9" t="s">
        <v>9321</v>
      </c>
      <c r="U285" s="9"/>
      <c r="V285" s="9"/>
      <c r="W285" s="9"/>
      <c r="X285" s="9"/>
      <c r="Y285" s="9"/>
      <c r="Z285" s="9"/>
      <c r="AA285" s="9"/>
      <c r="AB285" s="9"/>
      <c r="AC285" s="9"/>
      <c r="AD285" s="9"/>
    </row>
    <row r="286" spans="1:30" ht="58">
      <c r="A286" s="3" t="s">
        <v>898</v>
      </c>
      <c r="B286" s="3" t="s">
        <v>5608</v>
      </c>
      <c r="C286" s="3" t="s">
        <v>9055</v>
      </c>
      <c r="G286" s="9" t="s">
        <v>3885</v>
      </c>
      <c r="H286" s="9"/>
      <c r="I286" s="9">
        <v>1</v>
      </c>
      <c r="J286" s="9">
        <v>1</v>
      </c>
      <c r="K286" s="9" t="s">
        <v>8689</v>
      </c>
      <c r="L286" s="9" t="s">
        <v>8730</v>
      </c>
      <c r="M286" s="9"/>
      <c r="N286" s="10"/>
      <c r="O286" s="9"/>
      <c r="P286" s="9">
        <v>10929</v>
      </c>
      <c r="Q286" s="9">
        <f t="shared" si="4"/>
        <v>1406.0027530843549</v>
      </c>
      <c r="R286" s="9"/>
      <c r="S286" s="9" t="s">
        <v>9321</v>
      </c>
      <c r="T286" s="9" t="s">
        <v>9321</v>
      </c>
      <c r="U286" s="9"/>
      <c r="V286" s="9"/>
      <c r="W286" s="9"/>
      <c r="X286" s="9"/>
      <c r="Y286" s="9"/>
      <c r="Z286" s="9"/>
      <c r="AA286" s="9"/>
      <c r="AB286" s="9"/>
      <c r="AC286" s="9"/>
      <c r="AD286" s="9"/>
    </row>
    <row r="287" spans="1:30" ht="101.5">
      <c r="A287" s="3" t="s">
        <v>899</v>
      </c>
      <c r="B287" s="3" t="s">
        <v>5609</v>
      </c>
      <c r="C287" s="3" t="s">
        <v>5610</v>
      </c>
      <c r="F287" t="s">
        <v>3884</v>
      </c>
      <c r="G287" s="9" t="s">
        <v>3889</v>
      </c>
      <c r="H287" s="9"/>
      <c r="I287" s="9">
        <v>1</v>
      </c>
      <c r="J287" s="9">
        <v>10</v>
      </c>
      <c r="K287" s="9" t="s">
        <v>8736</v>
      </c>
      <c r="L287" s="9" t="s">
        <v>8730</v>
      </c>
      <c r="M287" s="9"/>
      <c r="N287" s="10"/>
      <c r="O287" s="9"/>
      <c r="P287" s="9">
        <v>128</v>
      </c>
      <c r="Q287" s="9">
        <f t="shared" si="4"/>
        <v>16.467046609460834</v>
      </c>
      <c r="R287" s="9"/>
      <c r="S287" s="9" t="s">
        <v>9321</v>
      </c>
      <c r="T287" s="9" t="s">
        <v>9321</v>
      </c>
      <c r="U287" s="9"/>
      <c r="V287" s="9"/>
      <c r="W287" s="9"/>
      <c r="X287" s="9"/>
      <c r="Y287" s="9"/>
      <c r="Z287" s="9"/>
      <c r="AA287" s="9"/>
      <c r="AB287" s="9"/>
      <c r="AC287" s="9"/>
      <c r="AD287" s="9"/>
    </row>
    <row r="288" spans="1:30" ht="58">
      <c r="A288" s="3" t="s">
        <v>903</v>
      </c>
      <c r="B288" s="3" t="s">
        <v>5613</v>
      </c>
      <c r="C288" s="3" t="s">
        <v>5614</v>
      </c>
      <c r="F288" t="s">
        <v>3884</v>
      </c>
      <c r="G288" s="9" t="s">
        <v>3885</v>
      </c>
      <c r="H288" s="9"/>
      <c r="I288" s="9">
        <v>1</v>
      </c>
      <c r="J288" s="9">
        <v>3</v>
      </c>
      <c r="K288" s="9" t="s">
        <v>8689</v>
      </c>
      <c r="L288" s="9" t="s">
        <v>8690</v>
      </c>
      <c r="M288" s="9"/>
      <c r="N288" s="10"/>
      <c r="O288" s="9"/>
      <c r="P288" s="9">
        <v>10929</v>
      </c>
      <c r="Q288" s="9">
        <f t="shared" si="4"/>
        <v>1406.0027530843549</v>
      </c>
      <c r="R288" s="9"/>
      <c r="S288" s="9" t="s">
        <v>9321</v>
      </c>
      <c r="T288" s="9" t="s">
        <v>9321</v>
      </c>
      <c r="U288" s="9"/>
      <c r="V288" s="9"/>
      <c r="W288" s="9"/>
      <c r="X288" s="9"/>
      <c r="Y288" s="9"/>
      <c r="Z288" s="9"/>
      <c r="AA288" s="9"/>
      <c r="AB288" s="9"/>
      <c r="AC288" s="9"/>
      <c r="AD288" s="9"/>
    </row>
    <row r="289" spans="1:30" ht="58">
      <c r="A289" s="3" t="s">
        <v>905</v>
      </c>
      <c r="B289" s="3" t="s">
        <v>5615</v>
      </c>
      <c r="C289" s="3" t="s">
        <v>5616</v>
      </c>
      <c r="G289" s="9" t="s">
        <v>3889</v>
      </c>
      <c r="H289" s="9"/>
      <c r="I289" s="9">
        <v>1</v>
      </c>
      <c r="J289" s="9">
        <v>3</v>
      </c>
      <c r="K289" s="9" t="s">
        <v>8689</v>
      </c>
      <c r="L289" s="9" t="s">
        <v>8690</v>
      </c>
      <c r="M289" s="9"/>
      <c r="N289" s="10"/>
      <c r="O289" s="9"/>
      <c r="P289" s="9">
        <v>10929</v>
      </c>
      <c r="Q289" s="9">
        <f t="shared" si="4"/>
        <v>1406.0027530843549</v>
      </c>
      <c r="R289" s="9"/>
      <c r="S289" s="9" t="s">
        <v>9321</v>
      </c>
      <c r="T289" s="9" t="s">
        <v>9321</v>
      </c>
      <c r="U289" s="9"/>
      <c r="V289" s="9"/>
      <c r="W289" s="9"/>
      <c r="X289" s="9"/>
      <c r="Y289" s="9"/>
      <c r="Z289" s="9"/>
      <c r="AA289" s="9"/>
      <c r="AB289" s="9"/>
      <c r="AC289" s="9"/>
      <c r="AD289" s="9"/>
    </row>
    <row r="290" spans="1:30" ht="58">
      <c r="A290" s="3" t="s">
        <v>906</v>
      </c>
      <c r="B290" s="3" t="s">
        <v>5617</v>
      </c>
      <c r="C290" s="3" t="s">
        <v>5618</v>
      </c>
      <c r="F290" t="s">
        <v>3884</v>
      </c>
      <c r="G290" s="9" t="s">
        <v>3889</v>
      </c>
      <c r="H290" s="9"/>
      <c r="I290" s="9">
        <v>1</v>
      </c>
      <c r="J290" s="9">
        <v>3</v>
      </c>
      <c r="K290" s="9" t="s">
        <v>8689</v>
      </c>
      <c r="L290" s="9" t="s">
        <v>8690</v>
      </c>
      <c r="M290" s="9"/>
      <c r="N290" s="10"/>
      <c r="O290" s="9"/>
      <c r="P290" s="9">
        <v>10929</v>
      </c>
      <c r="Q290" s="9">
        <f t="shared" si="4"/>
        <v>1406.0027530843549</v>
      </c>
      <c r="R290" s="9"/>
      <c r="S290" s="9" t="s">
        <v>9321</v>
      </c>
      <c r="T290" s="9" t="s">
        <v>9321</v>
      </c>
      <c r="U290" s="9" t="s">
        <v>8728</v>
      </c>
      <c r="V290" s="9"/>
      <c r="W290" s="9"/>
      <c r="X290" s="9"/>
      <c r="Y290" s="9"/>
      <c r="Z290" s="9"/>
      <c r="AA290" s="9"/>
      <c r="AB290" s="9"/>
      <c r="AC290" s="9"/>
      <c r="AD290" s="9"/>
    </row>
    <row r="291" spans="1:30" ht="43.5">
      <c r="A291" s="3" t="s">
        <v>910</v>
      </c>
      <c r="B291" s="3" t="s">
        <v>5625</v>
      </c>
      <c r="C291" s="3" t="s">
        <v>5626</v>
      </c>
      <c r="F291" t="s">
        <v>3884</v>
      </c>
      <c r="G291" s="9" t="s">
        <v>3885</v>
      </c>
      <c r="H291" s="9"/>
      <c r="I291" s="9">
        <v>1</v>
      </c>
      <c r="J291" s="9">
        <v>2</v>
      </c>
      <c r="K291" s="9" t="s">
        <v>8707</v>
      </c>
      <c r="L291" s="9" t="s">
        <v>8730</v>
      </c>
      <c r="M291" s="9"/>
      <c r="N291" s="10"/>
      <c r="O291" s="9"/>
      <c r="P291" s="9">
        <v>519</v>
      </c>
      <c r="Q291" s="9">
        <f t="shared" si="4"/>
        <v>66.768728049298218</v>
      </c>
      <c r="R291" s="9"/>
      <c r="S291" s="9" t="s">
        <v>9321</v>
      </c>
      <c r="T291" s="9" t="s">
        <v>9321</v>
      </c>
      <c r="U291" s="9"/>
      <c r="V291" s="9"/>
      <c r="W291" s="9"/>
      <c r="X291" s="9"/>
      <c r="Y291" s="9"/>
      <c r="Z291" s="9"/>
      <c r="AA291" s="9"/>
      <c r="AB291" s="9"/>
      <c r="AC291" s="9"/>
      <c r="AD291" s="9"/>
    </row>
    <row r="292" spans="1:30" ht="72.5">
      <c r="A292" s="3" t="s">
        <v>912</v>
      </c>
      <c r="B292" s="3" t="s">
        <v>5629</v>
      </c>
      <c r="C292" s="3" t="s">
        <v>5630</v>
      </c>
      <c r="G292" s="9" t="s">
        <v>3889</v>
      </c>
      <c r="H292" s="9"/>
      <c r="I292" s="9">
        <v>2</v>
      </c>
      <c r="J292" s="9">
        <v>6</v>
      </c>
      <c r="K292" s="9"/>
      <c r="L292" s="9" t="s">
        <v>8690</v>
      </c>
      <c r="M292" s="9"/>
      <c r="N292" s="10"/>
      <c r="O292" s="9"/>
      <c r="P292" s="9">
        <v>131</v>
      </c>
      <c r="Q292" s="9">
        <f t="shared" si="4"/>
        <v>16.852993014370071</v>
      </c>
      <c r="R292" s="9"/>
      <c r="S292" s="9" t="s">
        <v>9321</v>
      </c>
      <c r="T292" s="9" t="s">
        <v>9321</v>
      </c>
      <c r="U292" s="9"/>
      <c r="V292" s="9"/>
      <c r="W292" s="9"/>
      <c r="X292" s="9"/>
      <c r="Y292" s="9"/>
      <c r="Z292" s="9"/>
      <c r="AA292" s="9"/>
      <c r="AB292" s="9"/>
      <c r="AC292" s="9"/>
      <c r="AD292" s="9"/>
    </row>
    <row r="293" spans="1:30" ht="29">
      <c r="A293" s="3" t="s">
        <v>915</v>
      </c>
      <c r="B293" s="3" t="s">
        <v>5635</v>
      </c>
      <c r="C293" s="3" t="s">
        <v>5636</v>
      </c>
      <c r="G293" s="9" t="s">
        <v>3889</v>
      </c>
      <c r="H293" s="9"/>
      <c r="I293" s="9">
        <v>1</v>
      </c>
      <c r="J293" s="9">
        <v>2</v>
      </c>
      <c r="K293" s="9" t="s">
        <v>8707</v>
      </c>
      <c r="L293" s="9" t="s">
        <v>8730</v>
      </c>
      <c r="M293" s="9"/>
      <c r="N293" s="10"/>
      <c r="O293" s="9"/>
      <c r="P293" s="9">
        <v>519</v>
      </c>
      <c r="Q293" s="9">
        <f t="shared" si="4"/>
        <v>66.768728049298218</v>
      </c>
      <c r="R293" s="9"/>
      <c r="S293" s="9" t="s">
        <v>9321</v>
      </c>
      <c r="T293" s="9" t="s">
        <v>9321</v>
      </c>
      <c r="U293" s="9"/>
      <c r="V293" s="9"/>
      <c r="W293" s="9"/>
      <c r="X293" s="9"/>
      <c r="Y293" s="9"/>
      <c r="Z293" s="9"/>
      <c r="AA293" s="9"/>
      <c r="AB293" s="9"/>
      <c r="AC293" s="9"/>
      <c r="AD293" s="9"/>
    </row>
    <row r="294" spans="1:30" ht="29">
      <c r="A294" s="3" t="s">
        <v>926</v>
      </c>
      <c r="B294" s="3" t="s">
        <v>5658</v>
      </c>
      <c r="C294" s="3" t="s">
        <v>5659</v>
      </c>
      <c r="F294" t="s">
        <v>3884</v>
      </c>
      <c r="G294" s="9" t="s">
        <v>3889</v>
      </c>
      <c r="H294" s="9"/>
      <c r="I294" s="9">
        <v>1</v>
      </c>
      <c r="J294" s="9">
        <v>3</v>
      </c>
      <c r="K294" s="9" t="s">
        <v>8705</v>
      </c>
      <c r="L294" s="9" t="s">
        <v>8690</v>
      </c>
      <c r="M294" s="9"/>
      <c r="N294" s="10"/>
      <c r="O294" s="9"/>
      <c r="P294" s="9">
        <v>991</v>
      </c>
      <c r="Q294" s="9">
        <f t="shared" si="4"/>
        <v>127.49096242168504</v>
      </c>
      <c r="R294" s="9"/>
      <c r="S294" s="9" t="s">
        <v>9321</v>
      </c>
      <c r="T294" s="9" t="s">
        <v>9321</v>
      </c>
      <c r="U294" s="9"/>
      <c r="V294" s="9"/>
      <c r="W294" s="9"/>
      <c r="X294" s="9"/>
      <c r="Y294" s="9"/>
      <c r="Z294" s="9"/>
      <c r="AA294" s="9"/>
      <c r="AB294" s="9"/>
      <c r="AC294" s="9"/>
      <c r="AD294" s="9"/>
    </row>
    <row r="295" spans="1:30" ht="43.5">
      <c r="A295" s="3" t="s">
        <v>931</v>
      </c>
      <c r="B295" s="3" t="s">
        <v>5669</v>
      </c>
      <c r="C295" s="3" t="s">
        <v>5670</v>
      </c>
      <c r="G295" s="9" t="s">
        <v>3889</v>
      </c>
      <c r="H295" s="9"/>
      <c r="I295" s="9">
        <v>1</v>
      </c>
      <c r="J295" s="9">
        <v>2</v>
      </c>
      <c r="K295" s="9" t="s">
        <v>8707</v>
      </c>
      <c r="L295" s="9" t="s">
        <v>8730</v>
      </c>
      <c r="M295" s="9"/>
      <c r="N295" s="10"/>
      <c r="O295" s="9"/>
      <c r="P295" s="9">
        <v>519</v>
      </c>
      <c r="Q295" s="9">
        <f t="shared" si="4"/>
        <v>66.768728049298218</v>
      </c>
      <c r="R295" s="9"/>
      <c r="S295" s="9" t="s">
        <v>9321</v>
      </c>
      <c r="T295" s="9" t="s">
        <v>9321</v>
      </c>
      <c r="U295" s="9"/>
      <c r="V295" s="9"/>
      <c r="W295" s="9"/>
      <c r="X295" s="9"/>
      <c r="Y295" s="9"/>
      <c r="Z295" s="9"/>
      <c r="AA295" s="9"/>
      <c r="AB295" s="9"/>
      <c r="AC295" s="9"/>
      <c r="AD295" s="9"/>
    </row>
    <row r="296" spans="1:30" ht="29">
      <c r="A296" s="3" t="s">
        <v>933</v>
      </c>
      <c r="B296" s="3" t="s">
        <v>5675</v>
      </c>
      <c r="C296" s="3" t="s">
        <v>5676</v>
      </c>
      <c r="F296" t="s">
        <v>3884</v>
      </c>
      <c r="G296" s="9" t="s">
        <v>3885</v>
      </c>
      <c r="H296" s="9"/>
      <c r="I296" s="9">
        <v>1</v>
      </c>
      <c r="J296" s="9">
        <v>3</v>
      </c>
      <c r="K296" s="9" t="s">
        <v>8698</v>
      </c>
      <c r="L296" s="9" t="s">
        <v>8690</v>
      </c>
      <c r="M296" s="9"/>
      <c r="N296" s="10"/>
      <c r="O296" s="9"/>
      <c r="P296" s="9">
        <v>9418</v>
      </c>
      <c r="Q296" s="9">
        <f t="shared" si="4"/>
        <v>1211.6144138117354</v>
      </c>
      <c r="R296" s="9"/>
      <c r="S296" s="9" t="s">
        <v>9321</v>
      </c>
      <c r="T296" s="9" t="s">
        <v>9321</v>
      </c>
      <c r="U296" s="9"/>
      <c r="V296" s="9"/>
      <c r="W296" s="9"/>
      <c r="X296" s="9"/>
      <c r="Y296" s="9"/>
      <c r="Z296" s="9"/>
      <c r="AA296" s="9"/>
      <c r="AB296" s="9"/>
      <c r="AC296" s="9"/>
      <c r="AD296" s="9"/>
    </row>
    <row r="297" spans="1:30" ht="58">
      <c r="A297" s="3" t="s">
        <v>941</v>
      </c>
      <c r="B297" s="3" t="s">
        <v>5692</v>
      </c>
      <c r="C297" s="3" t="s">
        <v>5693</v>
      </c>
      <c r="G297" s="9" t="s">
        <v>3889</v>
      </c>
      <c r="H297" s="9"/>
      <c r="I297" s="9">
        <v>1</v>
      </c>
      <c r="J297" s="9">
        <v>7</v>
      </c>
      <c r="K297" s="9" t="s">
        <v>8703</v>
      </c>
      <c r="L297" s="9" t="s">
        <v>8690</v>
      </c>
      <c r="M297" s="9"/>
      <c r="N297" s="10"/>
      <c r="O297" s="9"/>
      <c r="P297" s="9">
        <v>20</v>
      </c>
      <c r="Q297" s="9">
        <f t="shared" si="4"/>
        <v>2.5729760327282549</v>
      </c>
      <c r="R297" s="9"/>
      <c r="S297" s="9" t="s">
        <v>9321</v>
      </c>
      <c r="T297" s="9" t="s">
        <v>9321</v>
      </c>
      <c r="U297" s="9"/>
      <c r="V297" s="9"/>
      <c r="W297" s="9"/>
      <c r="X297" s="9"/>
      <c r="Y297" s="9"/>
      <c r="Z297" s="9"/>
      <c r="AA297" s="9"/>
      <c r="AB297" s="9"/>
      <c r="AC297" s="9"/>
      <c r="AD297" s="9"/>
    </row>
    <row r="298" spans="1:30" ht="29">
      <c r="A298" s="3" t="s">
        <v>942</v>
      </c>
      <c r="B298" s="3" t="s">
        <v>5694</v>
      </c>
      <c r="C298" s="3" t="s">
        <v>5695</v>
      </c>
      <c r="F298" t="s">
        <v>3884</v>
      </c>
      <c r="G298" s="9" t="s">
        <v>3885</v>
      </c>
      <c r="H298" s="9"/>
      <c r="I298" s="9">
        <v>1</v>
      </c>
      <c r="J298" s="9">
        <v>1</v>
      </c>
      <c r="K298" s="9" t="s">
        <v>8689</v>
      </c>
      <c r="L298" s="9" t="s">
        <v>8730</v>
      </c>
      <c r="M298" s="9"/>
      <c r="N298" s="10"/>
      <c r="O298" s="9"/>
      <c r="P298" s="9">
        <v>10929</v>
      </c>
      <c r="Q298" s="9">
        <f t="shared" si="4"/>
        <v>1406.0027530843549</v>
      </c>
      <c r="R298" s="9"/>
      <c r="S298" s="9" t="s">
        <v>9321</v>
      </c>
      <c r="T298" s="9" t="s">
        <v>9321</v>
      </c>
      <c r="U298" s="9"/>
      <c r="V298" s="9"/>
      <c r="W298" s="9"/>
      <c r="X298" s="9"/>
      <c r="Y298" s="9"/>
      <c r="Z298" s="9"/>
      <c r="AA298" s="9"/>
      <c r="AB298" s="9"/>
      <c r="AC298" s="9"/>
      <c r="AD298" s="9"/>
    </row>
    <row r="299" spans="1:30" ht="29">
      <c r="A299" s="3" t="s">
        <v>949</v>
      </c>
      <c r="B299" s="3" t="s">
        <v>5703</v>
      </c>
      <c r="C299" s="3" t="s">
        <v>5704</v>
      </c>
      <c r="G299" s="9" t="s">
        <v>3889</v>
      </c>
      <c r="H299" s="9"/>
      <c r="I299" s="9">
        <v>1</v>
      </c>
      <c r="J299" s="9">
        <v>2</v>
      </c>
      <c r="K299" s="9" t="s">
        <v>8689</v>
      </c>
      <c r="L299" s="9" t="s">
        <v>8730</v>
      </c>
      <c r="M299" s="9"/>
      <c r="N299" s="10"/>
      <c r="O299" s="9"/>
      <c r="P299" s="9">
        <v>10929</v>
      </c>
      <c r="Q299" s="9">
        <f t="shared" si="4"/>
        <v>1406.0027530843549</v>
      </c>
      <c r="R299" s="9"/>
      <c r="S299" s="9" t="s">
        <v>9321</v>
      </c>
      <c r="T299" s="9" t="s">
        <v>9321</v>
      </c>
      <c r="U299" s="9"/>
      <c r="V299" s="9"/>
      <c r="W299" s="9"/>
      <c r="X299" s="9"/>
      <c r="Y299" s="9"/>
      <c r="Z299" s="9"/>
      <c r="AA299" s="9"/>
      <c r="AB299" s="9"/>
      <c r="AC299" s="9"/>
      <c r="AD299" s="9"/>
    </row>
    <row r="300" spans="1:30" ht="43.5">
      <c r="A300" s="3" t="s">
        <v>950</v>
      </c>
      <c r="B300" s="3" t="s">
        <v>5705</v>
      </c>
      <c r="C300" s="3" t="s">
        <v>5706</v>
      </c>
      <c r="G300" s="9" t="s">
        <v>3885</v>
      </c>
      <c r="H300" s="9"/>
      <c r="I300" s="9">
        <v>1</v>
      </c>
      <c r="J300" s="9">
        <v>3</v>
      </c>
      <c r="K300" s="9" t="s">
        <v>8689</v>
      </c>
      <c r="L300" s="9" t="s">
        <v>8690</v>
      </c>
      <c r="M300" s="9"/>
      <c r="N300" s="10"/>
      <c r="O300" s="9"/>
      <c r="P300" s="9">
        <v>10929</v>
      </c>
      <c r="Q300" s="9">
        <f t="shared" si="4"/>
        <v>1406.0027530843549</v>
      </c>
      <c r="R300" s="9"/>
      <c r="S300" s="9" t="s">
        <v>9321</v>
      </c>
      <c r="T300" s="9" t="s">
        <v>9321</v>
      </c>
      <c r="U300" s="9"/>
      <c r="V300" s="9"/>
      <c r="W300" s="9"/>
      <c r="X300" s="9"/>
      <c r="Y300" s="9"/>
      <c r="Z300" s="9"/>
      <c r="AA300" s="9"/>
      <c r="AB300" s="9"/>
      <c r="AC300" s="9"/>
      <c r="AD300" s="9"/>
    </row>
    <row r="301" spans="1:30" ht="29">
      <c r="A301" s="3" t="s">
        <v>951</v>
      </c>
      <c r="B301" s="3" t="s">
        <v>5709</v>
      </c>
      <c r="C301" s="3" t="s">
        <v>5710</v>
      </c>
      <c r="G301" s="9" t="s">
        <v>3885</v>
      </c>
      <c r="H301" s="9"/>
      <c r="I301" s="9">
        <v>1</v>
      </c>
      <c r="J301" s="9">
        <v>2</v>
      </c>
      <c r="K301" s="9" t="s">
        <v>8689</v>
      </c>
      <c r="L301" s="9" t="s">
        <v>8730</v>
      </c>
      <c r="M301" s="9"/>
      <c r="N301" s="10"/>
      <c r="O301" s="9"/>
      <c r="P301" s="9">
        <v>10929</v>
      </c>
      <c r="Q301" s="9">
        <f t="shared" si="4"/>
        <v>1406.0027530843549</v>
      </c>
      <c r="R301" s="9"/>
      <c r="S301" s="9" t="s">
        <v>9321</v>
      </c>
      <c r="T301" s="9" t="s">
        <v>9321</v>
      </c>
      <c r="U301" s="9"/>
      <c r="V301" s="9"/>
      <c r="W301" s="9"/>
      <c r="X301" s="9"/>
      <c r="Y301" s="9"/>
      <c r="Z301" s="9"/>
      <c r="AA301" s="9"/>
      <c r="AB301" s="9"/>
      <c r="AC301" s="9"/>
      <c r="AD301" s="9"/>
    </row>
    <row r="302" spans="1:30" ht="58">
      <c r="A302" s="3" t="s">
        <v>953</v>
      </c>
      <c r="B302" s="3" t="s">
        <v>5713</v>
      </c>
      <c r="C302" s="3" t="s">
        <v>5714</v>
      </c>
      <c r="F302" t="s">
        <v>3884</v>
      </c>
      <c r="G302" s="9" t="s">
        <v>3889</v>
      </c>
      <c r="H302" s="9"/>
      <c r="I302" s="9">
        <v>2</v>
      </c>
      <c r="J302" s="9">
        <v>7</v>
      </c>
      <c r="K302" s="9"/>
      <c r="L302" s="9" t="s">
        <v>8684</v>
      </c>
      <c r="M302" s="9" t="s">
        <v>8771</v>
      </c>
      <c r="N302" s="10" t="s">
        <v>8778</v>
      </c>
      <c r="O302" s="9"/>
      <c r="P302" s="9">
        <v>68</v>
      </c>
      <c r="Q302" s="9">
        <f t="shared" si="4"/>
        <v>8.7481185112760667</v>
      </c>
      <c r="R302" s="9"/>
      <c r="S302" s="9" t="s">
        <v>9321</v>
      </c>
      <c r="T302" s="9" t="s">
        <v>9321</v>
      </c>
      <c r="U302" s="9"/>
      <c r="V302" s="9"/>
      <c r="W302" s="9"/>
      <c r="X302" s="9"/>
      <c r="Y302" s="9"/>
      <c r="Z302" s="9"/>
      <c r="AA302" s="9"/>
      <c r="AB302" s="9"/>
      <c r="AC302" s="9"/>
      <c r="AD302" s="9"/>
    </row>
    <row r="303" spans="1:30" ht="43.5">
      <c r="A303" s="3" t="s">
        <v>953</v>
      </c>
      <c r="B303" s="3" t="s">
        <v>5715</v>
      </c>
      <c r="C303" s="3" t="s">
        <v>5716</v>
      </c>
      <c r="G303" s="9" t="s">
        <v>3889</v>
      </c>
      <c r="H303" s="9"/>
      <c r="I303" s="9">
        <v>1</v>
      </c>
      <c r="J303" s="9">
        <v>2</v>
      </c>
      <c r="K303" s="9" t="s">
        <v>8689</v>
      </c>
      <c r="L303" s="9" t="s">
        <v>8730</v>
      </c>
      <c r="M303" s="9"/>
      <c r="N303" s="10"/>
      <c r="O303" s="9"/>
      <c r="P303" s="9">
        <v>10929</v>
      </c>
      <c r="Q303" s="9">
        <f t="shared" si="4"/>
        <v>1406.0027530843549</v>
      </c>
      <c r="R303" s="9"/>
      <c r="S303" s="9" t="s">
        <v>9321</v>
      </c>
      <c r="T303" s="9" t="s">
        <v>9321</v>
      </c>
      <c r="U303" s="9"/>
      <c r="V303" s="9"/>
      <c r="W303" s="9"/>
      <c r="X303" s="9"/>
      <c r="Y303" s="9"/>
      <c r="Z303" s="9"/>
      <c r="AA303" s="9"/>
      <c r="AB303" s="9"/>
      <c r="AC303" s="9"/>
      <c r="AD303" s="9"/>
    </row>
    <row r="304" spans="1:30" ht="29">
      <c r="A304" s="3" t="s">
        <v>954</v>
      </c>
      <c r="B304" s="3" t="s">
        <v>5717</v>
      </c>
      <c r="C304" s="3" t="s">
        <v>5718</v>
      </c>
      <c r="F304" t="s">
        <v>3884</v>
      </c>
      <c r="G304" s="9" t="s">
        <v>3889</v>
      </c>
      <c r="H304" s="9"/>
      <c r="I304" s="9">
        <v>1</v>
      </c>
      <c r="J304" s="9">
        <v>3</v>
      </c>
      <c r="K304" s="9" t="s">
        <v>8698</v>
      </c>
      <c r="L304" s="9" t="s">
        <v>8690</v>
      </c>
      <c r="M304" s="9"/>
      <c r="N304" s="10"/>
      <c r="O304" s="9"/>
      <c r="P304" s="9">
        <v>653</v>
      </c>
      <c r="Q304" s="9">
        <f t="shared" si="4"/>
        <v>84.007667468577537</v>
      </c>
      <c r="R304" s="9"/>
      <c r="S304" s="9" t="s">
        <v>9321</v>
      </c>
      <c r="T304" s="9" t="s">
        <v>9321</v>
      </c>
      <c r="U304" s="9"/>
      <c r="V304" s="9"/>
      <c r="W304" s="9"/>
      <c r="X304" s="9"/>
      <c r="Y304" s="9"/>
      <c r="Z304" s="9"/>
      <c r="AA304" s="9"/>
      <c r="AB304" s="9"/>
      <c r="AC304" s="9"/>
      <c r="AD304" s="9"/>
    </row>
    <row r="305" spans="1:30" ht="43.5">
      <c r="A305" s="3" t="s">
        <v>956</v>
      </c>
      <c r="B305" s="3" t="s">
        <v>5721</v>
      </c>
      <c r="C305" s="3" t="s">
        <v>5722</v>
      </c>
      <c r="G305" s="9" t="s">
        <v>3885</v>
      </c>
      <c r="H305" s="9"/>
      <c r="I305" s="9">
        <v>1</v>
      </c>
      <c r="J305" s="9">
        <v>3</v>
      </c>
      <c r="K305" s="9" t="s">
        <v>8698</v>
      </c>
      <c r="L305" s="9" t="s">
        <v>8690</v>
      </c>
      <c r="M305" s="9"/>
      <c r="N305" s="10"/>
      <c r="O305" s="9"/>
      <c r="P305" s="9">
        <v>9418</v>
      </c>
      <c r="Q305" s="9">
        <f t="shared" si="4"/>
        <v>1211.6144138117354</v>
      </c>
      <c r="R305" s="9"/>
      <c r="S305" s="9" t="s">
        <v>9321</v>
      </c>
      <c r="T305" s="9" t="s">
        <v>9321</v>
      </c>
      <c r="U305" s="9"/>
      <c r="V305" s="9"/>
      <c r="W305" s="9"/>
      <c r="X305" s="9"/>
      <c r="Y305" s="9"/>
      <c r="Z305" s="9"/>
      <c r="AA305" s="9"/>
      <c r="AB305" s="9"/>
      <c r="AC305" s="9"/>
      <c r="AD305" s="9"/>
    </row>
    <row r="306" spans="1:30" ht="101.5">
      <c r="A306" s="3" t="s">
        <v>958</v>
      </c>
      <c r="B306" s="3" t="s">
        <v>9063</v>
      </c>
      <c r="C306" s="3" t="s">
        <v>9066</v>
      </c>
      <c r="G306" s="9" t="s">
        <v>3885</v>
      </c>
      <c r="H306" s="9"/>
      <c r="I306" s="9">
        <v>1</v>
      </c>
      <c r="J306" s="9">
        <v>1</v>
      </c>
      <c r="K306" s="9" t="s">
        <v>8698</v>
      </c>
      <c r="L306" s="9" t="s">
        <v>8730</v>
      </c>
      <c r="M306" s="9"/>
      <c r="N306" s="10"/>
      <c r="O306" s="9"/>
      <c r="P306" s="9">
        <v>55</v>
      </c>
      <c r="Q306" s="9">
        <f t="shared" si="4"/>
        <v>7.075684090002702</v>
      </c>
      <c r="R306" s="9"/>
      <c r="S306" s="9" t="s">
        <v>9321</v>
      </c>
      <c r="T306" s="9" t="s">
        <v>9321</v>
      </c>
      <c r="U306" s="9"/>
      <c r="V306" s="9"/>
      <c r="W306" s="9"/>
      <c r="X306" s="9"/>
      <c r="Y306" s="9"/>
      <c r="Z306" s="9"/>
      <c r="AA306" s="9"/>
      <c r="AB306" s="9"/>
      <c r="AC306" s="9"/>
      <c r="AD306" s="9"/>
    </row>
    <row r="307" spans="1:30" ht="72.5">
      <c r="A307" s="3" t="s">
        <v>960</v>
      </c>
      <c r="B307" s="3" t="s">
        <v>9067</v>
      </c>
      <c r="C307" s="3" t="s">
        <v>5736</v>
      </c>
      <c r="G307" s="9" t="s">
        <v>3889</v>
      </c>
      <c r="H307" s="9"/>
      <c r="I307" s="9">
        <v>1</v>
      </c>
      <c r="J307" s="9">
        <v>2</v>
      </c>
      <c r="K307" s="9" t="s">
        <v>8698</v>
      </c>
      <c r="L307" s="9" t="s">
        <v>8730</v>
      </c>
      <c r="M307" s="9"/>
      <c r="N307" s="10"/>
      <c r="O307" s="9"/>
      <c r="P307" s="9">
        <v>55</v>
      </c>
      <c r="Q307" s="9">
        <f t="shared" si="4"/>
        <v>7.075684090002702</v>
      </c>
      <c r="R307" s="9"/>
      <c r="S307" s="9" t="s">
        <v>9321</v>
      </c>
      <c r="T307" s="9" t="s">
        <v>9321</v>
      </c>
      <c r="U307" s="9"/>
      <c r="V307" s="9"/>
      <c r="W307" s="9"/>
      <c r="X307" s="9"/>
      <c r="Y307" s="9"/>
      <c r="Z307" s="9"/>
      <c r="AA307" s="9"/>
      <c r="AB307" s="9"/>
      <c r="AC307" s="9"/>
      <c r="AD307" s="9"/>
    </row>
    <row r="308" spans="1:30" ht="43.5">
      <c r="A308" s="3" t="s">
        <v>963</v>
      </c>
      <c r="B308" s="3" t="s">
        <v>5739</v>
      </c>
      <c r="C308" s="3" t="s">
        <v>5740</v>
      </c>
      <c r="D308" t="s">
        <v>3886</v>
      </c>
      <c r="G308" s="9" t="s">
        <v>3889</v>
      </c>
      <c r="H308" s="9"/>
      <c r="I308" s="9">
        <v>1</v>
      </c>
      <c r="J308" s="9">
        <v>2</v>
      </c>
      <c r="K308" s="9" t="s">
        <v>8689</v>
      </c>
      <c r="L308" s="9" t="s">
        <v>8730</v>
      </c>
      <c r="M308" s="9"/>
      <c r="N308" s="10"/>
      <c r="O308" s="9"/>
      <c r="P308" s="9">
        <v>10929</v>
      </c>
      <c r="Q308" s="9">
        <f t="shared" si="4"/>
        <v>1406.0027530843549</v>
      </c>
      <c r="R308" s="9"/>
      <c r="S308" s="9" t="s">
        <v>9321</v>
      </c>
      <c r="T308" s="9" t="s">
        <v>9321</v>
      </c>
      <c r="U308" s="9"/>
      <c r="V308" s="9"/>
      <c r="W308" s="9"/>
      <c r="X308" s="9"/>
      <c r="Y308" s="9"/>
      <c r="Z308" s="9"/>
      <c r="AA308" s="9"/>
      <c r="AB308" s="9"/>
      <c r="AC308" s="9"/>
      <c r="AD308" s="9"/>
    </row>
    <row r="309" spans="1:30" ht="72.5">
      <c r="A309" s="3" t="s">
        <v>966</v>
      </c>
      <c r="B309" s="3" t="s">
        <v>5748</v>
      </c>
      <c r="C309" s="3" t="s">
        <v>5751</v>
      </c>
      <c r="G309" s="9" t="s">
        <v>3885</v>
      </c>
      <c r="H309" s="9"/>
      <c r="I309" s="9">
        <v>1</v>
      </c>
      <c r="J309" s="9">
        <v>3</v>
      </c>
      <c r="K309" s="9" t="s">
        <v>8689</v>
      </c>
      <c r="L309" s="9" t="s">
        <v>8690</v>
      </c>
      <c r="M309" s="9"/>
      <c r="N309" s="10"/>
      <c r="O309" s="9"/>
      <c r="P309" s="9">
        <v>10929</v>
      </c>
      <c r="Q309" s="9">
        <f t="shared" si="4"/>
        <v>1406.0027530843549</v>
      </c>
      <c r="R309" s="9"/>
      <c r="S309" s="9" t="s">
        <v>9321</v>
      </c>
      <c r="T309" s="9" t="s">
        <v>9321</v>
      </c>
      <c r="U309" s="9"/>
      <c r="V309" s="9"/>
      <c r="W309" s="9"/>
      <c r="X309" s="9"/>
      <c r="Y309" s="9"/>
      <c r="Z309" s="9"/>
      <c r="AA309" s="9"/>
      <c r="AB309" s="9"/>
      <c r="AC309" s="9"/>
      <c r="AD309" s="9"/>
    </row>
    <row r="310" spans="1:30" ht="58">
      <c r="A310" s="3" t="s">
        <v>971</v>
      </c>
      <c r="B310" s="3" t="s">
        <v>5758</v>
      </c>
      <c r="C310" s="3" t="s">
        <v>5759</v>
      </c>
      <c r="F310" t="s">
        <v>3884</v>
      </c>
      <c r="G310" s="9" t="s">
        <v>3889</v>
      </c>
      <c r="H310" s="9"/>
      <c r="I310" s="9">
        <v>2</v>
      </c>
      <c r="J310" s="9">
        <v>4</v>
      </c>
      <c r="K310" s="9"/>
      <c r="L310" s="9" t="s">
        <v>8690</v>
      </c>
      <c r="M310" s="9"/>
      <c r="N310" s="10"/>
      <c r="O310" s="9"/>
      <c r="P310" s="9">
        <v>1225</v>
      </c>
      <c r="Q310" s="9">
        <f t="shared" si="4"/>
        <v>157.59478200460561</v>
      </c>
      <c r="R310" s="9"/>
      <c r="S310" s="9" t="s">
        <v>9321</v>
      </c>
      <c r="T310" s="9" t="s">
        <v>9321</v>
      </c>
      <c r="U310" s="9"/>
      <c r="V310" s="9"/>
      <c r="W310" s="9"/>
      <c r="X310" s="9"/>
      <c r="Y310" s="9"/>
      <c r="Z310" s="9"/>
      <c r="AA310" s="9"/>
      <c r="AB310" s="9"/>
      <c r="AC310" s="9"/>
      <c r="AD310" s="9"/>
    </row>
    <row r="311" spans="1:30" ht="58">
      <c r="A311" s="3" t="s">
        <v>975</v>
      </c>
      <c r="B311" s="3" t="s">
        <v>5764</v>
      </c>
      <c r="C311" s="3" t="s">
        <v>5766</v>
      </c>
      <c r="G311" s="9" t="s">
        <v>3885</v>
      </c>
      <c r="H311" s="9"/>
      <c r="I311" s="9">
        <v>1</v>
      </c>
      <c r="J311" s="9">
        <v>3</v>
      </c>
      <c r="K311" s="9" t="s">
        <v>8689</v>
      </c>
      <c r="L311" s="9" t="s">
        <v>8690</v>
      </c>
      <c r="M311" s="9"/>
      <c r="N311" s="10"/>
      <c r="O311" s="9"/>
      <c r="P311" s="9">
        <v>10929</v>
      </c>
      <c r="Q311" s="9">
        <f t="shared" si="4"/>
        <v>1406.0027530843549</v>
      </c>
      <c r="R311" s="9"/>
      <c r="S311" s="9" t="s">
        <v>9321</v>
      </c>
      <c r="T311" s="9" t="s">
        <v>9321</v>
      </c>
      <c r="U311" s="9"/>
      <c r="V311" s="9"/>
      <c r="W311" s="9"/>
      <c r="X311" s="9"/>
      <c r="Y311" s="9"/>
      <c r="Z311" s="9"/>
      <c r="AA311" s="9"/>
      <c r="AB311" s="9"/>
      <c r="AC311" s="9"/>
      <c r="AD311" s="9"/>
    </row>
    <row r="312" spans="1:30" ht="58">
      <c r="A312" s="3" t="s">
        <v>975</v>
      </c>
      <c r="B312" s="3" t="s">
        <v>5767</v>
      </c>
      <c r="C312" s="3" t="s">
        <v>5765</v>
      </c>
      <c r="G312" s="9" t="s">
        <v>3889</v>
      </c>
      <c r="H312" s="9"/>
      <c r="I312" s="9">
        <v>1</v>
      </c>
      <c r="J312" s="9">
        <v>5</v>
      </c>
      <c r="K312" s="9" t="s">
        <v>8705</v>
      </c>
      <c r="L312" s="9" t="s">
        <v>8684</v>
      </c>
      <c r="M312" s="9" t="s">
        <v>8777</v>
      </c>
      <c r="N312" s="10" t="s">
        <v>8778</v>
      </c>
      <c r="O312" s="9"/>
      <c r="P312" s="9">
        <v>3678</v>
      </c>
      <c r="Q312" s="9">
        <f t="shared" si="4"/>
        <v>473.17029241872609</v>
      </c>
      <c r="R312" s="9"/>
      <c r="S312" s="9" t="s">
        <v>9321</v>
      </c>
      <c r="T312" s="9" t="s">
        <v>9321</v>
      </c>
      <c r="U312" s="9"/>
      <c r="V312" s="9"/>
      <c r="W312" s="9"/>
      <c r="X312" s="9"/>
      <c r="Y312" s="9"/>
      <c r="Z312" s="9"/>
      <c r="AA312" s="9"/>
      <c r="AB312" s="9"/>
      <c r="AC312" s="9"/>
      <c r="AD312" s="9"/>
    </row>
    <row r="313" spans="1:30" ht="43.5">
      <c r="A313" s="3" t="s">
        <v>975</v>
      </c>
      <c r="B313" s="3" t="s">
        <v>5768</v>
      </c>
      <c r="C313" s="3" t="s">
        <v>5769</v>
      </c>
      <c r="G313" s="9" t="s">
        <v>3889</v>
      </c>
      <c r="H313" s="9"/>
      <c r="I313" s="9">
        <v>1</v>
      </c>
      <c r="J313" s="9">
        <v>1</v>
      </c>
      <c r="K313" s="9" t="s">
        <v>8689</v>
      </c>
      <c r="L313" s="9" t="s">
        <v>8730</v>
      </c>
      <c r="M313" s="9"/>
      <c r="N313" s="10"/>
      <c r="O313" s="9"/>
      <c r="P313" s="9">
        <v>10929</v>
      </c>
      <c r="Q313" s="9">
        <f t="shared" si="4"/>
        <v>1406.0027530843549</v>
      </c>
      <c r="R313" s="9"/>
      <c r="S313" s="9" t="s">
        <v>9321</v>
      </c>
      <c r="T313" s="9" t="s">
        <v>9321</v>
      </c>
      <c r="U313" s="9"/>
      <c r="V313" s="9"/>
      <c r="W313" s="9"/>
      <c r="X313" s="9"/>
      <c r="Y313" s="9"/>
      <c r="Z313" s="9"/>
      <c r="AA313" s="9"/>
      <c r="AB313" s="9"/>
      <c r="AC313" s="9"/>
      <c r="AD313" s="9"/>
    </row>
    <row r="314" spans="1:30" ht="43.5">
      <c r="A314" s="3" t="s">
        <v>976</v>
      </c>
      <c r="B314" s="3" t="s">
        <v>5770</v>
      </c>
      <c r="C314" s="3" t="s">
        <v>5771</v>
      </c>
      <c r="F314" t="s">
        <v>3884</v>
      </c>
      <c r="G314" s="9" t="s">
        <v>3885</v>
      </c>
      <c r="H314" s="9"/>
      <c r="I314" s="9">
        <v>1</v>
      </c>
      <c r="J314" s="9">
        <v>2</v>
      </c>
      <c r="K314" s="9" t="s">
        <v>8707</v>
      </c>
      <c r="L314" s="9" t="s">
        <v>8730</v>
      </c>
      <c r="M314" s="9"/>
      <c r="N314" s="10"/>
      <c r="O314" s="9"/>
      <c r="P314" s="9">
        <v>519</v>
      </c>
      <c r="Q314" s="9">
        <f t="shared" si="4"/>
        <v>66.768728049298218</v>
      </c>
      <c r="R314" s="9"/>
      <c r="S314" s="9" t="s">
        <v>9321</v>
      </c>
      <c r="T314" s="9" t="s">
        <v>9321</v>
      </c>
      <c r="U314" s="9"/>
      <c r="V314" s="9"/>
      <c r="W314" s="9"/>
      <c r="X314" s="9"/>
      <c r="Y314" s="9"/>
      <c r="Z314" s="9"/>
      <c r="AA314" s="9"/>
      <c r="AB314" s="9"/>
      <c r="AC314" s="9"/>
      <c r="AD314" s="9"/>
    </row>
    <row r="315" spans="1:30" ht="58">
      <c r="A315" s="3" t="s">
        <v>980</v>
      </c>
      <c r="B315" s="3" t="s">
        <v>5774</v>
      </c>
      <c r="C315" s="3" t="s">
        <v>9236</v>
      </c>
      <c r="G315" s="9" t="s">
        <v>3885</v>
      </c>
      <c r="H315" s="9"/>
      <c r="I315" s="9">
        <v>1</v>
      </c>
      <c r="J315" s="9">
        <v>2</v>
      </c>
      <c r="K315" s="9" t="s">
        <v>8707</v>
      </c>
      <c r="L315" s="9" t="s">
        <v>8730</v>
      </c>
      <c r="M315" s="9"/>
      <c r="N315" s="10"/>
      <c r="O315" s="9"/>
      <c r="P315" s="9">
        <v>1942</v>
      </c>
      <c r="Q315" s="9">
        <f t="shared" si="4"/>
        <v>249.83597277791355</v>
      </c>
      <c r="R315" s="9"/>
      <c r="S315" s="9" t="s">
        <v>9321</v>
      </c>
      <c r="T315" s="9" t="s">
        <v>9321</v>
      </c>
      <c r="U315" s="9"/>
      <c r="V315" s="9"/>
      <c r="W315" s="9"/>
      <c r="X315" s="9"/>
      <c r="Y315" s="9"/>
      <c r="Z315" s="9"/>
      <c r="AA315" s="9"/>
      <c r="AB315" s="9"/>
      <c r="AC315" s="9"/>
      <c r="AD315" s="9"/>
    </row>
    <row r="316" spans="1:30" ht="29">
      <c r="A316" s="3" t="s">
        <v>982</v>
      </c>
      <c r="B316" s="3" t="s">
        <v>5779</v>
      </c>
      <c r="C316" s="3" t="s">
        <v>9630</v>
      </c>
      <c r="F316" t="s">
        <v>3884</v>
      </c>
      <c r="G316" s="9" t="s">
        <v>3889</v>
      </c>
      <c r="H316" s="9"/>
      <c r="I316" s="9">
        <v>1</v>
      </c>
      <c r="J316" s="9">
        <v>3</v>
      </c>
      <c r="K316" s="9" t="s">
        <v>8705</v>
      </c>
      <c r="L316" s="9" t="s">
        <v>8690</v>
      </c>
      <c r="M316" s="9"/>
      <c r="N316" s="10"/>
      <c r="O316" s="9"/>
      <c r="P316" s="9">
        <v>1443</v>
      </c>
      <c r="Q316" s="9">
        <f t="shared" si="4"/>
        <v>185.64022076134361</v>
      </c>
      <c r="R316" s="9"/>
      <c r="S316" s="9" t="s">
        <v>9321</v>
      </c>
      <c r="T316" s="9" t="s">
        <v>9321</v>
      </c>
      <c r="U316" s="9"/>
      <c r="V316" s="9"/>
      <c r="W316" s="9"/>
      <c r="X316" s="9"/>
      <c r="Y316" s="9"/>
      <c r="Z316" s="9"/>
      <c r="AA316" s="9"/>
      <c r="AB316" s="9"/>
      <c r="AC316" s="9"/>
      <c r="AD316" s="9"/>
    </row>
    <row r="317" spans="1:30" ht="87">
      <c r="A317" s="3" t="s">
        <v>984</v>
      </c>
      <c r="B317" s="3" t="s">
        <v>5785</v>
      </c>
      <c r="C317" s="3" t="s">
        <v>5782</v>
      </c>
      <c r="G317" s="9" t="s">
        <v>3889</v>
      </c>
      <c r="H317" s="9"/>
      <c r="I317" s="9">
        <v>1</v>
      </c>
      <c r="J317" s="9">
        <v>2</v>
      </c>
      <c r="K317" s="9" t="s">
        <v>8703</v>
      </c>
      <c r="L317" s="9" t="s">
        <v>8730</v>
      </c>
      <c r="M317" s="9"/>
      <c r="N317" s="10"/>
      <c r="O317" s="9"/>
      <c r="P317" s="9">
        <v>1225</v>
      </c>
      <c r="Q317" s="9">
        <f t="shared" si="4"/>
        <v>157.59478200460561</v>
      </c>
      <c r="R317" s="9"/>
      <c r="S317" s="9" t="s">
        <v>9321</v>
      </c>
      <c r="T317" s="9" t="s">
        <v>9321</v>
      </c>
      <c r="U317" s="9"/>
      <c r="V317" s="9"/>
      <c r="W317" s="9"/>
      <c r="X317" s="9"/>
      <c r="Y317" s="9"/>
      <c r="Z317" s="9"/>
      <c r="AA317" s="9"/>
      <c r="AB317" s="9"/>
      <c r="AC317" s="9"/>
      <c r="AD317" s="9"/>
    </row>
    <row r="318" spans="1:30" ht="43.5">
      <c r="A318" s="3" t="s">
        <v>993</v>
      </c>
      <c r="B318" s="3" t="s">
        <v>5798</v>
      </c>
      <c r="C318" s="3" t="s">
        <v>5799</v>
      </c>
      <c r="F318" t="s">
        <v>3884</v>
      </c>
      <c r="G318" s="9" t="s">
        <v>3885</v>
      </c>
      <c r="H318" s="9"/>
      <c r="I318" s="9">
        <v>1</v>
      </c>
      <c r="J318" s="9">
        <v>3</v>
      </c>
      <c r="K318" s="9" t="s">
        <v>8689</v>
      </c>
      <c r="L318" s="9" t="s">
        <v>8690</v>
      </c>
      <c r="M318" s="9"/>
      <c r="N318" s="10"/>
      <c r="O318" s="9"/>
      <c r="P318" s="9">
        <v>10929</v>
      </c>
      <c r="Q318" s="9">
        <f t="shared" si="4"/>
        <v>1406.0027530843549</v>
      </c>
      <c r="R318" s="9"/>
      <c r="S318" s="9" t="s">
        <v>9321</v>
      </c>
      <c r="T318" s="9" t="s">
        <v>9321</v>
      </c>
      <c r="U318" s="9"/>
      <c r="V318" s="9"/>
      <c r="W318" s="9"/>
      <c r="X318" s="9"/>
      <c r="Y318" s="9"/>
      <c r="Z318" s="9"/>
      <c r="AA318" s="9"/>
      <c r="AB318" s="9"/>
      <c r="AC318" s="9"/>
      <c r="AD318" s="9"/>
    </row>
    <row r="319" spans="1:30" ht="43.5">
      <c r="A319" s="3" t="s">
        <v>994</v>
      </c>
      <c r="B319" s="3" t="s">
        <v>5802</v>
      </c>
      <c r="C319" s="3" t="s">
        <v>5803</v>
      </c>
      <c r="D319" t="s">
        <v>4397</v>
      </c>
      <c r="F319" t="s">
        <v>3884</v>
      </c>
      <c r="G319" s="9" t="s">
        <v>3885</v>
      </c>
      <c r="H319" s="9"/>
      <c r="I319" s="9">
        <v>1</v>
      </c>
      <c r="J319" s="9">
        <v>2</v>
      </c>
      <c r="K319" s="9" t="s">
        <v>8695</v>
      </c>
      <c r="L319" s="9" t="s">
        <v>8730</v>
      </c>
      <c r="M319" s="9"/>
      <c r="N319" s="10"/>
      <c r="O319" s="9"/>
      <c r="P319" s="9">
        <v>0</v>
      </c>
      <c r="Q319" s="9">
        <f t="shared" si="4"/>
        <v>0</v>
      </c>
      <c r="R319" s="9"/>
      <c r="S319" s="9" t="s">
        <v>9321</v>
      </c>
      <c r="T319" s="9" t="s">
        <v>9321</v>
      </c>
      <c r="U319" s="9"/>
      <c r="V319" s="9"/>
      <c r="W319" s="9"/>
      <c r="X319" s="9"/>
      <c r="Y319" s="9"/>
      <c r="Z319" s="9"/>
      <c r="AA319" s="9"/>
      <c r="AB319" s="9"/>
      <c r="AC319" s="9"/>
      <c r="AD319" s="9"/>
    </row>
    <row r="320" spans="1:30" ht="29">
      <c r="A320" s="3" t="s">
        <v>995</v>
      </c>
      <c r="B320" s="3" t="s">
        <v>5804</v>
      </c>
      <c r="C320" s="3" t="s">
        <v>5805</v>
      </c>
      <c r="G320" s="9" t="s">
        <v>3889</v>
      </c>
      <c r="H320" s="9"/>
      <c r="I320" s="9">
        <v>1</v>
      </c>
      <c r="J320" s="9">
        <v>4</v>
      </c>
      <c r="K320" s="9" t="s">
        <v>8689</v>
      </c>
      <c r="L320" s="9" t="s">
        <v>8690</v>
      </c>
      <c r="M320" s="9"/>
      <c r="N320" s="10"/>
      <c r="O320" s="9"/>
      <c r="P320" s="9">
        <v>10929</v>
      </c>
      <c r="Q320" s="9">
        <f t="shared" si="4"/>
        <v>1406.0027530843549</v>
      </c>
      <c r="R320" s="9"/>
      <c r="S320" s="9" t="s">
        <v>9321</v>
      </c>
      <c r="T320" s="9" t="s">
        <v>9321</v>
      </c>
      <c r="U320" s="9"/>
      <c r="V320" s="9"/>
      <c r="W320" s="9"/>
      <c r="X320" s="9"/>
      <c r="Y320" s="9"/>
      <c r="Z320" s="9"/>
      <c r="AA320" s="9"/>
      <c r="AB320" s="9"/>
      <c r="AC320" s="9"/>
      <c r="AD320" s="9"/>
    </row>
    <row r="321" spans="1:30" ht="29">
      <c r="A321" s="3" t="s">
        <v>996</v>
      </c>
      <c r="B321" s="3" t="s">
        <v>5806</v>
      </c>
      <c r="C321" s="3" t="s">
        <v>5807</v>
      </c>
      <c r="G321" s="9" t="s">
        <v>3885</v>
      </c>
      <c r="H321" s="9"/>
      <c r="I321" s="9">
        <v>1</v>
      </c>
      <c r="J321" s="9">
        <v>1</v>
      </c>
      <c r="K321" s="9" t="s">
        <v>8689</v>
      </c>
      <c r="L321" s="9" t="s">
        <v>8730</v>
      </c>
      <c r="M321" s="9"/>
      <c r="N321" s="10"/>
      <c r="O321" s="9"/>
      <c r="P321" s="9">
        <v>10929</v>
      </c>
      <c r="Q321" s="9">
        <f t="shared" si="4"/>
        <v>1406.0027530843549</v>
      </c>
      <c r="R321" s="9"/>
      <c r="S321" s="9" t="s">
        <v>9321</v>
      </c>
      <c r="T321" s="9" t="s">
        <v>9321</v>
      </c>
      <c r="U321" s="9"/>
      <c r="V321" s="9"/>
      <c r="W321" s="9"/>
      <c r="X321" s="9"/>
      <c r="Y321" s="9"/>
      <c r="Z321" s="9"/>
      <c r="AA321" s="9"/>
      <c r="AB321" s="9"/>
      <c r="AC321" s="9"/>
      <c r="AD321" s="9"/>
    </row>
    <row r="322" spans="1:30" ht="72.5">
      <c r="A322" s="3" t="s">
        <v>996</v>
      </c>
      <c r="B322" s="3" t="s">
        <v>5810</v>
      </c>
      <c r="C322" s="3" t="s">
        <v>5811</v>
      </c>
      <c r="F322" t="s">
        <v>3884</v>
      </c>
      <c r="G322" s="9" t="s">
        <v>3885</v>
      </c>
      <c r="H322" s="9"/>
      <c r="I322" s="9">
        <v>1</v>
      </c>
      <c r="J322" s="9">
        <v>6</v>
      </c>
      <c r="K322" s="9" t="s">
        <v>8703</v>
      </c>
      <c r="L322" s="9" t="s">
        <v>8690</v>
      </c>
      <c r="M322" s="9"/>
      <c r="N322" s="10"/>
      <c r="O322" s="9"/>
      <c r="P322" s="9">
        <v>627</v>
      </c>
      <c r="Q322" s="9">
        <f t="shared" si="4"/>
        <v>80.662798626030806</v>
      </c>
      <c r="R322" s="9"/>
      <c r="S322" s="9" t="s">
        <v>9321</v>
      </c>
      <c r="T322" s="9" t="s">
        <v>9321</v>
      </c>
      <c r="U322" s="9"/>
      <c r="V322" s="9"/>
      <c r="W322" s="9"/>
      <c r="X322" s="9"/>
      <c r="Y322" s="9"/>
      <c r="Z322" s="9"/>
      <c r="AA322" s="9"/>
      <c r="AB322" s="9"/>
      <c r="AC322" s="9"/>
      <c r="AD322" s="9"/>
    </row>
    <row r="323" spans="1:30" ht="87">
      <c r="A323" s="3" t="s">
        <v>1009</v>
      </c>
      <c r="B323" s="3" t="s">
        <v>5839</v>
      </c>
      <c r="C323" s="3" t="s">
        <v>5838</v>
      </c>
      <c r="F323" t="s">
        <v>3884</v>
      </c>
      <c r="G323" s="9" t="s">
        <v>3889</v>
      </c>
      <c r="H323" s="9"/>
      <c r="I323" s="9">
        <v>2</v>
      </c>
      <c r="J323" s="9">
        <v>11</v>
      </c>
      <c r="K323" s="9"/>
      <c r="L323" s="9" t="s">
        <v>8690</v>
      </c>
      <c r="M323" s="9"/>
      <c r="N323" s="10"/>
      <c r="O323" s="9"/>
      <c r="P323" s="9">
        <v>65</v>
      </c>
      <c r="Q323" s="9">
        <f t="shared" ref="Q323:Q386" si="5">IF(ISNUMBER(P323), (P323/$E$601)*10000, "")</f>
        <v>8.3621721063668293</v>
      </c>
      <c r="R323" s="9"/>
      <c r="S323" s="9" t="s">
        <v>9321</v>
      </c>
      <c r="T323" s="9" t="s">
        <v>9321</v>
      </c>
      <c r="U323" s="9"/>
      <c r="V323" s="9"/>
      <c r="W323" s="9"/>
      <c r="X323" s="9"/>
      <c r="Y323" s="9"/>
      <c r="Z323" s="9"/>
      <c r="AA323" s="9"/>
      <c r="AB323" s="9"/>
      <c r="AC323" s="9"/>
      <c r="AD323" s="9"/>
    </row>
    <row r="324" spans="1:30" ht="58">
      <c r="A324" s="3" t="s">
        <v>1012</v>
      </c>
      <c r="B324" s="3" t="s">
        <v>5845</v>
      </c>
      <c r="C324" s="3" t="s">
        <v>5844</v>
      </c>
      <c r="G324" s="9" t="s">
        <v>3889</v>
      </c>
      <c r="H324" s="9"/>
      <c r="I324" s="9">
        <v>1</v>
      </c>
      <c r="J324" s="9">
        <v>8</v>
      </c>
      <c r="K324" s="9" t="s">
        <v>8703</v>
      </c>
      <c r="L324" s="9" t="s">
        <v>8684</v>
      </c>
      <c r="M324" s="9" t="s">
        <v>8771</v>
      </c>
      <c r="N324" s="10" t="s">
        <v>8778</v>
      </c>
      <c r="O324" s="9"/>
      <c r="P324" s="9">
        <v>1056</v>
      </c>
      <c r="Q324" s="9">
        <f t="shared" si="5"/>
        <v>135.85313452805187</v>
      </c>
      <c r="R324" s="9"/>
      <c r="S324" s="9" t="s">
        <v>9321</v>
      </c>
      <c r="T324" s="9" t="s">
        <v>9321</v>
      </c>
      <c r="U324" s="9" t="s">
        <v>4</v>
      </c>
      <c r="V324" s="9"/>
      <c r="W324" s="9"/>
      <c r="X324" s="9"/>
      <c r="Y324" s="9"/>
      <c r="Z324" s="9"/>
      <c r="AA324" s="9"/>
      <c r="AB324" s="9"/>
      <c r="AC324" s="9"/>
      <c r="AD324" s="9"/>
    </row>
    <row r="325" spans="1:30" ht="29">
      <c r="A325" s="3" t="s">
        <v>1012</v>
      </c>
      <c r="B325" s="3" t="s">
        <v>5846</v>
      </c>
      <c r="C325" s="3" t="s">
        <v>5847</v>
      </c>
      <c r="F325" t="s">
        <v>3884</v>
      </c>
      <c r="G325" s="9" t="s">
        <v>3885</v>
      </c>
      <c r="H325" s="9"/>
      <c r="I325" s="9">
        <v>1</v>
      </c>
      <c r="J325" s="9">
        <v>1</v>
      </c>
      <c r="K325" s="9" t="s">
        <v>8683</v>
      </c>
      <c r="L325" s="9" t="s">
        <v>8730</v>
      </c>
      <c r="M325" s="9"/>
      <c r="N325" s="10"/>
      <c r="O325" s="9" t="s">
        <v>8685</v>
      </c>
      <c r="P325" s="9">
        <v>6</v>
      </c>
      <c r="Q325" s="9">
        <f t="shared" si="5"/>
        <v>0.77189280981847652</v>
      </c>
      <c r="R325" s="9"/>
      <c r="S325" s="9" t="s">
        <v>9321</v>
      </c>
      <c r="T325" s="9" t="s">
        <v>9321</v>
      </c>
      <c r="U325" s="9"/>
      <c r="V325" s="9"/>
      <c r="W325" s="9"/>
      <c r="X325" s="9"/>
      <c r="Y325" s="9"/>
      <c r="Z325" s="9"/>
      <c r="AA325" s="9"/>
      <c r="AB325" s="9"/>
      <c r="AC325" s="9"/>
      <c r="AD325" s="9"/>
    </row>
    <row r="326" spans="1:30" ht="29">
      <c r="A326" s="3" t="s">
        <v>1012</v>
      </c>
      <c r="B326" s="3" t="s">
        <v>5850</v>
      </c>
      <c r="C326" s="3" t="s">
        <v>5853</v>
      </c>
      <c r="G326" s="9" t="s">
        <v>3885</v>
      </c>
      <c r="H326" s="9"/>
      <c r="I326" s="9">
        <v>1</v>
      </c>
      <c r="J326" s="9">
        <v>3</v>
      </c>
      <c r="K326" s="9" t="s">
        <v>8689</v>
      </c>
      <c r="L326" s="9" t="s">
        <v>8690</v>
      </c>
      <c r="M326" s="9"/>
      <c r="N326" s="10"/>
      <c r="O326" s="9"/>
      <c r="P326" s="9">
        <v>10929</v>
      </c>
      <c r="Q326" s="9">
        <f t="shared" si="5"/>
        <v>1406.0027530843549</v>
      </c>
      <c r="R326" s="9"/>
      <c r="S326" s="9" t="s">
        <v>9321</v>
      </c>
      <c r="T326" s="9" t="s">
        <v>9321</v>
      </c>
      <c r="U326" s="9"/>
      <c r="V326" s="9"/>
      <c r="W326" s="9"/>
      <c r="X326" s="9"/>
      <c r="Y326" s="9"/>
      <c r="Z326" s="9"/>
      <c r="AA326" s="9"/>
      <c r="AB326" s="9"/>
      <c r="AC326" s="9"/>
      <c r="AD326" s="9"/>
    </row>
    <row r="327" spans="1:30" ht="72.5">
      <c r="A327" s="3" t="s">
        <v>1025</v>
      </c>
      <c r="B327" s="3" t="s">
        <v>5875</v>
      </c>
      <c r="C327" s="4" t="s">
        <v>9632</v>
      </c>
      <c r="D327" t="s">
        <v>4197</v>
      </c>
      <c r="G327" s="9" t="s">
        <v>3885</v>
      </c>
      <c r="H327" s="9"/>
      <c r="I327" s="9">
        <v>1</v>
      </c>
      <c r="J327" s="9">
        <v>3</v>
      </c>
      <c r="K327" s="9" t="s">
        <v>8703</v>
      </c>
      <c r="L327" s="9" t="s">
        <v>8690</v>
      </c>
      <c r="M327" s="9"/>
      <c r="N327" s="10"/>
      <c r="O327" s="9" t="s">
        <v>8691</v>
      </c>
      <c r="P327" s="9">
        <v>9</v>
      </c>
      <c r="Q327" s="9">
        <f t="shared" si="5"/>
        <v>1.1578392147277148</v>
      </c>
      <c r="R327" s="9"/>
      <c r="S327" s="9" t="s">
        <v>9321</v>
      </c>
      <c r="T327" s="9" t="s">
        <v>9321</v>
      </c>
      <c r="U327" s="9"/>
      <c r="V327" s="9"/>
      <c r="W327" s="9"/>
      <c r="X327" s="9"/>
      <c r="Y327" s="9"/>
      <c r="Z327" s="9"/>
      <c r="AA327" s="9"/>
      <c r="AB327" s="9"/>
      <c r="AC327" s="9"/>
      <c r="AD327" s="9"/>
    </row>
    <row r="328" spans="1:30" ht="58">
      <c r="A328" s="3" t="s">
        <v>1029</v>
      </c>
      <c r="B328" s="3" t="s">
        <v>5883</v>
      </c>
      <c r="C328" s="3" t="s">
        <v>5885</v>
      </c>
      <c r="G328" s="9" t="s">
        <v>3885</v>
      </c>
      <c r="H328" s="9"/>
      <c r="I328" s="9">
        <v>1</v>
      </c>
      <c r="J328" s="9">
        <v>3</v>
      </c>
      <c r="K328" s="9" t="s">
        <v>8698</v>
      </c>
      <c r="L328" s="9" t="s">
        <v>8690</v>
      </c>
      <c r="M328" s="9"/>
      <c r="N328" s="10"/>
      <c r="O328" s="9"/>
      <c r="P328" s="9">
        <v>9418</v>
      </c>
      <c r="Q328" s="9">
        <f t="shared" si="5"/>
        <v>1211.6144138117354</v>
      </c>
      <c r="R328" s="9"/>
      <c r="S328" s="9" t="s">
        <v>9321</v>
      </c>
      <c r="T328" s="9" t="s">
        <v>9321</v>
      </c>
      <c r="U328" s="9"/>
      <c r="V328" s="9"/>
      <c r="W328" s="9"/>
      <c r="X328" s="9"/>
      <c r="Y328" s="9"/>
      <c r="Z328" s="9"/>
      <c r="AA328" s="9"/>
      <c r="AB328" s="9"/>
      <c r="AC328" s="9"/>
      <c r="AD328" s="9"/>
    </row>
    <row r="329" spans="1:30" ht="58">
      <c r="A329" s="3" t="s">
        <v>1029</v>
      </c>
      <c r="B329" s="3" t="s">
        <v>5886</v>
      </c>
      <c r="C329" s="3" t="s">
        <v>5884</v>
      </c>
      <c r="G329" s="9" t="s">
        <v>3889</v>
      </c>
      <c r="H329" s="9"/>
      <c r="I329" s="9">
        <v>1</v>
      </c>
      <c r="J329" s="9">
        <v>2</v>
      </c>
      <c r="K329" s="9" t="s">
        <v>8703</v>
      </c>
      <c r="L329" s="9" t="s">
        <v>8730</v>
      </c>
      <c r="M329" s="9"/>
      <c r="N329" s="10"/>
      <c r="O329" s="9"/>
      <c r="P329" s="9">
        <v>1225</v>
      </c>
      <c r="Q329" s="9">
        <f t="shared" si="5"/>
        <v>157.59478200460561</v>
      </c>
      <c r="R329" s="9"/>
      <c r="S329" s="9" t="s">
        <v>9321</v>
      </c>
      <c r="T329" s="9" t="s">
        <v>9321</v>
      </c>
      <c r="U329" s="9"/>
      <c r="V329" s="9"/>
      <c r="W329" s="9"/>
      <c r="X329" s="9"/>
      <c r="Y329" s="9"/>
      <c r="Z329" s="9"/>
      <c r="AA329" s="9"/>
      <c r="AB329" s="9"/>
      <c r="AC329" s="9"/>
      <c r="AD329" s="9"/>
    </row>
    <row r="330" spans="1:30" ht="43.5">
      <c r="A330" s="3" t="s">
        <v>1030</v>
      </c>
      <c r="B330" s="3" t="s">
        <v>5887</v>
      </c>
      <c r="C330" s="3" t="s">
        <v>5888</v>
      </c>
      <c r="F330" t="s">
        <v>3884</v>
      </c>
      <c r="G330" s="9" t="s">
        <v>3885</v>
      </c>
      <c r="H330" s="9"/>
      <c r="I330" s="9">
        <v>1</v>
      </c>
      <c r="J330" s="9">
        <v>4</v>
      </c>
      <c r="K330" s="9" t="s">
        <v>8703</v>
      </c>
      <c r="L330" s="9" t="s">
        <v>8684</v>
      </c>
      <c r="M330" s="9" t="s">
        <v>8771</v>
      </c>
      <c r="N330" s="10" t="s">
        <v>8772</v>
      </c>
      <c r="O330" s="9"/>
      <c r="P330" s="9">
        <v>0</v>
      </c>
      <c r="Q330" s="9">
        <f t="shared" si="5"/>
        <v>0</v>
      </c>
      <c r="R330" s="9"/>
      <c r="S330" s="9" t="s">
        <v>9321</v>
      </c>
      <c r="T330" s="9" t="s">
        <v>9321</v>
      </c>
      <c r="U330" s="9"/>
      <c r="V330" s="9"/>
      <c r="W330" s="9"/>
      <c r="X330" s="9"/>
      <c r="Y330" s="9"/>
      <c r="Z330" s="9"/>
      <c r="AA330" s="9"/>
      <c r="AB330" s="9"/>
      <c r="AC330" s="9"/>
      <c r="AD330" s="9"/>
    </row>
    <row r="331" spans="1:30" ht="58">
      <c r="A331" s="3" t="s">
        <v>1030</v>
      </c>
      <c r="B331" s="3" t="s">
        <v>5889</v>
      </c>
      <c r="C331" s="3" t="s">
        <v>5890</v>
      </c>
      <c r="G331" s="9" t="s">
        <v>3889</v>
      </c>
      <c r="H331" s="9"/>
      <c r="I331" s="9">
        <v>1</v>
      </c>
      <c r="J331" s="9">
        <v>1</v>
      </c>
      <c r="K331" s="9" t="s">
        <v>8698</v>
      </c>
      <c r="L331" s="9" t="s">
        <v>8730</v>
      </c>
      <c r="M331" s="9"/>
      <c r="N331" s="10"/>
      <c r="O331" s="9"/>
      <c r="P331" s="9">
        <v>73</v>
      </c>
      <c r="Q331" s="9">
        <f t="shared" si="5"/>
        <v>9.3913625194581307</v>
      </c>
      <c r="R331" s="9"/>
      <c r="S331" s="9" t="s">
        <v>9321</v>
      </c>
      <c r="T331" s="9" t="s">
        <v>9321</v>
      </c>
      <c r="U331" s="9"/>
      <c r="V331" s="9"/>
      <c r="W331" s="9"/>
      <c r="X331" s="9"/>
      <c r="Y331" s="9"/>
      <c r="Z331" s="9"/>
      <c r="AA331" s="9"/>
      <c r="AB331" s="9"/>
      <c r="AC331" s="9"/>
      <c r="AD331" s="9"/>
    </row>
    <row r="332" spans="1:30" ht="43.5">
      <c r="A332" s="3" t="s">
        <v>1033</v>
      </c>
      <c r="B332" s="3" t="s">
        <v>5898</v>
      </c>
      <c r="C332" s="3" t="s">
        <v>5899</v>
      </c>
      <c r="F332" t="s">
        <v>3884</v>
      </c>
      <c r="G332" s="9" t="s">
        <v>3885</v>
      </c>
      <c r="H332" s="9"/>
      <c r="I332" s="9">
        <v>1</v>
      </c>
      <c r="J332" s="9">
        <v>2</v>
      </c>
      <c r="K332" s="9" t="s">
        <v>8705</v>
      </c>
      <c r="L332" s="9" t="s">
        <v>8730</v>
      </c>
      <c r="M332" s="9"/>
      <c r="N332" s="10"/>
      <c r="O332" s="9"/>
      <c r="P332" s="9">
        <v>615</v>
      </c>
      <c r="Q332" s="9">
        <f t="shared" si="5"/>
        <v>79.119013006393843</v>
      </c>
      <c r="R332" s="9"/>
      <c r="S332" s="9" t="s">
        <v>9321</v>
      </c>
      <c r="T332" s="9" t="s">
        <v>9321</v>
      </c>
      <c r="U332" s="9"/>
      <c r="V332" s="9"/>
      <c r="W332" s="9"/>
      <c r="X332" s="9"/>
      <c r="Y332" s="9"/>
      <c r="Z332" s="9"/>
      <c r="AA332" s="9"/>
      <c r="AB332" s="9"/>
      <c r="AC332" s="9"/>
      <c r="AD332" s="9"/>
    </row>
    <row r="333" spans="1:30" ht="72.5">
      <c r="A333" s="3" t="s">
        <v>1041</v>
      </c>
      <c r="B333" s="3" t="s">
        <v>5913</v>
      </c>
      <c r="C333" s="3" t="s">
        <v>5912</v>
      </c>
      <c r="G333" s="9" t="s">
        <v>3885</v>
      </c>
      <c r="H333" s="9"/>
      <c r="I333" s="9">
        <v>1</v>
      </c>
      <c r="J333" s="9">
        <v>5</v>
      </c>
      <c r="K333" s="9" t="s">
        <v>8705</v>
      </c>
      <c r="L333" s="9" t="s">
        <v>8690</v>
      </c>
      <c r="M333" s="9"/>
      <c r="N333" s="10"/>
      <c r="O333" s="9"/>
      <c r="P333" s="9">
        <v>3678</v>
      </c>
      <c r="Q333" s="9">
        <f t="shared" si="5"/>
        <v>473.17029241872609</v>
      </c>
      <c r="R333" s="9"/>
      <c r="S333" s="9" t="s">
        <v>9321</v>
      </c>
      <c r="T333" s="9" t="s">
        <v>9321</v>
      </c>
      <c r="U333" s="9"/>
      <c r="V333" s="9"/>
      <c r="W333" s="9"/>
      <c r="X333" s="9"/>
      <c r="Y333" s="9"/>
      <c r="Z333" s="9"/>
      <c r="AA333" s="9"/>
      <c r="AB333" s="9"/>
      <c r="AC333" s="9"/>
      <c r="AD333" s="9"/>
    </row>
    <row r="334" spans="1:30" ht="188.5">
      <c r="A334" s="3" t="s">
        <v>1054</v>
      </c>
      <c r="B334" s="3" t="s">
        <v>5944</v>
      </c>
      <c r="C334" s="3" t="s">
        <v>5945</v>
      </c>
      <c r="G334" s="9" t="s">
        <v>3889</v>
      </c>
      <c r="H334" s="9"/>
      <c r="I334" s="9">
        <v>8</v>
      </c>
      <c r="J334" s="9">
        <v>36</v>
      </c>
      <c r="K334" s="9"/>
      <c r="L334" s="9" t="s">
        <v>8684</v>
      </c>
      <c r="M334" s="9" t="s">
        <v>8777</v>
      </c>
      <c r="N334" s="10" t="s">
        <v>9072</v>
      </c>
      <c r="O334" s="9" t="s">
        <v>8685</v>
      </c>
      <c r="P334" s="9">
        <v>146</v>
      </c>
      <c r="Q334" s="9">
        <f t="shared" si="5"/>
        <v>18.782725038916261</v>
      </c>
      <c r="R334" s="9"/>
      <c r="S334" s="9" t="s">
        <v>9321</v>
      </c>
      <c r="T334" s="9" t="s">
        <v>9321</v>
      </c>
      <c r="U334" s="9"/>
      <c r="V334" s="9"/>
      <c r="W334" s="9"/>
      <c r="X334" s="9"/>
      <c r="Y334" s="9"/>
      <c r="Z334" s="9"/>
      <c r="AA334" s="9"/>
      <c r="AB334" s="9"/>
      <c r="AC334" s="9"/>
      <c r="AD334" s="9"/>
    </row>
    <row r="335" spans="1:30" ht="43.5">
      <c r="A335" s="3" t="s">
        <v>1056</v>
      </c>
      <c r="B335" s="3" t="s">
        <v>5953</v>
      </c>
      <c r="C335" s="3" t="s">
        <v>5954</v>
      </c>
      <c r="F335" t="s">
        <v>3884</v>
      </c>
      <c r="G335" s="9" t="s">
        <v>3885</v>
      </c>
      <c r="H335" s="9"/>
      <c r="I335" s="9">
        <v>1</v>
      </c>
      <c r="J335" s="9">
        <v>3</v>
      </c>
      <c r="K335" s="9" t="s">
        <v>8698</v>
      </c>
      <c r="L335" s="9" t="s">
        <v>8690</v>
      </c>
      <c r="M335" s="9"/>
      <c r="N335" s="10"/>
      <c r="O335" s="9"/>
      <c r="P335" s="9">
        <v>9418</v>
      </c>
      <c r="Q335" s="9">
        <f t="shared" si="5"/>
        <v>1211.6144138117354</v>
      </c>
      <c r="R335" s="9"/>
      <c r="S335" s="9" t="s">
        <v>9321</v>
      </c>
      <c r="T335" s="9" t="s">
        <v>9321</v>
      </c>
      <c r="U335" s="9"/>
      <c r="V335" s="9"/>
      <c r="W335" s="9"/>
      <c r="X335" s="9"/>
      <c r="Y335" s="9"/>
      <c r="Z335" s="9"/>
      <c r="AA335" s="9"/>
      <c r="AB335" s="9"/>
      <c r="AC335" s="9"/>
      <c r="AD335" s="9"/>
    </row>
    <row r="336" spans="1:30" ht="43.5">
      <c r="A336" s="3" t="s">
        <v>1062</v>
      </c>
      <c r="B336" s="3" t="s">
        <v>5975</v>
      </c>
      <c r="C336" s="3" t="s">
        <v>5972</v>
      </c>
      <c r="G336" s="9" t="s">
        <v>3889</v>
      </c>
      <c r="H336" s="9"/>
      <c r="I336" s="9">
        <v>1</v>
      </c>
      <c r="J336" s="9">
        <v>2</v>
      </c>
      <c r="K336" s="9" t="s">
        <v>8689</v>
      </c>
      <c r="L336" s="9" t="s">
        <v>8730</v>
      </c>
      <c r="M336" s="9"/>
      <c r="N336" s="10"/>
      <c r="O336" s="9"/>
      <c r="P336" s="9">
        <v>10929</v>
      </c>
      <c r="Q336" s="9">
        <f t="shared" si="5"/>
        <v>1406.0027530843549</v>
      </c>
      <c r="R336" s="9"/>
      <c r="S336" s="9" t="s">
        <v>9321</v>
      </c>
      <c r="T336" s="9" t="s">
        <v>9321</v>
      </c>
      <c r="U336" s="9"/>
      <c r="V336" s="9"/>
      <c r="W336" s="9"/>
      <c r="X336" s="9"/>
      <c r="Y336" s="9"/>
      <c r="Z336" s="9"/>
      <c r="AA336" s="9"/>
      <c r="AB336" s="9"/>
      <c r="AC336" s="9"/>
      <c r="AD336" s="9"/>
    </row>
    <row r="337" spans="1:30" ht="58">
      <c r="A337" s="3" t="s">
        <v>1062</v>
      </c>
      <c r="B337" s="3" t="s">
        <v>5976</v>
      </c>
      <c r="C337" s="3" t="s">
        <v>5977</v>
      </c>
      <c r="G337" s="9" t="s">
        <v>3885</v>
      </c>
      <c r="H337" s="9"/>
      <c r="I337" s="9">
        <v>1</v>
      </c>
      <c r="J337" s="9">
        <v>2</v>
      </c>
      <c r="K337" s="9" t="s">
        <v>8705</v>
      </c>
      <c r="L337" s="9" t="s">
        <v>8730</v>
      </c>
      <c r="M337" s="9"/>
      <c r="N337" s="10"/>
      <c r="O337" s="9"/>
      <c r="P337" s="9">
        <v>615</v>
      </c>
      <c r="Q337" s="9">
        <f t="shared" si="5"/>
        <v>79.119013006393843</v>
      </c>
      <c r="R337" s="9"/>
      <c r="S337" s="9" t="s">
        <v>9321</v>
      </c>
      <c r="T337" s="9" t="s">
        <v>9321</v>
      </c>
      <c r="U337" s="9"/>
      <c r="V337" s="9"/>
      <c r="W337" s="9"/>
      <c r="X337" s="9"/>
      <c r="Y337" s="9"/>
      <c r="Z337" s="9"/>
      <c r="AA337" s="9"/>
      <c r="AB337" s="9"/>
      <c r="AC337" s="9"/>
      <c r="AD337" s="9"/>
    </row>
    <row r="338" spans="1:30" ht="43.5">
      <c r="A338" s="3" t="s">
        <v>1066</v>
      </c>
      <c r="B338" s="3" t="s">
        <v>5983</v>
      </c>
      <c r="C338" s="3" t="s">
        <v>5984</v>
      </c>
      <c r="F338" t="s">
        <v>3884</v>
      </c>
      <c r="G338" s="9" t="s">
        <v>3889</v>
      </c>
      <c r="H338" s="9"/>
      <c r="I338" s="9">
        <v>1</v>
      </c>
      <c r="J338" s="9">
        <v>3</v>
      </c>
      <c r="K338" s="9" t="s">
        <v>8689</v>
      </c>
      <c r="L338" s="9" t="s">
        <v>8690</v>
      </c>
      <c r="M338" s="9"/>
      <c r="N338" s="10"/>
      <c r="O338" s="9"/>
      <c r="P338" s="9">
        <v>10929</v>
      </c>
      <c r="Q338" s="9">
        <f t="shared" si="5"/>
        <v>1406.0027530843549</v>
      </c>
      <c r="R338" s="9"/>
      <c r="S338" s="9" t="s">
        <v>9321</v>
      </c>
      <c r="T338" s="9" t="s">
        <v>9321</v>
      </c>
      <c r="U338" s="9"/>
      <c r="V338" s="9"/>
      <c r="W338" s="9"/>
      <c r="X338" s="9"/>
      <c r="Y338" s="9"/>
      <c r="Z338" s="9"/>
      <c r="AA338" s="9"/>
      <c r="AB338" s="9"/>
      <c r="AC338" s="9"/>
      <c r="AD338" s="9"/>
    </row>
    <row r="339" spans="1:30" ht="409.5">
      <c r="A339" s="3" t="s">
        <v>1067</v>
      </c>
      <c r="B339" s="3" t="s">
        <v>9073</v>
      </c>
      <c r="C339" s="3" t="s">
        <v>9635</v>
      </c>
      <c r="G339" s="9" t="s">
        <v>3889</v>
      </c>
      <c r="H339" s="9"/>
      <c r="I339" s="9">
        <v>17</v>
      </c>
      <c r="J339" s="9">
        <v>98</v>
      </c>
      <c r="K339" s="9"/>
      <c r="L339" s="9" t="s">
        <v>8684</v>
      </c>
      <c r="M339" s="9" t="s">
        <v>8777</v>
      </c>
      <c r="N339" s="10" t="s">
        <v>9074</v>
      </c>
      <c r="O339" s="9" t="s">
        <v>8685</v>
      </c>
      <c r="P339" s="9"/>
      <c r="Q339" s="9" t="str">
        <f t="shared" si="5"/>
        <v/>
      </c>
      <c r="R339" s="9"/>
      <c r="S339" s="9" t="s">
        <v>9321</v>
      </c>
      <c r="T339" s="9" t="s">
        <v>9321</v>
      </c>
      <c r="U339" s="9"/>
      <c r="V339" s="9"/>
      <c r="W339" s="9"/>
      <c r="X339" s="9"/>
      <c r="Y339" s="9"/>
      <c r="Z339" s="9"/>
      <c r="AA339" s="9"/>
      <c r="AB339" s="9"/>
      <c r="AC339" s="9"/>
      <c r="AD339" s="9"/>
    </row>
    <row r="340" spans="1:30" ht="29">
      <c r="A340" s="3" t="s">
        <v>1069</v>
      </c>
      <c r="B340" s="3" t="s">
        <v>5986</v>
      </c>
      <c r="C340" s="3" t="s">
        <v>5985</v>
      </c>
      <c r="G340" s="9" t="s">
        <v>3885</v>
      </c>
      <c r="H340" s="9"/>
      <c r="I340" s="9">
        <v>1</v>
      </c>
      <c r="J340" s="9">
        <v>2</v>
      </c>
      <c r="K340" s="9" t="s">
        <v>8689</v>
      </c>
      <c r="L340" s="9" t="s">
        <v>8730</v>
      </c>
      <c r="M340" s="9"/>
      <c r="N340" s="10"/>
      <c r="O340" s="9"/>
      <c r="P340" s="9">
        <v>10929</v>
      </c>
      <c r="Q340" s="9">
        <f t="shared" si="5"/>
        <v>1406.0027530843549</v>
      </c>
      <c r="R340" s="9"/>
      <c r="S340" s="9" t="s">
        <v>9321</v>
      </c>
      <c r="T340" s="9" t="s">
        <v>9321</v>
      </c>
      <c r="U340" s="9"/>
      <c r="V340" s="9"/>
      <c r="W340" s="9"/>
      <c r="X340" s="9"/>
      <c r="Y340" s="9"/>
      <c r="Z340" s="9"/>
      <c r="AA340" s="9"/>
      <c r="AB340" s="9"/>
      <c r="AC340" s="9"/>
      <c r="AD340" s="9"/>
    </row>
    <row r="341" spans="1:30" ht="58">
      <c r="A341" s="3" t="s">
        <v>1073</v>
      </c>
      <c r="B341" s="3" t="s">
        <v>6002</v>
      </c>
      <c r="C341" s="3" t="s">
        <v>6003</v>
      </c>
      <c r="G341" s="9" t="s">
        <v>3889</v>
      </c>
      <c r="H341" s="9"/>
      <c r="I341" s="9">
        <v>1</v>
      </c>
      <c r="J341" s="9">
        <v>3</v>
      </c>
      <c r="K341" s="9" t="s">
        <v>8689</v>
      </c>
      <c r="L341" s="9" t="s">
        <v>8684</v>
      </c>
      <c r="M341" s="9" t="s">
        <v>8771</v>
      </c>
      <c r="N341" s="10" t="s">
        <v>8778</v>
      </c>
      <c r="O341" s="9"/>
      <c r="P341" s="9">
        <v>10929</v>
      </c>
      <c r="Q341" s="9">
        <f t="shared" si="5"/>
        <v>1406.0027530843549</v>
      </c>
      <c r="R341" s="9"/>
      <c r="S341" s="9" t="s">
        <v>9321</v>
      </c>
      <c r="T341" s="9" t="s">
        <v>9321</v>
      </c>
      <c r="U341" s="9"/>
      <c r="V341" s="9"/>
      <c r="W341" s="9"/>
      <c r="X341" s="9"/>
      <c r="Y341" s="9"/>
      <c r="Z341" s="9"/>
      <c r="AA341" s="9"/>
      <c r="AB341" s="9"/>
      <c r="AC341" s="9"/>
      <c r="AD341" s="9"/>
    </row>
    <row r="342" spans="1:30" ht="43.5">
      <c r="A342" s="3" t="s">
        <v>1086</v>
      </c>
      <c r="B342" s="3" t="s">
        <v>5475</v>
      </c>
      <c r="C342" s="3" t="s">
        <v>5476</v>
      </c>
      <c r="F342" t="s">
        <v>3884</v>
      </c>
      <c r="G342" s="9" t="s">
        <v>3885</v>
      </c>
      <c r="H342" s="9"/>
      <c r="I342" s="9">
        <v>1</v>
      </c>
      <c r="J342" s="9">
        <v>3</v>
      </c>
      <c r="K342" s="9" t="s">
        <v>8689</v>
      </c>
      <c r="L342" s="9" t="s">
        <v>8690</v>
      </c>
      <c r="M342" s="9"/>
      <c r="N342" s="10"/>
      <c r="O342" s="9"/>
      <c r="P342" s="9">
        <v>10929</v>
      </c>
      <c r="Q342" s="9">
        <f t="shared" si="5"/>
        <v>1406.0027530843549</v>
      </c>
      <c r="R342" s="9"/>
      <c r="S342" s="9" t="s">
        <v>9321</v>
      </c>
      <c r="T342" s="9" t="s">
        <v>9321</v>
      </c>
      <c r="U342" s="9"/>
      <c r="V342" s="9"/>
      <c r="W342" s="9"/>
      <c r="X342" s="9"/>
      <c r="Y342" s="9"/>
      <c r="Z342" s="9"/>
      <c r="AA342" s="9"/>
      <c r="AB342" s="9"/>
      <c r="AC342" s="9"/>
      <c r="AD342" s="9"/>
    </row>
    <row r="343" spans="1:30" ht="58">
      <c r="A343" s="3" t="s">
        <v>1089</v>
      </c>
      <c r="B343" s="3" t="s">
        <v>6035</v>
      </c>
      <c r="C343" s="3" t="s">
        <v>6036</v>
      </c>
      <c r="F343" t="s">
        <v>3884</v>
      </c>
      <c r="G343" s="9" t="s">
        <v>3885</v>
      </c>
      <c r="H343" s="9"/>
      <c r="I343" s="9">
        <v>1</v>
      </c>
      <c r="J343" s="9">
        <v>5</v>
      </c>
      <c r="K343" s="9" t="s">
        <v>8703</v>
      </c>
      <c r="L343" s="9" t="s">
        <v>8690</v>
      </c>
      <c r="M343" s="9"/>
      <c r="N343" s="10"/>
      <c r="O343" s="9"/>
      <c r="P343" s="9">
        <v>655</v>
      </c>
      <c r="Q343" s="9">
        <f t="shared" si="5"/>
        <v>84.264965071850355</v>
      </c>
      <c r="R343" s="9"/>
      <c r="S343" s="9" t="s">
        <v>9321</v>
      </c>
      <c r="T343" s="9" t="s">
        <v>9321</v>
      </c>
      <c r="U343" s="9"/>
      <c r="V343" s="9"/>
      <c r="W343" s="9"/>
      <c r="X343" s="9"/>
      <c r="Y343" s="9"/>
      <c r="Z343" s="9"/>
      <c r="AA343" s="9"/>
      <c r="AB343" s="9"/>
      <c r="AC343" s="9"/>
      <c r="AD343" s="9"/>
    </row>
    <row r="344" spans="1:30" ht="43.5">
      <c r="A344" s="3" t="s">
        <v>1091</v>
      </c>
      <c r="B344" s="3" t="s">
        <v>6054</v>
      </c>
      <c r="C344" s="3" t="s">
        <v>6055</v>
      </c>
      <c r="F344" t="s">
        <v>3884</v>
      </c>
      <c r="G344" s="9" t="s">
        <v>3889</v>
      </c>
      <c r="H344" s="9"/>
      <c r="I344" s="9">
        <v>1</v>
      </c>
      <c r="J344" s="9">
        <v>3</v>
      </c>
      <c r="K344" s="9" t="s">
        <v>8698</v>
      </c>
      <c r="L344" s="9" t="s">
        <v>8690</v>
      </c>
      <c r="M344" s="9"/>
      <c r="N344" s="10"/>
      <c r="O344" s="9"/>
      <c r="P344" s="9">
        <v>9418</v>
      </c>
      <c r="Q344" s="9">
        <f t="shared" si="5"/>
        <v>1211.6144138117354</v>
      </c>
      <c r="R344" s="9"/>
      <c r="S344" s="9" t="s">
        <v>9321</v>
      </c>
      <c r="T344" s="9" t="s">
        <v>9321</v>
      </c>
      <c r="U344" s="9"/>
      <c r="V344" s="9"/>
      <c r="W344" s="9"/>
      <c r="X344" s="9"/>
      <c r="Y344" s="9"/>
      <c r="Z344" s="9"/>
      <c r="AA344" s="9"/>
      <c r="AB344" s="9"/>
      <c r="AC344" s="9"/>
      <c r="AD344" s="9"/>
    </row>
    <row r="345" spans="1:30" ht="58">
      <c r="A345" s="3" t="s">
        <v>1093</v>
      </c>
      <c r="B345" s="3" t="s">
        <v>9510</v>
      </c>
      <c r="C345" s="3" t="s">
        <v>9512</v>
      </c>
      <c r="G345" s="9" t="s">
        <v>3885</v>
      </c>
      <c r="H345" s="9"/>
      <c r="I345" s="9">
        <v>1</v>
      </c>
      <c r="J345" s="9">
        <v>1</v>
      </c>
      <c r="K345" s="9" t="s">
        <v>8689</v>
      </c>
      <c r="L345" s="9" t="s">
        <v>8730</v>
      </c>
      <c r="M345" s="9"/>
      <c r="N345" s="10"/>
      <c r="O345" s="9"/>
      <c r="P345" s="9">
        <v>10929</v>
      </c>
      <c r="Q345" s="9">
        <f t="shared" si="5"/>
        <v>1406.0027530843549</v>
      </c>
      <c r="R345" s="9"/>
      <c r="S345" s="9" t="s">
        <v>9321</v>
      </c>
      <c r="T345" s="9" t="s">
        <v>9321</v>
      </c>
      <c r="U345" s="9"/>
      <c r="V345" s="9"/>
      <c r="W345" s="9"/>
      <c r="X345" s="9"/>
      <c r="Y345" s="9"/>
      <c r="Z345" s="9"/>
      <c r="AA345" s="9"/>
      <c r="AB345" s="9"/>
      <c r="AC345" s="9"/>
      <c r="AD345" s="9"/>
    </row>
    <row r="346" spans="1:30" ht="58">
      <c r="A346" s="3" t="s">
        <v>1104</v>
      </c>
      <c r="B346" s="3" t="s">
        <v>6090</v>
      </c>
      <c r="C346" s="3" t="s">
        <v>6091</v>
      </c>
      <c r="F346" t="s">
        <v>3884</v>
      </c>
      <c r="G346" s="9" t="s">
        <v>3889</v>
      </c>
      <c r="H346" s="9"/>
      <c r="I346" s="9">
        <v>1</v>
      </c>
      <c r="J346" s="9">
        <v>3</v>
      </c>
      <c r="K346" s="9" t="s">
        <v>8698</v>
      </c>
      <c r="L346" s="9" t="s">
        <v>8690</v>
      </c>
      <c r="M346" s="9"/>
      <c r="N346" s="10"/>
      <c r="O346" s="9"/>
      <c r="P346" s="9">
        <v>9418</v>
      </c>
      <c r="Q346" s="9">
        <f t="shared" si="5"/>
        <v>1211.6144138117354</v>
      </c>
      <c r="R346" s="9"/>
      <c r="S346" s="9" t="s">
        <v>9321</v>
      </c>
      <c r="T346" s="9" t="s">
        <v>9321</v>
      </c>
      <c r="U346" s="9"/>
      <c r="V346" s="9"/>
      <c r="W346" s="9"/>
      <c r="X346" s="9"/>
      <c r="Y346" s="9"/>
      <c r="Z346" s="9"/>
      <c r="AA346" s="9"/>
      <c r="AB346" s="9"/>
      <c r="AC346" s="9"/>
      <c r="AD346" s="9"/>
    </row>
    <row r="347" spans="1:30" ht="43.5">
      <c r="A347" s="3" t="s">
        <v>1106</v>
      </c>
      <c r="B347" s="3" t="s">
        <v>6097</v>
      </c>
      <c r="C347" s="3" t="s">
        <v>6098</v>
      </c>
      <c r="F347" t="s">
        <v>3884</v>
      </c>
      <c r="G347" s="9" t="s">
        <v>3885</v>
      </c>
      <c r="H347" s="9"/>
      <c r="I347" s="9">
        <v>1</v>
      </c>
      <c r="J347" s="9">
        <v>3</v>
      </c>
      <c r="K347" s="9" t="s">
        <v>8698</v>
      </c>
      <c r="L347" s="9" t="s">
        <v>8690</v>
      </c>
      <c r="M347" s="9"/>
      <c r="N347" s="10"/>
      <c r="O347" s="9"/>
      <c r="P347" s="9">
        <v>9418</v>
      </c>
      <c r="Q347" s="9">
        <f t="shared" si="5"/>
        <v>1211.6144138117354</v>
      </c>
      <c r="R347" s="9"/>
      <c r="S347" s="9" t="s">
        <v>9321</v>
      </c>
      <c r="T347" s="9" t="s">
        <v>9321</v>
      </c>
      <c r="U347" s="9"/>
      <c r="V347" s="9"/>
      <c r="W347" s="9"/>
      <c r="X347" s="9"/>
      <c r="Y347" s="9"/>
      <c r="Z347" s="9"/>
      <c r="AA347" s="9"/>
      <c r="AB347" s="9"/>
      <c r="AC347" s="9"/>
      <c r="AD347" s="9"/>
    </row>
    <row r="348" spans="1:30" ht="58">
      <c r="A348" s="3" t="s">
        <v>1109</v>
      </c>
      <c r="B348" s="3" t="s">
        <v>9513</v>
      </c>
      <c r="C348" s="3" t="s">
        <v>9514</v>
      </c>
      <c r="G348" s="9" t="s">
        <v>3889</v>
      </c>
      <c r="H348" s="9"/>
      <c r="I348" s="9">
        <v>1</v>
      </c>
      <c r="J348" s="9">
        <v>1</v>
      </c>
      <c r="K348" s="9" t="s">
        <v>8689</v>
      </c>
      <c r="L348" s="9" t="s">
        <v>8730</v>
      </c>
      <c r="M348" s="9"/>
      <c r="N348" s="10"/>
      <c r="O348" s="9" t="s">
        <v>8685</v>
      </c>
      <c r="P348" s="9">
        <v>10929</v>
      </c>
      <c r="Q348" s="9">
        <f t="shared" si="5"/>
        <v>1406.0027530843549</v>
      </c>
      <c r="R348" s="9"/>
      <c r="S348" s="9" t="s">
        <v>9321</v>
      </c>
      <c r="T348" s="9" t="s">
        <v>9321</v>
      </c>
      <c r="U348" s="9"/>
      <c r="V348" s="9"/>
      <c r="W348" s="9"/>
      <c r="X348" s="9"/>
      <c r="Y348" s="9"/>
      <c r="Z348" s="9"/>
      <c r="AA348" s="9"/>
      <c r="AB348" s="9"/>
      <c r="AC348" s="9"/>
      <c r="AD348" s="9"/>
    </row>
    <row r="349" spans="1:30" ht="43.5">
      <c r="A349" s="3" t="s">
        <v>1109</v>
      </c>
      <c r="B349" s="3" t="s">
        <v>6107</v>
      </c>
      <c r="C349" s="3" t="s">
        <v>6108</v>
      </c>
      <c r="F349" t="s">
        <v>3884</v>
      </c>
      <c r="G349" s="9" t="s">
        <v>3885</v>
      </c>
      <c r="H349" s="9"/>
      <c r="I349" s="9">
        <v>1</v>
      </c>
      <c r="J349" s="9">
        <v>3</v>
      </c>
      <c r="K349" s="9" t="s">
        <v>8698</v>
      </c>
      <c r="L349" s="9" t="s">
        <v>8690</v>
      </c>
      <c r="M349" s="9"/>
      <c r="N349" s="10"/>
      <c r="O349" s="9"/>
      <c r="P349" s="9">
        <v>9418</v>
      </c>
      <c r="Q349" s="9">
        <f t="shared" si="5"/>
        <v>1211.6144138117354</v>
      </c>
      <c r="R349" s="9"/>
      <c r="S349" s="9" t="s">
        <v>9321</v>
      </c>
      <c r="T349" s="9" t="s">
        <v>9321</v>
      </c>
      <c r="U349" s="9"/>
      <c r="V349" s="9"/>
      <c r="W349" s="9"/>
      <c r="X349" s="9"/>
      <c r="Y349" s="9"/>
      <c r="Z349" s="9"/>
      <c r="AA349" s="9"/>
      <c r="AB349" s="9"/>
      <c r="AC349" s="9"/>
      <c r="AD349" s="9"/>
    </row>
    <row r="350" spans="1:30" ht="29">
      <c r="A350" s="3" t="s">
        <v>1114</v>
      </c>
      <c r="B350" s="3" t="s">
        <v>6118</v>
      </c>
      <c r="C350" s="3" t="s">
        <v>6119</v>
      </c>
      <c r="F350" t="s">
        <v>3884</v>
      </c>
      <c r="G350" s="9" t="s">
        <v>3889</v>
      </c>
      <c r="H350" s="9"/>
      <c r="I350" s="9">
        <v>1</v>
      </c>
      <c r="J350" s="9">
        <v>4</v>
      </c>
      <c r="K350" s="9" t="s">
        <v>8703</v>
      </c>
      <c r="L350" s="9" t="s">
        <v>8690</v>
      </c>
      <c r="M350" s="9"/>
      <c r="N350" s="10"/>
      <c r="O350" s="9"/>
      <c r="P350" s="9">
        <v>55</v>
      </c>
      <c r="Q350" s="9">
        <f t="shared" si="5"/>
        <v>7.075684090002702</v>
      </c>
      <c r="R350" s="9"/>
      <c r="S350" s="9" t="s">
        <v>9321</v>
      </c>
      <c r="T350" s="9" t="s">
        <v>9321</v>
      </c>
      <c r="U350" s="9"/>
      <c r="V350" s="9"/>
      <c r="W350" s="9"/>
      <c r="X350" s="9"/>
      <c r="Y350" s="9"/>
      <c r="Z350" s="9"/>
      <c r="AA350" s="9"/>
      <c r="AB350" s="9"/>
      <c r="AC350" s="9"/>
      <c r="AD350" s="9"/>
    </row>
    <row r="351" spans="1:30" ht="58">
      <c r="A351" s="3" t="s">
        <v>1122</v>
      </c>
      <c r="B351" s="3" t="s">
        <v>6135</v>
      </c>
      <c r="C351" s="3" t="s">
        <v>6136</v>
      </c>
      <c r="G351" s="9" t="s">
        <v>3889</v>
      </c>
      <c r="H351" s="9"/>
      <c r="I351" s="9">
        <v>2</v>
      </c>
      <c r="J351" s="9">
        <v>4</v>
      </c>
      <c r="K351" s="9"/>
      <c r="L351" s="9" t="s">
        <v>8690</v>
      </c>
      <c r="M351" s="9"/>
      <c r="N351" s="10"/>
      <c r="O351" s="9"/>
      <c r="P351" s="9">
        <v>872</v>
      </c>
      <c r="Q351" s="9">
        <f t="shared" si="5"/>
        <v>112.18175502695193</v>
      </c>
      <c r="R351" s="9"/>
      <c r="S351" s="9" t="s">
        <v>9321</v>
      </c>
      <c r="T351" s="9" t="s">
        <v>9321</v>
      </c>
      <c r="U351" s="9"/>
      <c r="V351" s="9"/>
      <c r="W351" s="9"/>
      <c r="X351" s="9"/>
      <c r="Y351" s="9"/>
      <c r="Z351" s="9"/>
      <c r="AA351" s="9"/>
      <c r="AB351" s="9"/>
      <c r="AC351" s="9"/>
      <c r="AD351" s="9"/>
    </row>
    <row r="352" spans="1:30" ht="72.5">
      <c r="A352" s="3" t="s">
        <v>1126</v>
      </c>
      <c r="B352" s="3" t="s">
        <v>6139</v>
      </c>
      <c r="C352" s="3" t="s">
        <v>6140</v>
      </c>
      <c r="F352" t="s">
        <v>3884</v>
      </c>
      <c r="G352" s="9" t="s">
        <v>3885</v>
      </c>
      <c r="H352" s="9"/>
      <c r="I352" s="9">
        <v>1</v>
      </c>
      <c r="J352" s="9">
        <v>2</v>
      </c>
      <c r="K352" s="9" t="s">
        <v>8734</v>
      </c>
      <c r="L352" s="9" t="s">
        <v>8730</v>
      </c>
      <c r="M352" s="9"/>
      <c r="N352" s="10"/>
      <c r="O352" s="9"/>
      <c r="P352" s="9">
        <v>698</v>
      </c>
      <c r="Q352" s="9">
        <f t="shared" si="5"/>
        <v>89.796863542216116</v>
      </c>
      <c r="R352" s="9"/>
      <c r="S352" s="9" t="s">
        <v>9321</v>
      </c>
      <c r="T352" s="9" t="s">
        <v>9321</v>
      </c>
      <c r="U352" s="9"/>
      <c r="V352" s="9"/>
      <c r="W352" s="9"/>
      <c r="X352" s="9"/>
      <c r="Y352" s="9"/>
      <c r="Z352" s="9"/>
      <c r="AA352" s="9"/>
      <c r="AB352" s="9"/>
      <c r="AC352" s="9"/>
      <c r="AD352" s="9"/>
    </row>
    <row r="353" spans="1:30" ht="43.5">
      <c r="A353" s="3" t="s">
        <v>1132</v>
      </c>
      <c r="B353" s="3" t="s">
        <v>6153</v>
      </c>
      <c r="C353" s="3" t="s">
        <v>6156</v>
      </c>
      <c r="F353" t="s">
        <v>3884</v>
      </c>
      <c r="G353" s="9" t="s">
        <v>3885</v>
      </c>
      <c r="H353" s="9"/>
      <c r="I353" s="9">
        <v>1</v>
      </c>
      <c r="J353" s="9">
        <v>1</v>
      </c>
      <c r="K353" s="9" t="s">
        <v>8689</v>
      </c>
      <c r="L353" s="9" t="s">
        <v>8730</v>
      </c>
      <c r="M353" s="9"/>
      <c r="N353" s="10"/>
      <c r="O353" s="9"/>
      <c r="P353" s="9">
        <v>10929</v>
      </c>
      <c r="Q353" s="9">
        <f t="shared" si="5"/>
        <v>1406.0027530843549</v>
      </c>
      <c r="R353" s="9"/>
      <c r="S353" s="9" t="s">
        <v>9321</v>
      </c>
      <c r="T353" s="9" t="s">
        <v>9321</v>
      </c>
      <c r="U353" s="9"/>
      <c r="V353" s="9"/>
      <c r="W353" s="9"/>
      <c r="X353" s="9"/>
      <c r="Y353" s="9"/>
      <c r="Z353" s="9"/>
      <c r="AA353" s="9"/>
      <c r="AB353" s="9"/>
      <c r="AC353" s="9"/>
      <c r="AD353" s="9"/>
    </row>
    <row r="354" spans="1:30" ht="43.5">
      <c r="A354" s="3" t="s">
        <v>1133</v>
      </c>
      <c r="B354" s="3" t="s">
        <v>6160</v>
      </c>
      <c r="C354" s="3" t="s">
        <v>6161</v>
      </c>
      <c r="F354" t="s">
        <v>3884</v>
      </c>
      <c r="G354" s="9" t="s">
        <v>3889</v>
      </c>
      <c r="H354" s="9"/>
      <c r="I354" s="9">
        <v>1</v>
      </c>
      <c r="J354" s="9">
        <v>3</v>
      </c>
      <c r="K354" s="9" t="s">
        <v>8689</v>
      </c>
      <c r="L354" s="9" t="s">
        <v>8690</v>
      </c>
      <c r="M354" s="9"/>
      <c r="N354" s="10"/>
      <c r="O354" s="9"/>
      <c r="P354" s="9">
        <v>10929</v>
      </c>
      <c r="Q354" s="9">
        <f t="shared" si="5"/>
        <v>1406.0027530843549</v>
      </c>
      <c r="R354" s="9"/>
      <c r="S354" s="9" t="s">
        <v>9321</v>
      </c>
      <c r="T354" s="9" t="s">
        <v>9321</v>
      </c>
      <c r="U354" s="9"/>
      <c r="V354" s="9"/>
      <c r="W354" s="9"/>
      <c r="X354" s="9"/>
      <c r="Y354" s="9"/>
      <c r="Z354" s="9"/>
      <c r="AA354" s="9"/>
      <c r="AB354" s="9"/>
      <c r="AC354" s="9"/>
      <c r="AD354" s="9"/>
    </row>
    <row r="355" spans="1:30" ht="43.5">
      <c r="A355" s="3" t="s">
        <v>1137</v>
      </c>
      <c r="B355" s="3" t="s">
        <v>6163</v>
      </c>
      <c r="C355" s="3" t="s">
        <v>6164</v>
      </c>
      <c r="G355" s="9" t="s">
        <v>3889</v>
      </c>
      <c r="H355" s="9"/>
      <c r="I355" s="9">
        <v>1</v>
      </c>
      <c r="J355" s="9">
        <v>2</v>
      </c>
      <c r="K355" s="9" t="s">
        <v>8689</v>
      </c>
      <c r="L355" s="9" t="s">
        <v>8730</v>
      </c>
      <c r="M355" s="9"/>
      <c r="N355" s="10"/>
      <c r="O355" s="9"/>
      <c r="P355" s="9">
        <v>10929</v>
      </c>
      <c r="Q355" s="9">
        <f t="shared" si="5"/>
        <v>1406.0027530843549</v>
      </c>
      <c r="R355" s="9"/>
      <c r="S355" s="9" t="s">
        <v>9321</v>
      </c>
      <c r="T355" s="9" t="s">
        <v>9321</v>
      </c>
      <c r="U355" s="9" t="s">
        <v>8728</v>
      </c>
      <c r="V355" s="9"/>
      <c r="W355" s="9"/>
      <c r="X355" s="9"/>
      <c r="Y355" s="9"/>
      <c r="Z355" s="9"/>
      <c r="AA355" s="9"/>
      <c r="AB355" s="9"/>
      <c r="AC355" s="9"/>
      <c r="AD355" s="9"/>
    </row>
    <row r="356" spans="1:30" ht="58">
      <c r="A356" s="3" t="s">
        <v>1140</v>
      </c>
      <c r="B356" s="3" t="s">
        <v>6167</v>
      </c>
      <c r="C356" s="3" t="s">
        <v>6168</v>
      </c>
      <c r="G356" s="9" t="s">
        <v>3885</v>
      </c>
      <c r="H356" s="9"/>
      <c r="I356" s="9">
        <v>1</v>
      </c>
      <c r="J356" s="9">
        <v>3</v>
      </c>
      <c r="K356" s="9" t="s">
        <v>8689</v>
      </c>
      <c r="L356" s="9" t="s">
        <v>8684</v>
      </c>
      <c r="M356" s="9" t="s">
        <v>9080</v>
      </c>
      <c r="N356" s="10" t="s">
        <v>9081</v>
      </c>
      <c r="O356" s="9"/>
      <c r="P356" s="9">
        <v>10929</v>
      </c>
      <c r="Q356" s="9">
        <f t="shared" si="5"/>
        <v>1406.0027530843549</v>
      </c>
      <c r="R356" s="9"/>
      <c r="S356" s="9" t="s">
        <v>9321</v>
      </c>
      <c r="T356" s="9" t="s">
        <v>9321</v>
      </c>
      <c r="U356" s="9"/>
      <c r="V356" s="9"/>
      <c r="W356" s="9"/>
      <c r="X356" s="9"/>
      <c r="Y356" s="9"/>
      <c r="Z356" s="9"/>
      <c r="AA356" s="9"/>
      <c r="AB356" s="9"/>
      <c r="AC356" s="9"/>
      <c r="AD356" s="9"/>
    </row>
    <row r="357" spans="1:30" ht="72.5">
      <c r="A357" s="3" t="s">
        <v>1143</v>
      </c>
      <c r="B357" s="3" t="s">
        <v>6170</v>
      </c>
      <c r="C357" s="3" t="s">
        <v>6171</v>
      </c>
      <c r="F357" t="s">
        <v>3884</v>
      </c>
      <c r="G357" s="9" t="s">
        <v>3889</v>
      </c>
      <c r="H357" s="9"/>
      <c r="I357" s="9">
        <v>1</v>
      </c>
      <c r="J357" s="9">
        <v>7</v>
      </c>
      <c r="K357" s="9" t="s">
        <v>8703</v>
      </c>
      <c r="L357" s="9" t="s">
        <v>8690</v>
      </c>
      <c r="M357" s="9"/>
      <c r="N357" s="10"/>
      <c r="O357" s="9"/>
      <c r="P357" s="9">
        <v>186</v>
      </c>
      <c r="Q357" s="9">
        <f t="shared" si="5"/>
        <v>23.92867710437277</v>
      </c>
      <c r="R357" s="9"/>
      <c r="S357" s="9" t="s">
        <v>9321</v>
      </c>
      <c r="T357" s="9" t="s">
        <v>9321</v>
      </c>
      <c r="U357" s="9"/>
      <c r="V357" s="9"/>
      <c r="W357" s="9"/>
      <c r="X357" s="9"/>
      <c r="Y357" s="9"/>
      <c r="Z357" s="9"/>
      <c r="AA357" s="9"/>
      <c r="AB357" s="9"/>
      <c r="AC357" s="9"/>
      <c r="AD357" s="9"/>
    </row>
    <row r="358" spans="1:30" ht="29">
      <c r="A358" s="3" t="s">
        <v>1151</v>
      </c>
      <c r="B358" s="3" t="s">
        <v>6183</v>
      </c>
      <c r="C358" s="3" t="s">
        <v>6184</v>
      </c>
      <c r="F358" t="s">
        <v>3884</v>
      </c>
      <c r="G358" s="9" t="s">
        <v>3889</v>
      </c>
      <c r="H358" s="9"/>
      <c r="I358" s="9">
        <v>1</v>
      </c>
      <c r="J358" s="9">
        <v>2</v>
      </c>
      <c r="K358" s="9" t="s">
        <v>8707</v>
      </c>
      <c r="L358" s="9" t="s">
        <v>8730</v>
      </c>
      <c r="M358" s="9"/>
      <c r="N358" s="10"/>
      <c r="O358" s="9"/>
      <c r="P358" s="9">
        <v>1942</v>
      </c>
      <c r="Q358" s="9">
        <f t="shared" si="5"/>
        <v>249.83597277791355</v>
      </c>
      <c r="R358" s="9"/>
      <c r="S358" s="9" t="s">
        <v>9321</v>
      </c>
      <c r="T358" s="9" t="s">
        <v>9321</v>
      </c>
      <c r="U358" s="9"/>
      <c r="V358" s="9"/>
      <c r="W358" s="9"/>
      <c r="X358" s="9"/>
      <c r="Y358" s="9"/>
      <c r="Z358" s="9"/>
      <c r="AA358" s="9"/>
      <c r="AB358" s="9"/>
      <c r="AC358" s="9"/>
      <c r="AD358" s="9"/>
    </row>
    <row r="359" spans="1:30" ht="58">
      <c r="A359" s="3" t="s">
        <v>1164</v>
      </c>
      <c r="B359" s="3" t="s">
        <v>6203</v>
      </c>
      <c r="C359" s="3" t="s">
        <v>6204</v>
      </c>
      <c r="F359" t="s">
        <v>3884</v>
      </c>
      <c r="G359" s="9" t="s">
        <v>3885</v>
      </c>
      <c r="H359" s="9"/>
      <c r="I359" s="9">
        <v>1</v>
      </c>
      <c r="J359" s="9">
        <v>4</v>
      </c>
      <c r="K359" s="9" t="s">
        <v>8703</v>
      </c>
      <c r="L359" s="9" t="s">
        <v>8684</v>
      </c>
      <c r="M359" s="9" t="s">
        <v>8777</v>
      </c>
      <c r="N359" s="10" t="s">
        <v>8772</v>
      </c>
      <c r="O359" s="9" t="s">
        <v>8685</v>
      </c>
      <c r="P359" s="9">
        <v>0</v>
      </c>
      <c r="Q359" s="9">
        <f t="shared" si="5"/>
        <v>0</v>
      </c>
      <c r="R359" s="9"/>
      <c r="S359" s="9" t="s">
        <v>9321</v>
      </c>
      <c r="T359" s="9" t="s">
        <v>9321</v>
      </c>
      <c r="U359" s="9"/>
      <c r="V359" s="9"/>
      <c r="W359" s="9"/>
      <c r="X359" s="9"/>
      <c r="Y359" s="9"/>
      <c r="Z359" s="9"/>
      <c r="AA359" s="9"/>
      <c r="AB359" s="9"/>
      <c r="AC359" s="9"/>
      <c r="AD359" s="9"/>
    </row>
    <row r="360" spans="1:30" ht="58">
      <c r="A360" s="3" t="s">
        <v>1165</v>
      </c>
      <c r="B360" s="3" t="s">
        <v>6207</v>
      </c>
      <c r="C360" s="3" t="s">
        <v>6210</v>
      </c>
      <c r="F360" t="s">
        <v>3884</v>
      </c>
      <c r="G360" s="9" t="s">
        <v>3885</v>
      </c>
      <c r="H360" s="9"/>
      <c r="I360" s="9">
        <v>1</v>
      </c>
      <c r="J360" s="9">
        <v>3</v>
      </c>
      <c r="K360" s="9" t="s">
        <v>8698</v>
      </c>
      <c r="L360" s="9" t="s">
        <v>8690</v>
      </c>
      <c r="M360" s="9"/>
      <c r="N360" s="10"/>
      <c r="O360" s="9"/>
      <c r="P360" s="9">
        <v>9418</v>
      </c>
      <c r="Q360" s="9">
        <f t="shared" si="5"/>
        <v>1211.6144138117354</v>
      </c>
      <c r="R360" s="9"/>
      <c r="S360" s="9" t="s">
        <v>9321</v>
      </c>
      <c r="T360" s="9" t="s">
        <v>9321</v>
      </c>
      <c r="U360" s="9"/>
      <c r="V360" s="9"/>
      <c r="W360" s="9"/>
      <c r="X360" s="9"/>
      <c r="Y360" s="9"/>
      <c r="Z360" s="9"/>
      <c r="AA360" s="9"/>
      <c r="AB360" s="9"/>
      <c r="AC360" s="9"/>
      <c r="AD360" s="9"/>
    </row>
    <row r="361" spans="1:30" ht="72.5">
      <c r="A361" s="3" t="s">
        <v>1171</v>
      </c>
      <c r="B361" s="3" t="s">
        <v>6221</v>
      </c>
      <c r="C361" s="3" t="s">
        <v>6222</v>
      </c>
      <c r="F361" t="s">
        <v>3884</v>
      </c>
      <c r="G361" s="9" t="s">
        <v>3885</v>
      </c>
      <c r="H361" s="9"/>
      <c r="I361" s="9">
        <v>1</v>
      </c>
      <c r="J361" s="9">
        <v>5</v>
      </c>
      <c r="K361" s="9" t="s">
        <v>8705</v>
      </c>
      <c r="L361" s="9" t="s">
        <v>8690</v>
      </c>
      <c r="M361" s="9"/>
      <c r="N361" s="10"/>
      <c r="O361" s="9"/>
      <c r="P361" s="9">
        <v>3678</v>
      </c>
      <c r="Q361" s="9">
        <f t="shared" si="5"/>
        <v>473.17029241872609</v>
      </c>
      <c r="R361" s="9"/>
      <c r="S361" s="9" t="s">
        <v>9321</v>
      </c>
      <c r="T361" s="9" t="s">
        <v>9321</v>
      </c>
      <c r="U361" s="9"/>
      <c r="V361" s="9"/>
      <c r="W361" s="9"/>
      <c r="X361" s="9"/>
      <c r="Y361" s="9"/>
      <c r="Z361" s="9"/>
      <c r="AA361" s="9"/>
      <c r="AB361" s="9"/>
      <c r="AC361" s="9"/>
      <c r="AD361" s="9"/>
    </row>
    <row r="362" spans="1:30" ht="43.5">
      <c r="A362" s="3" t="s">
        <v>1183</v>
      </c>
      <c r="B362" s="3" t="s">
        <v>6240</v>
      </c>
      <c r="C362" s="3" t="s">
        <v>6241</v>
      </c>
      <c r="F362" t="s">
        <v>3884</v>
      </c>
      <c r="G362" s="9" t="s">
        <v>3885</v>
      </c>
      <c r="H362" s="9"/>
      <c r="I362" s="9">
        <v>1</v>
      </c>
      <c r="J362" s="9">
        <v>2</v>
      </c>
      <c r="K362" s="9" t="s">
        <v>8698</v>
      </c>
      <c r="L362" s="9" t="s">
        <v>8730</v>
      </c>
      <c r="M362" s="9"/>
      <c r="N362" s="10"/>
      <c r="O362" s="9" t="s">
        <v>8685</v>
      </c>
      <c r="P362" s="9">
        <v>1</v>
      </c>
      <c r="Q362" s="9">
        <f t="shared" si="5"/>
        <v>0.12864880163641276</v>
      </c>
      <c r="R362" s="9"/>
      <c r="S362" s="9" t="s">
        <v>9321</v>
      </c>
      <c r="T362" s="9" t="s">
        <v>9321</v>
      </c>
      <c r="U362" s="9"/>
      <c r="V362" s="9"/>
      <c r="W362" s="9"/>
      <c r="X362" s="9"/>
      <c r="Y362" s="9"/>
      <c r="Z362" s="9"/>
      <c r="AA362" s="9"/>
      <c r="AB362" s="9"/>
      <c r="AC362" s="9"/>
      <c r="AD362" s="9"/>
    </row>
    <row r="363" spans="1:30" ht="72.5">
      <c r="A363" s="3" t="s">
        <v>1185</v>
      </c>
      <c r="B363" s="3" t="s">
        <v>6247</v>
      </c>
      <c r="C363" s="3" t="s">
        <v>6248</v>
      </c>
      <c r="G363" s="9" t="s">
        <v>3885</v>
      </c>
      <c r="H363" s="9"/>
      <c r="I363" s="9">
        <v>1</v>
      </c>
      <c r="J363" s="9">
        <v>2</v>
      </c>
      <c r="K363" s="9" t="s">
        <v>8689</v>
      </c>
      <c r="L363" s="9" t="s">
        <v>8730</v>
      </c>
      <c r="M363" s="9"/>
      <c r="N363" s="10"/>
      <c r="O363" s="9"/>
      <c r="P363" s="9">
        <v>10929</v>
      </c>
      <c r="Q363" s="9">
        <f t="shared" si="5"/>
        <v>1406.0027530843549</v>
      </c>
      <c r="R363" s="9"/>
      <c r="S363" s="9" t="s">
        <v>9321</v>
      </c>
      <c r="T363" s="9" t="s">
        <v>9321</v>
      </c>
      <c r="U363" s="9"/>
      <c r="V363" s="9"/>
      <c r="W363" s="9"/>
      <c r="X363" s="9"/>
      <c r="Y363" s="9"/>
      <c r="Z363" s="9"/>
      <c r="AA363" s="9"/>
      <c r="AB363" s="9"/>
      <c r="AC363" s="9"/>
      <c r="AD363" s="9"/>
    </row>
    <row r="364" spans="1:30" ht="29">
      <c r="A364" s="3" t="s">
        <v>1187</v>
      </c>
      <c r="B364" s="3" t="s">
        <v>6251</v>
      </c>
      <c r="C364" s="3" t="s">
        <v>6252</v>
      </c>
      <c r="F364" t="s">
        <v>3884</v>
      </c>
      <c r="G364" s="9" t="s">
        <v>3889</v>
      </c>
      <c r="H364" s="9"/>
      <c r="I364" s="9">
        <v>1</v>
      </c>
      <c r="J364" s="9">
        <v>2</v>
      </c>
      <c r="K364" s="9" t="s">
        <v>8689</v>
      </c>
      <c r="L364" s="9" t="s">
        <v>8730</v>
      </c>
      <c r="M364" s="9"/>
      <c r="N364" s="10"/>
      <c r="O364" s="9"/>
      <c r="P364" s="9">
        <v>10929</v>
      </c>
      <c r="Q364" s="9">
        <f t="shared" si="5"/>
        <v>1406.0027530843549</v>
      </c>
      <c r="R364" s="9"/>
      <c r="S364" s="9" t="s">
        <v>9321</v>
      </c>
      <c r="T364" s="9" t="s">
        <v>9321</v>
      </c>
      <c r="U364" s="9"/>
      <c r="V364" s="9"/>
      <c r="W364" s="9"/>
      <c r="X364" s="9"/>
      <c r="Y364" s="9"/>
      <c r="Z364" s="9"/>
      <c r="AA364" s="9"/>
      <c r="AB364" s="9"/>
      <c r="AC364" s="9"/>
      <c r="AD364" s="9"/>
    </row>
    <row r="365" spans="1:30" ht="43.5">
      <c r="A365" s="3" t="s">
        <v>1195</v>
      </c>
      <c r="B365" s="3" t="s">
        <v>6267</v>
      </c>
      <c r="C365" s="3" t="s">
        <v>6268</v>
      </c>
      <c r="G365" s="9" t="s">
        <v>3885</v>
      </c>
      <c r="H365" s="9"/>
      <c r="I365" s="9">
        <v>1</v>
      </c>
      <c r="J365" s="9">
        <v>1</v>
      </c>
      <c r="K365" s="9" t="s">
        <v>8698</v>
      </c>
      <c r="L365" s="9" t="s">
        <v>8730</v>
      </c>
      <c r="M365" s="9"/>
      <c r="N365" s="10"/>
      <c r="O365" s="9" t="s">
        <v>8685</v>
      </c>
      <c r="P365" s="9">
        <v>1</v>
      </c>
      <c r="Q365" s="9">
        <f t="shared" si="5"/>
        <v>0.12864880163641276</v>
      </c>
      <c r="R365" s="9"/>
      <c r="S365" s="9" t="s">
        <v>9321</v>
      </c>
      <c r="T365" s="9" t="s">
        <v>9321</v>
      </c>
      <c r="U365" s="9"/>
      <c r="V365" s="9"/>
      <c r="W365" s="9"/>
      <c r="X365" s="9"/>
      <c r="Y365" s="9"/>
      <c r="Z365" s="9"/>
      <c r="AA365" s="9"/>
      <c r="AB365" s="9"/>
      <c r="AC365" s="9"/>
      <c r="AD365" s="9"/>
    </row>
    <row r="366" spans="1:30" ht="130.5">
      <c r="A366" s="3" t="s">
        <v>1195</v>
      </c>
      <c r="B366" s="3" t="s">
        <v>6272</v>
      </c>
      <c r="C366" s="3" t="s">
        <v>6269</v>
      </c>
      <c r="F366" t="s">
        <v>3888</v>
      </c>
      <c r="G366" s="9" t="s">
        <v>3889</v>
      </c>
      <c r="H366" s="9"/>
      <c r="I366" s="9">
        <v>3</v>
      </c>
      <c r="J366" s="9">
        <v>18</v>
      </c>
      <c r="K366" s="9"/>
      <c r="L366" s="9" t="s">
        <v>8684</v>
      </c>
      <c r="M366" s="9" t="s">
        <v>8944</v>
      </c>
      <c r="N366" s="10" t="s">
        <v>9011</v>
      </c>
      <c r="O366" s="9"/>
      <c r="P366" s="9">
        <v>1</v>
      </c>
      <c r="Q366" s="9">
        <f t="shared" si="5"/>
        <v>0.12864880163641276</v>
      </c>
      <c r="R366" s="9"/>
      <c r="S366" s="9" t="s">
        <v>9321</v>
      </c>
      <c r="T366" s="9" t="s">
        <v>9321</v>
      </c>
      <c r="U366" s="9"/>
      <c r="V366" s="9"/>
      <c r="W366" s="9"/>
      <c r="X366" s="9"/>
      <c r="Y366" s="9"/>
      <c r="Z366" s="9"/>
      <c r="AA366" s="9"/>
      <c r="AB366" s="9"/>
      <c r="AC366" s="9"/>
      <c r="AD366" s="9"/>
    </row>
    <row r="367" spans="1:30" ht="87">
      <c r="A367" s="3" t="s">
        <v>1197</v>
      </c>
      <c r="B367" s="3" t="s">
        <v>6283</v>
      </c>
      <c r="C367" s="3" t="s">
        <v>6284</v>
      </c>
      <c r="F367" t="s">
        <v>3884</v>
      </c>
      <c r="G367" s="9" t="s">
        <v>3885</v>
      </c>
      <c r="H367" s="9"/>
      <c r="I367" s="9">
        <v>1</v>
      </c>
      <c r="J367" s="9">
        <v>3</v>
      </c>
      <c r="K367" s="9" t="s">
        <v>8689</v>
      </c>
      <c r="L367" s="9" t="s">
        <v>8690</v>
      </c>
      <c r="M367" s="9"/>
      <c r="N367" s="10"/>
      <c r="O367" s="9"/>
      <c r="P367" s="9">
        <v>10929</v>
      </c>
      <c r="Q367" s="9">
        <f t="shared" si="5"/>
        <v>1406.0027530843549</v>
      </c>
      <c r="R367" s="9"/>
      <c r="S367" s="9" t="s">
        <v>9321</v>
      </c>
      <c r="T367" s="9" t="s">
        <v>9321</v>
      </c>
      <c r="U367" s="9"/>
      <c r="V367" s="9"/>
      <c r="W367" s="9"/>
      <c r="X367" s="9"/>
      <c r="Y367" s="9"/>
      <c r="Z367" s="9"/>
      <c r="AA367" s="9"/>
      <c r="AB367" s="9"/>
      <c r="AC367" s="9"/>
      <c r="AD367" s="9"/>
    </row>
    <row r="368" spans="1:30" ht="72.5">
      <c r="A368" s="3" t="s">
        <v>1198</v>
      </c>
      <c r="B368" s="3" t="s">
        <v>6287</v>
      </c>
      <c r="C368" s="3" t="s">
        <v>6288</v>
      </c>
      <c r="F368" t="s">
        <v>3884</v>
      </c>
      <c r="G368" s="9" t="s">
        <v>3885</v>
      </c>
      <c r="H368" s="9"/>
      <c r="I368" s="9">
        <v>1</v>
      </c>
      <c r="J368" s="9">
        <v>2</v>
      </c>
      <c r="K368" s="9" t="s">
        <v>8707</v>
      </c>
      <c r="L368" s="9" t="s">
        <v>8730</v>
      </c>
      <c r="M368" s="9"/>
      <c r="N368" s="10"/>
      <c r="O368" s="9"/>
      <c r="P368" s="9">
        <v>1942</v>
      </c>
      <c r="Q368" s="9">
        <f t="shared" si="5"/>
        <v>249.83597277791355</v>
      </c>
      <c r="R368" s="9"/>
      <c r="S368" s="9" t="s">
        <v>9321</v>
      </c>
      <c r="T368" s="9" t="s">
        <v>9321</v>
      </c>
      <c r="U368" s="9"/>
      <c r="V368" s="9"/>
      <c r="W368" s="9"/>
      <c r="X368" s="9"/>
      <c r="Y368" s="9"/>
      <c r="Z368" s="9"/>
      <c r="AA368" s="9"/>
      <c r="AB368" s="9"/>
      <c r="AC368" s="9"/>
      <c r="AD368" s="9"/>
    </row>
    <row r="369" spans="1:30" ht="58">
      <c r="A369" s="3" t="s">
        <v>1198</v>
      </c>
      <c r="B369" s="3" t="s">
        <v>6291</v>
      </c>
      <c r="C369" s="3" t="s">
        <v>6292</v>
      </c>
      <c r="F369" t="s">
        <v>3892</v>
      </c>
      <c r="G369" s="9" t="s">
        <v>3885</v>
      </c>
      <c r="H369" s="9"/>
      <c r="I369" s="9">
        <v>1</v>
      </c>
      <c r="J369" s="9">
        <v>1</v>
      </c>
      <c r="K369" s="9" t="s">
        <v>8689</v>
      </c>
      <c r="L369" s="9" t="s">
        <v>8730</v>
      </c>
      <c r="M369" s="9"/>
      <c r="N369" s="10"/>
      <c r="O369" s="9"/>
      <c r="P369" s="9">
        <v>10929</v>
      </c>
      <c r="Q369" s="9">
        <f t="shared" si="5"/>
        <v>1406.0027530843549</v>
      </c>
      <c r="R369" s="9"/>
      <c r="S369" s="9" t="s">
        <v>9321</v>
      </c>
      <c r="T369" s="9" t="s">
        <v>9321</v>
      </c>
      <c r="U369" s="9"/>
      <c r="V369" s="9"/>
      <c r="W369" s="9"/>
      <c r="X369" s="9"/>
      <c r="Y369" s="9"/>
      <c r="Z369" s="9"/>
      <c r="AA369" s="9"/>
      <c r="AB369" s="9"/>
      <c r="AC369" s="9"/>
      <c r="AD369" s="9"/>
    </row>
    <row r="370" spans="1:30" ht="43.5">
      <c r="A370" s="3" t="s">
        <v>1203</v>
      </c>
      <c r="B370" s="3" t="s">
        <v>6305</v>
      </c>
      <c r="C370" s="3" t="s">
        <v>6306</v>
      </c>
      <c r="G370" s="9" t="s">
        <v>3885</v>
      </c>
      <c r="H370" s="9"/>
      <c r="I370" s="9">
        <v>1</v>
      </c>
      <c r="J370" s="9">
        <v>3</v>
      </c>
      <c r="K370" s="9" t="s">
        <v>8689</v>
      </c>
      <c r="L370" s="9" t="s">
        <v>8690</v>
      </c>
      <c r="M370" s="9"/>
      <c r="N370" s="10"/>
      <c r="O370" s="9"/>
      <c r="P370" s="9">
        <v>10929</v>
      </c>
      <c r="Q370" s="9">
        <f t="shared" si="5"/>
        <v>1406.0027530843549</v>
      </c>
      <c r="R370" s="9"/>
      <c r="S370" s="9" t="s">
        <v>9321</v>
      </c>
      <c r="T370" s="9" t="s">
        <v>9321</v>
      </c>
      <c r="U370" s="9"/>
      <c r="V370" s="9"/>
      <c r="W370" s="9"/>
      <c r="X370" s="9"/>
      <c r="Y370" s="9"/>
      <c r="Z370" s="9"/>
      <c r="AA370" s="9"/>
      <c r="AB370" s="9"/>
      <c r="AC370" s="9"/>
      <c r="AD370" s="9"/>
    </row>
    <row r="371" spans="1:30" ht="43.5">
      <c r="A371" s="3" t="s">
        <v>1210</v>
      </c>
      <c r="B371" s="3" t="s">
        <v>6316</v>
      </c>
      <c r="C371" s="3" t="s">
        <v>6317</v>
      </c>
      <c r="F371" t="s">
        <v>3884</v>
      </c>
      <c r="G371" s="9" t="s">
        <v>3889</v>
      </c>
      <c r="H371" s="9"/>
      <c r="I371" s="9">
        <v>1</v>
      </c>
      <c r="J371" s="9">
        <v>3</v>
      </c>
      <c r="K371" s="9" t="s">
        <v>8689</v>
      </c>
      <c r="L371" s="9" t="s">
        <v>8690</v>
      </c>
      <c r="M371" s="9"/>
      <c r="N371" s="10"/>
      <c r="O371" s="9"/>
      <c r="P371" s="9">
        <v>10929</v>
      </c>
      <c r="Q371" s="9">
        <f t="shared" si="5"/>
        <v>1406.0027530843549</v>
      </c>
      <c r="R371" s="9"/>
      <c r="S371" s="9" t="s">
        <v>9321</v>
      </c>
      <c r="T371" s="9" t="s">
        <v>9321</v>
      </c>
      <c r="U371" s="9"/>
      <c r="V371" s="9"/>
      <c r="W371" s="9"/>
      <c r="X371" s="9"/>
      <c r="Y371" s="9"/>
      <c r="Z371" s="9"/>
      <c r="AA371" s="9"/>
      <c r="AB371" s="9"/>
      <c r="AC371" s="9"/>
      <c r="AD371" s="9"/>
    </row>
    <row r="372" spans="1:30" ht="409.5">
      <c r="A372" s="3" t="s">
        <v>1213</v>
      </c>
      <c r="B372" s="3" t="s">
        <v>9095</v>
      </c>
      <c r="C372" s="3" t="s">
        <v>9643</v>
      </c>
      <c r="F372" t="s">
        <v>3884</v>
      </c>
      <c r="G372" s="9" t="s">
        <v>3889</v>
      </c>
      <c r="H372" s="9"/>
      <c r="I372" s="9">
        <v>46</v>
      </c>
      <c r="J372" s="9">
        <v>204</v>
      </c>
      <c r="K372" s="9"/>
      <c r="L372" s="9" t="s">
        <v>8684</v>
      </c>
      <c r="M372" s="9" t="s">
        <v>8740</v>
      </c>
      <c r="N372" s="10" t="s">
        <v>9018</v>
      </c>
      <c r="O372" s="9"/>
      <c r="P372" s="9">
        <v>23</v>
      </c>
      <c r="Q372" s="9">
        <f t="shared" si="5"/>
        <v>2.9589224376374932</v>
      </c>
      <c r="R372" s="9"/>
      <c r="S372" s="9" t="s">
        <v>9321</v>
      </c>
      <c r="T372" s="9" t="s">
        <v>9321</v>
      </c>
      <c r="U372" s="9"/>
      <c r="V372" s="9"/>
      <c r="W372" s="9"/>
      <c r="X372" s="9"/>
      <c r="Y372" s="9"/>
      <c r="Z372" s="9"/>
      <c r="AA372" s="9"/>
      <c r="AB372" s="9"/>
      <c r="AC372" s="9"/>
      <c r="AD372" s="9"/>
    </row>
    <row r="373" spans="1:30" ht="58">
      <c r="A373" s="3" t="s">
        <v>1215</v>
      </c>
      <c r="B373" s="3" t="s">
        <v>6329</v>
      </c>
      <c r="C373" s="3" t="s">
        <v>6330</v>
      </c>
      <c r="G373" s="9" t="s">
        <v>3885</v>
      </c>
      <c r="H373" s="9"/>
      <c r="I373" s="9">
        <v>1</v>
      </c>
      <c r="J373" s="9">
        <v>1</v>
      </c>
      <c r="K373" s="9" t="s">
        <v>8689</v>
      </c>
      <c r="L373" s="9" t="s">
        <v>8730</v>
      </c>
      <c r="M373" s="9"/>
      <c r="N373" s="10"/>
      <c r="O373" s="9" t="s">
        <v>8685</v>
      </c>
      <c r="P373" s="9">
        <v>10929</v>
      </c>
      <c r="Q373" s="9">
        <f t="shared" si="5"/>
        <v>1406.0027530843549</v>
      </c>
      <c r="R373" s="9"/>
      <c r="S373" s="9" t="s">
        <v>9321</v>
      </c>
      <c r="T373" s="9" t="s">
        <v>9321</v>
      </c>
      <c r="U373" s="9"/>
      <c r="V373" s="9"/>
      <c r="W373" s="9"/>
      <c r="X373" s="9"/>
      <c r="Y373" s="9"/>
      <c r="Z373" s="9"/>
      <c r="AA373" s="9"/>
      <c r="AB373" s="9"/>
      <c r="AC373" s="9"/>
      <c r="AD373" s="9"/>
    </row>
    <row r="374" spans="1:30" ht="58">
      <c r="A374" s="3" t="s">
        <v>1218</v>
      </c>
      <c r="B374" s="3" t="s">
        <v>6334</v>
      </c>
      <c r="C374" s="3" t="s">
        <v>6335</v>
      </c>
      <c r="F374" t="s">
        <v>3884</v>
      </c>
      <c r="G374" s="9" t="s">
        <v>3885</v>
      </c>
      <c r="H374" s="9"/>
      <c r="I374" s="9">
        <v>1</v>
      </c>
      <c r="J374" s="9">
        <v>1</v>
      </c>
      <c r="K374" s="9" t="s">
        <v>8698</v>
      </c>
      <c r="L374" s="9" t="s">
        <v>8730</v>
      </c>
      <c r="M374" s="9"/>
      <c r="N374" s="10"/>
      <c r="O374" s="9"/>
      <c r="P374" s="9">
        <v>55</v>
      </c>
      <c r="Q374" s="9">
        <f t="shared" si="5"/>
        <v>7.075684090002702</v>
      </c>
      <c r="R374" s="9"/>
      <c r="S374" s="9" t="s">
        <v>9321</v>
      </c>
      <c r="T374" s="9" t="s">
        <v>9321</v>
      </c>
      <c r="U374" s="9"/>
      <c r="V374" s="9"/>
      <c r="W374" s="9"/>
      <c r="X374" s="9"/>
      <c r="Y374" s="9"/>
      <c r="Z374" s="9"/>
      <c r="AA374" s="9"/>
      <c r="AB374" s="9"/>
      <c r="AC374" s="9"/>
      <c r="AD374" s="9"/>
    </row>
    <row r="375" spans="1:30" ht="87">
      <c r="A375" s="3" t="s">
        <v>1221</v>
      </c>
      <c r="B375" s="3" t="s">
        <v>6345</v>
      </c>
      <c r="C375" s="3" t="s">
        <v>6344</v>
      </c>
      <c r="F375" t="s">
        <v>3884</v>
      </c>
      <c r="G375" s="9" t="s">
        <v>3889</v>
      </c>
      <c r="H375" s="9"/>
      <c r="I375" s="9">
        <v>1</v>
      </c>
      <c r="J375" s="9">
        <v>3</v>
      </c>
      <c r="K375" s="9" t="s">
        <v>8703</v>
      </c>
      <c r="L375" s="9" t="s">
        <v>8690</v>
      </c>
      <c r="M375" s="9"/>
      <c r="N375" s="10"/>
      <c r="O375" s="9"/>
      <c r="P375" s="9">
        <v>627</v>
      </c>
      <c r="Q375" s="9">
        <f t="shared" si="5"/>
        <v>80.662798626030806</v>
      </c>
      <c r="R375" s="9"/>
      <c r="S375" s="9" t="s">
        <v>9321</v>
      </c>
      <c r="T375" s="9" t="s">
        <v>9321</v>
      </c>
      <c r="U375" s="9"/>
      <c r="V375" s="9"/>
      <c r="W375" s="9"/>
      <c r="X375" s="9"/>
      <c r="Y375" s="9"/>
      <c r="Z375" s="9"/>
      <c r="AA375" s="9"/>
      <c r="AB375" s="9"/>
      <c r="AC375" s="9"/>
      <c r="AD375" s="9"/>
    </row>
    <row r="376" spans="1:30" ht="58">
      <c r="A376" s="3" t="s">
        <v>1223</v>
      </c>
      <c r="B376" s="3" t="s">
        <v>6349</v>
      </c>
      <c r="C376" s="3" t="s">
        <v>6348</v>
      </c>
      <c r="G376" s="9" t="s">
        <v>3889</v>
      </c>
      <c r="H376" s="9"/>
      <c r="I376" s="9">
        <v>1</v>
      </c>
      <c r="J376" s="9">
        <v>5</v>
      </c>
      <c r="K376" s="9" t="s">
        <v>8705</v>
      </c>
      <c r="L376" s="9" t="s">
        <v>8684</v>
      </c>
      <c r="M376" s="9" t="s">
        <v>8777</v>
      </c>
      <c r="N376" s="10" t="s">
        <v>8772</v>
      </c>
      <c r="O376" s="9"/>
      <c r="P376" s="9">
        <v>3678</v>
      </c>
      <c r="Q376" s="9">
        <f t="shared" si="5"/>
        <v>473.17029241872609</v>
      </c>
      <c r="R376" s="9"/>
      <c r="S376" s="9" t="s">
        <v>9321</v>
      </c>
      <c r="T376" s="9" t="s">
        <v>9321</v>
      </c>
      <c r="U376" s="9"/>
      <c r="V376" s="9"/>
      <c r="W376" s="9"/>
      <c r="X376" s="9"/>
      <c r="Y376" s="9"/>
      <c r="Z376" s="9"/>
      <c r="AA376" s="9"/>
      <c r="AB376" s="9"/>
      <c r="AC376" s="9"/>
      <c r="AD376" s="9"/>
    </row>
    <row r="377" spans="1:30" ht="58">
      <c r="A377" s="3" t="s">
        <v>1227</v>
      </c>
      <c r="B377" s="3" t="s">
        <v>6358</v>
      </c>
      <c r="C377" s="3" t="s">
        <v>6359</v>
      </c>
      <c r="G377" s="9" t="s">
        <v>3885</v>
      </c>
      <c r="H377" s="9"/>
      <c r="I377" s="9">
        <v>1</v>
      </c>
      <c r="J377" s="9">
        <v>3</v>
      </c>
      <c r="K377" s="9" t="s">
        <v>8689</v>
      </c>
      <c r="L377" s="9" t="s">
        <v>8684</v>
      </c>
      <c r="M377" s="9" t="s">
        <v>8777</v>
      </c>
      <c r="N377" s="10" t="s">
        <v>8778</v>
      </c>
      <c r="O377" s="9" t="s">
        <v>8685</v>
      </c>
      <c r="P377" s="9">
        <v>10929</v>
      </c>
      <c r="Q377" s="9">
        <f t="shared" si="5"/>
        <v>1406.0027530843549</v>
      </c>
      <c r="R377" s="9"/>
      <c r="S377" s="9" t="s">
        <v>9321</v>
      </c>
      <c r="T377" s="9" t="s">
        <v>9321</v>
      </c>
      <c r="U377" s="9"/>
      <c r="V377" s="9"/>
      <c r="W377" s="9"/>
      <c r="X377" s="9"/>
      <c r="Y377" s="9"/>
      <c r="Z377" s="9"/>
      <c r="AA377" s="9"/>
      <c r="AB377" s="9"/>
      <c r="AC377" s="9"/>
      <c r="AD377" s="9"/>
    </row>
    <row r="378" spans="1:30" ht="58">
      <c r="A378" s="3" t="s">
        <v>1228</v>
      </c>
      <c r="B378" s="3" t="s">
        <v>6362</v>
      </c>
      <c r="C378" s="3" t="s">
        <v>6361</v>
      </c>
      <c r="F378" t="s">
        <v>3884</v>
      </c>
      <c r="G378" s="9" t="s">
        <v>3889</v>
      </c>
      <c r="H378" s="9"/>
      <c r="I378" s="9">
        <v>1</v>
      </c>
      <c r="J378" s="9">
        <v>3</v>
      </c>
      <c r="K378" s="9" t="s">
        <v>8689</v>
      </c>
      <c r="L378" s="9" t="s">
        <v>8690</v>
      </c>
      <c r="M378" s="9"/>
      <c r="N378" s="10"/>
      <c r="O378" s="9"/>
      <c r="P378" s="9">
        <v>10929</v>
      </c>
      <c r="Q378" s="9">
        <f t="shared" si="5"/>
        <v>1406.0027530843549</v>
      </c>
      <c r="R378" s="9"/>
      <c r="S378" s="9" t="s">
        <v>9321</v>
      </c>
      <c r="T378" s="9" t="s">
        <v>9321</v>
      </c>
      <c r="U378" s="9"/>
      <c r="V378" s="9"/>
      <c r="W378" s="9"/>
      <c r="X378" s="9"/>
      <c r="Y378" s="9"/>
      <c r="Z378" s="9"/>
      <c r="AA378" s="9"/>
      <c r="AB378" s="9"/>
      <c r="AC378" s="9"/>
      <c r="AD378" s="9"/>
    </row>
    <row r="379" spans="1:30" ht="58">
      <c r="A379" s="3" t="s">
        <v>1228</v>
      </c>
      <c r="B379" s="3" t="s">
        <v>6360</v>
      </c>
      <c r="C379" s="3" t="s">
        <v>6363</v>
      </c>
      <c r="G379" s="9" t="s">
        <v>3885</v>
      </c>
      <c r="H379" s="9"/>
      <c r="I379" s="9">
        <v>1</v>
      </c>
      <c r="J379" s="9">
        <v>2</v>
      </c>
      <c r="K379" s="9" t="s">
        <v>8705</v>
      </c>
      <c r="L379" s="9" t="s">
        <v>8730</v>
      </c>
      <c r="M379" s="9"/>
      <c r="N379" s="10"/>
      <c r="O379" s="9" t="s">
        <v>8685</v>
      </c>
      <c r="P379" s="9">
        <v>615</v>
      </c>
      <c r="Q379" s="9">
        <f t="shared" si="5"/>
        <v>79.119013006393843</v>
      </c>
      <c r="R379" s="9"/>
      <c r="S379" s="9" t="s">
        <v>9321</v>
      </c>
      <c r="T379" s="9" t="s">
        <v>9321</v>
      </c>
      <c r="U379" s="9"/>
      <c r="V379" s="9"/>
      <c r="W379" s="9"/>
      <c r="X379" s="9"/>
      <c r="Y379" s="9"/>
      <c r="Z379" s="9"/>
      <c r="AA379" s="9"/>
      <c r="AB379" s="9"/>
      <c r="AC379" s="9"/>
      <c r="AD379" s="9"/>
    </row>
    <row r="380" spans="1:30" ht="58">
      <c r="A380" s="3" t="s">
        <v>1229</v>
      </c>
      <c r="B380" s="3" t="s">
        <v>6364</v>
      </c>
      <c r="C380" s="3" t="s">
        <v>6367</v>
      </c>
      <c r="G380" s="9" t="s">
        <v>3885</v>
      </c>
      <c r="H380" s="9"/>
      <c r="I380" s="9">
        <v>1</v>
      </c>
      <c r="J380" s="9">
        <v>3</v>
      </c>
      <c r="K380" s="9" t="s">
        <v>8689</v>
      </c>
      <c r="L380" s="9" t="s">
        <v>8690</v>
      </c>
      <c r="M380" s="9"/>
      <c r="N380" s="10"/>
      <c r="O380" s="9"/>
      <c r="P380" s="9">
        <v>10929</v>
      </c>
      <c r="Q380" s="9">
        <f t="shared" si="5"/>
        <v>1406.0027530843549</v>
      </c>
      <c r="R380" s="9"/>
      <c r="S380" s="9" t="s">
        <v>9321</v>
      </c>
      <c r="T380" s="9" t="s">
        <v>9321</v>
      </c>
      <c r="U380" s="9"/>
      <c r="V380" s="9"/>
      <c r="W380" s="9"/>
      <c r="X380" s="9"/>
      <c r="Y380" s="9"/>
      <c r="Z380" s="9"/>
      <c r="AA380" s="9"/>
      <c r="AB380" s="9"/>
      <c r="AC380" s="9"/>
      <c r="AD380" s="9"/>
    </row>
    <row r="381" spans="1:30" ht="43.5">
      <c r="A381" s="3" t="s">
        <v>1234</v>
      </c>
      <c r="B381" s="3" t="s">
        <v>6382</v>
      </c>
      <c r="C381" s="3" t="s">
        <v>6383</v>
      </c>
      <c r="G381" s="9" t="s">
        <v>3885</v>
      </c>
      <c r="H381" s="9"/>
      <c r="I381" s="9">
        <v>1</v>
      </c>
      <c r="J381" s="9">
        <v>2</v>
      </c>
      <c r="K381" s="9" t="s">
        <v>8689</v>
      </c>
      <c r="L381" s="9" t="s">
        <v>8730</v>
      </c>
      <c r="M381" s="9"/>
      <c r="N381" s="10"/>
      <c r="O381" s="9"/>
      <c r="P381" s="9">
        <v>10929</v>
      </c>
      <c r="Q381" s="9">
        <f t="shared" si="5"/>
        <v>1406.0027530843549</v>
      </c>
      <c r="R381" s="9"/>
      <c r="S381" s="9" t="s">
        <v>9321</v>
      </c>
      <c r="T381" s="9" t="s">
        <v>9321</v>
      </c>
      <c r="U381" s="9"/>
      <c r="V381" s="9"/>
      <c r="W381" s="9"/>
      <c r="X381" s="9"/>
      <c r="Y381" s="9"/>
      <c r="Z381" s="9"/>
      <c r="AA381" s="9"/>
      <c r="AB381" s="9"/>
      <c r="AC381" s="9"/>
      <c r="AD381" s="9"/>
    </row>
    <row r="382" spans="1:30" ht="43.5">
      <c r="A382" s="3" t="s">
        <v>1236</v>
      </c>
      <c r="B382" s="3" t="s">
        <v>6387</v>
      </c>
      <c r="C382" s="3" t="s">
        <v>6388</v>
      </c>
      <c r="G382" s="9" t="s">
        <v>3885</v>
      </c>
      <c r="H382" s="9"/>
      <c r="I382" s="9">
        <v>1</v>
      </c>
      <c r="J382" s="9">
        <v>3</v>
      </c>
      <c r="K382" s="9" t="s">
        <v>8689</v>
      </c>
      <c r="L382" s="9" t="s">
        <v>8690</v>
      </c>
      <c r="M382" s="9"/>
      <c r="N382" s="10"/>
      <c r="O382" s="9"/>
      <c r="P382" s="9">
        <v>10929</v>
      </c>
      <c r="Q382" s="9">
        <f t="shared" si="5"/>
        <v>1406.0027530843549</v>
      </c>
      <c r="R382" s="9"/>
      <c r="S382" s="9" t="s">
        <v>9321</v>
      </c>
      <c r="T382" s="9" t="s">
        <v>9321</v>
      </c>
      <c r="U382" s="9"/>
      <c r="V382" s="9"/>
      <c r="W382" s="9"/>
      <c r="X382" s="9"/>
      <c r="Y382" s="9"/>
      <c r="Z382" s="9"/>
      <c r="AA382" s="9"/>
      <c r="AB382" s="9"/>
      <c r="AC382" s="9"/>
      <c r="AD382" s="9"/>
    </row>
    <row r="383" spans="1:30" ht="87">
      <c r="A383" s="3" t="s">
        <v>1238</v>
      </c>
      <c r="B383" s="3" t="s">
        <v>6389</v>
      </c>
      <c r="C383" s="3" t="s">
        <v>6390</v>
      </c>
      <c r="G383" s="9" t="s">
        <v>3885</v>
      </c>
      <c r="H383" s="9"/>
      <c r="I383" s="9">
        <v>2</v>
      </c>
      <c r="J383" s="9">
        <v>10</v>
      </c>
      <c r="K383" s="9"/>
      <c r="L383" s="9" t="s">
        <v>8690</v>
      </c>
      <c r="M383" s="9"/>
      <c r="N383" s="10"/>
      <c r="O383" s="9"/>
      <c r="P383" s="9">
        <v>1225</v>
      </c>
      <c r="Q383" s="9">
        <f t="shared" si="5"/>
        <v>157.59478200460561</v>
      </c>
      <c r="R383" s="9"/>
      <c r="S383" s="9" t="s">
        <v>9321</v>
      </c>
      <c r="T383" s="9" t="s">
        <v>9321</v>
      </c>
      <c r="U383" s="9"/>
      <c r="V383" s="9"/>
      <c r="W383" s="9"/>
      <c r="X383" s="9"/>
      <c r="Y383" s="9"/>
      <c r="Z383" s="9"/>
      <c r="AA383" s="9"/>
      <c r="AB383" s="9"/>
      <c r="AC383" s="9"/>
      <c r="AD383" s="9"/>
    </row>
    <row r="384" spans="1:30" ht="43.5">
      <c r="A384" s="3" t="s">
        <v>1239</v>
      </c>
      <c r="B384" s="3" t="s">
        <v>6392</v>
      </c>
      <c r="C384" s="3" t="s">
        <v>6393</v>
      </c>
      <c r="G384" s="9" t="s">
        <v>3889</v>
      </c>
      <c r="H384" s="9"/>
      <c r="I384" s="9">
        <v>1</v>
      </c>
      <c r="J384" s="9">
        <v>2</v>
      </c>
      <c r="K384" s="9" t="s">
        <v>8703</v>
      </c>
      <c r="L384" s="9" t="s">
        <v>8730</v>
      </c>
      <c r="M384" s="9"/>
      <c r="N384" s="10"/>
      <c r="O384" s="9"/>
      <c r="P384" s="9">
        <v>1225</v>
      </c>
      <c r="Q384" s="9">
        <f t="shared" si="5"/>
        <v>157.59478200460561</v>
      </c>
      <c r="R384" s="9"/>
      <c r="S384" s="9" t="s">
        <v>9321</v>
      </c>
      <c r="T384" s="9" t="s">
        <v>9321</v>
      </c>
      <c r="U384" s="9"/>
      <c r="V384" s="9"/>
      <c r="W384" s="9"/>
      <c r="X384" s="9"/>
      <c r="Y384" s="9"/>
      <c r="Z384" s="9"/>
      <c r="AA384" s="9"/>
      <c r="AB384" s="9"/>
      <c r="AC384" s="9"/>
      <c r="AD384" s="9"/>
    </row>
    <row r="385" spans="1:30" ht="43.5">
      <c r="A385" s="3" t="s">
        <v>1243</v>
      </c>
      <c r="B385" s="3" t="s">
        <v>6402</v>
      </c>
      <c r="C385" s="3" t="s">
        <v>9098</v>
      </c>
      <c r="G385" s="9" t="s">
        <v>3889</v>
      </c>
      <c r="H385" s="9"/>
      <c r="I385" s="9">
        <v>1</v>
      </c>
      <c r="J385" s="9">
        <v>1</v>
      </c>
      <c r="K385" s="9" t="s">
        <v>8689</v>
      </c>
      <c r="L385" s="9" t="s">
        <v>8730</v>
      </c>
      <c r="M385" s="9"/>
      <c r="N385" s="10"/>
      <c r="O385" s="9" t="s">
        <v>8685</v>
      </c>
      <c r="P385" s="9">
        <v>10929</v>
      </c>
      <c r="Q385" s="9">
        <f t="shared" si="5"/>
        <v>1406.0027530843549</v>
      </c>
      <c r="R385" s="9"/>
      <c r="S385" s="9" t="s">
        <v>9321</v>
      </c>
      <c r="T385" s="9" t="s">
        <v>9321</v>
      </c>
      <c r="U385" s="9"/>
      <c r="V385" s="9"/>
      <c r="W385" s="9"/>
      <c r="X385" s="9"/>
      <c r="Y385" s="9"/>
      <c r="Z385" s="9"/>
      <c r="AA385" s="9"/>
      <c r="AB385" s="9"/>
      <c r="AC385" s="9"/>
      <c r="AD385" s="9"/>
    </row>
    <row r="386" spans="1:30" ht="58">
      <c r="A386" s="3" t="s">
        <v>1244</v>
      </c>
      <c r="B386" s="3" t="s">
        <v>6405</v>
      </c>
      <c r="C386" s="3" t="s">
        <v>6406</v>
      </c>
      <c r="F386" t="s">
        <v>3884</v>
      </c>
      <c r="G386" s="9" t="s">
        <v>3889</v>
      </c>
      <c r="H386" s="9"/>
      <c r="I386" s="9">
        <v>1</v>
      </c>
      <c r="J386" s="9">
        <v>6</v>
      </c>
      <c r="K386" s="9" t="s">
        <v>8683</v>
      </c>
      <c r="L386" s="9" t="s">
        <v>8684</v>
      </c>
      <c r="M386" s="9" t="s">
        <v>9080</v>
      </c>
      <c r="N386" s="10" t="s">
        <v>9081</v>
      </c>
      <c r="O386" s="9"/>
      <c r="P386" s="9">
        <v>24</v>
      </c>
      <c r="Q386" s="9">
        <f t="shared" si="5"/>
        <v>3.0875712392739061</v>
      </c>
      <c r="R386" s="9"/>
      <c r="S386" s="9" t="s">
        <v>9321</v>
      </c>
      <c r="T386" s="9" t="s">
        <v>9321</v>
      </c>
      <c r="U386" s="9"/>
      <c r="V386" s="9"/>
      <c r="W386" s="9"/>
      <c r="X386" s="9"/>
      <c r="Y386" s="9"/>
      <c r="Z386" s="9"/>
      <c r="AA386" s="9"/>
      <c r="AB386" s="9"/>
      <c r="AC386" s="9"/>
      <c r="AD386" s="9"/>
    </row>
    <row r="387" spans="1:30" ht="43.5">
      <c r="A387" s="3" t="s">
        <v>1250</v>
      </c>
      <c r="B387" s="3" t="s">
        <v>6423</v>
      </c>
      <c r="C387" s="3" t="s">
        <v>6424</v>
      </c>
      <c r="F387" t="s">
        <v>3884</v>
      </c>
      <c r="G387" s="9" t="s">
        <v>3885</v>
      </c>
      <c r="H387" s="9"/>
      <c r="I387" s="9">
        <v>1</v>
      </c>
      <c r="J387" s="9">
        <v>3</v>
      </c>
      <c r="K387" s="9" t="s">
        <v>8705</v>
      </c>
      <c r="L387" s="9" t="s">
        <v>8690</v>
      </c>
      <c r="M387" s="9"/>
      <c r="N387" s="10"/>
      <c r="O387" s="9"/>
      <c r="P387" s="9">
        <v>1485</v>
      </c>
      <c r="Q387" s="9">
        <f t="shared" ref="Q387:Q450" si="6">IF(ISNUMBER(P387), (P387/$E$601)*10000, "")</f>
        <v>191.04347043007292</v>
      </c>
      <c r="R387" s="9"/>
      <c r="S387" s="9" t="s">
        <v>9321</v>
      </c>
      <c r="T387" s="9" t="s">
        <v>9321</v>
      </c>
      <c r="U387" s="9"/>
      <c r="V387" s="9"/>
      <c r="W387" s="9"/>
      <c r="X387" s="9"/>
      <c r="Y387" s="9"/>
      <c r="Z387" s="9"/>
      <c r="AA387" s="9"/>
      <c r="AB387" s="9"/>
      <c r="AC387" s="9"/>
      <c r="AD387" s="9"/>
    </row>
    <row r="388" spans="1:30" ht="261">
      <c r="A388" s="3" t="s">
        <v>1253</v>
      </c>
      <c r="B388" s="3" t="s">
        <v>6433</v>
      </c>
      <c r="C388" s="3" t="s">
        <v>9644</v>
      </c>
      <c r="G388" s="9" t="s">
        <v>3889</v>
      </c>
      <c r="H388" s="9"/>
      <c r="I388" s="9">
        <v>10</v>
      </c>
      <c r="J388" s="9">
        <v>36</v>
      </c>
      <c r="K388" s="9"/>
      <c r="L388" s="9" t="s">
        <v>8684</v>
      </c>
      <c r="M388" s="9" t="s">
        <v>9101</v>
      </c>
      <c r="N388" s="10" t="s">
        <v>9102</v>
      </c>
      <c r="O388" s="9" t="s">
        <v>8685</v>
      </c>
      <c r="P388" s="9">
        <v>23</v>
      </c>
      <c r="Q388" s="9">
        <f t="shared" si="6"/>
        <v>2.9589224376374932</v>
      </c>
      <c r="R388" s="9"/>
      <c r="S388" s="9" t="s">
        <v>9321</v>
      </c>
      <c r="T388" s="9" t="s">
        <v>9321</v>
      </c>
      <c r="U388" s="9"/>
      <c r="V388" s="9"/>
      <c r="W388" s="9"/>
      <c r="X388" s="9"/>
      <c r="Y388" s="9"/>
      <c r="Z388" s="9"/>
      <c r="AA388" s="9"/>
      <c r="AB388" s="9"/>
      <c r="AC388" s="9"/>
      <c r="AD388" s="9"/>
    </row>
    <row r="389" spans="1:30" ht="43.5">
      <c r="A389" s="3" t="s">
        <v>1256</v>
      </c>
      <c r="B389" s="3" t="s">
        <v>6445</v>
      </c>
      <c r="C389" s="3" t="s">
        <v>6446</v>
      </c>
      <c r="F389" t="s">
        <v>3884</v>
      </c>
      <c r="G389" s="9" t="s">
        <v>3889</v>
      </c>
      <c r="H389" s="9"/>
      <c r="I389" s="9">
        <v>1</v>
      </c>
      <c r="J389" s="9">
        <v>3</v>
      </c>
      <c r="K389" s="9" t="s">
        <v>8689</v>
      </c>
      <c r="L389" s="9" t="s">
        <v>8690</v>
      </c>
      <c r="M389" s="9"/>
      <c r="N389" s="10"/>
      <c r="O389" s="9"/>
      <c r="P389" s="9">
        <v>10929</v>
      </c>
      <c r="Q389" s="9">
        <f t="shared" si="6"/>
        <v>1406.0027530843549</v>
      </c>
      <c r="R389" s="9"/>
      <c r="S389" s="9" t="s">
        <v>9321</v>
      </c>
      <c r="T389" s="9" t="s">
        <v>9321</v>
      </c>
      <c r="U389" s="9"/>
      <c r="V389" s="9"/>
      <c r="W389" s="9"/>
      <c r="X389" s="9"/>
      <c r="Y389" s="9"/>
      <c r="Z389" s="9"/>
      <c r="AA389" s="9"/>
      <c r="AB389" s="9"/>
      <c r="AC389" s="9"/>
      <c r="AD389" s="9"/>
    </row>
    <row r="390" spans="1:30" ht="145">
      <c r="A390" s="3" t="s">
        <v>1260</v>
      </c>
      <c r="B390" s="3" t="s">
        <v>6456</v>
      </c>
      <c r="C390" s="3" t="s">
        <v>6457</v>
      </c>
      <c r="F390" t="s">
        <v>3884</v>
      </c>
      <c r="G390" s="9" t="s">
        <v>3889</v>
      </c>
      <c r="H390" s="9"/>
      <c r="I390" s="9">
        <v>9</v>
      </c>
      <c r="J390" s="9">
        <v>37</v>
      </c>
      <c r="K390" s="9"/>
      <c r="L390" s="9" t="s">
        <v>8684</v>
      </c>
      <c r="M390" s="9" t="s">
        <v>8740</v>
      </c>
      <c r="N390" s="10" t="s">
        <v>9103</v>
      </c>
      <c r="O390" s="9"/>
      <c r="P390" s="9">
        <v>58</v>
      </c>
      <c r="Q390" s="9">
        <f t="shared" si="6"/>
        <v>7.4616304949119403</v>
      </c>
      <c r="R390" s="9"/>
      <c r="S390" s="9" t="s">
        <v>9321</v>
      </c>
      <c r="T390" s="9" t="s">
        <v>9321</v>
      </c>
      <c r="U390" s="9"/>
      <c r="V390" s="9"/>
      <c r="W390" s="9"/>
      <c r="X390" s="9"/>
      <c r="Y390" s="9"/>
      <c r="Z390" s="9"/>
      <c r="AA390" s="9"/>
      <c r="AB390" s="9"/>
      <c r="AC390" s="9"/>
      <c r="AD390" s="9"/>
    </row>
    <row r="391" spans="1:30" ht="29">
      <c r="A391" s="3" t="s">
        <v>1260</v>
      </c>
      <c r="B391" s="3" t="s">
        <v>6460</v>
      </c>
      <c r="C391" s="3" t="s">
        <v>6461</v>
      </c>
      <c r="F391" t="s">
        <v>3884</v>
      </c>
      <c r="G391" s="9" t="s">
        <v>3889</v>
      </c>
      <c r="H391" s="9"/>
      <c r="I391" s="9">
        <v>1</v>
      </c>
      <c r="J391" s="9">
        <v>2</v>
      </c>
      <c r="K391" s="9" t="s">
        <v>8689</v>
      </c>
      <c r="L391" s="9" t="s">
        <v>8730</v>
      </c>
      <c r="M391" s="9"/>
      <c r="N391" s="10"/>
      <c r="O391" s="9"/>
      <c r="P391" s="9">
        <v>10929</v>
      </c>
      <c r="Q391" s="9">
        <f t="shared" si="6"/>
        <v>1406.0027530843549</v>
      </c>
      <c r="R391" s="9"/>
      <c r="S391" s="9" t="s">
        <v>9321</v>
      </c>
      <c r="T391" s="9" t="s">
        <v>9321</v>
      </c>
      <c r="U391" s="9"/>
      <c r="V391" s="9"/>
      <c r="W391" s="9"/>
      <c r="X391" s="9"/>
      <c r="Y391" s="9"/>
      <c r="Z391" s="9"/>
      <c r="AA391" s="9"/>
      <c r="AB391" s="9"/>
      <c r="AC391" s="9"/>
      <c r="AD391" s="9"/>
    </row>
    <row r="392" spans="1:30" ht="58">
      <c r="A392" s="3" t="s">
        <v>1261</v>
      </c>
      <c r="B392" s="3" t="s">
        <v>6463</v>
      </c>
      <c r="C392" s="3" t="s">
        <v>6462</v>
      </c>
      <c r="F392" t="s">
        <v>3884</v>
      </c>
      <c r="G392" s="9" t="s">
        <v>3889</v>
      </c>
      <c r="H392" s="9"/>
      <c r="I392" s="9">
        <v>1</v>
      </c>
      <c r="J392" s="9">
        <v>3</v>
      </c>
      <c r="K392" s="9" t="s">
        <v>8689</v>
      </c>
      <c r="L392" s="9" t="s">
        <v>8690</v>
      </c>
      <c r="M392" s="9"/>
      <c r="N392" s="10"/>
      <c r="O392" s="9"/>
      <c r="P392" s="9">
        <v>10929</v>
      </c>
      <c r="Q392" s="9">
        <f t="shared" si="6"/>
        <v>1406.0027530843549</v>
      </c>
      <c r="R392" s="9"/>
      <c r="S392" s="9" t="s">
        <v>9321</v>
      </c>
      <c r="T392" s="9" t="s">
        <v>9321</v>
      </c>
      <c r="U392" s="9"/>
      <c r="V392" s="9"/>
      <c r="W392" s="9"/>
      <c r="X392" s="9"/>
      <c r="Y392" s="9"/>
      <c r="Z392" s="9"/>
      <c r="AA392" s="9"/>
      <c r="AB392" s="9"/>
      <c r="AC392" s="9"/>
      <c r="AD392" s="9"/>
    </row>
    <row r="393" spans="1:30" ht="58">
      <c r="A393" s="3" t="s">
        <v>1262</v>
      </c>
      <c r="B393" s="3" t="s">
        <v>6472</v>
      </c>
      <c r="C393" s="3" t="s">
        <v>6471</v>
      </c>
      <c r="G393" s="9" t="s">
        <v>3889</v>
      </c>
      <c r="H393" s="9"/>
      <c r="I393" s="9">
        <v>1</v>
      </c>
      <c r="J393" s="9">
        <v>3</v>
      </c>
      <c r="K393" s="9" t="s">
        <v>8683</v>
      </c>
      <c r="L393" s="9" t="s">
        <v>8690</v>
      </c>
      <c r="M393" s="9"/>
      <c r="N393" s="10"/>
      <c r="O393" s="9"/>
      <c r="P393" s="9">
        <v>99</v>
      </c>
      <c r="Q393" s="9">
        <f t="shared" si="6"/>
        <v>12.736231362004862</v>
      </c>
      <c r="R393" s="9"/>
      <c r="S393" s="9" t="s">
        <v>9321</v>
      </c>
      <c r="T393" s="9" t="s">
        <v>9321</v>
      </c>
      <c r="U393" s="9"/>
      <c r="V393" s="9"/>
      <c r="W393" s="9"/>
      <c r="X393" s="9"/>
      <c r="Y393" s="9"/>
      <c r="Z393" s="9"/>
      <c r="AA393" s="9"/>
      <c r="AB393" s="9"/>
      <c r="AC393" s="9"/>
      <c r="AD393" s="9"/>
    </row>
    <row r="394" spans="1:30" ht="116">
      <c r="A394" s="3" t="s">
        <v>1275</v>
      </c>
      <c r="B394" s="3" t="s">
        <v>6491</v>
      </c>
      <c r="C394" s="3" t="s">
        <v>9104</v>
      </c>
      <c r="F394" t="s">
        <v>3884</v>
      </c>
      <c r="G394" s="9" t="s">
        <v>3885</v>
      </c>
      <c r="H394" s="9"/>
      <c r="I394" s="9">
        <v>2</v>
      </c>
      <c r="J394" s="9">
        <v>11</v>
      </c>
      <c r="K394" s="9"/>
      <c r="L394" s="9" t="s">
        <v>8684</v>
      </c>
      <c r="M394" s="9" t="s">
        <v>9092</v>
      </c>
      <c r="N394" s="10" t="s">
        <v>9103</v>
      </c>
      <c r="O394" s="9"/>
      <c r="P394" s="9">
        <v>100</v>
      </c>
      <c r="Q394" s="9">
        <f t="shared" si="6"/>
        <v>12.864880163641276</v>
      </c>
      <c r="R394" s="9"/>
      <c r="S394" s="9" t="s">
        <v>9321</v>
      </c>
      <c r="T394" s="9" t="s">
        <v>9321</v>
      </c>
      <c r="U394" s="9"/>
      <c r="V394" s="9"/>
      <c r="W394" s="9"/>
      <c r="X394" s="9"/>
      <c r="Y394" s="9"/>
      <c r="Z394" s="9"/>
      <c r="AA394" s="9"/>
      <c r="AB394" s="9"/>
      <c r="AC394" s="9"/>
      <c r="AD394" s="9"/>
    </row>
    <row r="395" spans="1:30" ht="43.5">
      <c r="A395" s="3" t="s">
        <v>1286</v>
      </c>
      <c r="B395" s="3" t="s">
        <v>6538</v>
      </c>
      <c r="C395" s="3" t="s">
        <v>9106</v>
      </c>
      <c r="F395" t="s">
        <v>3884</v>
      </c>
      <c r="G395" s="9" t="s">
        <v>3889</v>
      </c>
      <c r="H395" s="9"/>
      <c r="I395" s="9">
        <v>1</v>
      </c>
      <c r="J395" s="9">
        <v>3</v>
      </c>
      <c r="K395" s="9" t="s">
        <v>8689</v>
      </c>
      <c r="L395" s="9" t="s">
        <v>8684</v>
      </c>
      <c r="M395" s="9" t="s">
        <v>8771</v>
      </c>
      <c r="N395" s="10" t="s">
        <v>8778</v>
      </c>
      <c r="O395" s="9"/>
      <c r="P395" s="9">
        <v>10929</v>
      </c>
      <c r="Q395" s="9">
        <f t="shared" si="6"/>
        <v>1406.0027530843549</v>
      </c>
      <c r="R395" s="9"/>
      <c r="S395" s="9" t="s">
        <v>9321</v>
      </c>
      <c r="T395" s="9" t="s">
        <v>9321</v>
      </c>
      <c r="U395" s="9"/>
      <c r="V395" s="9"/>
      <c r="W395" s="9"/>
      <c r="X395" s="9"/>
      <c r="Y395" s="9"/>
      <c r="Z395" s="9"/>
      <c r="AA395" s="9"/>
      <c r="AB395" s="9"/>
      <c r="AC395" s="9"/>
      <c r="AD395" s="9"/>
    </row>
    <row r="396" spans="1:30" ht="87">
      <c r="A396" s="3" t="s">
        <v>1291</v>
      </c>
      <c r="B396" s="3" t="s">
        <v>6548</v>
      </c>
      <c r="C396" s="3" t="s">
        <v>6551</v>
      </c>
      <c r="F396" t="s">
        <v>3884</v>
      </c>
      <c r="G396" s="9" t="s">
        <v>3885</v>
      </c>
      <c r="H396" s="9"/>
      <c r="I396" s="9">
        <v>1</v>
      </c>
      <c r="J396" s="9">
        <v>3</v>
      </c>
      <c r="K396" s="9" t="s">
        <v>8689</v>
      </c>
      <c r="L396" s="9" t="s">
        <v>8690</v>
      </c>
      <c r="M396" s="9"/>
      <c r="N396" s="10"/>
      <c r="O396" s="9"/>
      <c r="P396" s="9">
        <v>10929</v>
      </c>
      <c r="Q396" s="9">
        <f t="shared" si="6"/>
        <v>1406.0027530843549</v>
      </c>
      <c r="R396" s="9"/>
      <c r="S396" s="9" t="s">
        <v>9321</v>
      </c>
      <c r="T396" s="9" t="s">
        <v>9321</v>
      </c>
      <c r="U396" s="9"/>
      <c r="V396" s="9"/>
      <c r="W396" s="9"/>
      <c r="X396" s="9"/>
      <c r="Y396" s="9"/>
      <c r="Z396" s="9"/>
      <c r="AA396" s="9"/>
      <c r="AB396" s="9"/>
      <c r="AC396" s="9"/>
      <c r="AD396" s="9"/>
    </row>
    <row r="397" spans="1:30" ht="58">
      <c r="A397" s="3" t="s">
        <v>1292</v>
      </c>
      <c r="B397" s="3" t="s">
        <v>6554</v>
      </c>
      <c r="C397" s="3" t="s">
        <v>6555</v>
      </c>
      <c r="G397" s="9" t="s">
        <v>3889</v>
      </c>
      <c r="H397" s="9"/>
      <c r="I397" s="9">
        <v>1</v>
      </c>
      <c r="J397" s="9">
        <v>3</v>
      </c>
      <c r="K397" s="9" t="s">
        <v>8689</v>
      </c>
      <c r="L397" s="9" t="s">
        <v>8690</v>
      </c>
      <c r="M397" s="9"/>
      <c r="N397" s="10"/>
      <c r="O397" s="9"/>
      <c r="P397" s="9">
        <v>10929</v>
      </c>
      <c r="Q397" s="9">
        <f t="shared" si="6"/>
        <v>1406.0027530843549</v>
      </c>
      <c r="R397" s="9"/>
      <c r="S397" s="9" t="s">
        <v>9321</v>
      </c>
      <c r="T397" s="9" t="s">
        <v>9321</v>
      </c>
      <c r="U397" s="9"/>
      <c r="V397" s="9"/>
      <c r="W397" s="9"/>
      <c r="X397" s="9"/>
      <c r="Y397" s="9"/>
      <c r="Z397" s="9"/>
      <c r="AA397" s="9"/>
      <c r="AB397" s="9"/>
      <c r="AC397" s="9"/>
      <c r="AD397" s="9"/>
    </row>
    <row r="398" spans="1:30" ht="29">
      <c r="A398" s="3" t="s">
        <v>1300</v>
      </c>
      <c r="B398" s="3" t="s">
        <v>6573</v>
      </c>
      <c r="C398" s="3" t="s">
        <v>6574</v>
      </c>
      <c r="F398" t="s">
        <v>3884</v>
      </c>
      <c r="G398" s="9" t="s">
        <v>3885</v>
      </c>
      <c r="H398" s="9"/>
      <c r="I398" s="9">
        <v>1</v>
      </c>
      <c r="J398" s="9">
        <v>1</v>
      </c>
      <c r="K398" s="9" t="s">
        <v>8698</v>
      </c>
      <c r="L398" s="9" t="s">
        <v>8730</v>
      </c>
      <c r="M398" s="9"/>
      <c r="N398" s="10"/>
      <c r="O398" s="9"/>
      <c r="P398" s="9">
        <v>1</v>
      </c>
      <c r="Q398" s="9">
        <f t="shared" si="6"/>
        <v>0.12864880163641276</v>
      </c>
      <c r="R398" s="9"/>
      <c r="S398" s="9" t="s">
        <v>9321</v>
      </c>
      <c r="T398" s="9" t="s">
        <v>9321</v>
      </c>
      <c r="U398" s="9" t="s">
        <v>8728</v>
      </c>
      <c r="V398" s="9"/>
      <c r="W398" s="9"/>
      <c r="X398" s="9"/>
      <c r="Y398" s="9"/>
      <c r="Z398" s="9"/>
      <c r="AA398" s="9"/>
      <c r="AB398" s="9"/>
      <c r="AC398" s="9"/>
      <c r="AD398" s="9"/>
    </row>
    <row r="399" spans="1:30" ht="43.5">
      <c r="A399" s="3" t="s">
        <v>1302</v>
      </c>
      <c r="B399" s="3" t="s">
        <v>6577</v>
      </c>
      <c r="C399" s="3" t="s">
        <v>6578</v>
      </c>
      <c r="F399" t="s">
        <v>3884</v>
      </c>
      <c r="G399" s="9" t="s">
        <v>3885</v>
      </c>
      <c r="H399" s="9"/>
      <c r="I399" s="9">
        <v>1</v>
      </c>
      <c r="J399" s="9">
        <v>3</v>
      </c>
      <c r="K399" s="9" t="s">
        <v>8698</v>
      </c>
      <c r="L399" s="9" t="s">
        <v>8690</v>
      </c>
      <c r="M399" s="9"/>
      <c r="N399" s="10"/>
      <c r="O399" s="9"/>
      <c r="P399" s="9">
        <v>9418</v>
      </c>
      <c r="Q399" s="9">
        <f t="shared" si="6"/>
        <v>1211.6144138117354</v>
      </c>
      <c r="R399" s="9"/>
      <c r="S399" s="9" t="s">
        <v>9321</v>
      </c>
      <c r="T399" s="9" t="s">
        <v>9321</v>
      </c>
      <c r="U399" s="9"/>
      <c r="V399" s="9"/>
      <c r="W399" s="9"/>
      <c r="X399" s="9"/>
      <c r="Y399" s="9"/>
      <c r="Z399" s="9"/>
      <c r="AA399" s="9"/>
      <c r="AB399" s="9"/>
      <c r="AC399" s="9"/>
      <c r="AD399" s="9"/>
    </row>
    <row r="400" spans="1:30" ht="29">
      <c r="A400" s="3" t="s">
        <v>1306</v>
      </c>
      <c r="B400" s="3" t="s">
        <v>9107</v>
      </c>
      <c r="C400" s="3" t="s">
        <v>9645</v>
      </c>
      <c r="G400" s="9" t="s">
        <v>3889</v>
      </c>
      <c r="H400" s="9"/>
      <c r="I400" s="9">
        <v>1</v>
      </c>
      <c r="J400" s="9">
        <v>1</v>
      </c>
      <c r="K400" s="9" t="s">
        <v>8689</v>
      </c>
      <c r="L400" s="9" t="s">
        <v>8730</v>
      </c>
      <c r="M400" s="9"/>
      <c r="N400" s="10"/>
      <c r="O400" s="9"/>
      <c r="P400" s="9">
        <v>10929</v>
      </c>
      <c r="Q400" s="9">
        <f t="shared" si="6"/>
        <v>1406.0027530843549</v>
      </c>
      <c r="R400" s="9"/>
      <c r="S400" s="9" t="s">
        <v>9321</v>
      </c>
      <c r="T400" s="9" t="s">
        <v>9321</v>
      </c>
      <c r="U400" s="9"/>
      <c r="V400" s="9"/>
      <c r="W400" s="9"/>
      <c r="X400" s="9"/>
      <c r="Y400" s="9"/>
      <c r="Z400" s="9"/>
      <c r="AA400" s="9"/>
      <c r="AB400" s="9"/>
      <c r="AC400" s="9"/>
      <c r="AD400" s="9"/>
    </row>
    <row r="401" spans="1:30" ht="58">
      <c r="A401" s="3" t="s">
        <v>1316</v>
      </c>
      <c r="B401" s="3" t="s">
        <v>6607</v>
      </c>
      <c r="C401" s="3" t="s">
        <v>6608</v>
      </c>
      <c r="F401" t="s">
        <v>3884</v>
      </c>
      <c r="G401" s="9" t="s">
        <v>3885</v>
      </c>
      <c r="H401" s="9"/>
      <c r="I401" s="9">
        <v>1</v>
      </c>
      <c r="J401" s="9">
        <v>1</v>
      </c>
      <c r="K401" s="9" t="s">
        <v>8698</v>
      </c>
      <c r="L401" s="9" t="s">
        <v>8730</v>
      </c>
      <c r="M401" s="9"/>
      <c r="N401" s="10"/>
      <c r="O401" s="9"/>
      <c r="P401" s="9">
        <v>55</v>
      </c>
      <c r="Q401" s="9">
        <f t="shared" si="6"/>
        <v>7.075684090002702</v>
      </c>
      <c r="R401" s="9"/>
      <c r="S401" s="9" t="s">
        <v>9321</v>
      </c>
      <c r="T401" s="9" t="s">
        <v>9321</v>
      </c>
      <c r="U401" s="9"/>
      <c r="V401" s="9"/>
      <c r="W401" s="9"/>
      <c r="X401" s="9"/>
      <c r="Y401" s="9"/>
      <c r="Z401" s="9"/>
      <c r="AA401" s="9"/>
      <c r="AB401" s="9"/>
      <c r="AC401" s="9"/>
      <c r="AD401" s="9"/>
    </row>
    <row r="402" spans="1:30" ht="43.5">
      <c r="A402" s="3" t="s">
        <v>1317</v>
      </c>
      <c r="B402" s="3" t="s">
        <v>6619</v>
      </c>
      <c r="C402" s="3" t="s">
        <v>6620</v>
      </c>
      <c r="F402" t="s">
        <v>3884</v>
      </c>
      <c r="G402" s="9" t="s">
        <v>3885</v>
      </c>
      <c r="H402" s="9"/>
      <c r="I402" s="9">
        <v>1</v>
      </c>
      <c r="J402" s="9">
        <v>3</v>
      </c>
      <c r="K402" s="9" t="s">
        <v>8689</v>
      </c>
      <c r="L402" s="9" t="s">
        <v>8684</v>
      </c>
      <c r="M402" s="9" t="s">
        <v>8771</v>
      </c>
      <c r="N402" s="10" t="s">
        <v>8778</v>
      </c>
      <c r="O402" s="9"/>
      <c r="P402" s="9">
        <v>10929</v>
      </c>
      <c r="Q402" s="9">
        <f t="shared" si="6"/>
        <v>1406.0027530843549</v>
      </c>
      <c r="R402" s="9"/>
      <c r="S402" s="9" t="s">
        <v>9321</v>
      </c>
      <c r="T402" s="9" t="s">
        <v>9321</v>
      </c>
      <c r="U402" s="9"/>
      <c r="V402" s="9"/>
      <c r="W402" s="9"/>
      <c r="X402" s="9"/>
      <c r="Y402" s="9"/>
      <c r="Z402" s="9"/>
      <c r="AA402" s="9"/>
      <c r="AB402" s="9"/>
      <c r="AC402" s="9"/>
      <c r="AD402" s="9"/>
    </row>
    <row r="403" spans="1:30" ht="58">
      <c r="A403" s="3" t="s">
        <v>1318</v>
      </c>
      <c r="B403" s="3" t="s">
        <v>6621</v>
      </c>
      <c r="C403" s="3" t="s">
        <v>6622</v>
      </c>
      <c r="F403" t="s">
        <v>3884</v>
      </c>
      <c r="G403" s="9" t="s">
        <v>3885</v>
      </c>
      <c r="H403" s="9"/>
      <c r="I403" s="9">
        <v>1</v>
      </c>
      <c r="J403" s="9">
        <v>2</v>
      </c>
      <c r="K403" s="9" t="s">
        <v>8695</v>
      </c>
      <c r="L403" s="9" t="s">
        <v>8730</v>
      </c>
      <c r="M403" s="9"/>
      <c r="N403" s="10"/>
      <c r="O403" s="9"/>
      <c r="P403" s="9">
        <v>0</v>
      </c>
      <c r="Q403" s="9">
        <f t="shared" si="6"/>
        <v>0</v>
      </c>
      <c r="R403" s="9"/>
      <c r="S403" s="9" t="s">
        <v>9321</v>
      </c>
      <c r="T403" s="9" t="s">
        <v>9321</v>
      </c>
      <c r="U403" s="9"/>
      <c r="V403" s="9"/>
      <c r="W403" s="9"/>
      <c r="X403" s="9"/>
      <c r="Y403" s="9"/>
      <c r="Z403" s="9"/>
      <c r="AA403" s="9"/>
      <c r="AB403" s="9"/>
      <c r="AC403" s="9"/>
      <c r="AD403" s="9"/>
    </row>
    <row r="404" spans="1:30" ht="101.5">
      <c r="A404" s="3" t="s">
        <v>1322</v>
      </c>
      <c r="B404" s="3" t="s">
        <v>6628</v>
      </c>
      <c r="C404" s="3" t="s">
        <v>6629</v>
      </c>
      <c r="F404" t="s">
        <v>3884</v>
      </c>
      <c r="G404" s="9" t="s">
        <v>3889</v>
      </c>
      <c r="H404" s="9"/>
      <c r="I404" s="9">
        <v>1</v>
      </c>
      <c r="J404" s="9">
        <v>2</v>
      </c>
      <c r="K404" s="9" t="s">
        <v>8689</v>
      </c>
      <c r="L404" s="9" t="s">
        <v>8730</v>
      </c>
      <c r="M404" s="9"/>
      <c r="N404" s="10"/>
      <c r="O404" s="9"/>
      <c r="P404" s="9">
        <v>10929</v>
      </c>
      <c r="Q404" s="9">
        <f t="shared" si="6"/>
        <v>1406.0027530843549</v>
      </c>
      <c r="R404" s="9"/>
      <c r="S404" s="9" t="s">
        <v>9321</v>
      </c>
      <c r="T404" s="9" t="s">
        <v>9321</v>
      </c>
      <c r="U404" s="9"/>
      <c r="V404" s="9"/>
      <c r="W404" s="9"/>
      <c r="X404" s="9"/>
      <c r="Y404" s="9"/>
      <c r="Z404" s="9"/>
      <c r="AA404" s="9"/>
      <c r="AB404" s="9"/>
      <c r="AC404" s="9"/>
      <c r="AD404" s="9"/>
    </row>
    <row r="405" spans="1:30" ht="43.5">
      <c r="A405" s="3" t="s">
        <v>1331</v>
      </c>
      <c r="B405" s="3" t="s">
        <v>6655</v>
      </c>
      <c r="C405" s="3" t="s">
        <v>6656</v>
      </c>
      <c r="G405" s="9" t="s">
        <v>3889</v>
      </c>
      <c r="H405" s="9"/>
      <c r="I405" s="9">
        <v>1</v>
      </c>
      <c r="J405" s="9">
        <v>2</v>
      </c>
      <c r="K405" s="9" t="s">
        <v>8705</v>
      </c>
      <c r="L405" s="9" t="s">
        <v>8730</v>
      </c>
      <c r="M405" s="9"/>
      <c r="N405" s="10"/>
      <c r="O405" s="9"/>
      <c r="P405" s="9">
        <v>231</v>
      </c>
      <c r="Q405" s="9">
        <f t="shared" si="6"/>
        <v>29.717873178011349</v>
      </c>
      <c r="R405" s="9"/>
      <c r="S405" s="9" t="s">
        <v>9321</v>
      </c>
      <c r="T405" s="9" t="s">
        <v>9321</v>
      </c>
      <c r="U405" s="9" t="s">
        <v>4</v>
      </c>
      <c r="V405" s="9"/>
      <c r="W405" s="9"/>
      <c r="X405" s="9"/>
      <c r="Y405" s="9"/>
      <c r="Z405" s="9"/>
      <c r="AA405" s="9"/>
      <c r="AB405" s="9"/>
      <c r="AC405" s="9"/>
      <c r="AD405" s="9"/>
    </row>
    <row r="406" spans="1:30" ht="29">
      <c r="A406" s="3" t="s">
        <v>1335</v>
      </c>
      <c r="B406" s="3" t="s">
        <v>6666</v>
      </c>
      <c r="C406" s="3" t="s">
        <v>6667</v>
      </c>
      <c r="G406" s="9" t="s">
        <v>3889</v>
      </c>
      <c r="H406" s="9"/>
      <c r="I406" s="9">
        <v>1</v>
      </c>
      <c r="J406" s="9">
        <v>3</v>
      </c>
      <c r="K406" s="9" t="s">
        <v>8734</v>
      </c>
      <c r="L406" s="9" t="s">
        <v>8690</v>
      </c>
      <c r="M406" s="9"/>
      <c r="N406" s="10"/>
      <c r="O406" s="9"/>
      <c r="P406" s="9">
        <v>698</v>
      </c>
      <c r="Q406" s="9">
        <f t="shared" si="6"/>
        <v>89.796863542216116</v>
      </c>
      <c r="R406" s="9"/>
      <c r="S406" s="9" t="s">
        <v>9321</v>
      </c>
      <c r="T406" s="9" t="s">
        <v>9321</v>
      </c>
      <c r="U406" s="9"/>
      <c r="V406" s="9"/>
      <c r="W406" s="9"/>
      <c r="X406" s="9"/>
      <c r="Y406" s="9"/>
      <c r="Z406" s="9"/>
      <c r="AA406" s="9"/>
      <c r="AB406" s="9"/>
      <c r="AC406" s="9"/>
      <c r="AD406" s="9"/>
    </row>
    <row r="407" spans="1:30" ht="87">
      <c r="A407" s="3" t="s">
        <v>1340</v>
      </c>
      <c r="B407" s="3" t="s">
        <v>6687</v>
      </c>
      <c r="C407" s="3" t="s">
        <v>6688</v>
      </c>
      <c r="F407" t="s">
        <v>3884</v>
      </c>
      <c r="G407" s="9" t="s">
        <v>3889</v>
      </c>
      <c r="H407" s="9"/>
      <c r="I407" s="9">
        <v>1</v>
      </c>
      <c r="J407" s="9">
        <v>5</v>
      </c>
      <c r="K407" s="9" t="s">
        <v>8703</v>
      </c>
      <c r="L407" s="9" t="s">
        <v>8690</v>
      </c>
      <c r="M407" s="9"/>
      <c r="N407" s="10"/>
      <c r="O407" s="9"/>
      <c r="P407" s="9">
        <v>494</v>
      </c>
      <c r="Q407" s="9">
        <f t="shared" si="6"/>
        <v>63.552508008387903</v>
      </c>
      <c r="R407" s="9"/>
      <c r="S407" s="9" t="s">
        <v>9321</v>
      </c>
      <c r="T407" s="9" t="s">
        <v>9321</v>
      </c>
      <c r="U407" s="9"/>
      <c r="V407" s="9"/>
      <c r="W407" s="9"/>
      <c r="X407" s="9"/>
      <c r="Y407" s="9"/>
      <c r="Z407" s="9"/>
      <c r="AA407" s="9"/>
      <c r="AB407" s="9"/>
      <c r="AC407" s="9"/>
      <c r="AD407" s="9"/>
    </row>
    <row r="408" spans="1:30" ht="43.5">
      <c r="A408" s="3" t="s">
        <v>1345</v>
      </c>
      <c r="B408" s="3" t="s">
        <v>6696</v>
      </c>
      <c r="C408" s="3" t="s">
        <v>6697</v>
      </c>
      <c r="G408" s="9" t="s">
        <v>3889</v>
      </c>
      <c r="H408" s="9"/>
      <c r="I408" s="9">
        <v>1</v>
      </c>
      <c r="J408" s="9">
        <v>3</v>
      </c>
      <c r="K408" s="9" t="s">
        <v>8707</v>
      </c>
      <c r="L408" s="9" t="s">
        <v>8690</v>
      </c>
      <c r="M408" s="9"/>
      <c r="N408" s="10"/>
      <c r="O408" s="9"/>
      <c r="P408" s="9">
        <v>872</v>
      </c>
      <c r="Q408" s="9">
        <f t="shared" si="6"/>
        <v>112.18175502695193</v>
      </c>
      <c r="R408" s="9"/>
      <c r="S408" s="9" t="s">
        <v>9321</v>
      </c>
      <c r="T408" s="9" t="s">
        <v>9321</v>
      </c>
      <c r="U408" s="9"/>
      <c r="V408" s="9"/>
      <c r="W408" s="9"/>
      <c r="X408" s="9"/>
      <c r="Y408" s="9"/>
      <c r="Z408" s="9"/>
      <c r="AA408" s="9"/>
      <c r="AB408" s="9"/>
      <c r="AC408" s="9"/>
      <c r="AD408" s="9"/>
    </row>
    <row r="409" spans="1:30" ht="29">
      <c r="A409" s="3" t="s">
        <v>1349</v>
      </c>
      <c r="B409" s="3" t="s">
        <v>6708</v>
      </c>
      <c r="C409" s="3" t="s">
        <v>6709</v>
      </c>
      <c r="G409" s="9" t="s">
        <v>3889</v>
      </c>
      <c r="H409" s="9"/>
      <c r="I409" s="9">
        <v>1</v>
      </c>
      <c r="J409" s="9">
        <v>1</v>
      </c>
      <c r="K409" s="9" t="s">
        <v>8683</v>
      </c>
      <c r="L409" s="9" t="s">
        <v>8730</v>
      </c>
      <c r="M409" s="9"/>
      <c r="N409" s="10"/>
      <c r="O409" s="9"/>
      <c r="P409" s="9">
        <v>15</v>
      </c>
      <c r="Q409" s="9">
        <f t="shared" si="6"/>
        <v>1.9297320245461913</v>
      </c>
      <c r="R409" s="9"/>
      <c r="S409" s="9" t="s">
        <v>9321</v>
      </c>
      <c r="T409" s="9" t="s">
        <v>9321</v>
      </c>
      <c r="U409" s="9"/>
      <c r="V409" s="9"/>
      <c r="W409" s="9"/>
      <c r="X409" s="9"/>
      <c r="Y409" s="9"/>
      <c r="Z409" s="9"/>
      <c r="AA409" s="9"/>
      <c r="AB409" s="9"/>
      <c r="AC409" s="9"/>
      <c r="AD409" s="9"/>
    </row>
    <row r="410" spans="1:30" ht="87">
      <c r="A410" s="3" t="s">
        <v>1352</v>
      </c>
      <c r="B410" s="3" t="s">
        <v>6719</v>
      </c>
      <c r="C410" s="3" t="s">
        <v>6720</v>
      </c>
      <c r="G410" s="9" t="s">
        <v>3885</v>
      </c>
      <c r="H410" s="9"/>
      <c r="I410" s="9">
        <v>1</v>
      </c>
      <c r="J410" s="9">
        <v>1</v>
      </c>
      <c r="K410" s="9" t="s">
        <v>8705</v>
      </c>
      <c r="L410" s="9" t="s">
        <v>8730</v>
      </c>
      <c r="M410" s="9"/>
      <c r="N410" s="10"/>
      <c r="O410" s="9"/>
      <c r="P410" s="9">
        <v>615</v>
      </c>
      <c r="Q410" s="9">
        <f t="shared" si="6"/>
        <v>79.119013006393843</v>
      </c>
      <c r="R410" s="9"/>
      <c r="S410" s="9" t="s">
        <v>9321</v>
      </c>
      <c r="T410" s="9" t="s">
        <v>9321</v>
      </c>
      <c r="U410" s="9"/>
      <c r="V410" s="9"/>
      <c r="W410" s="9"/>
      <c r="X410" s="9"/>
      <c r="Y410" s="9"/>
      <c r="Z410" s="9"/>
      <c r="AA410" s="9"/>
      <c r="AB410" s="9"/>
      <c r="AC410" s="9"/>
      <c r="AD410" s="9"/>
    </row>
    <row r="411" spans="1:30" ht="29">
      <c r="A411" s="3" t="s">
        <v>1356</v>
      </c>
      <c r="B411" s="3" t="s">
        <v>6733</v>
      </c>
      <c r="C411" s="3" t="s">
        <v>6734</v>
      </c>
      <c r="G411" s="9" t="s">
        <v>3885</v>
      </c>
      <c r="H411" s="9"/>
      <c r="I411" s="9">
        <v>1</v>
      </c>
      <c r="J411" s="9">
        <v>3</v>
      </c>
      <c r="K411" s="9" t="s">
        <v>8689</v>
      </c>
      <c r="L411" s="9" t="s">
        <v>8730</v>
      </c>
      <c r="M411" s="9"/>
      <c r="N411" s="10"/>
      <c r="O411" s="9"/>
      <c r="P411" s="9">
        <v>10929</v>
      </c>
      <c r="Q411" s="9">
        <f t="shared" si="6"/>
        <v>1406.0027530843549</v>
      </c>
      <c r="R411" s="9"/>
      <c r="S411" s="9" t="s">
        <v>9321</v>
      </c>
      <c r="T411" s="9" t="s">
        <v>9321</v>
      </c>
      <c r="U411" s="9"/>
      <c r="V411" s="9"/>
      <c r="W411" s="9"/>
      <c r="X411" s="9"/>
      <c r="Y411" s="9"/>
      <c r="Z411" s="9"/>
      <c r="AA411" s="9"/>
      <c r="AB411" s="9"/>
      <c r="AC411" s="9"/>
      <c r="AD411" s="9"/>
    </row>
    <row r="412" spans="1:30" ht="29">
      <c r="A412" s="3" t="s">
        <v>1364</v>
      </c>
      <c r="B412" s="3" t="s">
        <v>6768</v>
      </c>
      <c r="C412" s="3" t="s">
        <v>6769</v>
      </c>
      <c r="G412" s="9" t="s">
        <v>3885</v>
      </c>
      <c r="H412" s="9"/>
      <c r="I412" s="9">
        <v>1</v>
      </c>
      <c r="J412" s="9">
        <v>1</v>
      </c>
      <c r="K412" s="9" t="s">
        <v>8689</v>
      </c>
      <c r="L412" s="9" t="s">
        <v>8730</v>
      </c>
      <c r="M412" s="9"/>
      <c r="N412" s="10"/>
      <c r="O412" s="9" t="s">
        <v>8685</v>
      </c>
      <c r="P412" s="9">
        <v>10929</v>
      </c>
      <c r="Q412" s="9">
        <f t="shared" si="6"/>
        <v>1406.0027530843549</v>
      </c>
      <c r="R412" s="9"/>
      <c r="S412" s="9" t="s">
        <v>9321</v>
      </c>
      <c r="T412" s="9" t="s">
        <v>9321</v>
      </c>
      <c r="U412" s="9"/>
      <c r="V412" s="9"/>
      <c r="W412" s="9"/>
      <c r="X412" s="9"/>
      <c r="Y412" s="9"/>
      <c r="Z412" s="9"/>
      <c r="AA412" s="9"/>
      <c r="AB412" s="9"/>
      <c r="AC412" s="9"/>
      <c r="AD412" s="9"/>
    </row>
    <row r="413" spans="1:30" ht="58">
      <c r="A413" s="3" t="s">
        <v>1365</v>
      </c>
      <c r="B413" s="3" t="s">
        <v>6770</v>
      </c>
      <c r="C413" s="3" t="s">
        <v>6773</v>
      </c>
      <c r="F413" t="s">
        <v>3884</v>
      </c>
      <c r="G413" s="9" t="s">
        <v>3885</v>
      </c>
      <c r="H413" s="9"/>
      <c r="I413" s="9">
        <v>1</v>
      </c>
      <c r="J413" s="9">
        <v>3</v>
      </c>
      <c r="K413" s="9" t="s">
        <v>8705</v>
      </c>
      <c r="L413" s="9" t="s">
        <v>8690</v>
      </c>
      <c r="M413" s="9"/>
      <c r="N413" s="10"/>
      <c r="O413" s="9"/>
      <c r="P413" s="9">
        <v>1485</v>
      </c>
      <c r="Q413" s="9">
        <f t="shared" si="6"/>
        <v>191.04347043007292</v>
      </c>
      <c r="R413" s="9"/>
      <c r="S413" s="9" t="s">
        <v>9321</v>
      </c>
      <c r="T413" s="9" t="s">
        <v>9321</v>
      </c>
      <c r="U413" s="9"/>
      <c r="V413" s="9"/>
      <c r="W413" s="9"/>
      <c r="X413" s="9"/>
      <c r="Y413" s="9"/>
      <c r="Z413" s="9"/>
      <c r="AA413" s="9"/>
      <c r="AB413" s="9"/>
      <c r="AC413" s="9"/>
      <c r="AD413" s="9"/>
    </row>
    <row r="414" spans="1:30" ht="87">
      <c r="A414" s="3" t="s">
        <v>1366</v>
      </c>
      <c r="B414" s="3" t="s">
        <v>6780</v>
      </c>
      <c r="C414" s="3" t="s">
        <v>6781</v>
      </c>
      <c r="F414" t="s">
        <v>3892</v>
      </c>
      <c r="G414" s="9" t="s">
        <v>3885</v>
      </c>
      <c r="H414" s="9"/>
      <c r="I414" s="9">
        <v>1</v>
      </c>
      <c r="J414" s="9">
        <v>4</v>
      </c>
      <c r="K414" s="9" t="s">
        <v>8705</v>
      </c>
      <c r="L414" s="9" t="s">
        <v>8690</v>
      </c>
      <c r="M414" s="9"/>
      <c r="N414" s="10"/>
      <c r="O414" s="9"/>
      <c r="P414" s="9">
        <v>3678</v>
      </c>
      <c r="Q414" s="9">
        <f t="shared" si="6"/>
        <v>473.17029241872609</v>
      </c>
      <c r="R414" s="9"/>
      <c r="S414" s="9" t="s">
        <v>9321</v>
      </c>
      <c r="T414" s="9" t="s">
        <v>9321</v>
      </c>
      <c r="U414" s="9"/>
      <c r="V414" s="9"/>
      <c r="W414" s="9"/>
      <c r="X414" s="9"/>
      <c r="Y414" s="9"/>
      <c r="Z414" s="9"/>
      <c r="AA414" s="9"/>
      <c r="AB414" s="9"/>
      <c r="AC414" s="9"/>
      <c r="AD414" s="9"/>
    </row>
    <row r="415" spans="1:30" ht="29">
      <c r="A415" s="3" t="s">
        <v>1374</v>
      </c>
      <c r="B415" s="3" t="s">
        <v>6806</v>
      </c>
      <c r="C415" s="3" t="s">
        <v>6807</v>
      </c>
      <c r="G415" s="9" t="s">
        <v>3889</v>
      </c>
      <c r="H415" s="9"/>
      <c r="I415" s="9">
        <v>1</v>
      </c>
      <c r="J415" s="9">
        <v>1</v>
      </c>
      <c r="K415" s="9" t="s">
        <v>8689</v>
      </c>
      <c r="L415" s="9" t="s">
        <v>8730</v>
      </c>
      <c r="M415" s="9"/>
      <c r="N415" s="10"/>
      <c r="O415" s="9"/>
      <c r="P415" s="9">
        <v>10929</v>
      </c>
      <c r="Q415" s="9">
        <f t="shared" si="6"/>
        <v>1406.0027530843549</v>
      </c>
      <c r="R415" s="9"/>
      <c r="S415" s="9" t="s">
        <v>9321</v>
      </c>
      <c r="T415" s="9" t="s">
        <v>9321</v>
      </c>
      <c r="U415" s="9"/>
      <c r="V415" s="9"/>
      <c r="W415" s="9"/>
      <c r="X415" s="9"/>
      <c r="Y415" s="9"/>
      <c r="Z415" s="9"/>
      <c r="AA415" s="9"/>
      <c r="AB415" s="9"/>
      <c r="AC415" s="9"/>
      <c r="AD415" s="9"/>
    </row>
    <row r="416" spans="1:30" ht="43.5">
      <c r="A416" s="3" t="s">
        <v>1374</v>
      </c>
      <c r="B416" s="3" t="s">
        <v>6810</v>
      </c>
      <c r="C416" s="3" t="s">
        <v>6811</v>
      </c>
      <c r="G416" s="9" t="s">
        <v>3889</v>
      </c>
      <c r="H416" s="9"/>
      <c r="I416" s="9">
        <v>1</v>
      </c>
      <c r="J416" s="9">
        <v>3</v>
      </c>
      <c r="K416" s="9" t="s">
        <v>8689</v>
      </c>
      <c r="L416" s="9" t="s">
        <v>8690</v>
      </c>
      <c r="M416" s="9"/>
      <c r="N416" s="10"/>
      <c r="O416" s="9"/>
      <c r="P416" s="9">
        <v>10929</v>
      </c>
      <c r="Q416" s="9">
        <f t="shared" si="6"/>
        <v>1406.0027530843549</v>
      </c>
      <c r="R416" s="9"/>
      <c r="S416" s="9" t="s">
        <v>9321</v>
      </c>
      <c r="T416" s="9" t="s">
        <v>9321</v>
      </c>
      <c r="U416" s="9"/>
      <c r="V416" s="9"/>
      <c r="W416" s="9"/>
      <c r="X416" s="9"/>
      <c r="Y416" s="9"/>
      <c r="Z416" s="9"/>
      <c r="AA416" s="9"/>
      <c r="AB416" s="9"/>
      <c r="AC416" s="9"/>
      <c r="AD416" s="9"/>
    </row>
    <row r="417" spans="1:30" ht="29">
      <c r="A417" s="3" t="s">
        <v>1377</v>
      </c>
      <c r="B417" s="3" t="s">
        <v>6817</v>
      </c>
      <c r="C417" s="3" t="s">
        <v>6818</v>
      </c>
      <c r="G417" s="9" t="s">
        <v>3889</v>
      </c>
      <c r="H417" s="9"/>
      <c r="I417" s="9">
        <v>1</v>
      </c>
      <c r="J417" s="9">
        <v>3</v>
      </c>
      <c r="K417" s="9" t="s">
        <v>8689</v>
      </c>
      <c r="L417" s="9" t="s">
        <v>8690</v>
      </c>
      <c r="M417" s="9"/>
      <c r="N417" s="10"/>
      <c r="O417" s="9"/>
      <c r="P417" s="9">
        <v>10929</v>
      </c>
      <c r="Q417" s="9">
        <f t="shared" si="6"/>
        <v>1406.0027530843549</v>
      </c>
      <c r="R417" s="9"/>
      <c r="S417" s="9" t="s">
        <v>9321</v>
      </c>
      <c r="T417" s="9" t="s">
        <v>9321</v>
      </c>
      <c r="U417" s="9"/>
      <c r="V417" s="9"/>
      <c r="W417" s="9"/>
      <c r="X417" s="9"/>
      <c r="Y417" s="9"/>
      <c r="Z417" s="9"/>
      <c r="AA417" s="9"/>
      <c r="AB417" s="9"/>
      <c r="AC417" s="9"/>
      <c r="AD417" s="9"/>
    </row>
    <row r="418" spans="1:30" ht="87">
      <c r="A418" s="3" t="s">
        <v>1379</v>
      </c>
      <c r="B418" s="3" t="s">
        <v>6827</v>
      </c>
      <c r="C418" s="3" t="s">
        <v>6825</v>
      </c>
      <c r="G418" s="9" t="s">
        <v>3889</v>
      </c>
      <c r="H418" s="9"/>
      <c r="I418" s="9">
        <v>1</v>
      </c>
      <c r="J418" s="9">
        <v>3</v>
      </c>
      <c r="K418" s="9" t="s">
        <v>8689</v>
      </c>
      <c r="L418" s="9" t="s">
        <v>8690</v>
      </c>
      <c r="M418" s="9"/>
      <c r="N418" s="10"/>
      <c r="O418" s="9"/>
      <c r="P418" s="9">
        <v>10929</v>
      </c>
      <c r="Q418" s="9">
        <f t="shared" si="6"/>
        <v>1406.0027530843549</v>
      </c>
      <c r="R418" s="9"/>
      <c r="S418" s="9" t="s">
        <v>9321</v>
      </c>
      <c r="T418" s="9" t="s">
        <v>9321</v>
      </c>
      <c r="U418" s="9"/>
      <c r="V418" s="9"/>
      <c r="W418" s="9"/>
      <c r="X418" s="9"/>
      <c r="Y418" s="9"/>
      <c r="Z418" s="9"/>
      <c r="AA418" s="9"/>
      <c r="AB418" s="9"/>
      <c r="AC418" s="9"/>
      <c r="AD418" s="9"/>
    </row>
    <row r="419" spans="1:30" ht="29">
      <c r="A419" s="3" t="s">
        <v>1384</v>
      </c>
      <c r="B419" s="3" t="s">
        <v>6846</v>
      </c>
      <c r="C419" s="3" t="s">
        <v>6847</v>
      </c>
      <c r="F419" t="s">
        <v>3892</v>
      </c>
      <c r="G419" s="9" t="s">
        <v>3889</v>
      </c>
      <c r="H419" s="9"/>
      <c r="I419" s="9">
        <v>1</v>
      </c>
      <c r="J419" s="9">
        <v>2</v>
      </c>
      <c r="K419" s="9" t="s">
        <v>8703</v>
      </c>
      <c r="L419" s="9" t="s">
        <v>8730</v>
      </c>
      <c r="M419" s="9"/>
      <c r="N419" s="10"/>
      <c r="O419" s="9"/>
      <c r="P419" s="9">
        <v>1225</v>
      </c>
      <c r="Q419" s="9">
        <f t="shared" si="6"/>
        <v>157.59478200460561</v>
      </c>
      <c r="R419" s="9"/>
      <c r="S419" s="9" t="s">
        <v>9321</v>
      </c>
      <c r="T419" s="9" t="s">
        <v>9321</v>
      </c>
      <c r="U419" s="9"/>
      <c r="V419" s="9"/>
      <c r="W419" s="9"/>
      <c r="X419" s="9"/>
      <c r="Y419" s="9"/>
      <c r="Z419" s="9"/>
      <c r="AA419" s="9"/>
      <c r="AB419" s="9"/>
      <c r="AC419" s="9"/>
      <c r="AD419" s="9"/>
    </row>
    <row r="420" spans="1:30" ht="101.5">
      <c r="A420" s="3" t="s">
        <v>1386</v>
      </c>
      <c r="B420" s="3" t="s">
        <v>9114</v>
      </c>
      <c r="C420" s="3" t="s">
        <v>9115</v>
      </c>
      <c r="F420" t="s">
        <v>3892</v>
      </c>
      <c r="G420" s="9" t="s">
        <v>3889</v>
      </c>
      <c r="H420" s="9"/>
      <c r="I420" s="9">
        <v>3</v>
      </c>
      <c r="J420" s="9">
        <v>15</v>
      </c>
      <c r="K420" s="9"/>
      <c r="L420" s="9" t="s">
        <v>8684</v>
      </c>
      <c r="M420" s="9" t="s">
        <v>8777</v>
      </c>
      <c r="N420" s="10" t="s">
        <v>9116</v>
      </c>
      <c r="O420" s="9"/>
      <c r="P420" s="9">
        <v>15</v>
      </c>
      <c r="Q420" s="9">
        <f t="shared" si="6"/>
        <v>1.9297320245461913</v>
      </c>
      <c r="R420" s="9"/>
      <c r="S420" s="9" t="s">
        <v>9321</v>
      </c>
      <c r="T420" s="9" t="s">
        <v>9321</v>
      </c>
      <c r="U420" s="9"/>
      <c r="V420" s="9"/>
      <c r="W420" s="9"/>
      <c r="X420" s="9"/>
      <c r="Y420" s="9"/>
      <c r="Z420" s="9"/>
      <c r="AA420" s="9"/>
      <c r="AB420" s="9"/>
      <c r="AC420" s="9"/>
      <c r="AD420" s="9"/>
    </row>
    <row r="421" spans="1:30" ht="43.5">
      <c r="A421" s="3" t="s">
        <v>1388</v>
      </c>
      <c r="B421" s="3" t="s">
        <v>6858</v>
      </c>
      <c r="C421" s="3" t="s">
        <v>6859</v>
      </c>
      <c r="F421" t="s">
        <v>3884</v>
      </c>
      <c r="G421" s="9" t="s">
        <v>3885</v>
      </c>
      <c r="H421" s="9"/>
      <c r="I421" s="9">
        <v>1</v>
      </c>
      <c r="J421" s="9">
        <v>3</v>
      </c>
      <c r="K421" s="9" t="s">
        <v>8689</v>
      </c>
      <c r="L421" s="9" t="s">
        <v>8690</v>
      </c>
      <c r="M421" s="9"/>
      <c r="N421" s="10"/>
      <c r="O421" s="9"/>
      <c r="P421" s="9">
        <v>10929</v>
      </c>
      <c r="Q421" s="9">
        <f t="shared" si="6"/>
        <v>1406.0027530843549</v>
      </c>
      <c r="R421" s="9"/>
      <c r="S421" s="9" t="s">
        <v>9321</v>
      </c>
      <c r="T421" s="9" t="s">
        <v>9321</v>
      </c>
      <c r="U421" s="9"/>
      <c r="V421" s="9"/>
      <c r="W421" s="9"/>
      <c r="X421" s="9"/>
      <c r="Y421" s="9"/>
      <c r="Z421" s="9"/>
      <c r="AA421" s="9"/>
      <c r="AB421" s="9"/>
      <c r="AC421" s="9"/>
      <c r="AD421" s="9"/>
    </row>
    <row r="422" spans="1:30" ht="43.5">
      <c r="A422" s="3" t="s">
        <v>1391</v>
      </c>
      <c r="B422" s="3" t="s">
        <v>6869</v>
      </c>
      <c r="C422" s="3" t="s">
        <v>6870</v>
      </c>
      <c r="F422" t="s">
        <v>3884</v>
      </c>
      <c r="G422" s="9" t="s">
        <v>3885</v>
      </c>
      <c r="H422" s="9"/>
      <c r="I422" s="9">
        <v>1</v>
      </c>
      <c r="J422" s="9">
        <v>5</v>
      </c>
      <c r="K422" s="9" t="s">
        <v>8683</v>
      </c>
      <c r="L422" s="9" t="s">
        <v>8690</v>
      </c>
      <c r="M422" s="9"/>
      <c r="N422" s="10"/>
      <c r="O422" s="9"/>
      <c r="P422" s="9">
        <v>0</v>
      </c>
      <c r="Q422" s="9">
        <f t="shared" si="6"/>
        <v>0</v>
      </c>
      <c r="R422" s="9"/>
      <c r="S422" s="9" t="s">
        <v>9321</v>
      </c>
      <c r="T422" s="9" t="s">
        <v>9321</v>
      </c>
      <c r="U422" s="9"/>
      <c r="V422" s="9"/>
      <c r="W422" s="9"/>
      <c r="X422" s="9"/>
      <c r="Y422" s="9"/>
      <c r="Z422" s="9"/>
      <c r="AA422" s="9"/>
      <c r="AB422" s="9"/>
      <c r="AC422" s="9"/>
      <c r="AD422" s="9"/>
    </row>
    <row r="423" spans="1:30" ht="29">
      <c r="A423" s="3" t="s">
        <v>1398</v>
      </c>
      <c r="B423" s="3" t="s">
        <v>6890</v>
      </c>
      <c r="C423" s="3" t="s">
        <v>6891</v>
      </c>
      <c r="F423" t="s">
        <v>3884</v>
      </c>
      <c r="G423" s="9" t="s">
        <v>3889</v>
      </c>
      <c r="H423" s="9"/>
      <c r="I423" s="9">
        <v>1</v>
      </c>
      <c r="J423" s="9">
        <v>2</v>
      </c>
      <c r="K423" s="9" t="s">
        <v>8689</v>
      </c>
      <c r="L423" s="9" t="s">
        <v>8730</v>
      </c>
      <c r="M423" s="9"/>
      <c r="N423" s="10"/>
      <c r="O423" s="9"/>
      <c r="P423" s="9">
        <v>10929</v>
      </c>
      <c r="Q423" s="9">
        <f t="shared" si="6"/>
        <v>1406.0027530843549</v>
      </c>
      <c r="R423" s="9"/>
      <c r="S423" s="9" t="s">
        <v>9321</v>
      </c>
      <c r="T423" s="9" t="s">
        <v>9321</v>
      </c>
      <c r="U423" s="9" t="s">
        <v>8728</v>
      </c>
      <c r="V423" s="9"/>
      <c r="W423" s="9"/>
      <c r="X423" s="9"/>
      <c r="Y423" s="9"/>
      <c r="Z423" s="9"/>
      <c r="AA423" s="9"/>
      <c r="AB423" s="9"/>
      <c r="AC423" s="9"/>
      <c r="AD423" s="9"/>
    </row>
    <row r="424" spans="1:30" ht="43.5">
      <c r="A424" s="3" t="s">
        <v>1400</v>
      </c>
      <c r="B424" s="3" t="s">
        <v>6896</v>
      </c>
      <c r="C424" s="3" t="s">
        <v>6897</v>
      </c>
      <c r="G424" s="9" t="s">
        <v>3889</v>
      </c>
      <c r="H424" s="9"/>
      <c r="I424" s="9">
        <v>1</v>
      </c>
      <c r="J424" s="9">
        <v>3</v>
      </c>
      <c r="K424" s="9" t="s">
        <v>8689</v>
      </c>
      <c r="L424" s="9" t="s">
        <v>8690</v>
      </c>
      <c r="M424" s="9"/>
      <c r="N424" s="10"/>
      <c r="O424" s="9"/>
      <c r="P424" s="9">
        <v>10929</v>
      </c>
      <c r="Q424" s="9">
        <f t="shared" si="6"/>
        <v>1406.0027530843549</v>
      </c>
      <c r="R424" s="9"/>
      <c r="S424" s="9" t="s">
        <v>9321</v>
      </c>
      <c r="T424" s="9" t="s">
        <v>9321</v>
      </c>
      <c r="U424" s="9"/>
      <c r="V424" s="9"/>
      <c r="W424" s="9"/>
      <c r="X424" s="9"/>
      <c r="Y424" s="9"/>
      <c r="Z424" s="9"/>
      <c r="AA424" s="9"/>
      <c r="AB424" s="9"/>
      <c r="AC424" s="9"/>
      <c r="AD424" s="9"/>
    </row>
    <row r="425" spans="1:30" ht="43.5">
      <c r="A425" s="3" t="s">
        <v>1405</v>
      </c>
      <c r="B425" s="3" t="s">
        <v>6910</v>
      </c>
      <c r="C425" s="3" t="s">
        <v>6907</v>
      </c>
      <c r="F425" t="s">
        <v>3884</v>
      </c>
      <c r="G425" s="9" t="s">
        <v>3889</v>
      </c>
      <c r="H425" s="9"/>
      <c r="I425" s="9">
        <v>1</v>
      </c>
      <c r="J425" s="9">
        <v>3</v>
      </c>
      <c r="K425" s="9" t="s">
        <v>8689</v>
      </c>
      <c r="L425" s="9" t="s">
        <v>8690</v>
      </c>
      <c r="M425" s="9"/>
      <c r="N425" s="10"/>
      <c r="O425" s="9"/>
      <c r="P425" s="9">
        <v>10929</v>
      </c>
      <c r="Q425" s="9">
        <f t="shared" si="6"/>
        <v>1406.0027530843549</v>
      </c>
      <c r="R425" s="9"/>
      <c r="S425" s="9" t="s">
        <v>9321</v>
      </c>
      <c r="T425" s="9" t="s">
        <v>9321</v>
      </c>
      <c r="U425" s="9"/>
      <c r="V425" s="9"/>
      <c r="W425" s="9"/>
      <c r="X425" s="9"/>
      <c r="Y425" s="9"/>
      <c r="Z425" s="9"/>
      <c r="AA425" s="9"/>
      <c r="AB425" s="9"/>
      <c r="AC425" s="9"/>
      <c r="AD425" s="9"/>
    </row>
    <row r="426" spans="1:30" ht="58">
      <c r="A426" s="3" t="s">
        <v>1408</v>
      </c>
      <c r="B426" s="3" t="s">
        <v>6921</v>
      </c>
      <c r="C426" s="3" t="s">
        <v>6922</v>
      </c>
      <c r="F426" t="s">
        <v>3884</v>
      </c>
      <c r="G426" s="9" t="s">
        <v>3885</v>
      </c>
      <c r="H426" s="9"/>
      <c r="I426" s="9">
        <v>1</v>
      </c>
      <c r="J426" s="9">
        <v>5</v>
      </c>
      <c r="K426" s="9" t="s">
        <v>8705</v>
      </c>
      <c r="L426" s="9" t="s">
        <v>8690</v>
      </c>
      <c r="M426" s="9"/>
      <c r="N426" s="10"/>
      <c r="O426" s="9"/>
      <c r="P426" s="9">
        <v>3678</v>
      </c>
      <c r="Q426" s="9">
        <f t="shared" si="6"/>
        <v>473.17029241872609</v>
      </c>
      <c r="R426" s="9"/>
      <c r="S426" s="9" t="s">
        <v>9321</v>
      </c>
      <c r="T426" s="9" t="s">
        <v>9321</v>
      </c>
      <c r="U426" s="9"/>
      <c r="V426" s="9"/>
      <c r="W426" s="9"/>
      <c r="X426" s="9"/>
      <c r="Y426" s="9"/>
      <c r="Z426" s="9"/>
      <c r="AA426" s="9"/>
      <c r="AB426" s="9"/>
      <c r="AC426" s="9"/>
      <c r="AD426" s="9"/>
    </row>
    <row r="427" spans="1:30" ht="72.5">
      <c r="A427" s="3" t="s">
        <v>1409</v>
      </c>
      <c r="B427" s="3" t="s">
        <v>6928</v>
      </c>
      <c r="C427" s="3" t="s">
        <v>6929</v>
      </c>
      <c r="F427" t="s">
        <v>3884</v>
      </c>
      <c r="G427" s="9" t="s">
        <v>3885</v>
      </c>
      <c r="H427" s="9"/>
      <c r="I427" s="9">
        <v>1</v>
      </c>
      <c r="J427" s="9">
        <v>2</v>
      </c>
      <c r="K427" s="9" t="s">
        <v>8734</v>
      </c>
      <c r="L427" s="9" t="s">
        <v>8730</v>
      </c>
      <c r="M427" s="9"/>
      <c r="N427" s="10"/>
      <c r="O427" s="9" t="s">
        <v>8685</v>
      </c>
      <c r="P427" s="9">
        <v>49</v>
      </c>
      <c r="Q427" s="9">
        <f t="shared" si="6"/>
        <v>6.3037912801842246</v>
      </c>
      <c r="R427" s="9"/>
      <c r="S427" s="9" t="s">
        <v>9321</v>
      </c>
      <c r="T427" s="9" t="s">
        <v>9321</v>
      </c>
      <c r="U427" s="9"/>
      <c r="V427" s="9"/>
      <c r="W427" s="9"/>
      <c r="X427" s="9"/>
      <c r="Y427" s="9"/>
      <c r="Z427" s="9"/>
      <c r="AA427" s="9"/>
      <c r="AB427" s="9"/>
      <c r="AC427" s="9"/>
      <c r="AD427" s="9"/>
    </row>
    <row r="428" spans="1:30" ht="72.5">
      <c r="A428" s="3" t="s">
        <v>1411</v>
      </c>
      <c r="B428" s="3" t="s">
        <v>6944</v>
      </c>
      <c r="C428" s="3" t="s">
        <v>6941</v>
      </c>
      <c r="G428" s="9" t="s">
        <v>3889</v>
      </c>
      <c r="H428" s="9"/>
      <c r="I428" s="9">
        <v>1</v>
      </c>
      <c r="J428" s="9">
        <v>3</v>
      </c>
      <c r="K428" s="9" t="s">
        <v>8689</v>
      </c>
      <c r="L428" s="9" t="s">
        <v>8690</v>
      </c>
      <c r="M428" s="9"/>
      <c r="N428" s="10"/>
      <c r="O428" s="9"/>
      <c r="P428" s="9">
        <v>10929</v>
      </c>
      <c r="Q428" s="9">
        <f t="shared" si="6"/>
        <v>1406.0027530843549</v>
      </c>
      <c r="R428" s="9"/>
      <c r="S428" s="9" t="s">
        <v>9321</v>
      </c>
      <c r="T428" s="9" t="s">
        <v>9321</v>
      </c>
      <c r="U428" s="9"/>
      <c r="V428" s="9"/>
      <c r="W428" s="9"/>
      <c r="X428" s="9"/>
      <c r="Y428" s="9"/>
      <c r="Z428" s="9"/>
      <c r="AA428" s="9"/>
      <c r="AB428" s="9"/>
      <c r="AC428" s="9"/>
      <c r="AD428" s="9"/>
    </row>
    <row r="429" spans="1:30" ht="72.5">
      <c r="A429" s="3" t="s">
        <v>1412</v>
      </c>
      <c r="B429" s="3" t="s">
        <v>6945</v>
      </c>
      <c r="C429" s="3" t="s">
        <v>6946</v>
      </c>
      <c r="F429" t="s">
        <v>3884</v>
      </c>
      <c r="G429" s="9" t="s">
        <v>3885</v>
      </c>
      <c r="H429" s="9"/>
      <c r="I429" s="9">
        <v>1</v>
      </c>
      <c r="J429" s="9">
        <v>4</v>
      </c>
      <c r="K429" s="9" t="s">
        <v>8710</v>
      </c>
      <c r="L429" s="9" t="s">
        <v>8690</v>
      </c>
      <c r="M429" s="9"/>
      <c r="N429" s="10"/>
      <c r="O429" s="9"/>
      <c r="P429" s="9">
        <v>266</v>
      </c>
      <c r="Q429" s="9">
        <f t="shared" si="6"/>
        <v>34.220581235285792</v>
      </c>
      <c r="R429" s="9"/>
      <c r="S429" s="9" t="s">
        <v>9321</v>
      </c>
      <c r="T429" s="9" t="s">
        <v>9321</v>
      </c>
      <c r="U429" s="9"/>
      <c r="V429" s="9"/>
      <c r="W429" s="9"/>
      <c r="X429" s="9"/>
      <c r="Y429" s="9"/>
      <c r="Z429" s="9"/>
      <c r="AA429" s="9"/>
      <c r="AB429" s="9"/>
      <c r="AC429" s="9"/>
      <c r="AD429" s="9"/>
    </row>
    <row r="430" spans="1:30" ht="87">
      <c r="A430" s="3" t="s">
        <v>1416</v>
      </c>
      <c r="B430" s="3" t="s">
        <v>6956</v>
      </c>
      <c r="C430" s="3" t="s">
        <v>6957</v>
      </c>
      <c r="G430" s="9" t="s">
        <v>3885</v>
      </c>
      <c r="H430" s="9"/>
      <c r="I430" s="9">
        <v>1</v>
      </c>
      <c r="J430" s="9">
        <v>6</v>
      </c>
      <c r="K430" s="9" t="s">
        <v>8703</v>
      </c>
      <c r="L430" s="9" t="s">
        <v>8690</v>
      </c>
      <c r="M430" s="9"/>
      <c r="N430" s="10"/>
      <c r="O430" s="9"/>
      <c r="P430" s="9">
        <v>627</v>
      </c>
      <c r="Q430" s="9">
        <f t="shared" si="6"/>
        <v>80.662798626030806</v>
      </c>
      <c r="R430" s="9"/>
      <c r="S430" s="9" t="s">
        <v>9321</v>
      </c>
      <c r="T430" s="9" t="s">
        <v>9321</v>
      </c>
      <c r="U430" s="9"/>
      <c r="V430" s="9"/>
      <c r="W430" s="9"/>
      <c r="X430" s="9"/>
      <c r="Y430" s="9"/>
      <c r="Z430" s="9"/>
      <c r="AA430" s="9"/>
      <c r="AB430" s="9"/>
      <c r="AC430" s="9"/>
      <c r="AD430" s="9"/>
    </row>
    <row r="431" spans="1:30" ht="58">
      <c r="A431" s="3" t="s">
        <v>1418</v>
      </c>
      <c r="B431" s="3" t="s">
        <v>6958</v>
      </c>
      <c r="C431" s="3" t="s">
        <v>6961</v>
      </c>
      <c r="F431" t="s">
        <v>3884</v>
      </c>
      <c r="G431" s="9" t="s">
        <v>3885</v>
      </c>
      <c r="H431" s="9"/>
      <c r="I431" s="9">
        <v>1</v>
      </c>
      <c r="J431" s="9">
        <v>4</v>
      </c>
      <c r="K431" s="9" t="s">
        <v>8703</v>
      </c>
      <c r="L431" s="9" t="s">
        <v>8690</v>
      </c>
      <c r="M431" s="9"/>
      <c r="N431" s="10"/>
      <c r="O431" s="9"/>
      <c r="P431" s="9">
        <v>797</v>
      </c>
      <c r="Q431" s="9">
        <f t="shared" si="6"/>
        <v>102.53309490422097</v>
      </c>
      <c r="R431" s="9"/>
      <c r="S431" s="9" t="s">
        <v>9321</v>
      </c>
      <c r="T431" s="9" t="s">
        <v>9321</v>
      </c>
      <c r="U431" s="9" t="s">
        <v>8728</v>
      </c>
      <c r="V431" s="9"/>
      <c r="W431" s="9"/>
      <c r="X431" s="9"/>
      <c r="Y431" s="9"/>
      <c r="Z431" s="9"/>
      <c r="AA431" s="9"/>
      <c r="AB431" s="9"/>
      <c r="AC431" s="9"/>
      <c r="AD431" s="9"/>
    </row>
    <row r="432" spans="1:30" ht="72.5">
      <c r="A432" s="3" t="s">
        <v>1433</v>
      </c>
      <c r="B432" s="3" t="s">
        <v>7023</v>
      </c>
      <c r="C432" s="3" t="s">
        <v>7024</v>
      </c>
      <c r="G432" s="9" t="s">
        <v>3885</v>
      </c>
      <c r="H432" s="9"/>
      <c r="I432" s="9">
        <v>1</v>
      </c>
      <c r="J432" s="9">
        <v>1</v>
      </c>
      <c r="K432" s="9" t="s">
        <v>8689</v>
      </c>
      <c r="L432" s="9" t="s">
        <v>8730</v>
      </c>
      <c r="M432" s="9"/>
      <c r="N432" s="10"/>
      <c r="O432" s="9"/>
      <c r="P432" s="9">
        <v>10929</v>
      </c>
      <c r="Q432" s="9">
        <f t="shared" si="6"/>
        <v>1406.0027530843549</v>
      </c>
      <c r="R432" s="9"/>
      <c r="S432" s="9" t="s">
        <v>9321</v>
      </c>
      <c r="T432" s="9" t="s">
        <v>9321</v>
      </c>
      <c r="U432" s="9"/>
      <c r="V432" s="9"/>
      <c r="W432" s="9"/>
      <c r="X432" s="9"/>
      <c r="Y432" s="9"/>
      <c r="Z432" s="9"/>
      <c r="AA432" s="9"/>
      <c r="AB432" s="9"/>
      <c r="AC432" s="9"/>
      <c r="AD432" s="9"/>
    </row>
    <row r="433" spans="1:30" ht="101.5">
      <c r="A433" s="3" t="s">
        <v>1436</v>
      </c>
      <c r="B433" s="3" t="s">
        <v>9363</v>
      </c>
      <c r="C433" s="3" t="s">
        <v>9364</v>
      </c>
      <c r="F433" t="s">
        <v>3884</v>
      </c>
      <c r="G433" s="9" t="s">
        <v>3885</v>
      </c>
      <c r="H433" s="9"/>
      <c r="I433" s="9">
        <v>1</v>
      </c>
      <c r="J433" s="9">
        <v>8</v>
      </c>
      <c r="K433" s="9" t="s">
        <v>8683</v>
      </c>
      <c r="L433" s="9" t="s">
        <v>8684</v>
      </c>
      <c r="M433" s="9" t="s">
        <v>8771</v>
      </c>
      <c r="N433" s="10" t="s">
        <v>8983</v>
      </c>
      <c r="O433" s="9" t="s">
        <v>8685</v>
      </c>
      <c r="P433" s="9">
        <v>59</v>
      </c>
      <c r="Q433" s="9">
        <f t="shared" si="6"/>
        <v>7.5902792965483519</v>
      </c>
      <c r="R433" s="9"/>
      <c r="S433" s="9" t="s">
        <v>9321</v>
      </c>
      <c r="T433" s="9" t="s">
        <v>9321</v>
      </c>
      <c r="U433" s="9" t="s">
        <v>8728</v>
      </c>
      <c r="V433" s="9"/>
      <c r="W433" s="9"/>
      <c r="X433" s="9"/>
      <c r="Y433" s="9"/>
      <c r="Z433" s="9"/>
      <c r="AA433" s="9"/>
      <c r="AB433" s="9"/>
      <c r="AC433" s="9"/>
      <c r="AD433" s="9"/>
    </row>
    <row r="434" spans="1:30" ht="43.5">
      <c r="A434" s="3" t="s">
        <v>1440</v>
      </c>
      <c r="B434" s="3" t="s">
        <v>9524</v>
      </c>
      <c r="C434" s="3" t="s">
        <v>9650</v>
      </c>
      <c r="G434" s="9" t="s">
        <v>3885</v>
      </c>
      <c r="H434" s="9"/>
      <c r="I434" s="9">
        <v>1</v>
      </c>
      <c r="J434" s="9">
        <v>1</v>
      </c>
      <c r="K434" s="9" t="s">
        <v>8689</v>
      </c>
      <c r="L434" s="9" t="s">
        <v>8730</v>
      </c>
      <c r="M434" s="9"/>
      <c r="N434" s="10"/>
      <c r="O434" s="9"/>
      <c r="P434" s="9">
        <v>10929</v>
      </c>
      <c r="Q434" s="9">
        <f t="shared" si="6"/>
        <v>1406.0027530843549</v>
      </c>
      <c r="R434" s="9"/>
      <c r="S434" s="9" t="s">
        <v>9321</v>
      </c>
      <c r="T434" s="9" t="s">
        <v>9321</v>
      </c>
      <c r="U434" s="9"/>
      <c r="V434" s="9"/>
      <c r="W434" s="9"/>
      <c r="X434" s="9"/>
      <c r="Y434" s="9"/>
      <c r="Z434" s="9"/>
      <c r="AA434" s="9"/>
      <c r="AB434" s="9"/>
      <c r="AC434" s="9"/>
      <c r="AD434" s="9"/>
    </row>
    <row r="435" spans="1:30" ht="217.5">
      <c r="A435" s="3" t="s">
        <v>1441</v>
      </c>
      <c r="B435" s="3" t="s">
        <v>7055</v>
      </c>
      <c r="C435" s="3" t="s">
        <v>7056</v>
      </c>
      <c r="G435" s="9" t="s">
        <v>3889</v>
      </c>
      <c r="H435" s="9"/>
      <c r="I435" s="9">
        <v>8</v>
      </c>
      <c r="J435" s="9">
        <v>47</v>
      </c>
      <c r="K435" s="9"/>
      <c r="L435" s="9" t="s">
        <v>8684</v>
      </c>
      <c r="M435" s="9" t="s">
        <v>8740</v>
      </c>
      <c r="N435" s="10" t="s">
        <v>8838</v>
      </c>
      <c r="O435" s="9"/>
      <c r="P435" s="9">
        <v>39</v>
      </c>
      <c r="Q435" s="9">
        <f t="shared" si="6"/>
        <v>5.0173032638200974</v>
      </c>
      <c r="R435" s="9"/>
      <c r="S435" s="9" t="s">
        <v>9321</v>
      </c>
      <c r="T435" s="9" t="s">
        <v>9321</v>
      </c>
      <c r="U435" s="9"/>
      <c r="V435" s="9"/>
      <c r="W435" s="9"/>
      <c r="X435" s="9"/>
      <c r="Y435" s="9"/>
      <c r="Z435" s="9"/>
      <c r="AA435" s="9"/>
      <c r="AB435" s="9"/>
      <c r="AC435" s="9"/>
      <c r="AD435" s="9"/>
    </row>
    <row r="436" spans="1:30" ht="29">
      <c r="A436" s="3" t="s">
        <v>1443</v>
      </c>
      <c r="B436" s="3" t="s">
        <v>7060</v>
      </c>
      <c r="C436" s="3" t="s">
        <v>7061</v>
      </c>
      <c r="G436" s="9" t="s">
        <v>3889</v>
      </c>
      <c r="H436" s="9"/>
      <c r="I436" s="9">
        <v>1</v>
      </c>
      <c r="J436" s="9">
        <v>3</v>
      </c>
      <c r="K436" s="9" t="s">
        <v>8689</v>
      </c>
      <c r="L436" s="9" t="s">
        <v>8690</v>
      </c>
      <c r="M436" s="9"/>
      <c r="N436" s="10"/>
      <c r="O436" s="9"/>
      <c r="P436" s="9">
        <v>10929</v>
      </c>
      <c r="Q436" s="9">
        <f t="shared" si="6"/>
        <v>1406.0027530843549</v>
      </c>
      <c r="R436" s="9"/>
      <c r="S436" s="9" t="s">
        <v>9321</v>
      </c>
      <c r="T436" s="9" t="s">
        <v>9321</v>
      </c>
      <c r="U436" s="9" t="s">
        <v>8728</v>
      </c>
      <c r="V436" s="9"/>
      <c r="W436" s="9"/>
      <c r="X436" s="9"/>
      <c r="Y436" s="9"/>
      <c r="Z436" s="9"/>
      <c r="AA436" s="9"/>
      <c r="AB436" s="9"/>
      <c r="AC436" s="9"/>
      <c r="AD436" s="9"/>
    </row>
    <row r="437" spans="1:30" ht="43.5">
      <c r="A437" s="3" t="s">
        <v>1445</v>
      </c>
      <c r="B437" s="3" t="s">
        <v>7062</v>
      </c>
      <c r="C437" s="3" t="s">
        <v>7063</v>
      </c>
      <c r="F437" t="s">
        <v>3884</v>
      </c>
      <c r="G437" s="9" t="s">
        <v>3885</v>
      </c>
      <c r="H437" s="9"/>
      <c r="I437" s="9">
        <v>1</v>
      </c>
      <c r="J437" s="9">
        <v>3</v>
      </c>
      <c r="K437" s="9" t="s">
        <v>8695</v>
      </c>
      <c r="L437" s="9" t="s">
        <v>8690</v>
      </c>
      <c r="M437" s="9"/>
      <c r="N437" s="10"/>
      <c r="O437" s="9"/>
      <c r="P437" s="9">
        <v>78</v>
      </c>
      <c r="Q437" s="9">
        <f t="shared" si="6"/>
        <v>10.034606527640195</v>
      </c>
      <c r="R437" s="9"/>
      <c r="S437" s="9" t="s">
        <v>9321</v>
      </c>
      <c r="T437" s="9" t="s">
        <v>9321</v>
      </c>
      <c r="U437" s="9"/>
      <c r="V437" s="9"/>
      <c r="W437" s="9"/>
      <c r="X437" s="9"/>
      <c r="Y437" s="9"/>
      <c r="Z437" s="9"/>
      <c r="AA437" s="9"/>
      <c r="AB437" s="9"/>
      <c r="AC437" s="9"/>
      <c r="AD437" s="9"/>
    </row>
    <row r="438" spans="1:30" ht="58">
      <c r="A438" s="3" t="s">
        <v>1464</v>
      </c>
      <c r="B438" s="3" t="s">
        <v>7122</v>
      </c>
      <c r="C438" s="3" t="s">
        <v>7123</v>
      </c>
      <c r="G438" s="9" t="s">
        <v>3889</v>
      </c>
      <c r="H438" s="9"/>
      <c r="I438" s="9">
        <v>1</v>
      </c>
      <c r="J438" s="9">
        <v>3</v>
      </c>
      <c r="K438" s="9" t="s">
        <v>8698</v>
      </c>
      <c r="L438" s="9" t="s">
        <v>8690</v>
      </c>
      <c r="M438" s="9"/>
      <c r="N438" s="10"/>
      <c r="O438" s="9"/>
      <c r="P438" s="9">
        <v>9418</v>
      </c>
      <c r="Q438" s="9">
        <f t="shared" si="6"/>
        <v>1211.6144138117354</v>
      </c>
      <c r="R438" s="9"/>
      <c r="S438" s="9" t="s">
        <v>9321</v>
      </c>
      <c r="T438" s="9" t="s">
        <v>9321</v>
      </c>
      <c r="U438" s="9"/>
      <c r="V438" s="9"/>
      <c r="W438" s="9"/>
      <c r="X438" s="9"/>
      <c r="Y438" s="9"/>
      <c r="Z438" s="9"/>
      <c r="AA438" s="9"/>
      <c r="AB438" s="9"/>
      <c r="AC438" s="9"/>
      <c r="AD438" s="9"/>
    </row>
    <row r="439" spans="1:30" ht="72.5">
      <c r="A439" s="3" t="s">
        <v>1466</v>
      </c>
      <c r="B439" s="3" t="s">
        <v>7134</v>
      </c>
      <c r="C439" s="3" t="s">
        <v>9121</v>
      </c>
      <c r="F439" t="s">
        <v>3884</v>
      </c>
      <c r="G439" s="9" t="s">
        <v>3885</v>
      </c>
      <c r="H439" s="9"/>
      <c r="I439" s="9">
        <v>1</v>
      </c>
      <c r="J439" s="9">
        <v>2</v>
      </c>
      <c r="K439" s="9" t="s">
        <v>8736</v>
      </c>
      <c r="L439" s="9" t="s">
        <v>8730</v>
      </c>
      <c r="M439" s="9"/>
      <c r="N439" s="10"/>
      <c r="O439" s="9"/>
      <c r="P439" s="9">
        <v>645</v>
      </c>
      <c r="Q439" s="9">
        <f t="shared" si="6"/>
        <v>82.978477055486238</v>
      </c>
      <c r="R439" s="9"/>
      <c r="S439" s="9" t="s">
        <v>9321</v>
      </c>
      <c r="T439" s="9" t="s">
        <v>9321</v>
      </c>
      <c r="U439" s="9"/>
      <c r="V439" s="9"/>
      <c r="W439" s="9"/>
      <c r="X439" s="9"/>
      <c r="Y439" s="9"/>
      <c r="Z439" s="9"/>
      <c r="AA439" s="9"/>
      <c r="AB439" s="9"/>
      <c r="AC439" s="9"/>
      <c r="AD439" s="9"/>
    </row>
    <row r="440" spans="1:30" ht="72.5">
      <c r="A440" s="3" t="s">
        <v>1489</v>
      </c>
      <c r="B440" s="3" t="s">
        <v>9123</v>
      </c>
      <c r="C440" s="3" t="s">
        <v>7214</v>
      </c>
      <c r="G440" s="9" t="s">
        <v>3889</v>
      </c>
      <c r="H440" s="9"/>
      <c r="I440" s="9">
        <v>1</v>
      </c>
      <c r="J440" s="9">
        <v>3</v>
      </c>
      <c r="K440" s="9" t="s">
        <v>8689</v>
      </c>
      <c r="L440" s="9" t="s">
        <v>8690</v>
      </c>
      <c r="M440" s="9"/>
      <c r="N440" s="10"/>
      <c r="O440" s="9"/>
      <c r="P440" s="9">
        <v>10929</v>
      </c>
      <c r="Q440" s="9">
        <f t="shared" si="6"/>
        <v>1406.0027530843549</v>
      </c>
      <c r="R440" s="9"/>
      <c r="S440" s="9" t="s">
        <v>9321</v>
      </c>
      <c r="T440" s="9" t="s">
        <v>9321</v>
      </c>
      <c r="U440" s="9"/>
      <c r="V440" s="9"/>
      <c r="W440" s="9"/>
      <c r="X440" s="9"/>
      <c r="Y440" s="9"/>
      <c r="Z440" s="9"/>
      <c r="AA440" s="9"/>
      <c r="AB440" s="9"/>
      <c r="AC440" s="9"/>
      <c r="AD440" s="9"/>
    </row>
    <row r="441" spans="1:30" ht="58">
      <c r="A441" s="3" t="s">
        <v>1491</v>
      </c>
      <c r="B441" s="3" t="s">
        <v>7220</v>
      </c>
      <c r="C441" s="3" t="s">
        <v>7221</v>
      </c>
      <c r="G441" s="9" t="s">
        <v>3889</v>
      </c>
      <c r="H441" s="9"/>
      <c r="I441" s="9">
        <v>2</v>
      </c>
      <c r="J441" s="9">
        <v>11</v>
      </c>
      <c r="K441" s="9"/>
      <c r="L441" s="9" t="s">
        <v>8684</v>
      </c>
      <c r="M441" s="9" t="s">
        <v>9082</v>
      </c>
      <c r="N441" s="10" t="s">
        <v>8778</v>
      </c>
      <c r="O441" s="9"/>
      <c r="P441" s="9">
        <v>152</v>
      </c>
      <c r="Q441" s="9">
        <f t="shared" si="6"/>
        <v>19.55461784873474</v>
      </c>
      <c r="R441" s="9"/>
      <c r="S441" s="9" t="s">
        <v>9321</v>
      </c>
      <c r="T441" s="9" t="s">
        <v>9321</v>
      </c>
      <c r="U441" s="9" t="s">
        <v>8728</v>
      </c>
      <c r="V441" s="9"/>
      <c r="W441" s="9"/>
      <c r="X441" s="9"/>
      <c r="Y441" s="9"/>
      <c r="Z441" s="9"/>
      <c r="AA441" s="9"/>
      <c r="AB441" s="9"/>
      <c r="AC441" s="9"/>
      <c r="AD441" s="9"/>
    </row>
    <row r="442" spans="1:30" ht="58">
      <c r="A442" s="3" t="s">
        <v>1506</v>
      </c>
      <c r="B442" s="3" t="s">
        <v>7261</v>
      </c>
      <c r="C442" s="3" t="s">
        <v>9128</v>
      </c>
      <c r="G442" s="9" t="s">
        <v>3885</v>
      </c>
      <c r="H442" s="9"/>
      <c r="I442" s="9">
        <v>1</v>
      </c>
      <c r="J442" s="9">
        <v>3</v>
      </c>
      <c r="K442" s="9" t="s">
        <v>8707</v>
      </c>
      <c r="L442" s="9" t="s">
        <v>8684</v>
      </c>
      <c r="M442" s="9" t="s">
        <v>8777</v>
      </c>
      <c r="N442" s="10" t="s">
        <v>8778</v>
      </c>
      <c r="O442" s="9" t="s">
        <v>8685</v>
      </c>
      <c r="P442" s="9">
        <v>991</v>
      </c>
      <c r="Q442" s="9">
        <f t="shared" si="6"/>
        <v>127.49096242168504</v>
      </c>
      <c r="R442" s="9"/>
      <c r="S442" s="9" t="s">
        <v>9321</v>
      </c>
      <c r="T442" s="9" t="s">
        <v>9321</v>
      </c>
      <c r="U442" s="9"/>
      <c r="V442" s="9"/>
      <c r="W442" s="9"/>
      <c r="X442" s="9"/>
      <c r="Y442" s="9"/>
      <c r="Z442" s="9"/>
      <c r="AA442" s="9"/>
      <c r="AB442" s="9"/>
      <c r="AC442" s="9"/>
      <c r="AD442" s="9"/>
    </row>
    <row r="443" spans="1:30" ht="72.5">
      <c r="A443" s="3" t="s">
        <v>1513</v>
      </c>
      <c r="B443" s="3" t="s">
        <v>7285</v>
      </c>
      <c r="C443" s="3" t="s">
        <v>7286</v>
      </c>
      <c r="F443" t="s">
        <v>3884</v>
      </c>
      <c r="G443" s="9" t="s">
        <v>3885</v>
      </c>
      <c r="H443" s="9"/>
      <c r="I443" s="9">
        <v>1</v>
      </c>
      <c r="J443" s="9">
        <v>1</v>
      </c>
      <c r="K443" s="9" t="s">
        <v>8683</v>
      </c>
      <c r="L443" s="9" t="s">
        <v>8730</v>
      </c>
      <c r="M443" s="9"/>
      <c r="N443" s="10"/>
      <c r="O443" s="9"/>
      <c r="P443" s="9">
        <v>4</v>
      </c>
      <c r="Q443" s="9">
        <f t="shared" si="6"/>
        <v>0.51459520654565105</v>
      </c>
      <c r="R443" s="9"/>
      <c r="S443" s="9" t="s">
        <v>9321</v>
      </c>
      <c r="T443" s="9" t="s">
        <v>9321</v>
      </c>
      <c r="U443" s="9"/>
      <c r="V443" s="9"/>
      <c r="W443" s="9"/>
      <c r="X443" s="9"/>
      <c r="Y443" s="9"/>
      <c r="Z443" s="9"/>
      <c r="AA443" s="9"/>
      <c r="AB443" s="9"/>
      <c r="AC443" s="9"/>
      <c r="AD443" s="9"/>
    </row>
    <row r="444" spans="1:30" ht="101.5">
      <c r="A444" s="3" t="s">
        <v>1515</v>
      </c>
      <c r="B444" s="3" t="s">
        <v>7294</v>
      </c>
      <c r="C444" s="3" t="s">
        <v>7297</v>
      </c>
      <c r="F444" t="s">
        <v>3884</v>
      </c>
      <c r="G444" s="9" t="s">
        <v>3885</v>
      </c>
      <c r="H444" s="9"/>
      <c r="I444" s="9">
        <v>1</v>
      </c>
      <c r="J444" s="9">
        <v>3</v>
      </c>
      <c r="K444" s="9" t="s">
        <v>8689</v>
      </c>
      <c r="L444" s="9" t="s">
        <v>8690</v>
      </c>
      <c r="M444" s="9"/>
      <c r="N444" s="10"/>
      <c r="O444" s="9"/>
      <c r="P444" s="9">
        <v>10929</v>
      </c>
      <c r="Q444" s="9">
        <f t="shared" si="6"/>
        <v>1406.0027530843549</v>
      </c>
      <c r="R444" s="9"/>
      <c r="S444" s="9" t="s">
        <v>9321</v>
      </c>
      <c r="T444" s="9" t="s">
        <v>9321</v>
      </c>
      <c r="U444" s="9"/>
      <c r="V444" s="9"/>
      <c r="W444" s="9"/>
      <c r="X444" s="9"/>
      <c r="Y444" s="9"/>
      <c r="Z444" s="9"/>
      <c r="AA444" s="9"/>
      <c r="AB444" s="9"/>
      <c r="AC444" s="9"/>
      <c r="AD444" s="9"/>
    </row>
    <row r="445" spans="1:30" ht="72.5">
      <c r="A445" s="3" t="s">
        <v>1515</v>
      </c>
      <c r="B445" s="3" t="s">
        <v>7301</v>
      </c>
      <c r="C445" s="3" t="s">
        <v>7300</v>
      </c>
      <c r="F445" t="s">
        <v>3884</v>
      </c>
      <c r="G445" s="9" t="s">
        <v>3889</v>
      </c>
      <c r="H445" s="9"/>
      <c r="I445" s="9">
        <v>1</v>
      </c>
      <c r="J445" s="9">
        <v>3</v>
      </c>
      <c r="K445" s="9" t="s">
        <v>8698</v>
      </c>
      <c r="L445" s="9" t="s">
        <v>8690</v>
      </c>
      <c r="M445" s="9"/>
      <c r="N445" s="10"/>
      <c r="O445" s="9"/>
      <c r="P445" s="9">
        <v>9418</v>
      </c>
      <c r="Q445" s="9">
        <f t="shared" si="6"/>
        <v>1211.6144138117354</v>
      </c>
      <c r="R445" s="9"/>
      <c r="S445" s="9" t="s">
        <v>9321</v>
      </c>
      <c r="T445" s="9" t="s">
        <v>9321</v>
      </c>
      <c r="U445" s="9"/>
      <c r="V445" s="9"/>
      <c r="W445" s="9"/>
      <c r="X445" s="9"/>
      <c r="Y445" s="9"/>
      <c r="Z445" s="9"/>
      <c r="AA445" s="9"/>
      <c r="AB445" s="9"/>
      <c r="AC445" s="9"/>
      <c r="AD445" s="9"/>
    </row>
    <row r="446" spans="1:30" ht="43.5">
      <c r="A446" s="3" t="s">
        <v>1519</v>
      </c>
      <c r="B446" s="3" t="s">
        <v>7316</v>
      </c>
      <c r="C446" s="3" t="s">
        <v>7317</v>
      </c>
      <c r="G446" s="9" t="s">
        <v>3885</v>
      </c>
      <c r="H446" s="9"/>
      <c r="I446" s="9">
        <v>1</v>
      </c>
      <c r="J446" s="9">
        <v>1</v>
      </c>
      <c r="K446" s="9" t="s">
        <v>8689</v>
      </c>
      <c r="L446" s="9" t="s">
        <v>8730</v>
      </c>
      <c r="M446" s="9"/>
      <c r="N446" s="10"/>
      <c r="O446" s="9"/>
      <c r="P446" s="9">
        <v>10929</v>
      </c>
      <c r="Q446" s="9">
        <f t="shared" si="6"/>
        <v>1406.0027530843549</v>
      </c>
      <c r="R446" s="9"/>
      <c r="S446" s="9" t="s">
        <v>9321</v>
      </c>
      <c r="T446" s="9" t="s">
        <v>9321</v>
      </c>
      <c r="U446" s="9" t="s">
        <v>4</v>
      </c>
      <c r="V446" s="9"/>
      <c r="W446" s="9"/>
      <c r="X446" s="9"/>
      <c r="Y446" s="9"/>
      <c r="Z446" s="9"/>
      <c r="AA446" s="9"/>
      <c r="AB446" s="9"/>
      <c r="AC446" s="9"/>
      <c r="AD446" s="9"/>
    </row>
    <row r="447" spans="1:30" ht="58">
      <c r="A447" s="3" t="s">
        <v>1520</v>
      </c>
      <c r="B447" s="3" t="s">
        <v>7318</v>
      </c>
      <c r="C447" s="3" t="s">
        <v>7319</v>
      </c>
      <c r="G447" s="9" t="s">
        <v>3889</v>
      </c>
      <c r="H447" s="9"/>
      <c r="I447" s="9">
        <v>1</v>
      </c>
      <c r="J447" s="9">
        <v>3</v>
      </c>
      <c r="K447" s="9" t="s">
        <v>8698</v>
      </c>
      <c r="L447" s="9" t="s">
        <v>8690</v>
      </c>
      <c r="M447" s="9"/>
      <c r="N447" s="10"/>
      <c r="O447" s="9"/>
      <c r="P447" s="9">
        <v>9418</v>
      </c>
      <c r="Q447" s="9">
        <f t="shared" si="6"/>
        <v>1211.6144138117354</v>
      </c>
      <c r="R447" s="9"/>
      <c r="S447" s="9" t="s">
        <v>9321</v>
      </c>
      <c r="T447" s="9" t="s">
        <v>9321</v>
      </c>
      <c r="U447" s="9"/>
      <c r="V447" s="9"/>
      <c r="W447" s="9"/>
      <c r="X447" s="9"/>
      <c r="Y447" s="9"/>
      <c r="Z447" s="9"/>
      <c r="AA447" s="9"/>
      <c r="AB447" s="9"/>
      <c r="AC447" s="9"/>
      <c r="AD447" s="9"/>
    </row>
    <row r="448" spans="1:30" ht="58">
      <c r="A448" s="3" t="s">
        <v>1523</v>
      </c>
      <c r="B448" s="3" t="s">
        <v>7284</v>
      </c>
      <c r="C448" s="3" t="s">
        <v>7282</v>
      </c>
      <c r="G448" s="9" t="s">
        <v>3889</v>
      </c>
      <c r="H448" s="9"/>
      <c r="I448" s="9">
        <v>1</v>
      </c>
      <c r="J448" s="9">
        <v>3</v>
      </c>
      <c r="K448" s="9" t="s">
        <v>8698</v>
      </c>
      <c r="L448" s="9" t="s">
        <v>8690</v>
      </c>
      <c r="M448" s="9"/>
      <c r="N448" s="10"/>
      <c r="O448" s="9"/>
      <c r="P448" s="9">
        <v>9418</v>
      </c>
      <c r="Q448" s="9">
        <f t="shared" si="6"/>
        <v>1211.6144138117354</v>
      </c>
      <c r="R448" s="9"/>
      <c r="S448" s="9" t="s">
        <v>9321</v>
      </c>
      <c r="T448" s="9" t="s">
        <v>9321</v>
      </c>
      <c r="U448" s="9"/>
      <c r="V448" s="9"/>
      <c r="W448" s="9"/>
      <c r="X448" s="9"/>
      <c r="Y448" s="9"/>
      <c r="Z448" s="9"/>
      <c r="AA448" s="9"/>
      <c r="AB448" s="9"/>
      <c r="AC448" s="9"/>
      <c r="AD448" s="9"/>
    </row>
    <row r="449" spans="1:30" ht="58">
      <c r="A449" s="3" t="s">
        <v>1524</v>
      </c>
      <c r="B449" s="3" t="s">
        <v>7326</v>
      </c>
      <c r="C449" s="3" t="s">
        <v>7327</v>
      </c>
      <c r="F449" t="s">
        <v>3884</v>
      </c>
      <c r="G449" s="9" t="s">
        <v>3885</v>
      </c>
      <c r="H449" s="9"/>
      <c r="I449" s="9">
        <v>1</v>
      </c>
      <c r="J449" s="9">
        <v>3</v>
      </c>
      <c r="K449" s="9" t="s">
        <v>8689</v>
      </c>
      <c r="L449" s="9" t="s">
        <v>8684</v>
      </c>
      <c r="M449" s="9" t="s">
        <v>8771</v>
      </c>
      <c r="N449" s="10" t="s">
        <v>8778</v>
      </c>
      <c r="O449" s="9"/>
      <c r="P449" s="9">
        <v>10929</v>
      </c>
      <c r="Q449" s="9">
        <f t="shared" si="6"/>
        <v>1406.0027530843549</v>
      </c>
      <c r="R449" s="9"/>
      <c r="S449" s="9" t="s">
        <v>9321</v>
      </c>
      <c r="T449" s="9" t="s">
        <v>9321</v>
      </c>
      <c r="U449" s="9"/>
      <c r="V449" s="9"/>
      <c r="W449" s="9"/>
      <c r="X449" s="9"/>
      <c r="Y449" s="9"/>
      <c r="Z449" s="9"/>
      <c r="AA449" s="9"/>
      <c r="AB449" s="9"/>
      <c r="AC449" s="9"/>
      <c r="AD449" s="9"/>
    </row>
    <row r="450" spans="1:30" ht="58">
      <c r="A450" s="3" t="s">
        <v>1535</v>
      </c>
      <c r="B450" s="3" t="s">
        <v>7365</v>
      </c>
      <c r="C450" s="3" t="s">
        <v>7366</v>
      </c>
      <c r="F450" t="s">
        <v>3884</v>
      </c>
      <c r="G450" s="9" t="s">
        <v>3885</v>
      </c>
      <c r="H450" s="9"/>
      <c r="I450" s="9">
        <v>1</v>
      </c>
      <c r="J450" s="9">
        <v>3</v>
      </c>
      <c r="K450" s="9" t="s">
        <v>8698</v>
      </c>
      <c r="L450" s="9" t="s">
        <v>8690</v>
      </c>
      <c r="M450" s="9"/>
      <c r="N450" s="10"/>
      <c r="O450" s="9"/>
      <c r="P450" s="9">
        <v>9418</v>
      </c>
      <c r="Q450" s="9">
        <f t="shared" si="6"/>
        <v>1211.6144138117354</v>
      </c>
      <c r="R450" s="9"/>
      <c r="S450" s="9" t="s">
        <v>9321</v>
      </c>
      <c r="T450" s="9" t="s">
        <v>9321</v>
      </c>
      <c r="U450" s="9"/>
      <c r="V450" s="9"/>
      <c r="W450" s="9"/>
      <c r="X450" s="9"/>
      <c r="Y450" s="9"/>
      <c r="Z450" s="9"/>
      <c r="AA450" s="9"/>
      <c r="AB450" s="9"/>
      <c r="AC450" s="9"/>
      <c r="AD450" s="9"/>
    </row>
    <row r="451" spans="1:30" ht="43.5">
      <c r="A451" s="3" t="s">
        <v>1535</v>
      </c>
      <c r="B451" s="3" t="s">
        <v>7367</v>
      </c>
      <c r="C451" s="3" t="s">
        <v>7368</v>
      </c>
      <c r="F451" t="s">
        <v>3884</v>
      </c>
      <c r="G451" s="9" t="s">
        <v>3885</v>
      </c>
      <c r="H451" s="9"/>
      <c r="I451" s="9">
        <v>1</v>
      </c>
      <c r="J451" s="9">
        <v>3</v>
      </c>
      <c r="K451" s="9" t="s">
        <v>8698</v>
      </c>
      <c r="L451" s="9" t="s">
        <v>8690</v>
      </c>
      <c r="M451" s="9"/>
      <c r="N451" s="10"/>
      <c r="O451" s="9"/>
      <c r="P451" s="9">
        <v>9418</v>
      </c>
      <c r="Q451" s="9">
        <f t="shared" ref="Q451:Q514" si="7">IF(ISNUMBER(P451), (P451/$E$601)*10000, "")</f>
        <v>1211.6144138117354</v>
      </c>
      <c r="R451" s="9"/>
      <c r="S451" s="9" t="s">
        <v>9321</v>
      </c>
      <c r="T451" s="9" t="s">
        <v>9321</v>
      </c>
      <c r="U451" s="9"/>
      <c r="V451" s="9"/>
      <c r="W451" s="9"/>
      <c r="X451" s="9"/>
      <c r="Y451" s="9"/>
      <c r="Z451" s="9"/>
      <c r="AA451" s="9"/>
      <c r="AB451" s="9"/>
      <c r="AC451" s="9"/>
      <c r="AD451" s="9"/>
    </row>
    <row r="452" spans="1:30" ht="29">
      <c r="A452" s="3" t="s">
        <v>1536</v>
      </c>
      <c r="B452" s="3" t="s">
        <v>7371</v>
      </c>
      <c r="C452" s="3" t="s">
        <v>7372</v>
      </c>
      <c r="F452" t="s">
        <v>3884</v>
      </c>
      <c r="G452" s="9" t="s">
        <v>3889</v>
      </c>
      <c r="H452" s="9"/>
      <c r="I452" s="9">
        <v>1</v>
      </c>
      <c r="J452" s="9">
        <v>5</v>
      </c>
      <c r="K452" s="9" t="s">
        <v>8703</v>
      </c>
      <c r="L452" s="9" t="s">
        <v>8690</v>
      </c>
      <c r="M452" s="9"/>
      <c r="N452" s="10"/>
      <c r="O452" s="9"/>
      <c r="P452" s="9">
        <v>494</v>
      </c>
      <c r="Q452" s="9">
        <f t="shared" si="7"/>
        <v>63.552508008387903</v>
      </c>
      <c r="R452" s="9"/>
      <c r="S452" s="9" t="s">
        <v>9321</v>
      </c>
      <c r="T452" s="9" t="s">
        <v>9321</v>
      </c>
      <c r="U452" s="9"/>
      <c r="V452" s="9"/>
      <c r="W452" s="9"/>
      <c r="X452" s="9"/>
      <c r="Y452" s="9"/>
      <c r="Z452" s="9"/>
      <c r="AA452" s="9"/>
      <c r="AB452" s="9"/>
      <c r="AC452" s="9"/>
      <c r="AD452" s="9"/>
    </row>
    <row r="453" spans="1:30" ht="29">
      <c r="A453" s="3" t="s">
        <v>1537</v>
      </c>
      <c r="B453" s="3" t="s">
        <v>7376</v>
      </c>
      <c r="C453" s="3" t="s">
        <v>7377</v>
      </c>
      <c r="G453" s="9" t="s">
        <v>3889</v>
      </c>
      <c r="H453" s="9"/>
      <c r="I453" s="9">
        <v>1</v>
      </c>
      <c r="J453" s="9">
        <v>2</v>
      </c>
      <c r="K453" s="9" t="s">
        <v>8698</v>
      </c>
      <c r="L453" s="9" t="s">
        <v>8730</v>
      </c>
      <c r="M453" s="9"/>
      <c r="N453" s="10"/>
      <c r="O453" s="9"/>
      <c r="P453" s="9">
        <v>159</v>
      </c>
      <c r="Q453" s="9">
        <f t="shared" si="7"/>
        <v>20.455159460189627</v>
      </c>
      <c r="R453" s="9"/>
      <c r="S453" s="9" t="s">
        <v>9321</v>
      </c>
      <c r="T453" s="9" t="s">
        <v>9321</v>
      </c>
      <c r="U453" s="9"/>
      <c r="V453" s="9"/>
      <c r="W453" s="9"/>
      <c r="X453" s="9"/>
      <c r="Y453" s="9"/>
      <c r="Z453" s="9"/>
      <c r="AA453" s="9"/>
      <c r="AB453" s="9"/>
      <c r="AC453" s="9"/>
      <c r="AD453" s="9"/>
    </row>
    <row r="454" spans="1:30" ht="29">
      <c r="A454" s="3" t="s">
        <v>1544</v>
      </c>
      <c r="B454" s="3" t="s">
        <v>7395</v>
      </c>
      <c r="C454" s="3" t="s">
        <v>7396</v>
      </c>
      <c r="F454" t="s">
        <v>3884</v>
      </c>
      <c r="G454" s="9" t="s">
        <v>3885</v>
      </c>
      <c r="H454" s="9"/>
      <c r="I454" s="9">
        <v>1</v>
      </c>
      <c r="J454" s="9">
        <v>2</v>
      </c>
      <c r="K454" s="9" t="s">
        <v>8707</v>
      </c>
      <c r="L454" s="9" t="s">
        <v>8730</v>
      </c>
      <c r="M454" s="9"/>
      <c r="N454" s="10"/>
      <c r="O454" s="9" t="s">
        <v>8685</v>
      </c>
      <c r="P454" s="9">
        <v>329</v>
      </c>
      <c r="Q454" s="9">
        <f t="shared" si="7"/>
        <v>42.325455738379794</v>
      </c>
      <c r="R454" s="9"/>
      <c r="S454" s="9" t="s">
        <v>9321</v>
      </c>
      <c r="T454" s="9" t="s">
        <v>9321</v>
      </c>
      <c r="U454" s="9"/>
      <c r="V454" s="9"/>
      <c r="W454" s="9"/>
      <c r="X454" s="9"/>
      <c r="Y454" s="9"/>
      <c r="Z454" s="9"/>
      <c r="AA454" s="9"/>
      <c r="AB454" s="9"/>
      <c r="AC454" s="9"/>
      <c r="AD454" s="9"/>
    </row>
    <row r="455" spans="1:30" ht="58">
      <c r="A455" s="3" t="s">
        <v>1546</v>
      </c>
      <c r="B455" s="3" t="s">
        <v>7410</v>
      </c>
      <c r="C455" s="3" t="s">
        <v>7411</v>
      </c>
      <c r="F455" t="s">
        <v>3884</v>
      </c>
      <c r="G455" s="9" t="s">
        <v>3885</v>
      </c>
      <c r="H455" s="9"/>
      <c r="I455" s="9">
        <v>1</v>
      </c>
      <c r="J455" s="9">
        <v>6</v>
      </c>
      <c r="K455" s="9" t="s">
        <v>8703</v>
      </c>
      <c r="L455" s="9" t="s">
        <v>8684</v>
      </c>
      <c r="M455" s="9" t="s">
        <v>8771</v>
      </c>
      <c r="N455" s="10" t="s">
        <v>8982</v>
      </c>
      <c r="O455" s="9"/>
      <c r="P455" s="9">
        <v>0</v>
      </c>
      <c r="Q455" s="9">
        <f t="shared" si="7"/>
        <v>0</v>
      </c>
      <c r="R455" s="9"/>
      <c r="S455" s="9" t="s">
        <v>9321</v>
      </c>
      <c r="T455" s="9" t="s">
        <v>9321</v>
      </c>
      <c r="U455" s="9"/>
      <c r="V455" s="9"/>
      <c r="W455" s="9"/>
      <c r="X455" s="9"/>
      <c r="Y455" s="9"/>
      <c r="Z455" s="9"/>
      <c r="AA455" s="9"/>
      <c r="AB455" s="9"/>
      <c r="AC455" s="9"/>
      <c r="AD455" s="9"/>
    </row>
    <row r="456" spans="1:30" ht="72.5">
      <c r="A456" s="3" t="s">
        <v>1555</v>
      </c>
      <c r="B456" s="3" t="s">
        <v>7433</v>
      </c>
      <c r="C456" s="3" t="s">
        <v>7434</v>
      </c>
      <c r="G456" s="9" t="s">
        <v>3889</v>
      </c>
      <c r="H456" s="9"/>
      <c r="I456" s="9">
        <v>1</v>
      </c>
      <c r="J456" s="9">
        <v>2</v>
      </c>
      <c r="K456" s="9" t="s">
        <v>8689</v>
      </c>
      <c r="L456" s="9" t="s">
        <v>8730</v>
      </c>
      <c r="M456" s="9"/>
      <c r="N456" s="10"/>
      <c r="O456" s="9" t="s">
        <v>8685</v>
      </c>
      <c r="P456" s="9">
        <v>10929</v>
      </c>
      <c r="Q456" s="9">
        <f t="shared" si="7"/>
        <v>1406.0027530843549</v>
      </c>
      <c r="R456" s="9"/>
      <c r="S456" s="9" t="s">
        <v>9321</v>
      </c>
      <c r="T456" s="9" t="s">
        <v>9321</v>
      </c>
      <c r="U456" s="9"/>
      <c r="V456" s="9"/>
      <c r="W456" s="9"/>
      <c r="X456" s="9"/>
      <c r="Y456" s="9"/>
      <c r="Z456" s="9"/>
      <c r="AA456" s="9"/>
      <c r="AB456" s="9"/>
      <c r="AC456" s="9"/>
      <c r="AD456" s="9"/>
    </row>
    <row r="457" spans="1:30" ht="101.5">
      <c r="A457" s="3" t="s">
        <v>1556</v>
      </c>
      <c r="B457" s="3" t="s">
        <v>7440</v>
      </c>
      <c r="C457" s="3" t="s">
        <v>7435</v>
      </c>
      <c r="F457" t="s">
        <v>3884</v>
      </c>
      <c r="G457" s="9" t="s">
        <v>3889</v>
      </c>
      <c r="H457" s="9"/>
      <c r="I457" s="9">
        <v>1</v>
      </c>
      <c r="J457" s="9">
        <v>3</v>
      </c>
      <c r="K457" s="9" t="s">
        <v>8689</v>
      </c>
      <c r="L457" s="9" t="s">
        <v>8690</v>
      </c>
      <c r="M457" s="9"/>
      <c r="N457" s="10"/>
      <c r="O457" s="9"/>
      <c r="P457" s="9">
        <v>10929</v>
      </c>
      <c r="Q457" s="9">
        <f t="shared" si="7"/>
        <v>1406.0027530843549</v>
      </c>
      <c r="R457" s="9"/>
      <c r="S457" s="9" t="s">
        <v>9321</v>
      </c>
      <c r="T457" s="9" t="s">
        <v>9321</v>
      </c>
      <c r="U457" s="9"/>
      <c r="V457" s="9"/>
      <c r="W457" s="9"/>
      <c r="X457" s="9"/>
      <c r="Y457" s="9"/>
      <c r="Z457" s="9"/>
      <c r="AA457" s="9"/>
      <c r="AB457" s="9"/>
      <c r="AC457" s="9"/>
      <c r="AD457" s="9"/>
    </row>
    <row r="458" spans="1:30" ht="29">
      <c r="A458" s="3" t="s">
        <v>1557</v>
      </c>
      <c r="B458" s="3" t="s">
        <v>7442</v>
      </c>
      <c r="C458" s="3" t="s">
        <v>7443</v>
      </c>
      <c r="G458" s="9" t="s">
        <v>3889</v>
      </c>
      <c r="H458" s="9"/>
      <c r="I458" s="9">
        <v>1</v>
      </c>
      <c r="J458" s="9">
        <v>2</v>
      </c>
      <c r="K458" s="9" t="s">
        <v>8689</v>
      </c>
      <c r="L458" s="9" t="s">
        <v>8730</v>
      </c>
      <c r="M458" s="9"/>
      <c r="N458" s="10"/>
      <c r="O458" s="9"/>
      <c r="P458" s="9">
        <v>10929</v>
      </c>
      <c r="Q458" s="9">
        <f t="shared" si="7"/>
        <v>1406.0027530843549</v>
      </c>
      <c r="R458" s="9"/>
      <c r="S458" s="9" t="s">
        <v>9321</v>
      </c>
      <c r="T458" s="9" t="s">
        <v>9321</v>
      </c>
      <c r="U458" s="9"/>
      <c r="V458" s="9"/>
      <c r="W458" s="9"/>
      <c r="X458" s="9"/>
      <c r="Y458" s="9"/>
      <c r="Z458" s="9"/>
      <c r="AA458" s="9"/>
      <c r="AB458" s="9"/>
      <c r="AC458" s="9"/>
      <c r="AD458" s="9"/>
    </row>
    <row r="459" spans="1:30" ht="43.5">
      <c r="A459" s="3" t="s">
        <v>1562</v>
      </c>
      <c r="B459" s="3" t="s">
        <v>7456</v>
      </c>
      <c r="C459" s="3" t="s">
        <v>7457</v>
      </c>
      <c r="F459" t="s">
        <v>3884</v>
      </c>
      <c r="G459" s="9" t="s">
        <v>3889</v>
      </c>
      <c r="H459" s="9"/>
      <c r="I459" s="9">
        <v>1</v>
      </c>
      <c r="J459" s="9">
        <v>2</v>
      </c>
      <c r="K459" s="9" t="s">
        <v>8698</v>
      </c>
      <c r="L459" s="9" t="s">
        <v>8730</v>
      </c>
      <c r="M459" s="9"/>
      <c r="N459" s="10"/>
      <c r="O459" s="9"/>
      <c r="P459" s="9">
        <v>203</v>
      </c>
      <c r="Q459" s="9">
        <f t="shared" si="7"/>
        <v>26.115706732191789</v>
      </c>
      <c r="R459" s="9"/>
      <c r="S459" s="9" t="s">
        <v>9321</v>
      </c>
      <c r="T459" s="9" t="s">
        <v>9321</v>
      </c>
      <c r="U459" s="9"/>
      <c r="V459" s="9"/>
      <c r="W459" s="9"/>
      <c r="X459" s="9"/>
      <c r="Y459" s="9"/>
      <c r="Z459" s="9"/>
      <c r="AA459" s="9"/>
      <c r="AB459" s="9"/>
      <c r="AC459" s="9"/>
      <c r="AD459" s="9"/>
    </row>
    <row r="460" spans="1:30" ht="29">
      <c r="A460" s="3" t="s">
        <v>1568</v>
      </c>
      <c r="B460" s="3" t="s">
        <v>7473</v>
      </c>
      <c r="C460" s="3" t="s">
        <v>7474</v>
      </c>
      <c r="G460" s="9" t="s">
        <v>3889</v>
      </c>
      <c r="H460" s="9"/>
      <c r="I460" s="9">
        <v>1</v>
      </c>
      <c r="J460" s="9">
        <v>3</v>
      </c>
      <c r="K460" s="9" t="s">
        <v>8689</v>
      </c>
      <c r="L460" s="9" t="s">
        <v>8690</v>
      </c>
      <c r="M460" s="9"/>
      <c r="N460" s="10"/>
      <c r="O460" s="9"/>
      <c r="P460" s="9">
        <v>10929</v>
      </c>
      <c r="Q460" s="9">
        <f t="shared" si="7"/>
        <v>1406.0027530843549</v>
      </c>
      <c r="R460" s="9"/>
      <c r="S460" s="9" t="s">
        <v>9321</v>
      </c>
      <c r="T460" s="9" t="s">
        <v>9321</v>
      </c>
      <c r="U460" s="9"/>
      <c r="V460" s="9"/>
      <c r="W460" s="9"/>
      <c r="X460" s="9"/>
      <c r="Y460" s="9"/>
      <c r="Z460" s="9"/>
      <c r="AA460" s="9"/>
      <c r="AB460" s="9"/>
      <c r="AC460" s="9"/>
      <c r="AD460" s="9"/>
    </row>
    <row r="461" spans="1:30" ht="58">
      <c r="A461" s="3" t="s">
        <v>1571</v>
      </c>
      <c r="B461" s="3" t="s">
        <v>7479</v>
      </c>
      <c r="C461" s="3" t="s">
        <v>7480</v>
      </c>
      <c r="D461" t="s">
        <v>3886</v>
      </c>
      <c r="F461" t="s">
        <v>3892</v>
      </c>
      <c r="G461" s="9" t="s">
        <v>3889</v>
      </c>
      <c r="H461" s="9"/>
      <c r="I461" s="9">
        <v>1</v>
      </c>
      <c r="J461" s="9">
        <v>4</v>
      </c>
      <c r="K461" s="9" t="s">
        <v>8695</v>
      </c>
      <c r="L461" s="9" t="s">
        <v>8690</v>
      </c>
      <c r="M461" s="9"/>
      <c r="N461" s="10"/>
      <c r="O461" s="9"/>
      <c r="P461" s="9">
        <v>9</v>
      </c>
      <c r="Q461" s="9">
        <f t="shared" si="7"/>
        <v>1.1578392147277148</v>
      </c>
      <c r="R461" s="9"/>
      <c r="S461" s="9" t="s">
        <v>9321</v>
      </c>
      <c r="T461" s="9" t="s">
        <v>9321</v>
      </c>
      <c r="U461" s="9"/>
      <c r="V461" s="9"/>
      <c r="W461" s="9"/>
      <c r="X461" s="9"/>
      <c r="Y461" s="9"/>
      <c r="Z461" s="9"/>
      <c r="AA461" s="9"/>
      <c r="AB461" s="9"/>
      <c r="AC461" s="9"/>
      <c r="AD461" s="9"/>
    </row>
    <row r="462" spans="1:30" ht="43.5">
      <c r="A462" s="3" t="s">
        <v>1585</v>
      </c>
      <c r="B462" s="3" t="s">
        <v>7526</v>
      </c>
      <c r="C462" s="3" t="s">
        <v>7527</v>
      </c>
      <c r="F462" t="s">
        <v>3884</v>
      </c>
      <c r="G462" s="9" t="s">
        <v>3885</v>
      </c>
      <c r="H462" s="9"/>
      <c r="I462" s="9">
        <v>1</v>
      </c>
      <c r="J462" s="9">
        <v>1</v>
      </c>
      <c r="K462" s="9" t="s">
        <v>8683</v>
      </c>
      <c r="L462" s="9" t="s">
        <v>8730</v>
      </c>
      <c r="M462" s="9"/>
      <c r="N462" s="10"/>
      <c r="O462" s="9"/>
      <c r="P462" s="9">
        <v>1</v>
      </c>
      <c r="Q462" s="9">
        <f t="shared" si="7"/>
        <v>0.12864880163641276</v>
      </c>
      <c r="R462" s="9"/>
      <c r="S462" s="9" t="s">
        <v>9321</v>
      </c>
      <c r="T462" s="9" t="s">
        <v>9321</v>
      </c>
      <c r="U462" s="9" t="s">
        <v>8728</v>
      </c>
      <c r="V462" s="9"/>
      <c r="W462" s="9"/>
      <c r="X462" s="9"/>
      <c r="Y462" s="9"/>
      <c r="Z462" s="9"/>
      <c r="AA462" s="9"/>
      <c r="AB462" s="9"/>
      <c r="AC462" s="9"/>
      <c r="AD462" s="9"/>
    </row>
    <row r="463" spans="1:30" ht="29">
      <c r="A463" s="3" t="s">
        <v>1587</v>
      </c>
      <c r="B463" s="3" t="s">
        <v>7537</v>
      </c>
      <c r="C463" s="3" t="s">
        <v>7534</v>
      </c>
      <c r="G463" s="9" t="s">
        <v>3889</v>
      </c>
      <c r="H463" s="9"/>
      <c r="I463" s="9">
        <v>1</v>
      </c>
      <c r="J463" s="9">
        <v>2</v>
      </c>
      <c r="K463" s="9" t="s">
        <v>8707</v>
      </c>
      <c r="L463" s="9" t="s">
        <v>8730</v>
      </c>
      <c r="M463" s="9"/>
      <c r="N463" s="10"/>
      <c r="O463" s="9"/>
      <c r="P463" s="9">
        <v>1942</v>
      </c>
      <c r="Q463" s="9">
        <f t="shared" si="7"/>
        <v>249.83597277791355</v>
      </c>
      <c r="R463" s="9"/>
      <c r="S463" s="9" t="s">
        <v>9321</v>
      </c>
      <c r="T463" s="9" t="s">
        <v>9321</v>
      </c>
      <c r="U463" s="9"/>
      <c r="V463" s="9"/>
      <c r="W463" s="9"/>
      <c r="X463" s="9"/>
      <c r="Y463" s="9"/>
      <c r="Z463" s="9"/>
      <c r="AA463" s="9"/>
      <c r="AB463" s="9"/>
      <c r="AC463" s="9"/>
      <c r="AD463" s="9"/>
    </row>
    <row r="464" spans="1:30" ht="43.5">
      <c r="A464" s="3" t="s">
        <v>1595</v>
      </c>
      <c r="B464" s="3" t="s">
        <v>7554</v>
      </c>
      <c r="C464" s="3" t="s">
        <v>7555</v>
      </c>
      <c r="G464" s="9" t="s">
        <v>3889</v>
      </c>
      <c r="H464" s="9"/>
      <c r="I464" s="9">
        <v>1</v>
      </c>
      <c r="J464" s="9">
        <v>3</v>
      </c>
      <c r="K464" s="9" t="s">
        <v>8689</v>
      </c>
      <c r="L464" s="9" t="s">
        <v>8690</v>
      </c>
      <c r="M464" s="9"/>
      <c r="N464" s="10"/>
      <c r="O464" s="9"/>
      <c r="P464" s="9">
        <v>10929</v>
      </c>
      <c r="Q464" s="9">
        <f t="shared" si="7"/>
        <v>1406.0027530843549</v>
      </c>
      <c r="R464" s="9"/>
      <c r="S464" s="9" t="s">
        <v>9321</v>
      </c>
      <c r="T464" s="9" t="s">
        <v>9321</v>
      </c>
      <c r="U464" s="9"/>
      <c r="V464" s="9"/>
      <c r="W464" s="9"/>
      <c r="X464" s="9"/>
      <c r="Y464" s="9"/>
      <c r="Z464" s="9"/>
      <c r="AA464" s="9"/>
      <c r="AB464" s="9"/>
      <c r="AC464" s="9"/>
      <c r="AD464" s="9"/>
    </row>
    <row r="465" spans="1:30" ht="43.5">
      <c r="A465" s="3" t="s">
        <v>1599</v>
      </c>
      <c r="B465" s="3" t="s">
        <v>7566</v>
      </c>
      <c r="C465" s="3" t="s">
        <v>7567</v>
      </c>
      <c r="G465" s="9" t="s">
        <v>3889</v>
      </c>
      <c r="H465" s="9"/>
      <c r="I465" s="9">
        <v>1</v>
      </c>
      <c r="J465" s="9">
        <v>3</v>
      </c>
      <c r="K465" s="9" t="s">
        <v>8689</v>
      </c>
      <c r="L465" s="9" t="s">
        <v>8690</v>
      </c>
      <c r="M465" s="9"/>
      <c r="N465" s="10"/>
      <c r="O465" s="9"/>
      <c r="P465" s="9">
        <v>10929</v>
      </c>
      <c r="Q465" s="9">
        <f t="shared" si="7"/>
        <v>1406.0027530843549</v>
      </c>
      <c r="R465" s="9"/>
      <c r="S465" s="9" t="s">
        <v>9321</v>
      </c>
      <c r="T465" s="9" t="s">
        <v>9321</v>
      </c>
      <c r="U465" s="9" t="s">
        <v>8728</v>
      </c>
      <c r="V465" s="9"/>
      <c r="W465" s="9"/>
      <c r="X465" s="9"/>
      <c r="Y465" s="9"/>
      <c r="Z465" s="9"/>
      <c r="AA465" s="9"/>
      <c r="AB465" s="9"/>
      <c r="AC465" s="9"/>
      <c r="AD465" s="9"/>
    </row>
    <row r="466" spans="1:30" ht="116">
      <c r="A466" s="3" t="s">
        <v>1600</v>
      </c>
      <c r="B466" s="3" t="s">
        <v>7573</v>
      </c>
      <c r="C466" s="3" t="s">
        <v>7568</v>
      </c>
      <c r="F466" t="s">
        <v>3884</v>
      </c>
      <c r="G466" s="9" t="s">
        <v>3889</v>
      </c>
      <c r="H466" s="9"/>
      <c r="I466" s="9">
        <v>2</v>
      </c>
      <c r="J466" s="9">
        <v>11</v>
      </c>
      <c r="K466" s="9"/>
      <c r="L466" s="9" t="s">
        <v>8684</v>
      </c>
      <c r="M466" s="9" t="s">
        <v>8847</v>
      </c>
      <c r="N466" s="10" t="s">
        <v>8958</v>
      </c>
      <c r="O466" s="9"/>
      <c r="P466" s="9">
        <v>627</v>
      </c>
      <c r="Q466" s="9">
        <f t="shared" si="7"/>
        <v>80.662798626030806</v>
      </c>
      <c r="R466" s="9"/>
      <c r="S466" s="9" t="s">
        <v>9321</v>
      </c>
      <c r="T466" s="9" t="s">
        <v>9321</v>
      </c>
      <c r="U466" s="9"/>
      <c r="V466" s="9"/>
      <c r="W466" s="9"/>
      <c r="X466" s="9"/>
      <c r="Y466" s="9"/>
      <c r="Z466" s="9"/>
      <c r="AA466" s="9"/>
      <c r="AB466" s="9"/>
      <c r="AC466" s="9"/>
      <c r="AD466" s="9"/>
    </row>
    <row r="467" spans="1:30" ht="72.5">
      <c r="A467" s="3" t="s">
        <v>1610</v>
      </c>
      <c r="B467" s="3" t="s">
        <v>7589</v>
      </c>
      <c r="C467" s="3" t="s">
        <v>7590</v>
      </c>
      <c r="F467" t="s">
        <v>3884</v>
      </c>
      <c r="G467" s="9" t="s">
        <v>3885</v>
      </c>
      <c r="H467" s="9"/>
      <c r="I467" s="9">
        <v>2</v>
      </c>
      <c r="J467" s="9">
        <v>8</v>
      </c>
      <c r="K467" s="9"/>
      <c r="L467" s="9" t="s">
        <v>8690</v>
      </c>
      <c r="M467" s="9"/>
      <c r="N467" s="10"/>
      <c r="O467" s="9"/>
      <c r="P467" s="9">
        <v>627</v>
      </c>
      <c r="Q467" s="9">
        <f t="shared" si="7"/>
        <v>80.662798626030806</v>
      </c>
      <c r="R467" s="9"/>
      <c r="S467" s="9" t="s">
        <v>9321</v>
      </c>
      <c r="T467" s="9" t="s">
        <v>9321</v>
      </c>
      <c r="U467" s="9"/>
      <c r="V467" s="9"/>
      <c r="W467" s="9"/>
      <c r="X467" s="9"/>
      <c r="Y467" s="9"/>
      <c r="Z467" s="9"/>
      <c r="AA467" s="9"/>
      <c r="AB467" s="9"/>
      <c r="AC467" s="9"/>
      <c r="AD467" s="9"/>
    </row>
    <row r="468" spans="1:30" ht="72.5">
      <c r="A468" s="3" t="s">
        <v>1614</v>
      </c>
      <c r="B468" s="3" t="s">
        <v>7604</v>
      </c>
      <c r="C468" s="3" t="s">
        <v>7605</v>
      </c>
      <c r="G468" s="9" t="s">
        <v>3885</v>
      </c>
      <c r="H468" s="9"/>
      <c r="I468" s="9">
        <v>1</v>
      </c>
      <c r="J468" s="9">
        <v>3</v>
      </c>
      <c r="K468" s="9" t="s">
        <v>8689</v>
      </c>
      <c r="L468" s="9" t="s">
        <v>8690</v>
      </c>
      <c r="M468" s="9"/>
      <c r="N468" s="10"/>
      <c r="O468" s="9"/>
      <c r="P468" s="9">
        <v>10929</v>
      </c>
      <c r="Q468" s="9">
        <f t="shared" si="7"/>
        <v>1406.0027530843549</v>
      </c>
      <c r="R468" s="9"/>
      <c r="S468" s="9" t="s">
        <v>9321</v>
      </c>
      <c r="T468" s="9" t="s">
        <v>9321</v>
      </c>
      <c r="U468" s="9" t="s">
        <v>8728</v>
      </c>
      <c r="V468" s="9"/>
      <c r="W468" s="9"/>
      <c r="X468" s="9"/>
      <c r="Y468" s="9"/>
      <c r="Z468" s="9"/>
      <c r="AA468" s="9"/>
      <c r="AB468" s="9"/>
      <c r="AC468" s="9"/>
      <c r="AD468" s="9"/>
    </row>
    <row r="469" spans="1:30" ht="101.5">
      <c r="A469" s="3" t="s">
        <v>1615</v>
      </c>
      <c r="B469" s="3" t="s">
        <v>7615</v>
      </c>
      <c r="C469" s="3" t="s">
        <v>9655</v>
      </c>
      <c r="F469" t="s">
        <v>3884</v>
      </c>
      <c r="G469" s="9" t="s">
        <v>3885</v>
      </c>
      <c r="H469" s="9"/>
      <c r="I469" s="9">
        <v>1</v>
      </c>
      <c r="J469" s="9">
        <v>2</v>
      </c>
      <c r="K469" s="9" t="s">
        <v>8698</v>
      </c>
      <c r="L469" s="9" t="s">
        <v>8730</v>
      </c>
      <c r="M469" s="9"/>
      <c r="N469" s="10"/>
      <c r="O469" s="9"/>
      <c r="P469" s="9">
        <v>159</v>
      </c>
      <c r="Q469" s="9">
        <f t="shared" si="7"/>
        <v>20.455159460189627</v>
      </c>
      <c r="R469" s="9"/>
      <c r="S469" s="9" t="s">
        <v>9321</v>
      </c>
      <c r="T469" s="9" t="s">
        <v>9321</v>
      </c>
      <c r="U469" s="9"/>
      <c r="V469" s="9"/>
      <c r="W469" s="9"/>
      <c r="X469" s="9"/>
      <c r="Y469" s="9"/>
      <c r="Z469" s="9"/>
      <c r="AA469" s="9"/>
      <c r="AB469" s="9"/>
      <c r="AC469" s="9"/>
      <c r="AD469" s="9"/>
    </row>
    <row r="470" spans="1:30" ht="43.5">
      <c r="A470" s="3" t="s">
        <v>1617</v>
      </c>
      <c r="B470" s="3" t="s">
        <v>7618</v>
      </c>
      <c r="C470" s="3" t="s">
        <v>7619</v>
      </c>
      <c r="F470" t="s">
        <v>3884</v>
      </c>
      <c r="G470" s="9" t="s">
        <v>3885</v>
      </c>
      <c r="H470" s="9"/>
      <c r="I470" s="9">
        <v>1</v>
      </c>
      <c r="J470" s="9">
        <v>1</v>
      </c>
      <c r="K470" s="9" t="s">
        <v>8698</v>
      </c>
      <c r="L470" s="9" t="s">
        <v>8730</v>
      </c>
      <c r="M470" s="9"/>
      <c r="N470" s="10"/>
      <c r="O470" s="9"/>
      <c r="P470" s="9">
        <v>1</v>
      </c>
      <c r="Q470" s="9">
        <f t="shared" si="7"/>
        <v>0.12864880163641276</v>
      </c>
      <c r="R470" s="9"/>
      <c r="S470" s="9" t="s">
        <v>9321</v>
      </c>
      <c r="T470" s="9" t="s">
        <v>9321</v>
      </c>
      <c r="U470" s="9" t="s">
        <v>8728</v>
      </c>
      <c r="V470" s="9"/>
      <c r="W470" s="9"/>
      <c r="X470" s="9"/>
      <c r="Y470" s="9"/>
      <c r="Z470" s="9"/>
      <c r="AA470" s="9"/>
      <c r="AB470" s="9"/>
      <c r="AC470" s="9"/>
      <c r="AD470" s="9"/>
    </row>
    <row r="471" spans="1:30" ht="43.5">
      <c r="A471" s="3" t="s">
        <v>1619</v>
      </c>
      <c r="B471" s="3" t="s">
        <v>7624</v>
      </c>
      <c r="C471" s="3" t="s">
        <v>7625</v>
      </c>
      <c r="F471" t="s">
        <v>3884</v>
      </c>
      <c r="G471" s="9" t="s">
        <v>3885</v>
      </c>
      <c r="H471" s="9"/>
      <c r="I471" s="9">
        <v>1</v>
      </c>
      <c r="J471" s="9">
        <v>5</v>
      </c>
      <c r="K471" s="9" t="s">
        <v>8705</v>
      </c>
      <c r="L471" s="9" t="s">
        <v>8690</v>
      </c>
      <c r="M471" s="9"/>
      <c r="N471" s="10"/>
      <c r="O471" s="9"/>
      <c r="P471" s="9">
        <v>3678</v>
      </c>
      <c r="Q471" s="9">
        <f t="shared" si="7"/>
        <v>473.17029241872609</v>
      </c>
      <c r="R471" s="9"/>
      <c r="S471" s="9" t="s">
        <v>9321</v>
      </c>
      <c r="T471" s="9" t="s">
        <v>9321</v>
      </c>
      <c r="U471" s="9"/>
      <c r="V471" s="9"/>
      <c r="W471" s="9"/>
      <c r="X471" s="9"/>
      <c r="Y471" s="9"/>
      <c r="Z471" s="9"/>
      <c r="AA471" s="9"/>
      <c r="AB471" s="9"/>
      <c r="AC471" s="9"/>
      <c r="AD471" s="9"/>
    </row>
    <row r="472" spans="1:30" ht="43.5">
      <c r="A472" s="3" t="s">
        <v>1636</v>
      </c>
      <c r="B472" s="3" t="s">
        <v>7671</v>
      </c>
      <c r="C472" s="3" t="s">
        <v>7672</v>
      </c>
      <c r="G472" s="9" t="s">
        <v>3889</v>
      </c>
      <c r="H472" s="9"/>
      <c r="I472" s="9">
        <v>1</v>
      </c>
      <c r="J472" s="9">
        <v>2</v>
      </c>
      <c r="K472" s="9" t="s">
        <v>8689</v>
      </c>
      <c r="L472" s="9" t="s">
        <v>8730</v>
      </c>
      <c r="M472" s="9"/>
      <c r="N472" s="10"/>
      <c r="O472" s="9"/>
      <c r="P472" s="9">
        <v>10929</v>
      </c>
      <c r="Q472" s="9">
        <f t="shared" si="7"/>
        <v>1406.0027530843549</v>
      </c>
      <c r="R472" s="9"/>
      <c r="S472" s="9" t="s">
        <v>9321</v>
      </c>
      <c r="T472" s="9" t="s">
        <v>9321</v>
      </c>
      <c r="U472" s="9"/>
      <c r="V472" s="9"/>
      <c r="W472" s="9"/>
      <c r="X472" s="9"/>
      <c r="Y472" s="9"/>
      <c r="Z472" s="9"/>
      <c r="AA472" s="9"/>
      <c r="AB472" s="9"/>
      <c r="AC472" s="9"/>
      <c r="AD472" s="9"/>
    </row>
    <row r="473" spans="1:30" ht="43.5">
      <c r="A473" s="3" t="s">
        <v>1636</v>
      </c>
      <c r="B473" s="3" t="s">
        <v>7673</v>
      </c>
      <c r="C473" s="3" t="s">
        <v>7674</v>
      </c>
      <c r="F473" t="s">
        <v>3884</v>
      </c>
      <c r="G473" s="9" t="s">
        <v>3889</v>
      </c>
      <c r="H473" s="9"/>
      <c r="I473" s="9">
        <v>1</v>
      </c>
      <c r="J473" s="9">
        <v>3</v>
      </c>
      <c r="K473" s="9" t="s">
        <v>8689</v>
      </c>
      <c r="L473" s="9" t="s">
        <v>8690</v>
      </c>
      <c r="M473" s="9"/>
      <c r="N473" s="10"/>
      <c r="O473" s="9"/>
      <c r="P473" s="9">
        <v>10929</v>
      </c>
      <c r="Q473" s="9">
        <f t="shared" si="7"/>
        <v>1406.0027530843549</v>
      </c>
      <c r="R473" s="9"/>
      <c r="S473" s="9" t="s">
        <v>9321</v>
      </c>
      <c r="T473" s="9" t="s">
        <v>9321</v>
      </c>
      <c r="U473" s="9"/>
      <c r="V473" s="9"/>
      <c r="W473" s="9"/>
      <c r="X473" s="9"/>
      <c r="Y473" s="9"/>
      <c r="Z473" s="9"/>
      <c r="AA473" s="9"/>
      <c r="AB473" s="9"/>
      <c r="AC473" s="9"/>
      <c r="AD473" s="9"/>
    </row>
    <row r="474" spans="1:30" ht="29">
      <c r="A474" s="3" t="s">
        <v>1638</v>
      </c>
      <c r="B474" s="3" t="s">
        <v>7684</v>
      </c>
      <c r="C474" s="3" t="s">
        <v>7685</v>
      </c>
      <c r="F474" t="s">
        <v>3892</v>
      </c>
      <c r="G474" s="9" t="s">
        <v>3885</v>
      </c>
      <c r="H474" s="9"/>
      <c r="I474" s="9">
        <v>1</v>
      </c>
      <c r="J474" s="9">
        <v>1</v>
      </c>
      <c r="K474" s="9" t="s">
        <v>8695</v>
      </c>
      <c r="L474" s="9" t="s">
        <v>8730</v>
      </c>
      <c r="M474" s="9"/>
      <c r="N474" s="10"/>
      <c r="O474" s="9"/>
      <c r="P474" s="9">
        <v>10</v>
      </c>
      <c r="Q474" s="9">
        <f t="shared" si="7"/>
        <v>1.2864880163641275</v>
      </c>
      <c r="R474" s="9"/>
      <c r="S474" s="9" t="s">
        <v>9321</v>
      </c>
      <c r="T474" s="9" t="s">
        <v>9321</v>
      </c>
      <c r="U474" s="9"/>
      <c r="V474" s="9"/>
      <c r="W474" s="9"/>
      <c r="X474" s="9"/>
      <c r="Y474" s="9"/>
      <c r="Z474" s="9"/>
      <c r="AA474" s="9"/>
      <c r="AB474" s="9"/>
      <c r="AC474" s="9"/>
      <c r="AD474" s="9"/>
    </row>
    <row r="475" spans="1:30" ht="43.5">
      <c r="A475" s="3" t="s">
        <v>1647</v>
      </c>
      <c r="B475" s="3" t="s">
        <v>7705</v>
      </c>
      <c r="C475" s="3" t="s">
        <v>7706</v>
      </c>
      <c r="F475" t="s">
        <v>3884</v>
      </c>
      <c r="G475" s="9" t="s">
        <v>3889</v>
      </c>
      <c r="H475" s="9"/>
      <c r="I475" s="9">
        <v>1</v>
      </c>
      <c r="J475" s="9">
        <v>2</v>
      </c>
      <c r="K475" s="9" t="s">
        <v>8703</v>
      </c>
      <c r="L475" s="9" t="s">
        <v>8730</v>
      </c>
      <c r="M475" s="9"/>
      <c r="N475" s="10"/>
      <c r="O475" s="9"/>
      <c r="P475" s="9">
        <v>1225</v>
      </c>
      <c r="Q475" s="9">
        <f t="shared" si="7"/>
        <v>157.59478200460561</v>
      </c>
      <c r="R475" s="9"/>
      <c r="S475" s="9" t="s">
        <v>9321</v>
      </c>
      <c r="T475" s="9" t="s">
        <v>9321</v>
      </c>
      <c r="U475" s="9" t="s">
        <v>8728</v>
      </c>
      <c r="V475" s="9"/>
      <c r="W475" s="9"/>
      <c r="X475" s="9"/>
      <c r="Y475" s="9"/>
      <c r="Z475" s="9"/>
      <c r="AA475" s="9"/>
      <c r="AB475" s="9"/>
      <c r="AC475" s="9"/>
      <c r="AD475" s="9"/>
    </row>
    <row r="476" spans="1:30" ht="43.5">
      <c r="A476" s="3" t="s">
        <v>1651</v>
      </c>
      <c r="B476" s="3" t="s">
        <v>7716</v>
      </c>
      <c r="C476" s="3" t="s">
        <v>7717</v>
      </c>
      <c r="F476" t="s">
        <v>3884</v>
      </c>
      <c r="G476" s="9" t="s">
        <v>3889</v>
      </c>
      <c r="H476" s="9"/>
      <c r="I476" s="9">
        <v>2</v>
      </c>
      <c r="J476" s="9">
        <v>7</v>
      </c>
      <c r="K476" s="9"/>
      <c r="L476" s="9" t="s">
        <v>8690</v>
      </c>
      <c r="M476" s="9"/>
      <c r="N476" s="10"/>
      <c r="O476" s="9"/>
      <c r="P476" s="9">
        <v>872</v>
      </c>
      <c r="Q476" s="9">
        <f t="shared" si="7"/>
        <v>112.18175502695193</v>
      </c>
      <c r="R476" s="9"/>
      <c r="S476" s="9" t="s">
        <v>9321</v>
      </c>
      <c r="T476" s="9" t="s">
        <v>9321</v>
      </c>
      <c r="U476" s="9"/>
      <c r="V476" s="9"/>
      <c r="W476" s="9"/>
      <c r="X476" s="9"/>
      <c r="Y476" s="9"/>
      <c r="Z476" s="9"/>
      <c r="AA476" s="9"/>
      <c r="AB476" s="9"/>
      <c r="AC476" s="9"/>
      <c r="AD476" s="9"/>
    </row>
    <row r="477" spans="1:30" ht="43.5">
      <c r="A477" s="3" t="s">
        <v>1673</v>
      </c>
      <c r="B477" s="3" t="s">
        <v>7758</v>
      </c>
      <c r="C477" s="3" t="s">
        <v>7759</v>
      </c>
      <c r="G477" s="9" t="s">
        <v>3885</v>
      </c>
      <c r="H477" s="9"/>
      <c r="I477" s="9">
        <v>1</v>
      </c>
      <c r="J477" s="9">
        <v>4</v>
      </c>
      <c r="K477" s="9" t="s">
        <v>8707</v>
      </c>
      <c r="L477" s="9" t="s">
        <v>8690</v>
      </c>
      <c r="M477" s="9"/>
      <c r="N477" s="10"/>
      <c r="O477" s="9"/>
      <c r="P477" s="9">
        <v>866</v>
      </c>
      <c r="Q477" s="9">
        <f t="shared" si="7"/>
        <v>111.40986221713344</v>
      </c>
      <c r="R477" s="9"/>
      <c r="S477" s="9" t="s">
        <v>9321</v>
      </c>
      <c r="T477" s="9" t="s">
        <v>9321</v>
      </c>
      <c r="U477" s="9"/>
      <c r="V477" s="9"/>
      <c r="W477" s="9"/>
      <c r="X477" s="9"/>
      <c r="Y477" s="9"/>
      <c r="Z477" s="9"/>
      <c r="AA477" s="9"/>
      <c r="AB477" s="9"/>
      <c r="AC477" s="9"/>
      <c r="AD477" s="9"/>
    </row>
    <row r="478" spans="1:30" ht="43.5">
      <c r="A478" s="3" t="s">
        <v>1680</v>
      </c>
      <c r="B478" s="3" t="s">
        <v>7774</v>
      </c>
      <c r="C478" s="3" t="s">
        <v>9153</v>
      </c>
      <c r="G478" s="9" t="s">
        <v>3889</v>
      </c>
      <c r="H478" s="9"/>
      <c r="I478" s="9">
        <v>1</v>
      </c>
      <c r="J478" s="9">
        <v>1</v>
      </c>
      <c r="K478" s="9" t="s">
        <v>8689</v>
      </c>
      <c r="L478" s="9" t="s">
        <v>8730</v>
      </c>
      <c r="M478" s="9"/>
      <c r="N478" s="10"/>
      <c r="O478" s="9"/>
      <c r="P478" s="9">
        <v>10929</v>
      </c>
      <c r="Q478" s="9">
        <f t="shared" si="7"/>
        <v>1406.0027530843549</v>
      </c>
      <c r="R478" s="9"/>
      <c r="S478" s="9" t="s">
        <v>9321</v>
      </c>
      <c r="T478" s="9" t="s">
        <v>9321</v>
      </c>
      <c r="U478" s="9"/>
      <c r="V478" s="9"/>
      <c r="W478" s="9"/>
      <c r="X478" s="9"/>
      <c r="Y478" s="9"/>
      <c r="Z478" s="9"/>
      <c r="AA478" s="9"/>
      <c r="AB478" s="9"/>
      <c r="AC478" s="9"/>
      <c r="AD478" s="9"/>
    </row>
    <row r="479" spans="1:30" ht="58">
      <c r="A479" s="3" t="s">
        <v>1681</v>
      </c>
      <c r="B479" s="3" t="s">
        <v>7777</v>
      </c>
      <c r="C479" s="3" t="s">
        <v>7778</v>
      </c>
      <c r="G479" s="9" t="s">
        <v>3889</v>
      </c>
      <c r="H479" s="9"/>
      <c r="I479" s="9">
        <v>1</v>
      </c>
      <c r="J479" s="9">
        <v>3</v>
      </c>
      <c r="K479" s="9" t="s">
        <v>8695</v>
      </c>
      <c r="L479" s="9" t="s">
        <v>8690</v>
      </c>
      <c r="M479" s="9"/>
      <c r="N479" s="10"/>
      <c r="O479" s="9"/>
      <c r="P479" s="9">
        <v>131</v>
      </c>
      <c r="Q479" s="9">
        <f t="shared" si="7"/>
        <v>16.852993014370071</v>
      </c>
      <c r="R479" s="9"/>
      <c r="S479" s="9" t="s">
        <v>9321</v>
      </c>
      <c r="T479" s="9" t="s">
        <v>9321</v>
      </c>
      <c r="U479" s="9"/>
      <c r="V479" s="9"/>
      <c r="W479" s="9"/>
      <c r="X479" s="9"/>
      <c r="Y479" s="9"/>
      <c r="Z479" s="9"/>
      <c r="AA479" s="9"/>
      <c r="AB479" s="9"/>
      <c r="AC479" s="9"/>
      <c r="AD479" s="9"/>
    </row>
    <row r="480" spans="1:30" ht="58">
      <c r="A480" s="3" t="s">
        <v>1681</v>
      </c>
      <c r="B480" s="3" t="s">
        <v>7779</v>
      </c>
      <c r="C480" s="3" t="s">
        <v>7780</v>
      </c>
      <c r="G480" s="9" t="s">
        <v>3885</v>
      </c>
      <c r="H480" s="9"/>
      <c r="I480" s="9">
        <v>1</v>
      </c>
      <c r="J480" s="9">
        <v>3</v>
      </c>
      <c r="K480" s="9" t="s">
        <v>8698</v>
      </c>
      <c r="L480" s="9" t="s">
        <v>8690</v>
      </c>
      <c r="M480" s="9"/>
      <c r="N480" s="10"/>
      <c r="O480" s="9"/>
      <c r="P480" s="9">
        <v>9418</v>
      </c>
      <c r="Q480" s="9">
        <f t="shared" si="7"/>
        <v>1211.6144138117354</v>
      </c>
      <c r="R480" s="9"/>
      <c r="S480" s="9" t="s">
        <v>9321</v>
      </c>
      <c r="T480" s="9" t="s">
        <v>9321</v>
      </c>
      <c r="U480" s="9"/>
      <c r="V480" s="9"/>
      <c r="W480" s="9"/>
      <c r="X480" s="9"/>
      <c r="Y480" s="9"/>
      <c r="Z480" s="9"/>
      <c r="AA480" s="9"/>
      <c r="AB480" s="9"/>
      <c r="AC480" s="9"/>
      <c r="AD480" s="9"/>
    </row>
    <row r="481" spans="1:30" ht="43.5">
      <c r="A481" s="3" t="s">
        <v>1681</v>
      </c>
      <c r="B481" s="3" t="s">
        <v>7783</v>
      </c>
      <c r="C481" s="3" t="s">
        <v>7784</v>
      </c>
      <c r="G481" s="9" t="s">
        <v>3885</v>
      </c>
      <c r="H481" s="9"/>
      <c r="I481" s="9">
        <v>1</v>
      </c>
      <c r="J481" s="9">
        <v>3</v>
      </c>
      <c r="K481" s="9" t="s">
        <v>8698</v>
      </c>
      <c r="L481" s="9" t="s">
        <v>8690</v>
      </c>
      <c r="M481" s="9"/>
      <c r="N481" s="10"/>
      <c r="O481" s="9"/>
      <c r="P481" s="9">
        <v>9418</v>
      </c>
      <c r="Q481" s="9">
        <f t="shared" si="7"/>
        <v>1211.6144138117354</v>
      </c>
      <c r="R481" s="9"/>
      <c r="S481" s="9" t="s">
        <v>9321</v>
      </c>
      <c r="T481" s="9" t="s">
        <v>9321</v>
      </c>
      <c r="U481" s="9"/>
      <c r="V481" s="9"/>
      <c r="W481" s="9"/>
      <c r="X481" s="9"/>
      <c r="Y481" s="9"/>
      <c r="Z481" s="9"/>
      <c r="AA481" s="9"/>
      <c r="AB481" s="9"/>
      <c r="AC481" s="9"/>
      <c r="AD481" s="9"/>
    </row>
    <row r="482" spans="1:30" ht="391.5">
      <c r="A482" s="3" t="s">
        <v>1683</v>
      </c>
      <c r="B482" s="3" t="s">
        <v>7791</v>
      </c>
      <c r="C482" s="3" t="s">
        <v>9154</v>
      </c>
      <c r="F482" t="s">
        <v>3884</v>
      </c>
      <c r="G482" s="9" t="s">
        <v>3885</v>
      </c>
      <c r="H482" s="9"/>
      <c r="I482" s="9">
        <v>28</v>
      </c>
      <c r="J482" s="9">
        <v>130</v>
      </c>
      <c r="K482" s="9"/>
      <c r="L482" s="9" t="s">
        <v>8684</v>
      </c>
      <c r="M482" s="9" t="s">
        <v>8847</v>
      </c>
      <c r="N482" s="10" t="s">
        <v>8838</v>
      </c>
      <c r="O482" s="9" t="s">
        <v>8691</v>
      </c>
      <c r="P482" s="9">
        <v>14</v>
      </c>
      <c r="Q482" s="9">
        <f t="shared" si="7"/>
        <v>1.8010832229097786</v>
      </c>
      <c r="R482" s="9"/>
      <c r="S482" s="9" t="s">
        <v>9321</v>
      </c>
      <c r="T482" s="9" t="s">
        <v>9321</v>
      </c>
      <c r="U482" s="9"/>
      <c r="V482" s="9"/>
      <c r="W482" s="9"/>
      <c r="X482" s="9"/>
      <c r="Y482" s="9"/>
      <c r="Z482" s="9"/>
      <c r="AA482" s="9"/>
      <c r="AB482" s="9"/>
      <c r="AC482" s="9"/>
      <c r="AD482" s="9"/>
    </row>
    <row r="483" spans="1:30" ht="29">
      <c r="A483" s="3" t="s">
        <v>1692</v>
      </c>
      <c r="B483" s="3" t="s">
        <v>7804</v>
      </c>
      <c r="C483" s="3" t="s">
        <v>7805</v>
      </c>
      <c r="G483" s="9" t="s">
        <v>3889</v>
      </c>
      <c r="H483" s="9"/>
      <c r="I483" s="9">
        <v>1</v>
      </c>
      <c r="J483" s="9">
        <v>1</v>
      </c>
      <c r="K483" s="9" t="s">
        <v>8689</v>
      </c>
      <c r="L483" s="9" t="s">
        <v>8730</v>
      </c>
      <c r="M483" s="9"/>
      <c r="N483" s="10"/>
      <c r="O483" s="9"/>
      <c r="P483" s="9">
        <v>10929</v>
      </c>
      <c r="Q483" s="9">
        <f t="shared" si="7"/>
        <v>1406.0027530843549</v>
      </c>
      <c r="R483" s="9"/>
      <c r="S483" s="9" t="s">
        <v>9321</v>
      </c>
      <c r="T483" s="9" t="s">
        <v>9321</v>
      </c>
      <c r="U483" s="9"/>
      <c r="V483" s="9"/>
      <c r="W483" s="9"/>
      <c r="X483" s="9"/>
      <c r="Y483" s="9"/>
      <c r="Z483" s="9"/>
      <c r="AA483" s="9"/>
      <c r="AB483" s="9"/>
      <c r="AC483" s="9"/>
      <c r="AD483" s="9"/>
    </row>
    <row r="484" spans="1:30" ht="72.5">
      <c r="A484" s="3" t="s">
        <v>1701</v>
      </c>
      <c r="B484" s="3" t="s">
        <v>7828</v>
      </c>
      <c r="C484" s="3" t="s">
        <v>7829</v>
      </c>
      <c r="F484" t="s">
        <v>3892</v>
      </c>
      <c r="G484" s="9" t="s">
        <v>3885</v>
      </c>
      <c r="H484" s="9"/>
      <c r="I484" s="9">
        <v>1</v>
      </c>
      <c r="J484" s="9">
        <v>5</v>
      </c>
      <c r="K484" s="9" t="s">
        <v>8695</v>
      </c>
      <c r="L484" s="9" t="s">
        <v>8690</v>
      </c>
      <c r="M484" s="9"/>
      <c r="N484" s="10"/>
      <c r="O484" s="9"/>
      <c r="P484" s="9">
        <v>99</v>
      </c>
      <c r="Q484" s="9">
        <f t="shared" si="7"/>
        <v>12.736231362004862</v>
      </c>
      <c r="R484" s="9"/>
      <c r="S484" s="9" t="s">
        <v>9321</v>
      </c>
      <c r="T484" s="9" t="s">
        <v>9321</v>
      </c>
      <c r="U484" s="9"/>
      <c r="V484" s="9"/>
      <c r="W484" s="9"/>
      <c r="X484" s="9"/>
      <c r="Y484" s="9"/>
      <c r="Z484" s="9"/>
      <c r="AA484" s="9"/>
      <c r="AB484" s="9"/>
      <c r="AC484" s="9"/>
      <c r="AD484" s="9"/>
    </row>
    <row r="485" spans="1:30" ht="43.5">
      <c r="A485" s="3" t="s">
        <v>1704</v>
      </c>
      <c r="B485" s="3" t="s">
        <v>7838</v>
      </c>
      <c r="C485" s="3" t="s">
        <v>7839</v>
      </c>
      <c r="G485" s="9" t="s">
        <v>3889</v>
      </c>
      <c r="H485" s="9"/>
      <c r="I485" s="9">
        <v>1</v>
      </c>
      <c r="J485" s="9">
        <v>3</v>
      </c>
      <c r="K485" s="9" t="s">
        <v>8703</v>
      </c>
      <c r="L485" s="9" t="s">
        <v>8690</v>
      </c>
      <c r="M485" s="9"/>
      <c r="N485" s="10"/>
      <c r="O485" s="9"/>
      <c r="P485" s="9">
        <v>627</v>
      </c>
      <c r="Q485" s="9">
        <f t="shared" si="7"/>
        <v>80.662798626030806</v>
      </c>
      <c r="R485" s="9"/>
      <c r="S485" s="9" t="s">
        <v>9321</v>
      </c>
      <c r="T485" s="9" t="s">
        <v>9321</v>
      </c>
      <c r="U485" s="9"/>
      <c r="V485" s="9"/>
      <c r="W485" s="9"/>
      <c r="X485" s="9"/>
      <c r="Y485" s="9"/>
      <c r="Z485" s="9"/>
      <c r="AA485" s="9"/>
      <c r="AB485" s="9"/>
      <c r="AC485" s="9"/>
      <c r="AD485" s="9"/>
    </row>
    <row r="486" spans="1:30" ht="43.5">
      <c r="A486" s="3" t="s">
        <v>1704</v>
      </c>
      <c r="B486" s="3" t="s">
        <v>7842</v>
      </c>
      <c r="C486" s="3" t="s">
        <v>7843</v>
      </c>
      <c r="G486" s="9" t="s">
        <v>3889</v>
      </c>
      <c r="H486" s="9"/>
      <c r="I486" s="9">
        <v>1</v>
      </c>
      <c r="J486" s="9">
        <v>6</v>
      </c>
      <c r="K486" s="9" t="s">
        <v>8703</v>
      </c>
      <c r="L486" s="9" t="s">
        <v>8690</v>
      </c>
      <c r="M486" s="9"/>
      <c r="N486" s="10"/>
      <c r="O486" s="9"/>
      <c r="P486" s="9">
        <v>15</v>
      </c>
      <c r="Q486" s="9">
        <f t="shared" si="7"/>
        <v>1.9297320245461913</v>
      </c>
      <c r="R486" s="9"/>
      <c r="S486" s="9" t="s">
        <v>9321</v>
      </c>
      <c r="T486" s="9" t="s">
        <v>9321</v>
      </c>
      <c r="U486" s="9"/>
      <c r="V486" s="9"/>
      <c r="W486" s="9"/>
      <c r="X486" s="9"/>
      <c r="Y486" s="9"/>
      <c r="Z486" s="9"/>
      <c r="AA486" s="9"/>
      <c r="AB486" s="9"/>
      <c r="AC486" s="9"/>
      <c r="AD486" s="9"/>
    </row>
    <row r="487" spans="1:30" ht="58">
      <c r="A487" s="3" t="s">
        <v>1708</v>
      </c>
      <c r="B487" s="3" t="s">
        <v>7855</v>
      </c>
      <c r="C487" s="3" t="s">
        <v>7856</v>
      </c>
      <c r="F487" t="s">
        <v>3884</v>
      </c>
      <c r="G487" s="9" t="s">
        <v>3889</v>
      </c>
      <c r="H487" s="9"/>
      <c r="I487" s="9">
        <v>1</v>
      </c>
      <c r="J487" s="9">
        <v>1</v>
      </c>
      <c r="K487" s="9" t="s">
        <v>8689</v>
      </c>
      <c r="L487" s="9" t="s">
        <v>8730</v>
      </c>
      <c r="M487" s="9"/>
      <c r="N487" s="10"/>
      <c r="O487" s="9"/>
      <c r="P487" s="9">
        <v>10929</v>
      </c>
      <c r="Q487" s="9">
        <f t="shared" si="7"/>
        <v>1406.0027530843549</v>
      </c>
      <c r="R487" s="9"/>
      <c r="S487" s="9" t="s">
        <v>9321</v>
      </c>
      <c r="T487" s="9" t="s">
        <v>9321</v>
      </c>
      <c r="U487" s="9"/>
      <c r="V487" s="9"/>
      <c r="W487" s="9"/>
      <c r="X487" s="9"/>
      <c r="Y487" s="9"/>
      <c r="Z487" s="9"/>
      <c r="AA487" s="9"/>
      <c r="AB487" s="9"/>
      <c r="AC487" s="9"/>
      <c r="AD487" s="9"/>
    </row>
    <row r="488" spans="1:30" ht="43.5">
      <c r="A488" s="3" t="s">
        <v>1711</v>
      </c>
      <c r="B488" s="3" t="s">
        <v>7868</v>
      </c>
      <c r="C488" s="3" t="s">
        <v>7869</v>
      </c>
      <c r="F488" t="s">
        <v>3884</v>
      </c>
      <c r="G488" s="9" t="s">
        <v>3885</v>
      </c>
      <c r="H488" s="9"/>
      <c r="I488" s="9">
        <v>1</v>
      </c>
      <c r="J488" s="9">
        <v>3</v>
      </c>
      <c r="K488" s="9" t="s">
        <v>8705</v>
      </c>
      <c r="L488" s="9" t="s">
        <v>8690</v>
      </c>
      <c r="M488" s="9"/>
      <c r="N488" s="10"/>
      <c r="O488" s="9"/>
      <c r="P488" s="9">
        <v>1443</v>
      </c>
      <c r="Q488" s="9">
        <f t="shared" si="7"/>
        <v>185.64022076134361</v>
      </c>
      <c r="R488" s="9"/>
      <c r="S488" s="9" t="s">
        <v>9321</v>
      </c>
      <c r="T488" s="9" t="s">
        <v>9321</v>
      </c>
      <c r="U488" s="9"/>
      <c r="V488" s="9"/>
      <c r="W488" s="9"/>
      <c r="X488" s="9"/>
      <c r="Y488" s="9"/>
      <c r="Z488" s="9"/>
      <c r="AA488" s="9"/>
      <c r="AB488" s="9"/>
      <c r="AC488" s="9"/>
      <c r="AD488" s="9"/>
    </row>
    <row r="489" spans="1:30" ht="29">
      <c r="A489" s="3" t="s">
        <v>1714</v>
      </c>
      <c r="B489" s="3" t="s">
        <v>7873</v>
      </c>
      <c r="C489" s="3" t="s">
        <v>7874</v>
      </c>
      <c r="F489" t="s">
        <v>3892</v>
      </c>
      <c r="G489" s="9" t="s">
        <v>3885</v>
      </c>
      <c r="H489" s="9"/>
      <c r="I489" s="9">
        <v>1</v>
      </c>
      <c r="J489" s="9">
        <v>3</v>
      </c>
      <c r="K489" s="9" t="s">
        <v>8689</v>
      </c>
      <c r="L489" s="9" t="s">
        <v>8690</v>
      </c>
      <c r="M489" s="9"/>
      <c r="N489" s="10"/>
      <c r="O489" s="9"/>
      <c r="P489" s="9">
        <v>10929</v>
      </c>
      <c r="Q489" s="9">
        <f t="shared" si="7"/>
        <v>1406.0027530843549</v>
      </c>
      <c r="R489" s="9"/>
      <c r="S489" s="9" t="s">
        <v>9321</v>
      </c>
      <c r="T489" s="9" t="s">
        <v>9321</v>
      </c>
      <c r="U489" s="9"/>
      <c r="V489" s="9"/>
      <c r="W489" s="9"/>
      <c r="X489" s="9"/>
      <c r="Y489" s="9"/>
      <c r="Z489" s="9"/>
      <c r="AA489" s="9"/>
      <c r="AB489" s="9"/>
      <c r="AC489" s="9"/>
      <c r="AD489" s="9"/>
    </row>
    <row r="490" spans="1:30" ht="58">
      <c r="A490" s="3" t="s">
        <v>1718</v>
      </c>
      <c r="B490" s="3" t="s">
        <v>7889</v>
      </c>
      <c r="C490" s="3" t="s">
        <v>7890</v>
      </c>
      <c r="G490" s="9" t="s">
        <v>3889</v>
      </c>
      <c r="H490" s="9"/>
      <c r="I490" s="9">
        <v>1</v>
      </c>
      <c r="J490" s="9">
        <v>4</v>
      </c>
      <c r="K490" s="9" t="s">
        <v>8689</v>
      </c>
      <c r="L490" s="9" t="s">
        <v>8690</v>
      </c>
      <c r="M490" s="9"/>
      <c r="N490" s="10"/>
      <c r="O490" s="9"/>
      <c r="P490" s="9">
        <v>10929</v>
      </c>
      <c r="Q490" s="9">
        <f t="shared" si="7"/>
        <v>1406.0027530843549</v>
      </c>
      <c r="R490" s="9"/>
      <c r="S490" s="9" t="s">
        <v>9321</v>
      </c>
      <c r="T490" s="9" t="s">
        <v>9321</v>
      </c>
      <c r="U490" s="9"/>
      <c r="V490" s="9"/>
      <c r="W490" s="9"/>
      <c r="X490" s="9"/>
      <c r="Y490" s="9"/>
      <c r="Z490" s="9"/>
      <c r="AA490" s="9"/>
      <c r="AB490" s="9"/>
      <c r="AC490" s="9"/>
      <c r="AD490" s="9"/>
    </row>
    <row r="491" spans="1:30" ht="43.5">
      <c r="A491" s="3" t="s">
        <v>1719</v>
      </c>
      <c r="B491" s="3" t="s">
        <v>7891</v>
      </c>
      <c r="C491" s="3" t="s">
        <v>7892</v>
      </c>
      <c r="G491" s="9" t="s">
        <v>3889</v>
      </c>
      <c r="H491" s="9"/>
      <c r="I491" s="9">
        <v>1</v>
      </c>
      <c r="J491" s="9">
        <v>1</v>
      </c>
      <c r="K491" s="9" t="s">
        <v>8689</v>
      </c>
      <c r="L491" s="9" t="s">
        <v>8730</v>
      </c>
      <c r="M491" s="9"/>
      <c r="N491" s="10"/>
      <c r="O491" s="9"/>
      <c r="P491" s="9">
        <v>10929</v>
      </c>
      <c r="Q491" s="9">
        <f t="shared" si="7"/>
        <v>1406.0027530843549</v>
      </c>
      <c r="R491" s="9"/>
      <c r="S491" s="9" t="s">
        <v>9321</v>
      </c>
      <c r="T491" s="9" t="s">
        <v>9321</v>
      </c>
      <c r="U491" s="9"/>
      <c r="V491" s="9"/>
      <c r="W491" s="9"/>
      <c r="X491" s="9"/>
      <c r="Y491" s="9"/>
      <c r="Z491" s="9"/>
      <c r="AA491" s="9"/>
      <c r="AB491" s="9"/>
      <c r="AC491" s="9"/>
      <c r="AD491" s="9"/>
    </row>
    <row r="492" spans="1:30" ht="29">
      <c r="A492" s="3" t="s">
        <v>1720</v>
      </c>
      <c r="B492" s="3" t="s">
        <v>7893</v>
      </c>
      <c r="C492" s="3" t="s">
        <v>7894</v>
      </c>
      <c r="F492" t="s">
        <v>3884</v>
      </c>
      <c r="G492" s="9" t="s">
        <v>3885</v>
      </c>
      <c r="H492" s="9"/>
      <c r="I492" s="9">
        <v>1</v>
      </c>
      <c r="J492" s="9">
        <v>3</v>
      </c>
      <c r="K492" s="9" t="s">
        <v>8698</v>
      </c>
      <c r="L492" s="9" t="s">
        <v>8690</v>
      </c>
      <c r="M492" s="9"/>
      <c r="N492" s="10"/>
      <c r="O492" s="9"/>
      <c r="P492" s="9">
        <v>57</v>
      </c>
      <c r="Q492" s="9">
        <f t="shared" si="7"/>
        <v>7.332981693275527</v>
      </c>
      <c r="R492" s="9"/>
      <c r="S492" s="9" t="s">
        <v>9321</v>
      </c>
      <c r="T492" s="9" t="s">
        <v>9321</v>
      </c>
      <c r="U492" s="9"/>
      <c r="V492" s="9"/>
      <c r="W492" s="9"/>
      <c r="X492" s="9"/>
      <c r="Y492" s="9"/>
      <c r="Z492" s="9"/>
      <c r="AA492" s="9"/>
      <c r="AB492" s="9"/>
      <c r="AC492" s="9"/>
      <c r="AD492" s="9"/>
    </row>
    <row r="493" spans="1:30" ht="43.5">
      <c r="A493" s="3" t="s">
        <v>1720</v>
      </c>
      <c r="B493" s="3" t="s">
        <v>7899</v>
      </c>
      <c r="C493" s="3" t="s">
        <v>7900</v>
      </c>
      <c r="G493" s="9" t="s">
        <v>3889</v>
      </c>
      <c r="H493" s="9"/>
      <c r="I493" s="9">
        <v>1</v>
      </c>
      <c r="J493" s="9">
        <v>3</v>
      </c>
      <c r="K493" s="9" t="s">
        <v>8698</v>
      </c>
      <c r="L493" s="9" t="s">
        <v>8690</v>
      </c>
      <c r="M493" s="9"/>
      <c r="N493" s="10"/>
      <c r="O493" s="9"/>
      <c r="P493" s="9">
        <v>9418</v>
      </c>
      <c r="Q493" s="9">
        <f t="shared" si="7"/>
        <v>1211.6144138117354</v>
      </c>
      <c r="R493" s="9"/>
      <c r="S493" s="9" t="s">
        <v>9321</v>
      </c>
      <c r="T493" s="9" t="s">
        <v>9321</v>
      </c>
      <c r="U493" s="9"/>
      <c r="V493" s="9"/>
      <c r="W493" s="9"/>
      <c r="X493" s="9"/>
      <c r="Y493" s="9"/>
      <c r="Z493" s="9"/>
      <c r="AA493" s="9"/>
      <c r="AB493" s="9"/>
      <c r="AC493" s="9"/>
      <c r="AD493" s="9"/>
    </row>
    <row r="494" spans="1:30" ht="43.5">
      <c r="A494" s="3" t="s">
        <v>1724</v>
      </c>
      <c r="B494" s="3" t="s">
        <v>7906</v>
      </c>
      <c r="C494" s="3" t="s">
        <v>7907</v>
      </c>
      <c r="F494" t="s">
        <v>3884</v>
      </c>
      <c r="G494" s="9" t="s">
        <v>3885</v>
      </c>
      <c r="H494" s="9"/>
      <c r="I494" s="9">
        <v>1</v>
      </c>
      <c r="J494" s="9">
        <v>6</v>
      </c>
      <c r="K494" s="9" t="s">
        <v>8736</v>
      </c>
      <c r="L494" s="9" t="s">
        <v>8690</v>
      </c>
      <c r="M494" s="9"/>
      <c r="N494" s="10"/>
      <c r="O494" s="9"/>
      <c r="P494" s="9">
        <v>251</v>
      </c>
      <c r="Q494" s="9">
        <f t="shared" si="7"/>
        <v>32.290849210739601</v>
      </c>
      <c r="R494" s="9"/>
      <c r="S494" s="9" t="s">
        <v>9321</v>
      </c>
      <c r="T494" s="9" t="s">
        <v>9321</v>
      </c>
      <c r="U494" s="9"/>
      <c r="V494" s="9"/>
      <c r="W494" s="9"/>
      <c r="X494" s="9"/>
      <c r="Y494" s="9"/>
      <c r="Z494" s="9"/>
      <c r="AA494" s="9"/>
      <c r="AB494" s="9"/>
      <c r="AC494" s="9"/>
      <c r="AD494" s="9"/>
    </row>
    <row r="495" spans="1:30" ht="58">
      <c r="A495" s="3" t="s">
        <v>1731</v>
      </c>
      <c r="B495" s="3" t="s">
        <v>7921</v>
      </c>
      <c r="C495" s="3" t="s">
        <v>7922</v>
      </c>
      <c r="F495" t="s">
        <v>3884</v>
      </c>
      <c r="G495" s="9" t="s">
        <v>3885</v>
      </c>
      <c r="H495" s="9"/>
      <c r="I495" s="9">
        <v>1</v>
      </c>
      <c r="J495" s="9">
        <v>2</v>
      </c>
      <c r="K495" s="9" t="s">
        <v>8703</v>
      </c>
      <c r="L495" s="9" t="s">
        <v>8730</v>
      </c>
      <c r="M495" s="9"/>
      <c r="N495" s="10"/>
      <c r="O495" s="9"/>
      <c r="P495" s="9">
        <v>1225</v>
      </c>
      <c r="Q495" s="9">
        <f t="shared" si="7"/>
        <v>157.59478200460561</v>
      </c>
      <c r="R495" s="9"/>
      <c r="S495" s="9" t="s">
        <v>9321</v>
      </c>
      <c r="T495" s="9" t="s">
        <v>9321</v>
      </c>
      <c r="U495" s="9"/>
      <c r="V495" s="9"/>
      <c r="W495" s="9"/>
      <c r="X495" s="9"/>
      <c r="Y495" s="9"/>
      <c r="Z495" s="9"/>
      <c r="AA495" s="9"/>
      <c r="AB495" s="9"/>
      <c r="AC495" s="9"/>
      <c r="AD495" s="9"/>
    </row>
    <row r="496" spans="1:30" ht="29">
      <c r="A496" s="3" t="s">
        <v>1737</v>
      </c>
      <c r="B496" s="3" t="s">
        <v>7954</v>
      </c>
      <c r="C496" s="3" t="s">
        <v>7955</v>
      </c>
      <c r="G496" s="9" t="s">
        <v>3889</v>
      </c>
      <c r="H496" s="9"/>
      <c r="I496" s="9">
        <v>1</v>
      </c>
      <c r="J496" s="9">
        <v>1</v>
      </c>
      <c r="K496" s="9" t="s">
        <v>8689</v>
      </c>
      <c r="L496" s="9" t="s">
        <v>8730</v>
      </c>
      <c r="M496" s="9"/>
      <c r="N496" s="10"/>
      <c r="O496" s="9"/>
      <c r="P496" s="9">
        <v>10929</v>
      </c>
      <c r="Q496" s="9">
        <f t="shared" si="7"/>
        <v>1406.0027530843549</v>
      </c>
      <c r="R496" s="9"/>
      <c r="S496" s="9" t="s">
        <v>9321</v>
      </c>
      <c r="T496" s="9" t="s">
        <v>9321</v>
      </c>
      <c r="U496" s="9"/>
      <c r="V496" s="9"/>
      <c r="W496" s="9"/>
      <c r="X496" s="9"/>
      <c r="Y496" s="9"/>
      <c r="Z496" s="9"/>
      <c r="AA496" s="9"/>
      <c r="AB496" s="9"/>
      <c r="AC496" s="9"/>
      <c r="AD496" s="9"/>
    </row>
    <row r="497" spans="1:30" ht="58">
      <c r="A497" s="3" t="s">
        <v>1740</v>
      </c>
      <c r="B497" s="3" t="s">
        <v>7967</v>
      </c>
      <c r="C497" s="3" t="s">
        <v>7968</v>
      </c>
      <c r="F497" t="s">
        <v>3884</v>
      </c>
      <c r="G497" s="9" t="s">
        <v>3885</v>
      </c>
      <c r="H497" s="9"/>
      <c r="I497" s="9">
        <v>1</v>
      </c>
      <c r="J497" s="9">
        <v>1</v>
      </c>
      <c r="K497" s="9" t="s">
        <v>8698</v>
      </c>
      <c r="L497" s="9" t="s">
        <v>8730</v>
      </c>
      <c r="M497" s="9"/>
      <c r="N497" s="10"/>
      <c r="O497" s="9"/>
      <c r="P497" s="9">
        <v>55</v>
      </c>
      <c r="Q497" s="9">
        <f t="shared" si="7"/>
        <v>7.075684090002702</v>
      </c>
      <c r="R497" s="9"/>
      <c r="S497" s="9" t="s">
        <v>9321</v>
      </c>
      <c r="T497" s="9" t="s">
        <v>9321</v>
      </c>
      <c r="U497" s="9"/>
      <c r="V497" s="9"/>
      <c r="W497" s="9"/>
      <c r="X497" s="9"/>
      <c r="Y497" s="9"/>
      <c r="Z497" s="9"/>
      <c r="AA497" s="9"/>
      <c r="AB497" s="9"/>
      <c r="AC497" s="9"/>
      <c r="AD497" s="9"/>
    </row>
    <row r="498" spans="1:30" ht="29">
      <c r="A498" s="3" t="s">
        <v>1751</v>
      </c>
      <c r="B498" s="3" t="s">
        <v>8007</v>
      </c>
      <c r="C498" s="3" t="s">
        <v>8008</v>
      </c>
      <c r="G498" s="9" t="s">
        <v>3889</v>
      </c>
      <c r="H498" s="9"/>
      <c r="I498" s="9">
        <v>1</v>
      </c>
      <c r="J498" s="9">
        <v>1</v>
      </c>
      <c r="K498" s="9" t="s">
        <v>8689</v>
      </c>
      <c r="L498" s="9" t="s">
        <v>8730</v>
      </c>
      <c r="M498" s="9"/>
      <c r="N498" s="10"/>
      <c r="O498" s="9" t="s">
        <v>8685</v>
      </c>
      <c r="P498" s="9">
        <v>10929</v>
      </c>
      <c r="Q498" s="9">
        <f t="shared" si="7"/>
        <v>1406.0027530843549</v>
      </c>
      <c r="R498" s="9"/>
      <c r="S498" s="9" t="s">
        <v>9321</v>
      </c>
      <c r="T498" s="9" t="s">
        <v>9321</v>
      </c>
      <c r="U498" s="9"/>
      <c r="V498" s="9"/>
      <c r="W498" s="9"/>
      <c r="X498" s="9"/>
      <c r="Y498" s="9"/>
      <c r="Z498" s="9"/>
      <c r="AA498" s="9"/>
      <c r="AB498" s="9"/>
      <c r="AC498" s="9"/>
      <c r="AD498" s="9"/>
    </row>
    <row r="499" spans="1:30" ht="29">
      <c r="A499" s="3" t="s">
        <v>1756</v>
      </c>
      <c r="B499" s="3" t="s">
        <v>8019</v>
      </c>
      <c r="C499" s="3" t="s">
        <v>8020</v>
      </c>
      <c r="F499" t="s">
        <v>3884</v>
      </c>
      <c r="G499" s="9" t="s">
        <v>3889</v>
      </c>
      <c r="H499" s="9"/>
      <c r="I499" s="9">
        <v>1</v>
      </c>
      <c r="J499" s="9">
        <v>2</v>
      </c>
      <c r="K499" s="9" t="s">
        <v>8689</v>
      </c>
      <c r="L499" s="9" t="s">
        <v>8730</v>
      </c>
      <c r="M499" s="9"/>
      <c r="N499" s="10"/>
      <c r="O499" s="9"/>
      <c r="P499" s="9">
        <v>10929</v>
      </c>
      <c r="Q499" s="9">
        <f t="shared" si="7"/>
        <v>1406.0027530843549</v>
      </c>
      <c r="R499" s="9"/>
      <c r="S499" s="9" t="s">
        <v>9321</v>
      </c>
      <c r="T499" s="9" t="s">
        <v>9321</v>
      </c>
      <c r="U499" s="9"/>
      <c r="V499" s="9"/>
      <c r="W499" s="9"/>
      <c r="X499" s="9"/>
      <c r="Y499" s="9"/>
      <c r="Z499" s="9"/>
      <c r="AA499" s="9"/>
      <c r="AB499" s="9"/>
      <c r="AC499" s="9"/>
      <c r="AD499" s="9"/>
    </row>
    <row r="500" spans="1:30" ht="29">
      <c r="A500" s="3" t="s">
        <v>1760</v>
      </c>
      <c r="B500" s="3" t="s">
        <v>8041</v>
      </c>
      <c r="C500" s="3" t="s">
        <v>8042</v>
      </c>
      <c r="F500" t="s">
        <v>3884</v>
      </c>
      <c r="G500" s="9" t="s">
        <v>3885</v>
      </c>
      <c r="H500" s="9"/>
      <c r="I500" s="9">
        <v>1</v>
      </c>
      <c r="J500" s="9">
        <v>3</v>
      </c>
      <c r="K500" s="9" t="s">
        <v>8698</v>
      </c>
      <c r="L500" s="9" t="s">
        <v>8684</v>
      </c>
      <c r="M500" s="9" t="s">
        <v>8771</v>
      </c>
      <c r="N500" s="10" t="s">
        <v>8778</v>
      </c>
      <c r="O500" s="9" t="s">
        <v>8685</v>
      </c>
      <c r="P500" s="9">
        <v>9418</v>
      </c>
      <c r="Q500" s="9">
        <f t="shared" si="7"/>
        <v>1211.6144138117354</v>
      </c>
      <c r="R500" s="9"/>
      <c r="S500" s="9" t="s">
        <v>9321</v>
      </c>
      <c r="T500" s="9" t="s">
        <v>9321</v>
      </c>
      <c r="U500" s="9"/>
      <c r="V500" s="9"/>
      <c r="W500" s="9"/>
      <c r="X500" s="9"/>
      <c r="Y500" s="9"/>
      <c r="Z500" s="9"/>
      <c r="AA500" s="9"/>
      <c r="AB500" s="9"/>
      <c r="AC500" s="9"/>
      <c r="AD500" s="9"/>
    </row>
    <row r="501" spans="1:30" ht="29">
      <c r="A501" s="3" t="s">
        <v>1762</v>
      </c>
      <c r="B501" s="3" t="s">
        <v>8043</v>
      </c>
      <c r="C501" s="3" t="s">
        <v>8044</v>
      </c>
      <c r="F501" t="s">
        <v>3884</v>
      </c>
      <c r="G501" s="9" t="s">
        <v>3889</v>
      </c>
      <c r="H501" s="9"/>
      <c r="I501" s="9">
        <v>1</v>
      </c>
      <c r="J501" s="9">
        <v>3</v>
      </c>
      <c r="K501" s="9" t="s">
        <v>8689</v>
      </c>
      <c r="L501" s="9" t="s">
        <v>8690</v>
      </c>
      <c r="M501" s="9"/>
      <c r="N501" s="10"/>
      <c r="O501" s="9"/>
      <c r="P501" s="9">
        <v>10929</v>
      </c>
      <c r="Q501" s="9">
        <f t="shared" si="7"/>
        <v>1406.0027530843549</v>
      </c>
      <c r="R501" s="9"/>
      <c r="S501" s="9" t="s">
        <v>9321</v>
      </c>
      <c r="T501" s="9" t="s">
        <v>9321</v>
      </c>
      <c r="U501" s="9"/>
      <c r="V501" s="9"/>
      <c r="W501" s="9"/>
      <c r="X501" s="9"/>
      <c r="Y501" s="9"/>
      <c r="Z501" s="9"/>
      <c r="AA501" s="9"/>
      <c r="AB501" s="9"/>
      <c r="AC501" s="9"/>
      <c r="AD501" s="9"/>
    </row>
    <row r="502" spans="1:30" ht="87">
      <c r="A502" s="3" t="s">
        <v>1762</v>
      </c>
      <c r="B502" s="3" t="s">
        <v>8045</v>
      </c>
      <c r="C502" s="4" t="s">
        <v>8046</v>
      </c>
      <c r="D502" t="s">
        <v>4197</v>
      </c>
      <c r="F502" t="s">
        <v>3884</v>
      </c>
      <c r="G502" s="9" t="s">
        <v>3885</v>
      </c>
      <c r="H502" s="9"/>
      <c r="I502" s="9">
        <v>4</v>
      </c>
      <c r="J502" s="9">
        <v>17</v>
      </c>
      <c r="K502" s="9"/>
      <c r="L502" s="9" t="s">
        <v>8690</v>
      </c>
      <c r="M502" s="9"/>
      <c r="N502" s="10"/>
      <c r="O502" s="9"/>
      <c r="P502" s="9">
        <v>886</v>
      </c>
      <c r="Q502" s="9">
        <f t="shared" si="7"/>
        <v>113.9828382498617</v>
      </c>
      <c r="R502" s="9"/>
      <c r="S502" s="9" t="s">
        <v>9321</v>
      </c>
      <c r="T502" s="9" t="s">
        <v>9321</v>
      </c>
      <c r="U502" s="9"/>
      <c r="V502" s="9"/>
      <c r="W502" s="9"/>
      <c r="X502" s="9"/>
      <c r="Y502" s="9"/>
      <c r="Z502" s="9"/>
      <c r="AA502" s="9"/>
      <c r="AB502" s="9"/>
      <c r="AC502" s="9"/>
      <c r="AD502" s="9"/>
    </row>
    <row r="503" spans="1:30" ht="43.5">
      <c r="A503" s="3" t="s">
        <v>1763</v>
      </c>
      <c r="B503" s="3" t="s">
        <v>8053</v>
      </c>
      <c r="C503" s="3" t="s">
        <v>8054</v>
      </c>
      <c r="G503" s="9" t="s">
        <v>3885</v>
      </c>
      <c r="H503" s="9"/>
      <c r="I503" s="9">
        <v>1</v>
      </c>
      <c r="J503" s="9">
        <v>1</v>
      </c>
      <c r="K503" s="9" t="s">
        <v>8705</v>
      </c>
      <c r="L503" s="9" t="s">
        <v>8730</v>
      </c>
      <c r="M503" s="9"/>
      <c r="N503" s="10"/>
      <c r="O503" s="9" t="s">
        <v>8685</v>
      </c>
      <c r="P503" s="9">
        <v>615</v>
      </c>
      <c r="Q503" s="9">
        <f t="shared" si="7"/>
        <v>79.119013006393843</v>
      </c>
      <c r="R503" s="9"/>
      <c r="S503" s="9" t="s">
        <v>9321</v>
      </c>
      <c r="T503" s="9" t="s">
        <v>9321</v>
      </c>
      <c r="U503" s="9"/>
      <c r="V503" s="9"/>
      <c r="W503" s="9"/>
      <c r="X503" s="9"/>
      <c r="Y503" s="9"/>
      <c r="Z503" s="9"/>
      <c r="AA503" s="9"/>
      <c r="AB503" s="9"/>
      <c r="AC503" s="9"/>
      <c r="AD503" s="9"/>
    </row>
    <row r="504" spans="1:30" ht="72.5">
      <c r="A504" s="3" t="s">
        <v>1766</v>
      </c>
      <c r="B504" s="3" t="s">
        <v>8065</v>
      </c>
      <c r="C504" s="3" t="s">
        <v>8062</v>
      </c>
      <c r="F504" t="s">
        <v>3884</v>
      </c>
      <c r="G504" s="9" t="s">
        <v>3889</v>
      </c>
      <c r="H504" s="9"/>
      <c r="I504" s="9">
        <v>2</v>
      </c>
      <c r="J504" s="9">
        <v>14</v>
      </c>
      <c r="K504" s="9"/>
      <c r="L504" s="9" t="s">
        <v>8690</v>
      </c>
      <c r="M504" s="9"/>
      <c r="N504" s="10"/>
      <c r="O504" s="9"/>
      <c r="P504" s="9">
        <v>77</v>
      </c>
      <c r="Q504" s="9">
        <f t="shared" si="7"/>
        <v>9.9059577260037806</v>
      </c>
      <c r="R504" s="9"/>
      <c r="S504" s="9" t="s">
        <v>9321</v>
      </c>
      <c r="T504" s="9" t="s">
        <v>9321</v>
      </c>
      <c r="U504" s="9"/>
      <c r="V504" s="9"/>
      <c r="W504" s="9"/>
      <c r="X504" s="9"/>
      <c r="Y504" s="9"/>
      <c r="Z504" s="9"/>
      <c r="AA504" s="9"/>
      <c r="AB504" s="9"/>
      <c r="AC504" s="9"/>
      <c r="AD504" s="9"/>
    </row>
    <row r="505" spans="1:30" ht="43.5">
      <c r="A505" s="3" t="s">
        <v>1767</v>
      </c>
      <c r="B505" s="3" t="s">
        <v>8069</v>
      </c>
      <c r="C505" s="3" t="s">
        <v>8070</v>
      </c>
      <c r="F505" t="s">
        <v>3884</v>
      </c>
      <c r="G505" s="9" t="s">
        <v>3885</v>
      </c>
      <c r="H505" s="9"/>
      <c r="I505" s="9">
        <v>1</v>
      </c>
      <c r="J505" s="9">
        <v>1</v>
      </c>
      <c r="K505" s="9" t="s">
        <v>8689</v>
      </c>
      <c r="L505" s="9" t="s">
        <v>8730</v>
      </c>
      <c r="M505" s="9"/>
      <c r="N505" s="10"/>
      <c r="O505" s="9"/>
      <c r="P505" s="9">
        <v>10929</v>
      </c>
      <c r="Q505" s="9">
        <f t="shared" si="7"/>
        <v>1406.0027530843549</v>
      </c>
      <c r="R505" s="9"/>
      <c r="S505" s="9" t="s">
        <v>9321</v>
      </c>
      <c r="T505" s="9" t="s">
        <v>9321</v>
      </c>
      <c r="U505" s="9"/>
      <c r="V505" s="9"/>
      <c r="W505" s="9"/>
      <c r="X505" s="9"/>
      <c r="Y505" s="9"/>
      <c r="Z505" s="9"/>
      <c r="AA505" s="9"/>
      <c r="AB505" s="9"/>
      <c r="AC505" s="9"/>
      <c r="AD505" s="9"/>
    </row>
    <row r="506" spans="1:30" ht="217.5">
      <c r="A506" s="3" t="s">
        <v>1772</v>
      </c>
      <c r="B506" s="3" t="s">
        <v>9161</v>
      </c>
      <c r="C506" s="3" t="s">
        <v>9160</v>
      </c>
      <c r="F506" t="s">
        <v>3888</v>
      </c>
      <c r="G506" s="9" t="s">
        <v>3889</v>
      </c>
      <c r="H506" s="9"/>
      <c r="I506" s="9">
        <v>7</v>
      </c>
      <c r="J506" s="9">
        <v>43</v>
      </c>
      <c r="K506" s="9"/>
      <c r="L506" s="9" t="s">
        <v>8684</v>
      </c>
      <c r="M506" s="9" t="s">
        <v>8740</v>
      </c>
      <c r="N506" s="10" t="s">
        <v>9162</v>
      </c>
      <c r="O506" s="9"/>
      <c r="P506" s="9">
        <v>2</v>
      </c>
      <c r="Q506" s="9">
        <f t="shared" si="7"/>
        <v>0.25729760327282553</v>
      </c>
      <c r="R506" s="9"/>
      <c r="S506" s="9" t="s">
        <v>9321</v>
      </c>
      <c r="T506" s="9" t="s">
        <v>9321</v>
      </c>
      <c r="U506" s="9"/>
      <c r="V506" s="9"/>
      <c r="W506" s="9"/>
      <c r="X506" s="9"/>
      <c r="Y506" s="9"/>
      <c r="Z506" s="9"/>
      <c r="AA506" s="9"/>
      <c r="AB506" s="9"/>
      <c r="AC506" s="9"/>
      <c r="AD506" s="9"/>
    </row>
    <row r="507" spans="1:30" ht="58">
      <c r="A507" s="3" t="s">
        <v>1776</v>
      </c>
      <c r="B507" s="3" t="s">
        <v>8103</v>
      </c>
      <c r="C507" s="3" t="s">
        <v>8102</v>
      </c>
      <c r="F507" t="s">
        <v>3888</v>
      </c>
      <c r="G507" s="9" t="s">
        <v>3889</v>
      </c>
      <c r="H507" s="9"/>
      <c r="I507" s="9">
        <v>2</v>
      </c>
      <c r="J507" s="9">
        <v>9</v>
      </c>
      <c r="K507" s="9"/>
      <c r="L507" s="9" t="s">
        <v>8690</v>
      </c>
      <c r="M507" s="9"/>
      <c r="N507" s="10"/>
      <c r="O507" s="9"/>
      <c r="P507" s="9">
        <v>310</v>
      </c>
      <c r="Q507" s="9">
        <f t="shared" si="7"/>
        <v>39.881128507287961</v>
      </c>
      <c r="R507" s="9"/>
      <c r="S507" s="9" t="s">
        <v>9321</v>
      </c>
      <c r="T507" s="9" t="s">
        <v>9321</v>
      </c>
      <c r="U507" s="9"/>
      <c r="V507" s="9"/>
      <c r="W507" s="9"/>
      <c r="X507" s="9"/>
      <c r="Y507" s="9"/>
      <c r="Z507" s="9"/>
      <c r="AA507" s="9"/>
      <c r="AB507" s="9"/>
      <c r="AC507" s="9"/>
      <c r="AD507" s="9" t="s">
        <v>3884</v>
      </c>
    </row>
    <row r="508" spans="1:30" ht="58">
      <c r="A508" s="3" t="s">
        <v>1778</v>
      </c>
      <c r="B508" s="3" t="s">
        <v>8112</v>
      </c>
      <c r="C508" s="3" t="s">
        <v>8102</v>
      </c>
      <c r="F508" t="s">
        <v>3884</v>
      </c>
      <c r="G508" s="9" t="s">
        <v>3889</v>
      </c>
      <c r="H508" s="9"/>
      <c r="I508" s="9">
        <v>1</v>
      </c>
      <c r="J508" s="9">
        <v>6</v>
      </c>
      <c r="K508" s="9" t="s">
        <v>8703</v>
      </c>
      <c r="L508" s="9" t="s">
        <v>8690</v>
      </c>
      <c r="M508" s="9"/>
      <c r="N508" s="10"/>
      <c r="O508" s="9"/>
      <c r="P508" s="9">
        <v>310</v>
      </c>
      <c r="Q508" s="9">
        <f t="shared" si="7"/>
        <v>39.881128507287961</v>
      </c>
      <c r="R508" s="9"/>
      <c r="S508" s="9" t="s">
        <v>9321</v>
      </c>
      <c r="T508" s="9" t="s">
        <v>9321</v>
      </c>
      <c r="U508" s="9"/>
      <c r="V508" s="9"/>
      <c r="W508" s="9"/>
      <c r="X508" s="9"/>
      <c r="Y508" s="9"/>
      <c r="Z508" s="9"/>
      <c r="AA508" s="9"/>
      <c r="AB508" s="9"/>
      <c r="AC508" s="9"/>
      <c r="AD508" s="9" t="s">
        <v>3884</v>
      </c>
    </row>
    <row r="509" spans="1:30" ht="72.5">
      <c r="A509" s="3" t="s">
        <v>1779</v>
      </c>
      <c r="B509" s="3" t="s">
        <v>8116</v>
      </c>
      <c r="C509" s="3" t="s">
        <v>8118</v>
      </c>
      <c r="F509" t="s">
        <v>3884</v>
      </c>
      <c r="G509" s="9" t="s">
        <v>3885</v>
      </c>
      <c r="H509" s="9"/>
      <c r="I509" s="9">
        <v>1</v>
      </c>
      <c r="J509" s="9">
        <v>6</v>
      </c>
      <c r="K509" s="9" t="s">
        <v>8703</v>
      </c>
      <c r="L509" s="9" t="s">
        <v>8690</v>
      </c>
      <c r="M509" s="9"/>
      <c r="N509" s="10"/>
      <c r="O509" s="9"/>
      <c r="P509" s="9">
        <v>627</v>
      </c>
      <c r="Q509" s="9">
        <f t="shared" si="7"/>
        <v>80.662798626030806</v>
      </c>
      <c r="R509" s="9"/>
      <c r="S509" s="9" t="s">
        <v>9321</v>
      </c>
      <c r="T509" s="9" t="s">
        <v>9321</v>
      </c>
      <c r="U509" s="9"/>
      <c r="V509" s="9"/>
      <c r="W509" s="9"/>
      <c r="X509" s="9"/>
      <c r="Y509" s="9"/>
      <c r="Z509" s="9"/>
      <c r="AA509" s="9"/>
      <c r="AB509" s="9"/>
      <c r="AC509" s="9"/>
      <c r="AD509" s="9"/>
    </row>
    <row r="510" spans="1:30" ht="43.5">
      <c r="A510" s="3" t="s">
        <v>1783</v>
      </c>
      <c r="B510" s="3" t="s">
        <v>8127</v>
      </c>
      <c r="C510" s="3" t="s">
        <v>8128</v>
      </c>
      <c r="G510" s="9" t="s">
        <v>3889</v>
      </c>
      <c r="H510" s="9"/>
      <c r="I510" s="9">
        <v>1</v>
      </c>
      <c r="J510" s="9">
        <v>5</v>
      </c>
      <c r="K510" s="9" t="s">
        <v>8703</v>
      </c>
      <c r="L510" s="9" t="s">
        <v>8684</v>
      </c>
      <c r="M510" s="9" t="s">
        <v>8777</v>
      </c>
      <c r="N510" s="10" t="s">
        <v>8941</v>
      </c>
      <c r="O510" s="9" t="s">
        <v>8685</v>
      </c>
      <c r="P510" s="9"/>
      <c r="Q510" s="9" t="str">
        <f t="shared" si="7"/>
        <v/>
      </c>
      <c r="R510" s="9"/>
      <c r="S510" s="9" t="s">
        <v>9321</v>
      </c>
      <c r="T510" s="9" t="s">
        <v>9321</v>
      </c>
      <c r="U510" s="9"/>
      <c r="V510" s="9"/>
      <c r="W510" s="9"/>
      <c r="X510" s="9"/>
      <c r="Y510" s="9"/>
      <c r="Z510" s="9"/>
      <c r="AA510" s="9"/>
      <c r="AB510" s="9"/>
      <c r="AC510" s="9"/>
      <c r="AD510" s="9"/>
    </row>
    <row r="511" spans="1:30" ht="43.5">
      <c r="A511" s="3" t="s">
        <v>1784</v>
      </c>
      <c r="B511" s="3" t="s">
        <v>8129</v>
      </c>
      <c r="C511" s="3" t="s">
        <v>8130</v>
      </c>
      <c r="F511" t="s">
        <v>3884</v>
      </c>
      <c r="G511" s="9" t="s">
        <v>3885</v>
      </c>
      <c r="H511" s="9"/>
      <c r="I511" s="9">
        <v>1</v>
      </c>
      <c r="J511" s="9">
        <v>6</v>
      </c>
      <c r="K511" s="9" t="s">
        <v>8703</v>
      </c>
      <c r="L511" s="9" t="s">
        <v>8684</v>
      </c>
      <c r="M511" s="9" t="s">
        <v>8771</v>
      </c>
      <c r="N511" s="10" t="s">
        <v>8778</v>
      </c>
      <c r="O511" s="9"/>
      <c r="P511" s="9">
        <v>627</v>
      </c>
      <c r="Q511" s="9">
        <f t="shared" si="7"/>
        <v>80.662798626030806</v>
      </c>
      <c r="R511" s="9"/>
      <c r="S511" s="9" t="s">
        <v>9321</v>
      </c>
      <c r="T511" s="9" t="s">
        <v>9321</v>
      </c>
      <c r="U511" s="9" t="s">
        <v>8728</v>
      </c>
      <c r="V511" s="9"/>
      <c r="W511" s="9"/>
      <c r="X511" s="9"/>
      <c r="Y511" s="9"/>
      <c r="Z511" s="9"/>
      <c r="AA511" s="9"/>
      <c r="AB511" s="9"/>
      <c r="AC511" s="9"/>
      <c r="AD511" s="9"/>
    </row>
    <row r="512" spans="1:30" ht="58">
      <c r="A512" s="3" t="s">
        <v>1785</v>
      </c>
      <c r="B512" s="3" t="s">
        <v>8133</v>
      </c>
      <c r="C512" s="3" t="s">
        <v>8134</v>
      </c>
      <c r="F512" t="s">
        <v>3884</v>
      </c>
      <c r="G512" s="9" t="s">
        <v>3889</v>
      </c>
      <c r="H512" s="9"/>
      <c r="I512" s="9">
        <v>1</v>
      </c>
      <c r="J512" s="9">
        <v>5</v>
      </c>
      <c r="K512" s="9" t="s">
        <v>8703</v>
      </c>
      <c r="L512" s="9" t="s">
        <v>8690</v>
      </c>
      <c r="M512" s="9"/>
      <c r="N512" s="10"/>
      <c r="O512" s="9"/>
      <c r="P512" s="9">
        <v>21</v>
      </c>
      <c r="Q512" s="9">
        <f t="shared" si="7"/>
        <v>2.7016248343646683</v>
      </c>
      <c r="R512" s="9"/>
      <c r="S512" s="9" t="s">
        <v>9321</v>
      </c>
      <c r="T512" s="9" t="s">
        <v>9321</v>
      </c>
      <c r="U512" s="9" t="s">
        <v>8728</v>
      </c>
      <c r="V512" s="9"/>
      <c r="W512" s="9"/>
      <c r="X512" s="9"/>
      <c r="Y512" s="9"/>
      <c r="Z512" s="9"/>
      <c r="AA512" s="9"/>
      <c r="AB512" s="9"/>
      <c r="AC512" s="9"/>
      <c r="AD512" s="9"/>
    </row>
    <row r="513" spans="1:30" ht="58">
      <c r="A513" s="3" t="s">
        <v>1785</v>
      </c>
      <c r="B513" s="3" t="s">
        <v>8135</v>
      </c>
      <c r="C513" s="3" t="s">
        <v>8136</v>
      </c>
      <c r="F513" t="s">
        <v>3884</v>
      </c>
      <c r="G513" s="9" t="s">
        <v>3889</v>
      </c>
      <c r="H513" s="9"/>
      <c r="I513" s="9">
        <v>2</v>
      </c>
      <c r="J513" s="9">
        <v>9</v>
      </c>
      <c r="K513" s="9"/>
      <c r="L513" s="9" t="s">
        <v>8690</v>
      </c>
      <c r="M513" s="9"/>
      <c r="N513" s="10"/>
      <c r="O513" s="9"/>
      <c r="P513" s="9">
        <v>32</v>
      </c>
      <c r="Q513" s="9">
        <f t="shared" si="7"/>
        <v>4.1167616523652084</v>
      </c>
      <c r="R513" s="9"/>
      <c r="S513" s="9" t="s">
        <v>9321</v>
      </c>
      <c r="T513" s="9" t="s">
        <v>9321</v>
      </c>
      <c r="U513" s="9"/>
      <c r="V513" s="9"/>
      <c r="W513" s="9"/>
      <c r="X513" s="9"/>
      <c r="Y513" s="9"/>
      <c r="Z513" s="9"/>
      <c r="AA513" s="9"/>
      <c r="AB513" s="9"/>
      <c r="AC513" s="9"/>
      <c r="AD513" s="9"/>
    </row>
    <row r="514" spans="1:30" ht="43.5">
      <c r="A514" s="3" t="s">
        <v>1794</v>
      </c>
      <c r="B514" s="3" t="s">
        <v>9166</v>
      </c>
      <c r="C514" s="3" t="s">
        <v>8156</v>
      </c>
      <c r="G514" s="9" t="s">
        <v>3889</v>
      </c>
      <c r="H514" s="9"/>
      <c r="I514" s="9">
        <v>1</v>
      </c>
      <c r="J514" s="9">
        <v>3</v>
      </c>
      <c r="K514" s="9" t="s">
        <v>8689</v>
      </c>
      <c r="L514" s="9" t="s">
        <v>8690</v>
      </c>
      <c r="M514" s="9"/>
      <c r="N514" s="10"/>
      <c r="O514" s="9"/>
      <c r="P514" s="9">
        <v>10929</v>
      </c>
      <c r="Q514" s="9">
        <f t="shared" si="7"/>
        <v>1406.0027530843549</v>
      </c>
      <c r="R514" s="9"/>
      <c r="S514" s="9" t="s">
        <v>9321</v>
      </c>
      <c r="T514" s="9" t="s">
        <v>9321</v>
      </c>
      <c r="U514" s="9"/>
      <c r="V514" s="9"/>
      <c r="W514" s="9"/>
      <c r="X514" s="9"/>
      <c r="Y514" s="9"/>
      <c r="Z514" s="9"/>
      <c r="AA514" s="9"/>
      <c r="AB514" s="9"/>
      <c r="AC514" s="9"/>
      <c r="AD514" s="9"/>
    </row>
    <row r="515" spans="1:30" ht="43.5">
      <c r="A515" s="3" t="s">
        <v>1800</v>
      </c>
      <c r="B515" s="3" t="s">
        <v>8136</v>
      </c>
      <c r="C515" s="3" t="s">
        <v>8179</v>
      </c>
      <c r="G515" s="9" t="s">
        <v>3885</v>
      </c>
      <c r="H515" s="9"/>
      <c r="I515" s="9">
        <v>1</v>
      </c>
      <c r="J515" s="9">
        <v>1</v>
      </c>
      <c r="K515" s="9" t="s">
        <v>8689</v>
      </c>
      <c r="L515" s="9" t="s">
        <v>8730</v>
      </c>
      <c r="M515" s="9"/>
      <c r="N515" s="10"/>
      <c r="O515" s="9"/>
      <c r="P515" s="9">
        <v>10929</v>
      </c>
      <c r="Q515" s="9">
        <f t="shared" ref="Q515:Q550" si="8">IF(ISNUMBER(P515), (P515/$E$601)*10000, "")</f>
        <v>1406.0027530843549</v>
      </c>
      <c r="R515" s="9"/>
      <c r="S515" s="9" t="s">
        <v>9321</v>
      </c>
      <c r="T515" s="9" t="s">
        <v>9321</v>
      </c>
      <c r="U515" s="9"/>
      <c r="V515" s="9"/>
      <c r="W515" s="9"/>
      <c r="X515" s="9"/>
      <c r="Y515" s="9"/>
      <c r="Z515" s="9"/>
      <c r="AA515" s="9"/>
      <c r="AB515" s="9"/>
      <c r="AC515" s="9"/>
      <c r="AD515" s="9"/>
    </row>
    <row r="516" spans="1:30" ht="43.5">
      <c r="A516" s="3" t="s">
        <v>1808</v>
      </c>
      <c r="B516" s="3" t="s">
        <v>8210</v>
      </c>
      <c r="C516" s="3" t="s">
        <v>8211</v>
      </c>
      <c r="F516" t="s">
        <v>3884</v>
      </c>
      <c r="G516" s="9" t="s">
        <v>3885</v>
      </c>
      <c r="H516" s="9"/>
      <c r="I516" s="9">
        <v>1</v>
      </c>
      <c r="J516" s="9">
        <v>6</v>
      </c>
      <c r="K516" s="9" t="s">
        <v>8736</v>
      </c>
      <c r="L516" s="9" t="s">
        <v>8684</v>
      </c>
      <c r="M516" s="9" t="s">
        <v>8771</v>
      </c>
      <c r="N516" s="10" t="s">
        <v>8778</v>
      </c>
      <c r="O516" s="9"/>
      <c r="P516" s="9">
        <v>58</v>
      </c>
      <c r="Q516" s="9">
        <f t="shared" si="8"/>
        <v>7.4616304949119403</v>
      </c>
      <c r="R516" s="9"/>
      <c r="S516" s="9" t="s">
        <v>9321</v>
      </c>
      <c r="T516" s="9" t="s">
        <v>9321</v>
      </c>
      <c r="U516" s="9"/>
      <c r="V516" s="9"/>
      <c r="W516" s="9"/>
      <c r="X516" s="9"/>
      <c r="Y516" s="9"/>
      <c r="Z516" s="9"/>
      <c r="AA516" s="9"/>
      <c r="AB516" s="9"/>
      <c r="AC516" s="9"/>
      <c r="AD516" s="9"/>
    </row>
    <row r="517" spans="1:30" ht="72.5">
      <c r="A517" s="3" t="s">
        <v>1811</v>
      </c>
      <c r="B517" s="3" t="s">
        <v>8214</v>
      </c>
      <c r="C517" s="3" t="s">
        <v>8215</v>
      </c>
      <c r="F517" t="s">
        <v>3892</v>
      </c>
      <c r="G517" s="9" t="s">
        <v>3889</v>
      </c>
      <c r="H517" s="9"/>
      <c r="I517" s="9">
        <v>1</v>
      </c>
      <c r="J517" s="9">
        <v>4</v>
      </c>
      <c r="K517" s="9" t="s">
        <v>8703</v>
      </c>
      <c r="L517" s="9" t="s">
        <v>8690</v>
      </c>
      <c r="M517" s="9"/>
      <c r="N517" s="10"/>
      <c r="O517" s="9"/>
      <c r="P517" s="9">
        <v>58</v>
      </c>
      <c r="Q517" s="9">
        <f t="shared" si="8"/>
        <v>7.4616304949119403</v>
      </c>
      <c r="R517" s="9"/>
      <c r="S517" s="9" t="s">
        <v>9321</v>
      </c>
      <c r="T517" s="9" t="s">
        <v>9321</v>
      </c>
      <c r="U517" s="9"/>
      <c r="V517" s="9"/>
      <c r="W517" s="9"/>
      <c r="X517" s="9"/>
      <c r="Y517" s="9"/>
      <c r="Z517" s="9"/>
      <c r="AA517" s="9"/>
      <c r="AB517" s="9"/>
      <c r="AC517" s="9"/>
      <c r="AD517" s="9"/>
    </row>
    <row r="518" spans="1:30" ht="43.5">
      <c r="A518" s="3" t="s">
        <v>1822</v>
      </c>
      <c r="B518" s="3" t="s">
        <v>9274</v>
      </c>
      <c r="C518" s="3" t="s">
        <v>9275</v>
      </c>
      <c r="F518" t="s">
        <v>3884</v>
      </c>
      <c r="G518" s="9" t="s">
        <v>3889</v>
      </c>
      <c r="H518" s="9"/>
      <c r="I518" s="9">
        <v>1</v>
      </c>
      <c r="J518" s="9">
        <v>2</v>
      </c>
      <c r="K518" s="9" t="s">
        <v>8707</v>
      </c>
      <c r="L518" s="9" t="s">
        <v>8730</v>
      </c>
      <c r="M518" s="9"/>
      <c r="N518" s="10"/>
      <c r="O518" s="9" t="s">
        <v>8685</v>
      </c>
      <c r="P518" s="9">
        <v>1942</v>
      </c>
      <c r="Q518" s="9">
        <f t="shared" si="8"/>
        <v>249.83597277791355</v>
      </c>
      <c r="R518" s="9"/>
      <c r="S518" s="9" t="s">
        <v>9321</v>
      </c>
      <c r="T518" s="9" t="s">
        <v>9321</v>
      </c>
      <c r="U518" s="9"/>
      <c r="V518" s="9"/>
      <c r="W518" s="9"/>
      <c r="X518" s="9"/>
      <c r="Y518" s="9"/>
      <c r="Z518" s="9"/>
      <c r="AA518" s="9"/>
      <c r="AB518" s="9"/>
      <c r="AC518" s="9"/>
      <c r="AD518" s="9"/>
    </row>
    <row r="519" spans="1:30" ht="116">
      <c r="A519" s="3" t="s">
        <v>1822</v>
      </c>
      <c r="B519" s="3" t="s">
        <v>8273</v>
      </c>
      <c r="C519" s="3" t="s">
        <v>8272</v>
      </c>
      <c r="F519" t="s">
        <v>3884</v>
      </c>
      <c r="G519" s="9" t="s">
        <v>3889</v>
      </c>
      <c r="H519" s="9"/>
      <c r="I519" s="9">
        <v>1</v>
      </c>
      <c r="J519" s="9">
        <v>3</v>
      </c>
      <c r="K519" s="9" t="s">
        <v>8698</v>
      </c>
      <c r="L519" s="9" t="s">
        <v>8690</v>
      </c>
      <c r="M519" s="9"/>
      <c r="N519" s="10"/>
      <c r="O519" s="9"/>
      <c r="P519" s="9">
        <v>9418</v>
      </c>
      <c r="Q519" s="9">
        <f t="shared" si="8"/>
        <v>1211.6144138117354</v>
      </c>
      <c r="R519" s="9"/>
      <c r="S519" s="9" t="s">
        <v>9321</v>
      </c>
      <c r="T519" s="9" t="s">
        <v>9321</v>
      </c>
      <c r="U519" s="9" t="s">
        <v>8728</v>
      </c>
      <c r="V519" s="9"/>
      <c r="W519" s="9"/>
      <c r="X519" s="9"/>
      <c r="Y519" s="9"/>
      <c r="Z519" s="9"/>
      <c r="AA519" s="9"/>
      <c r="AB519" s="9"/>
      <c r="AC519" s="9"/>
      <c r="AD519" s="9"/>
    </row>
    <row r="520" spans="1:30" ht="116">
      <c r="A520" s="3" t="s">
        <v>1822</v>
      </c>
      <c r="B520" s="3" t="s">
        <v>8274</v>
      </c>
      <c r="C520" s="3" t="s">
        <v>8272</v>
      </c>
      <c r="F520" t="s">
        <v>3884</v>
      </c>
      <c r="G520" s="9" t="s">
        <v>3889</v>
      </c>
      <c r="H520" s="9"/>
      <c r="I520" s="9">
        <v>1</v>
      </c>
      <c r="J520" s="9">
        <v>5</v>
      </c>
      <c r="K520" s="9" t="s">
        <v>8703</v>
      </c>
      <c r="L520" s="9" t="s">
        <v>8690</v>
      </c>
      <c r="M520" s="9"/>
      <c r="N520" s="10"/>
      <c r="O520" s="9"/>
      <c r="P520" s="9">
        <v>77</v>
      </c>
      <c r="Q520" s="9">
        <f t="shared" si="8"/>
        <v>9.9059577260037806</v>
      </c>
      <c r="R520" s="9"/>
      <c r="S520" s="9" t="s">
        <v>9321</v>
      </c>
      <c r="T520" s="9" t="s">
        <v>9321</v>
      </c>
      <c r="U520" s="9"/>
      <c r="V520" s="9"/>
      <c r="W520" s="9"/>
      <c r="X520" s="9"/>
      <c r="Y520" s="9"/>
      <c r="Z520" s="9"/>
      <c r="AA520" s="9"/>
      <c r="AB520" s="9"/>
      <c r="AC520" s="9"/>
      <c r="AD520" s="9"/>
    </row>
    <row r="521" spans="1:30" ht="58">
      <c r="A521" s="3" t="s">
        <v>1825</v>
      </c>
      <c r="B521" s="3" t="s">
        <v>8289</v>
      </c>
      <c r="C521" s="3" t="s">
        <v>8290</v>
      </c>
      <c r="G521" s="9" t="s">
        <v>3889</v>
      </c>
      <c r="H521" s="9"/>
      <c r="I521" s="9">
        <v>2</v>
      </c>
      <c r="J521" s="9">
        <v>8</v>
      </c>
      <c r="K521" s="9"/>
      <c r="L521" s="9" t="s">
        <v>8690</v>
      </c>
      <c r="M521" s="9"/>
      <c r="N521" s="10"/>
      <c r="O521" s="9"/>
      <c r="P521" s="9">
        <v>54</v>
      </c>
      <c r="Q521" s="9">
        <f t="shared" si="8"/>
        <v>6.9470352883662887</v>
      </c>
      <c r="R521" s="9"/>
      <c r="S521" s="9" t="s">
        <v>9321</v>
      </c>
      <c r="T521" s="9" t="s">
        <v>9321</v>
      </c>
      <c r="U521" s="9"/>
      <c r="V521" s="9"/>
      <c r="W521" s="9"/>
      <c r="X521" s="9"/>
      <c r="Y521" s="9"/>
      <c r="Z521" s="9"/>
      <c r="AA521" s="9"/>
      <c r="AB521" s="9"/>
      <c r="AC521" s="9"/>
      <c r="AD521" s="9"/>
    </row>
    <row r="522" spans="1:30" ht="72.5">
      <c r="A522" s="3" t="s">
        <v>1825</v>
      </c>
      <c r="B522" s="3" t="s">
        <v>8291</v>
      </c>
      <c r="C522" s="3" t="s">
        <v>8292</v>
      </c>
      <c r="F522" t="s">
        <v>3884</v>
      </c>
      <c r="G522" s="9" t="s">
        <v>3889</v>
      </c>
      <c r="H522" s="9"/>
      <c r="I522" s="9">
        <v>2</v>
      </c>
      <c r="J522" s="9">
        <v>8</v>
      </c>
      <c r="K522" s="9"/>
      <c r="L522" s="9" t="s">
        <v>8684</v>
      </c>
      <c r="M522" s="9" t="s">
        <v>8847</v>
      </c>
      <c r="N522" s="10" t="s">
        <v>9172</v>
      </c>
      <c r="O522" s="9"/>
      <c r="P522" s="9">
        <v>886</v>
      </c>
      <c r="Q522" s="9">
        <f t="shared" si="8"/>
        <v>113.9828382498617</v>
      </c>
      <c r="R522" s="9"/>
      <c r="S522" s="9" t="s">
        <v>9321</v>
      </c>
      <c r="T522" s="9" t="s">
        <v>9321</v>
      </c>
      <c r="U522" s="9"/>
      <c r="V522" s="9"/>
      <c r="W522" s="9"/>
      <c r="X522" s="9"/>
      <c r="Y522" s="9"/>
      <c r="Z522" s="9"/>
      <c r="AA522" s="9"/>
      <c r="AB522" s="9"/>
      <c r="AC522" s="9"/>
      <c r="AD522" s="9"/>
    </row>
    <row r="523" spans="1:30" ht="72.5">
      <c r="A523" s="3" t="s">
        <v>1826</v>
      </c>
      <c r="B523" s="3" t="s">
        <v>8295</v>
      </c>
      <c r="C523" s="3" t="s">
        <v>8296</v>
      </c>
      <c r="G523" s="9" t="s">
        <v>3889</v>
      </c>
      <c r="H523" s="9"/>
      <c r="I523" s="9">
        <v>2</v>
      </c>
      <c r="J523" s="9">
        <v>10</v>
      </c>
      <c r="K523" s="9"/>
      <c r="L523" s="9" t="s">
        <v>8690</v>
      </c>
      <c r="M523" s="9"/>
      <c r="N523" s="10"/>
      <c r="O523" s="9"/>
      <c r="P523" s="9">
        <v>21</v>
      </c>
      <c r="Q523" s="9">
        <f t="shared" si="8"/>
        <v>2.7016248343646683</v>
      </c>
      <c r="R523" s="9"/>
      <c r="S523" s="9" t="s">
        <v>9321</v>
      </c>
      <c r="T523" s="9" t="s">
        <v>9321</v>
      </c>
      <c r="U523" s="9"/>
      <c r="V523" s="9"/>
      <c r="W523" s="9"/>
      <c r="X523" s="9"/>
      <c r="Y523" s="9"/>
      <c r="Z523" s="9"/>
      <c r="AA523" s="9"/>
      <c r="AB523" s="9"/>
      <c r="AC523" s="9"/>
      <c r="AD523" s="9"/>
    </row>
    <row r="524" spans="1:30" ht="72.5">
      <c r="A524" s="3" t="s">
        <v>1827</v>
      </c>
      <c r="B524" s="3" t="s">
        <v>8297</v>
      </c>
      <c r="C524" s="3" t="s">
        <v>8298</v>
      </c>
      <c r="F524" t="s">
        <v>3884</v>
      </c>
      <c r="G524" s="9" t="s">
        <v>3889</v>
      </c>
      <c r="H524" s="9"/>
      <c r="I524" s="9">
        <v>2</v>
      </c>
      <c r="J524" s="9">
        <v>10</v>
      </c>
      <c r="K524" s="9"/>
      <c r="L524" s="9" t="s">
        <v>8690</v>
      </c>
      <c r="M524" s="9"/>
      <c r="N524" s="10"/>
      <c r="O524" s="9"/>
      <c r="P524" s="9">
        <v>10</v>
      </c>
      <c r="Q524" s="9">
        <f t="shared" si="8"/>
        <v>1.2864880163641275</v>
      </c>
      <c r="R524" s="9"/>
      <c r="S524" s="9" t="s">
        <v>9321</v>
      </c>
      <c r="T524" s="9" t="s">
        <v>9321</v>
      </c>
      <c r="U524" s="9"/>
      <c r="V524" s="9"/>
      <c r="W524" s="9"/>
      <c r="X524" s="9"/>
      <c r="Y524" s="9"/>
      <c r="Z524" s="9"/>
      <c r="AA524" s="9"/>
      <c r="AB524" s="9"/>
      <c r="AC524" s="9"/>
      <c r="AD524" s="9"/>
    </row>
    <row r="525" spans="1:30" ht="29">
      <c r="A525" s="3" t="s">
        <v>1831</v>
      </c>
      <c r="B525" s="3" t="s">
        <v>8310</v>
      </c>
      <c r="C525" s="3" t="s">
        <v>8311</v>
      </c>
      <c r="F525" t="s">
        <v>3884</v>
      </c>
      <c r="G525" s="9" t="s">
        <v>3889</v>
      </c>
      <c r="H525" s="9"/>
      <c r="I525" s="9">
        <v>1</v>
      </c>
      <c r="J525" s="9">
        <v>2</v>
      </c>
      <c r="K525" s="9" t="s">
        <v>8689</v>
      </c>
      <c r="L525" s="9" t="s">
        <v>8730</v>
      </c>
      <c r="M525" s="9"/>
      <c r="N525" s="10"/>
      <c r="O525" s="9"/>
      <c r="P525" s="9">
        <v>10929</v>
      </c>
      <c r="Q525" s="9">
        <f t="shared" si="8"/>
        <v>1406.0027530843549</v>
      </c>
      <c r="R525" s="9"/>
      <c r="S525" s="9" t="s">
        <v>9321</v>
      </c>
      <c r="T525" s="9" t="s">
        <v>9321</v>
      </c>
      <c r="U525" s="9"/>
      <c r="V525" s="9"/>
      <c r="W525" s="9"/>
      <c r="X525" s="9"/>
      <c r="Y525" s="9"/>
      <c r="Z525" s="9"/>
      <c r="AA525" s="9"/>
      <c r="AB525" s="9"/>
      <c r="AC525" s="9"/>
      <c r="AD525" s="9"/>
    </row>
    <row r="526" spans="1:30" ht="58">
      <c r="A526" s="3" t="s">
        <v>1831</v>
      </c>
      <c r="B526" s="3" t="s">
        <v>8312</v>
      </c>
      <c r="C526" s="3" t="s">
        <v>8313</v>
      </c>
      <c r="F526" t="s">
        <v>3884</v>
      </c>
      <c r="G526" s="9" t="s">
        <v>3889</v>
      </c>
      <c r="H526" s="9"/>
      <c r="I526" s="9">
        <v>1</v>
      </c>
      <c r="J526" s="9">
        <v>2</v>
      </c>
      <c r="K526" s="9" t="s">
        <v>8707</v>
      </c>
      <c r="L526" s="9" t="s">
        <v>8730</v>
      </c>
      <c r="M526" s="9"/>
      <c r="N526" s="10"/>
      <c r="O526" s="9"/>
      <c r="P526" s="9">
        <v>1942</v>
      </c>
      <c r="Q526" s="9">
        <f t="shared" si="8"/>
        <v>249.83597277791355</v>
      </c>
      <c r="R526" s="9"/>
      <c r="S526" s="9" t="s">
        <v>9321</v>
      </c>
      <c r="T526" s="9" t="s">
        <v>9321</v>
      </c>
      <c r="U526" s="9"/>
      <c r="V526" s="9"/>
      <c r="W526" s="9"/>
      <c r="X526" s="9"/>
      <c r="Y526" s="9"/>
      <c r="Z526" s="9"/>
      <c r="AA526" s="9"/>
      <c r="AB526" s="9"/>
      <c r="AC526" s="9"/>
      <c r="AD526" s="9"/>
    </row>
    <row r="527" spans="1:30" ht="145">
      <c r="A527" s="3" t="s">
        <v>1833</v>
      </c>
      <c r="B527" s="3" t="s">
        <v>8315</v>
      </c>
      <c r="C527" s="3" t="s">
        <v>8316</v>
      </c>
      <c r="F527" t="s">
        <v>3888</v>
      </c>
      <c r="G527" s="9" t="s">
        <v>3889</v>
      </c>
      <c r="H527" s="9"/>
      <c r="I527" s="9">
        <v>4</v>
      </c>
      <c r="J527" s="9">
        <v>26</v>
      </c>
      <c r="K527" s="9"/>
      <c r="L527" s="9" t="s">
        <v>8684</v>
      </c>
      <c r="M527" s="9" t="s">
        <v>8777</v>
      </c>
      <c r="N527" s="10" t="s">
        <v>9173</v>
      </c>
      <c r="O527" s="9"/>
      <c r="P527" s="9">
        <v>20</v>
      </c>
      <c r="Q527" s="9">
        <f t="shared" si="8"/>
        <v>2.5729760327282549</v>
      </c>
      <c r="R527" s="9"/>
      <c r="S527" s="9" t="s">
        <v>9321</v>
      </c>
      <c r="T527" s="9" t="s">
        <v>9321</v>
      </c>
      <c r="U527" s="9"/>
      <c r="V527" s="9"/>
      <c r="W527" s="9"/>
      <c r="X527" s="9"/>
      <c r="Y527" s="9"/>
      <c r="Z527" s="9"/>
      <c r="AA527" s="9"/>
      <c r="AB527" s="9"/>
      <c r="AC527" s="9"/>
      <c r="AD527" s="9"/>
    </row>
    <row r="528" spans="1:30" ht="72.5">
      <c r="A528" s="3" t="s">
        <v>1836</v>
      </c>
      <c r="B528" s="3" t="s">
        <v>8325</v>
      </c>
      <c r="C528" s="3" t="s">
        <v>8326</v>
      </c>
      <c r="F528" t="s">
        <v>3884</v>
      </c>
      <c r="G528" s="9" t="s">
        <v>3885</v>
      </c>
      <c r="H528" s="9"/>
      <c r="I528" s="9">
        <v>1</v>
      </c>
      <c r="J528" s="9">
        <v>8</v>
      </c>
      <c r="K528" s="9" t="s">
        <v>8736</v>
      </c>
      <c r="L528" s="9" t="s">
        <v>8684</v>
      </c>
      <c r="M528" s="9" t="s">
        <v>8777</v>
      </c>
      <c r="N528" s="10" t="s">
        <v>8983</v>
      </c>
      <c r="O528" s="9" t="s">
        <v>8685</v>
      </c>
      <c r="P528" s="9">
        <v>79</v>
      </c>
      <c r="Q528" s="9">
        <f t="shared" si="8"/>
        <v>10.163255329276607</v>
      </c>
      <c r="R528" s="9"/>
      <c r="S528" s="9" t="s">
        <v>9321</v>
      </c>
      <c r="T528" s="9" t="s">
        <v>9321</v>
      </c>
      <c r="U528" s="9"/>
      <c r="V528" s="9"/>
      <c r="W528" s="9"/>
      <c r="X528" s="9"/>
      <c r="Y528" s="9"/>
      <c r="Z528" s="9"/>
      <c r="AA528" s="9"/>
      <c r="AB528" s="9"/>
      <c r="AC528" s="9"/>
      <c r="AD528" s="9"/>
    </row>
    <row r="529" spans="1:30" ht="43.5">
      <c r="A529" s="3" t="s">
        <v>1839</v>
      </c>
      <c r="B529" s="3" t="s">
        <v>8335</v>
      </c>
      <c r="C529" s="3" t="s">
        <v>8336</v>
      </c>
      <c r="F529" t="s">
        <v>3884</v>
      </c>
      <c r="G529" s="9" t="s">
        <v>3885</v>
      </c>
      <c r="H529" s="9"/>
      <c r="I529" s="9">
        <v>1</v>
      </c>
      <c r="J529" s="9">
        <v>4</v>
      </c>
      <c r="K529" s="9" t="s">
        <v>8689</v>
      </c>
      <c r="L529" s="9" t="s">
        <v>8690</v>
      </c>
      <c r="M529" s="9"/>
      <c r="N529" s="10"/>
      <c r="O529" s="9"/>
      <c r="P529" s="9">
        <v>10929</v>
      </c>
      <c r="Q529" s="9">
        <f t="shared" si="8"/>
        <v>1406.0027530843549</v>
      </c>
      <c r="R529" s="9"/>
      <c r="S529" s="9" t="s">
        <v>9321</v>
      </c>
      <c r="T529" s="9" t="s">
        <v>9321</v>
      </c>
      <c r="U529" s="9"/>
      <c r="V529" s="9"/>
      <c r="W529" s="9"/>
      <c r="X529" s="9"/>
      <c r="Y529" s="9"/>
      <c r="Z529" s="9"/>
      <c r="AA529" s="9"/>
      <c r="AB529" s="9"/>
      <c r="AC529" s="9"/>
      <c r="AD529" s="9"/>
    </row>
    <row r="530" spans="1:30" ht="58">
      <c r="A530" s="3" t="s">
        <v>1840</v>
      </c>
      <c r="B530" s="3" t="s">
        <v>8338</v>
      </c>
      <c r="C530" s="3" t="s">
        <v>8337</v>
      </c>
      <c r="F530" t="s">
        <v>3884</v>
      </c>
      <c r="G530" s="9" t="s">
        <v>3889</v>
      </c>
      <c r="H530" s="9"/>
      <c r="I530" s="9">
        <v>1</v>
      </c>
      <c r="J530" s="9">
        <v>3</v>
      </c>
      <c r="K530" s="9" t="s">
        <v>8695</v>
      </c>
      <c r="L530" s="9" t="s">
        <v>8690</v>
      </c>
      <c r="M530" s="9"/>
      <c r="N530" s="10"/>
      <c r="O530" s="9"/>
      <c r="P530" s="9">
        <v>8</v>
      </c>
      <c r="Q530" s="9">
        <f t="shared" si="8"/>
        <v>1.0291904130913021</v>
      </c>
      <c r="R530" s="9"/>
      <c r="S530" s="9" t="s">
        <v>9321</v>
      </c>
      <c r="T530" s="9" t="s">
        <v>9321</v>
      </c>
      <c r="U530" s="9"/>
      <c r="V530" s="9"/>
      <c r="W530" s="9"/>
      <c r="X530" s="9"/>
      <c r="Y530" s="9"/>
      <c r="Z530" s="9"/>
      <c r="AA530" s="9"/>
      <c r="AB530" s="9"/>
      <c r="AC530" s="9"/>
      <c r="AD530" s="9"/>
    </row>
    <row r="531" spans="1:30" ht="72.5">
      <c r="A531" s="3" t="s">
        <v>1841</v>
      </c>
      <c r="B531" s="3" t="s">
        <v>8341</v>
      </c>
      <c r="C531" s="3" t="s">
        <v>8342</v>
      </c>
      <c r="G531" s="9" t="s">
        <v>3885</v>
      </c>
      <c r="H531" s="9"/>
      <c r="I531" s="9">
        <v>1</v>
      </c>
      <c r="J531" s="9">
        <v>3</v>
      </c>
      <c r="K531" s="9" t="s">
        <v>8689</v>
      </c>
      <c r="L531" s="9" t="s">
        <v>8690</v>
      </c>
      <c r="M531" s="9"/>
      <c r="N531" s="10"/>
      <c r="O531" s="9"/>
      <c r="P531" s="9">
        <v>10929</v>
      </c>
      <c r="Q531" s="9">
        <f t="shared" si="8"/>
        <v>1406.0027530843549</v>
      </c>
      <c r="R531" s="9"/>
      <c r="S531" s="9" t="s">
        <v>9321</v>
      </c>
      <c r="T531" s="9" t="s">
        <v>9321</v>
      </c>
      <c r="U531" s="9"/>
      <c r="V531" s="9"/>
      <c r="W531" s="9"/>
      <c r="X531" s="9"/>
      <c r="Y531" s="9"/>
      <c r="Z531" s="9"/>
      <c r="AA531" s="9"/>
      <c r="AB531" s="9"/>
      <c r="AC531" s="9"/>
      <c r="AD531" s="9"/>
    </row>
    <row r="532" spans="1:30" ht="58">
      <c r="A532" s="3" t="s">
        <v>1842</v>
      </c>
      <c r="B532" s="3" t="s">
        <v>8345</v>
      </c>
      <c r="C532" s="3" t="s">
        <v>8348</v>
      </c>
      <c r="F532" t="s">
        <v>3884</v>
      </c>
      <c r="G532" s="9" t="s">
        <v>3885</v>
      </c>
      <c r="H532" s="9"/>
      <c r="I532" s="9">
        <v>1</v>
      </c>
      <c r="J532" s="9">
        <v>3</v>
      </c>
      <c r="K532" s="9" t="s">
        <v>8689</v>
      </c>
      <c r="L532" s="9" t="s">
        <v>8690</v>
      </c>
      <c r="M532" s="9"/>
      <c r="N532" s="10"/>
      <c r="O532" s="9"/>
      <c r="P532" s="9">
        <v>10929</v>
      </c>
      <c r="Q532" s="9">
        <f t="shared" si="8"/>
        <v>1406.0027530843549</v>
      </c>
      <c r="R532" s="9"/>
      <c r="S532" s="9" t="s">
        <v>9321</v>
      </c>
      <c r="T532" s="9" t="s">
        <v>9321</v>
      </c>
      <c r="U532" s="9"/>
      <c r="V532" s="9"/>
      <c r="W532" s="9"/>
      <c r="X532" s="9"/>
      <c r="Y532" s="9"/>
      <c r="Z532" s="9"/>
      <c r="AA532" s="9"/>
      <c r="AB532" s="9"/>
      <c r="AC532" s="9"/>
      <c r="AD532" s="9"/>
    </row>
    <row r="533" spans="1:30" ht="29">
      <c r="A533" s="3" t="s">
        <v>1843</v>
      </c>
      <c r="B533" s="3" t="s">
        <v>8350</v>
      </c>
      <c r="C533" s="3" t="s">
        <v>8351</v>
      </c>
      <c r="F533" t="s">
        <v>3884</v>
      </c>
      <c r="G533" s="9" t="s">
        <v>3889</v>
      </c>
      <c r="H533" s="9"/>
      <c r="I533" s="9">
        <v>1</v>
      </c>
      <c r="J533" s="9">
        <v>3</v>
      </c>
      <c r="K533" s="9" t="s">
        <v>8689</v>
      </c>
      <c r="L533" s="9" t="s">
        <v>8690</v>
      </c>
      <c r="M533" s="9"/>
      <c r="N533" s="10"/>
      <c r="O533" s="9"/>
      <c r="P533" s="9">
        <v>10929</v>
      </c>
      <c r="Q533" s="9">
        <f t="shared" si="8"/>
        <v>1406.0027530843549</v>
      </c>
      <c r="R533" s="9"/>
      <c r="S533" s="9" t="s">
        <v>9321</v>
      </c>
      <c r="T533" s="9" t="s">
        <v>9321</v>
      </c>
      <c r="U533" s="9"/>
      <c r="V533" s="9"/>
      <c r="W533" s="9"/>
      <c r="X533" s="9"/>
      <c r="Y533" s="9"/>
      <c r="Z533" s="9"/>
      <c r="AA533" s="9"/>
      <c r="AB533" s="9"/>
      <c r="AC533" s="9"/>
      <c r="AD533" s="9"/>
    </row>
    <row r="534" spans="1:30" ht="188.5">
      <c r="A534" s="3" t="s">
        <v>1853</v>
      </c>
      <c r="B534" s="3" t="s">
        <v>8404</v>
      </c>
      <c r="C534" s="3" t="s">
        <v>8405</v>
      </c>
      <c r="F534" t="s">
        <v>3884</v>
      </c>
      <c r="G534" s="9" t="s">
        <v>3889</v>
      </c>
      <c r="H534" s="9"/>
      <c r="I534" s="9">
        <v>7</v>
      </c>
      <c r="J534" s="9">
        <v>24</v>
      </c>
      <c r="K534" s="9"/>
      <c r="L534" s="9" t="s">
        <v>8684</v>
      </c>
      <c r="M534" s="9" t="s">
        <v>8740</v>
      </c>
      <c r="N534" s="10" t="s">
        <v>9177</v>
      </c>
      <c r="O534" s="9"/>
      <c r="P534" s="9">
        <v>37</v>
      </c>
      <c r="Q534" s="9">
        <f t="shared" si="8"/>
        <v>4.7600056605472716</v>
      </c>
      <c r="R534" s="9"/>
      <c r="S534" s="9" t="s">
        <v>9321</v>
      </c>
      <c r="T534" s="9" t="s">
        <v>9321</v>
      </c>
      <c r="U534" s="9"/>
      <c r="V534" s="9"/>
      <c r="W534" s="9"/>
      <c r="X534" s="9"/>
      <c r="Y534" s="9"/>
      <c r="Z534" s="9"/>
      <c r="AA534" s="9"/>
      <c r="AB534" s="9"/>
      <c r="AC534" s="9"/>
      <c r="AD534" s="9"/>
    </row>
    <row r="535" spans="1:30" ht="29">
      <c r="A535" s="3" t="s">
        <v>1854</v>
      </c>
      <c r="B535" s="3" t="s">
        <v>8408</v>
      </c>
      <c r="C535" s="3" t="s">
        <v>8409</v>
      </c>
      <c r="G535" s="9" t="s">
        <v>3889</v>
      </c>
      <c r="H535" s="9"/>
      <c r="I535" s="9">
        <v>1</v>
      </c>
      <c r="J535" s="9">
        <v>3</v>
      </c>
      <c r="K535" s="9" t="s">
        <v>8689</v>
      </c>
      <c r="L535" s="9" t="s">
        <v>8690</v>
      </c>
      <c r="M535" s="9"/>
      <c r="N535" s="10"/>
      <c r="O535" s="9"/>
      <c r="P535" s="9">
        <v>10929</v>
      </c>
      <c r="Q535" s="9">
        <f t="shared" si="8"/>
        <v>1406.0027530843549</v>
      </c>
      <c r="R535" s="9"/>
      <c r="S535" s="9" t="s">
        <v>9321</v>
      </c>
      <c r="T535" s="9" t="s">
        <v>9321</v>
      </c>
      <c r="U535" s="9"/>
      <c r="V535" s="9"/>
      <c r="W535" s="9"/>
      <c r="X535" s="9"/>
      <c r="Y535" s="9"/>
      <c r="Z535" s="9"/>
      <c r="AA535" s="9"/>
      <c r="AB535" s="9"/>
      <c r="AC535" s="9"/>
      <c r="AD535" s="9"/>
    </row>
    <row r="536" spans="1:30" ht="58">
      <c r="A536" s="3" t="s">
        <v>1862</v>
      </c>
      <c r="B536" s="3" t="s">
        <v>8434</v>
      </c>
      <c r="C536" s="3" t="s">
        <v>8435</v>
      </c>
      <c r="F536" t="s">
        <v>3884</v>
      </c>
      <c r="G536" s="9" t="s">
        <v>3889</v>
      </c>
      <c r="H536" s="9"/>
      <c r="I536" s="9">
        <v>1</v>
      </c>
      <c r="J536" s="9">
        <v>8</v>
      </c>
      <c r="K536" s="9" t="s">
        <v>8703</v>
      </c>
      <c r="L536" s="9" t="s">
        <v>8690</v>
      </c>
      <c r="M536" s="9"/>
      <c r="N536" s="10"/>
      <c r="O536" s="9"/>
      <c r="P536" s="9">
        <v>41</v>
      </c>
      <c r="Q536" s="9">
        <f t="shared" si="8"/>
        <v>5.2746008670929232</v>
      </c>
      <c r="R536" s="9"/>
      <c r="S536" s="9" t="s">
        <v>9321</v>
      </c>
      <c r="T536" s="9" t="s">
        <v>9321</v>
      </c>
      <c r="U536" s="9"/>
      <c r="V536" s="9"/>
      <c r="W536" s="9"/>
      <c r="X536" s="9"/>
      <c r="Y536" s="9"/>
      <c r="Z536" s="9"/>
      <c r="AA536" s="9"/>
      <c r="AB536" s="9"/>
      <c r="AC536" s="9"/>
      <c r="AD536" s="9"/>
    </row>
    <row r="537" spans="1:30" ht="29">
      <c r="A537" s="3" t="s">
        <v>1869</v>
      </c>
      <c r="B537" s="3" t="s">
        <v>8456</v>
      </c>
      <c r="C537" s="3" t="s">
        <v>8457</v>
      </c>
      <c r="F537" t="s">
        <v>3884</v>
      </c>
      <c r="G537" s="9" t="s">
        <v>3885</v>
      </c>
      <c r="H537" s="9"/>
      <c r="I537" s="9">
        <v>1</v>
      </c>
      <c r="J537" s="9">
        <v>2</v>
      </c>
      <c r="K537" s="9" t="s">
        <v>8734</v>
      </c>
      <c r="L537" s="9" t="s">
        <v>8730</v>
      </c>
      <c r="M537" s="9"/>
      <c r="N537" s="10"/>
      <c r="O537" s="9" t="s">
        <v>8685</v>
      </c>
      <c r="P537" s="9">
        <v>36</v>
      </c>
      <c r="Q537" s="9">
        <f t="shared" si="8"/>
        <v>4.6313568589108591</v>
      </c>
      <c r="R537" s="9"/>
      <c r="S537" s="9" t="s">
        <v>9321</v>
      </c>
      <c r="T537" s="9" t="s">
        <v>9321</v>
      </c>
      <c r="U537" s="9"/>
      <c r="V537" s="9"/>
      <c r="W537" s="9"/>
      <c r="X537" s="9"/>
      <c r="Y537" s="9"/>
      <c r="Z537" s="9"/>
      <c r="AA537" s="9"/>
      <c r="AB537" s="9"/>
      <c r="AC537" s="9"/>
      <c r="AD537" s="9"/>
    </row>
    <row r="538" spans="1:30" ht="72.5">
      <c r="A538" s="3" t="s">
        <v>1870</v>
      </c>
      <c r="B538" s="3" t="s">
        <v>8465</v>
      </c>
      <c r="C538" s="3" t="s">
        <v>8464</v>
      </c>
      <c r="G538" s="9" t="s">
        <v>3889</v>
      </c>
      <c r="H538" s="9"/>
      <c r="I538" s="9">
        <v>1</v>
      </c>
      <c r="J538" s="9">
        <v>2</v>
      </c>
      <c r="K538" s="9" t="s">
        <v>8734</v>
      </c>
      <c r="L538" s="9" t="s">
        <v>8730</v>
      </c>
      <c r="M538" s="9"/>
      <c r="N538" s="10"/>
      <c r="O538" s="9" t="s">
        <v>8685</v>
      </c>
      <c r="P538" s="9">
        <v>698</v>
      </c>
      <c r="Q538" s="9">
        <f t="shared" si="8"/>
        <v>89.796863542216116</v>
      </c>
      <c r="R538" s="9"/>
      <c r="S538" s="9" t="s">
        <v>9321</v>
      </c>
      <c r="T538" s="9" t="s">
        <v>9321</v>
      </c>
      <c r="U538" s="9"/>
      <c r="V538" s="9"/>
      <c r="W538" s="9"/>
      <c r="X538" s="9"/>
      <c r="Y538" s="9"/>
      <c r="Z538" s="9"/>
      <c r="AA538" s="9"/>
      <c r="AB538" s="9"/>
      <c r="AC538" s="9"/>
      <c r="AD538" s="9"/>
    </row>
    <row r="539" spans="1:30" ht="101.5">
      <c r="A539" s="3" t="s">
        <v>1875</v>
      </c>
      <c r="B539" s="3" t="s">
        <v>8503</v>
      </c>
      <c r="C539" s="3" t="s">
        <v>8502</v>
      </c>
      <c r="F539" t="s">
        <v>3884</v>
      </c>
      <c r="G539" s="9" t="s">
        <v>3889</v>
      </c>
      <c r="H539" s="9"/>
      <c r="I539" s="9">
        <v>2</v>
      </c>
      <c r="J539" s="9">
        <v>13</v>
      </c>
      <c r="K539" s="9"/>
      <c r="L539" s="9" t="s">
        <v>8690</v>
      </c>
      <c r="M539" s="9"/>
      <c r="N539" s="10"/>
      <c r="O539" s="9"/>
      <c r="P539" s="9">
        <v>25</v>
      </c>
      <c r="Q539" s="9">
        <f t="shared" si="8"/>
        <v>3.216220040910319</v>
      </c>
      <c r="R539" s="9"/>
      <c r="S539" s="9" t="s">
        <v>9321</v>
      </c>
      <c r="T539" s="9" t="s">
        <v>9321</v>
      </c>
      <c r="U539" s="9"/>
      <c r="V539" s="9"/>
      <c r="W539" s="9"/>
      <c r="X539" s="9"/>
      <c r="Y539" s="9"/>
      <c r="Z539" s="9"/>
      <c r="AA539" s="9"/>
      <c r="AB539" s="9"/>
      <c r="AC539" s="9"/>
      <c r="AD539" s="9"/>
    </row>
    <row r="540" spans="1:30" ht="58">
      <c r="A540" s="3" t="s">
        <v>1880</v>
      </c>
      <c r="B540" s="3" t="s">
        <v>8515</v>
      </c>
      <c r="C540" s="3" t="s">
        <v>8516</v>
      </c>
      <c r="G540" s="9" t="s">
        <v>3885</v>
      </c>
      <c r="H540" s="9"/>
      <c r="I540" s="9">
        <v>1</v>
      </c>
      <c r="J540" s="9">
        <v>3</v>
      </c>
      <c r="K540" s="9" t="s">
        <v>8689</v>
      </c>
      <c r="L540" s="9" t="s">
        <v>8690</v>
      </c>
      <c r="M540" s="9"/>
      <c r="N540" s="10"/>
      <c r="O540" s="9"/>
      <c r="P540" s="9">
        <v>10929</v>
      </c>
      <c r="Q540" s="9">
        <f t="shared" si="8"/>
        <v>1406.0027530843549</v>
      </c>
      <c r="R540" s="9"/>
      <c r="S540" s="9" t="s">
        <v>9321</v>
      </c>
      <c r="T540" s="9" t="s">
        <v>9321</v>
      </c>
      <c r="U540" s="9"/>
      <c r="V540" s="9"/>
      <c r="W540" s="9"/>
      <c r="X540" s="9"/>
      <c r="Y540" s="9"/>
      <c r="Z540" s="9"/>
      <c r="AA540" s="9"/>
      <c r="AB540" s="9"/>
      <c r="AC540" s="9"/>
      <c r="AD540" s="9"/>
    </row>
    <row r="541" spans="1:30" ht="101.5">
      <c r="A541" s="3" t="s">
        <v>1894</v>
      </c>
      <c r="B541" s="3" t="s">
        <v>8554</v>
      </c>
      <c r="C541" s="3" t="s">
        <v>8558</v>
      </c>
      <c r="F541" t="s">
        <v>3884</v>
      </c>
      <c r="G541" s="9" t="s">
        <v>3885</v>
      </c>
      <c r="H541" s="9"/>
      <c r="I541" s="9">
        <v>1</v>
      </c>
      <c r="J541" s="9">
        <v>4</v>
      </c>
      <c r="K541" s="9" t="s">
        <v>8703</v>
      </c>
      <c r="L541" s="9" t="s">
        <v>8690</v>
      </c>
      <c r="M541" s="9"/>
      <c r="N541" s="10"/>
      <c r="O541" s="9"/>
      <c r="P541" s="9">
        <v>797</v>
      </c>
      <c r="Q541" s="9">
        <f t="shared" si="8"/>
        <v>102.53309490422097</v>
      </c>
      <c r="R541" s="9"/>
      <c r="S541" s="9" t="s">
        <v>9321</v>
      </c>
      <c r="T541" s="9" t="s">
        <v>9321</v>
      </c>
      <c r="U541" s="9"/>
      <c r="V541" s="9"/>
      <c r="W541" s="9"/>
      <c r="X541" s="9"/>
      <c r="Y541" s="9"/>
      <c r="Z541" s="9"/>
      <c r="AA541" s="9"/>
      <c r="AB541" s="9"/>
      <c r="AC541" s="9"/>
      <c r="AD541" s="9"/>
    </row>
    <row r="542" spans="1:30" ht="72.5">
      <c r="A542" s="3" t="s">
        <v>1898</v>
      </c>
      <c r="B542" s="3" t="s">
        <v>8572</v>
      </c>
      <c r="C542" s="3" t="s">
        <v>9666</v>
      </c>
      <c r="G542" s="9" t="s">
        <v>3889</v>
      </c>
      <c r="H542" s="9"/>
      <c r="I542" s="9">
        <v>1</v>
      </c>
      <c r="J542" s="9">
        <v>3</v>
      </c>
      <c r="K542" s="9" t="s">
        <v>8689</v>
      </c>
      <c r="L542" s="9" t="s">
        <v>8690</v>
      </c>
      <c r="M542" s="9"/>
      <c r="N542" s="10"/>
      <c r="O542" s="9"/>
      <c r="P542" s="9">
        <v>10929</v>
      </c>
      <c r="Q542" s="9">
        <f t="shared" si="8"/>
        <v>1406.0027530843549</v>
      </c>
      <c r="R542" s="9"/>
      <c r="S542" s="9" t="s">
        <v>9321</v>
      </c>
      <c r="T542" s="9" t="s">
        <v>9321</v>
      </c>
      <c r="U542" s="9"/>
      <c r="V542" s="9"/>
      <c r="W542" s="9"/>
      <c r="X542" s="9"/>
      <c r="Y542" s="9"/>
      <c r="Z542" s="9"/>
      <c r="AA542" s="9"/>
      <c r="AB542" s="9"/>
      <c r="AC542" s="9"/>
      <c r="AD542" s="9"/>
    </row>
    <row r="543" spans="1:30" ht="29">
      <c r="A543" s="3" t="s">
        <v>1899</v>
      </c>
      <c r="B543" s="3" t="s">
        <v>8573</v>
      </c>
      <c r="C543" s="3" t="s">
        <v>6784</v>
      </c>
      <c r="G543" s="9" t="s">
        <v>3889</v>
      </c>
      <c r="H543" s="9"/>
      <c r="I543" s="9">
        <v>1</v>
      </c>
      <c r="J543" s="9">
        <v>4</v>
      </c>
      <c r="K543" s="9" t="s">
        <v>8710</v>
      </c>
      <c r="L543" s="9" t="s">
        <v>8684</v>
      </c>
      <c r="M543" s="9" t="s">
        <v>8771</v>
      </c>
      <c r="N543" s="10" t="s">
        <v>8778</v>
      </c>
      <c r="O543" s="9"/>
      <c r="P543" s="9">
        <v>266</v>
      </c>
      <c r="Q543" s="9">
        <f t="shared" si="8"/>
        <v>34.220581235285792</v>
      </c>
      <c r="R543" s="9"/>
      <c r="S543" s="9" t="s">
        <v>9321</v>
      </c>
      <c r="T543" s="9" t="s">
        <v>9321</v>
      </c>
      <c r="U543" s="9"/>
      <c r="V543" s="9"/>
      <c r="W543" s="9"/>
      <c r="X543" s="9"/>
      <c r="Y543" s="9"/>
      <c r="Z543" s="9"/>
      <c r="AA543" s="9"/>
      <c r="AB543" s="9"/>
      <c r="AC543" s="9"/>
      <c r="AD543" s="9"/>
    </row>
    <row r="544" spans="1:30" ht="101.5">
      <c r="A544" s="3" t="s">
        <v>1900</v>
      </c>
      <c r="B544" s="3" t="s">
        <v>8575</v>
      </c>
      <c r="C544" s="3" t="s">
        <v>8576</v>
      </c>
      <c r="G544" s="9" t="s">
        <v>3885</v>
      </c>
      <c r="H544" s="9"/>
      <c r="I544" s="9">
        <v>3</v>
      </c>
      <c r="J544" s="9">
        <v>9</v>
      </c>
      <c r="K544" s="9"/>
      <c r="L544" s="9" t="s">
        <v>8690</v>
      </c>
      <c r="M544" s="9"/>
      <c r="N544" s="10"/>
      <c r="O544" s="9"/>
      <c r="P544" s="9">
        <v>131</v>
      </c>
      <c r="Q544" s="9">
        <f t="shared" si="8"/>
        <v>16.852993014370071</v>
      </c>
      <c r="R544" s="9"/>
      <c r="S544" s="9" t="s">
        <v>9321</v>
      </c>
      <c r="T544" s="9" t="s">
        <v>9321</v>
      </c>
      <c r="U544" s="9"/>
      <c r="V544" s="9"/>
      <c r="W544" s="9"/>
      <c r="X544" s="9"/>
      <c r="Y544" s="9"/>
      <c r="Z544" s="9"/>
      <c r="AA544" s="9"/>
      <c r="AB544" s="9"/>
      <c r="AC544" s="9"/>
      <c r="AD544" s="9"/>
    </row>
    <row r="545" spans="1:30" ht="58">
      <c r="A545" s="3" t="s">
        <v>1910</v>
      </c>
      <c r="B545" s="3" t="s">
        <v>9182</v>
      </c>
      <c r="C545" s="3" t="s">
        <v>8610</v>
      </c>
      <c r="F545" t="s">
        <v>3884</v>
      </c>
      <c r="G545" s="9" t="s">
        <v>3889</v>
      </c>
      <c r="H545" s="9"/>
      <c r="I545" s="9">
        <v>1</v>
      </c>
      <c r="J545" s="9">
        <v>1</v>
      </c>
      <c r="K545" s="9" t="s">
        <v>8689</v>
      </c>
      <c r="L545" s="9" t="s">
        <v>8730</v>
      </c>
      <c r="M545" s="9"/>
      <c r="N545" s="10"/>
      <c r="O545" s="9"/>
      <c r="P545" s="9">
        <v>10929</v>
      </c>
      <c r="Q545" s="9">
        <f t="shared" si="8"/>
        <v>1406.0027530843549</v>
      </c>
      <c r="R545" s="9"/>
      <c r="S545" s="9" t="s">
        <v>9321</v>
      </c>
      <c r="T545" s="9" t="s">
        <v>9321</v>
      </c>
      <c r="U545" s="9"/>
      <c r="V545" s="9"/>
      <c r="W545" s="9"/>
      <c r="X545" s="9"/>
      <c r="Y545" s="9"/>
      <c r="Z545" s="9"/>
      <c r="AA545" s="9"/>
      <c r="AB545" s="9"/>
      <c r="AC545" s="9"/>
      <c r="AD545" s="9"/>
    </row>
    <row r="546" spans="1:30" ht="72.5">
      <c r="A546" s="3" t="s">
        <v>1922</v>
      </c>
      <c r="B546" s="3" t="s">
        <v>8645</v>
      </c>
      <c r="C546" s="3" t="s">
        <v>8646</v>
      </c>
      <c r="G546" s="9" t="s">
        <v>3889</v>
      </c>
      <c r="H546" s="9"/>
      <c r="I546" s="9">
        <v>1</v>
      </c>
      <c r="J546" s="9">
        <v>3</v>
      </c>
      <c r="K546" s="9" t="s">
        <v>8689</v>
      </c>
      <c r="L546" s="9" t="s">
        <v>8690</v>
      </c>
      <c r="M546" s="9"/>
      <c r="N546" s="10"/>
      <c r="O546" s="9"/>
      <c r="P546" s="9">
        <v>10929</v>
      </c>
      <c r="Q546" s="9">
        <f t="shared" si="8"/>
        <v>1406.0027530843549</v>
      </c>
      <c r="R546" s="9"/>
      <c r="S546" s="9" t="s">
        <v>9321</v>
      </c>
      <c r="T546" s="9" t="s">
        <v>9321</v>
      </c>
      <c r="U546" s="9"/>
      <c r="V546" s="9"/>
      <c r="W546" s="9"/>
      <c r="X546" s="9"/>
      <c r="Y546" s="9"/>
      <c r="Z546" s="9"/>
      <c r="AA546" s="9"/>
      <c r="AB546" s="9"/>
      <c r="AC546" s="9"/>
      <c r="AD546" s="9"/>
    </row>
    <row r="547" spans="1:30" ht="29">
      <c r="A547" s="3" t="s">
        <v>1924</v>
      </c>
      <c r="B547" s="3" t="s">
        <v>8651</v>
      </c>
      <c r="C547" s="3" t="s">
        <v>8652</v>
      </c>
      <c r="F547" t="s">
        <v>3884</v>
      </c>
      <c r="G547" s="9" t="s">
        <v>3889</v>
      </c>
      <c r="H547" s="9"/>
      <c r="I547" s="9">
        <v>1</v>
      </c>
      <c r="J547" s="9">
        <v>2</v>
      </c>
      <c r="K547" s="9" t="s">
        <v>8736</v>
      </c>
      <c r="L547" s="9" t="s">
        <v>8730</v>
      </c>
      <c r="M547" s="9"/>
      <c r="N547" s="10"/>
      <c r="O547" s="9"/>
      <c r="P547" s="9">
        <v>645</v>
      </c>
      <c r="Q547" s="9">
        <f t="shared" si="8"/>
        <v>82.978477055486238</v>
      </c>
      <c r="R547" s="9"/>
      <c r="S547" s="9" t="s">
        <v>9321</v>
      </c>
      <c r="T547" s="9" t="s">
        <v>9321</v>
      </c>
      <c r="U547" s="9"/>
      <c r="V547" s="9"/>
      <c r="W547" s="9"/>
      <c r="X547" s="9"/>
      <c r="Y547" s="9"/>
      <c r="Z547" s="9"/>
      <c r="AA547" s="9"/>
      <c r="AB547" s="9"/>
      <c r="AC547" s="9"/>
      <c r="AD547" s="9"/>
    </row>
    <row r="548" spans="1:30" ht="29">
      <c r="A548" s="3" t="s">
        <v>1927</v>
      </c>
      <c r="B548" s="3" t="s">
        <v>8659</v>
      </c>
      <c r="C548" s="3" t="s">
        <v>8660</v>
      </c>
      <c r="F548" t="s">
        <v>3884</v>
      </c>
      <c r="G548" s="9" t="s">
        <v>3889</v>
      </c>
      <c r="H548" s="9"/>
      <c r="I548" s="9">
        <v>1</v>
      </c>
      <c r="J548" s="9">
        <v>2</v>
      </c>
      <c r="K548" s="9" t="s">
        <v>8689</v>
      </c>
      <c r="L548" s="9" t="s">
        <v>8730</v>
      </c>
      <c r="M548" s="9"/>
      <c r="N548" s="10"/>
      <c r="O548" s="9"/>
      <c r="P548" s="9">
        <v>10929</v>
      </c>
      <c r="Q548" s="9">
        <f t="shared" si="8"/>
        <v>1406.0027530843549</v>
      </c>
      <c r="R548" s="9"/>
      <c r="S548" s="9" t="s">
        <v>9321</v>
      </c>
      <c r="T548" s="9" t="s">
        <v>9321</v>
      </c>
      <c r="U548" s="9"/>
      <c r="V548" s="9"/>
      <c r="W548" s="9"/>
      <c r="X548" s="9"/>
      <c r="Y548" s="9"/>
      <c r="Z548" s="9"/>
      <c r="AA548" s="9"/>
      <c r="AB548" s="9"/>
      <c r="AC548" s="9"/>
      <c r="AD548" s="9"/>
    </row>
    <row r="549" spans="1:30" ht="29">
      <c r="A549" s="3" t="s">
        <v>1928</v>
      </c>
      <c r="B549" s="3" t="s">
        <v>8661</v>
      </c>
      <c r="C549" s="3" t="s">
        <v>8662</v>
      </c>
      <c r="G549" s="9" t="s">
        <v>3885</v>
      </c>
      <c r="H549" s="9"/>
      <c r="I549" s="9">
        <v>1</v>
      </c>
      <c r="J549" s="9">
        <v>2</v>
      </c>
      <c r="K549" s="9" t="s">
        <v>8689</v>
      </c>
      <c r="L549" s="9" t="s">
        <v>8730</v>
      </c>
      <c r="M549" s="9"/>
      <c r="N549" s="10"/>
      <c r="O549" s="9"/>
      <c r="P549" s="9">
        <v>10929</v>
      </c>
      <c r="Q549" s="9">
        <f t="shared" si="8"/>
        <v>1406.0027530843549</v>
      </c>
      <c r="R549" s="9"/>
      <c r="S549" s="9" t="s">
        <v>9321</v>
      </c>
      <c r="T549" s="9" t="s">
        <v>9321</v>
      </c>
      <c r="U549" s="9"/>
      <c r="V549" s="9"/>
      <c r="W549" s="9"/>
      <c r="X549" s="9"/>
      <c r="Y549" s="9"/>
      <c r="Z549" s="9"/>
      <c r="AA549" s="9"/>
      <c r="AB549" s="9"/>
      <c r="AC549" s="9"/>
      <c r="AD549" s="9"/>
    </row>
    <row r="550" spans="1:30" ht="304.5">
      <c r="A550" s="3" t="s">
        <v>1930</v>
      </c>
      <c r="B550" s="3" t="s">
        <v>8673</v>
      </c>
      <c r="C550" s="3" t="s">
        <v>8674</v>
      </c>
      <c r="F550" t="s">
        <v>3884</v>
      </c>
      <c r="G550" s="9" t="s">
        <v>3885</v>
      </c>
      <c r="H550" s="9"/>
      <c r="I550" s="9">
        <v>17</v>
      </c>
      <c r="J550" s="9">
        <v>86</v>
      </c>
      <c r="K550" s="9"/>
      <c r="L550" s="9" t="s">
        <v>8684</v>
      </c>
      <c r="M550" s="9" t="s">
        <v>8847</v>
      </c>
      <c r="N550" s="10" t="s">
        <v>8813</v>
      </c>
      <c r="O550" s="9" t="s">
        <v>8691</v>
      </c>
      <c r="P550" s="9">
        <v>7</v>
      </c>
      <c r="Q550" s="9">
        <f t="shared" si="8"/>
        <v>0.90054161145488931</v>
      </c>
      <c r="R550" s="9"/>
      <c r="S550" s="9" t="s">
        <v>9321</v>
      </c>
      <c r="T550" s="9" t="s">
        <v>9321</v>
      </c>
      <c r="U550" s="9"/>
      <c r="V550" s="9"/>
      <c r="W550" s="9"/>
      <c r="X550" s="9"/>
      <c r="Y550" s="9"/>
      <c r="Z550" s="9"/>
      <c r="AA550" s="9"/>
      <c r="AB550" s="9"/>
      <c r="AC550" s="9"/>
      <c r="AD550" s="9"/>
    </row>
    <row r="551" spans="1:30">
      <c r="S551" s="9"/>
      <c r="T551" s="9"/>
    </row>
    <row r="552" spans="1:30">
      <c r="S552" s="9"/>
      <c r="T552" s="9"/>
    </row>
    <row r="553" spans="1:30">
      <c r="E553" t="s">
        <v>9290</v>
      </c>
      <c r="F553">
        <f>COUNTIF(G:G,"Addition")</f>
        <v>243</v>
      </c>
      <c r="S553" s="9"/>
      <c r="T553" s="9"/>
    </row>
    <row r="554" spans="1:30">
      <c r="B554" t="s">
        <v>9293</v>
      </c>
      <c r="C554" t="s">
        <v>9294</v>
      </c>
      <c r="E554" t="s">
        <v>9291</v>
      </c>
      <c r="F554">
        <f>COUNTIF(G:G,"Omission")</f>
        <v>306</v>
      </c>
      <c r="S554" s="9"/>
      <c r="T554" s="9"/>
    </row>
    <row r="555" spans="1:30">
      <c r="B555" t="s">
        <v>8689</v>
      </c>
      <c r="C555" t="s">
        <v>8683</v>
      </c>
      <c r="E555" t="s">
        <v>9292</v>
      </c>
      <c r="F555">
        <f>F553/(F553+F554)</f>
        <v>0.44262295081967212</v>
      </c>
      <c r="S555" s="9"/>
      <c r="T555" s="9"/>
    </row>
    <row r="556" spans="1:30">
      <c r="B556" t="s">
        <v>8698</v>
      </c>
      <c r="C556" t="s">
        <v>8695</v>
      </c>
      <c r="S556" s="9"/>
      <c r="T556" s="9"/>
    </row>
    <row r="557" spans="1:30">
      <c r="B557" t="s">
        <v>8705</v>
      </c>
      <c r="C557" t="s">
        <v>8703</v>
      </c>
      <c r="S557" s="9"/>
      <c r="T557" s="9"/>
    </row>
    <row r="558" spans="1:30">
      <c r="B558" t="s">
        <v>8707</v>
      </c>
      <c r="C558" t="s">
        <v>8709</v>
      </c>
      <c r="E558" t="s">
        <v>9295</v>
      </c>
      <c r="F558">
        <f>COUNTIFS(G:G,"Addition", K:K,"Article")+COUNTIFS(G:G,"Addition", K:K,"Conjunction")+COUNTIFS(G:G,"Addition", K:K,"Pronoun")+COUNTIFS(G:G,"Addition", K:K,"Preposition")+COUNTIFS(G:G,"Addition", K:K,"Particle")+COUNTIFS(G:G,"Addition", K:K,"Vocative")</f>
        <v>191</v>
      </c>
      <c r="S558" s="9"/>
      <c r="T558" s="9"/>
    </row>
    <row r="559" spans="1:30">
      <c r="B559" t="s">
        <v>8734</v>
      </c>
      <c r="C559" t="s">
        <v>8736</v>
      </c>
      <c r="E559" t="s">
        <v>9296</v>
      </c>
      <c r="F559">
        <f>COUNTIFS(G:G,"Omission", K:K,"Article")+COUNTIFS(G:G,"Omission", K:K,"Conjunction")+COUNTIFS(G:G,"Omission", K:K,"Pronoun")+COUNTIFS(G:G,"Omission", K:K,"Preposition")+COUNTIFS(G:G,"Omission", K:K,"Particle")+COUNTIFS(G:G,"Omission", K:K,"Vocative")</f>
        <v>194</v>
      </c>
      <c r="S559" s="9"/>
      <c r="T559" s="9"/>
    </row>
    <row r="560" spans="1:30">
      <c r="B560" t="s">
        <v>8710</v>
      </c>
      <c r="E560" t="s">
        <v>9297</v>
      </c>
      <c r="F560">
        <f>F558/(F558+F559)</f>
        <v>0.4961038961038961</v>
      </c>
      <c r="S560" s="9"/>
      <c r="T560" s="9"/>
    </row>
    <row r="561" spans="3:20">
      <c r="S561" s="9"/>
      <c r="T561" s="9"/>
    </row>
    <row r="562" spans="3:20">
      <c r="S562" s="9"/>
      <c r="T562" s="9"/>
    </row>
    <row r="563" spans="3:20">
      <c r="E563" t="s">
        <v>9302</v>
      </c>
      <c r="F563">
        <f>COUNTIFS(G:G,"Addition", K:K,"Adjective")+COUNTIFS(G:G,"Addition", K:K,"Adverb")+COUNTIFS(G:G,"Addition", K:K,"Noun")+COUNTIFS(G:G,"Addition", K:K,"Participle")+COUNTIFS(G:G,"Addition", K:K,"Verb")</f>
        <v>37</v>
      </c>
      <c r="S563" s="9"/>
      <c r="T563" s="9"/>
    </row>
    <row r="564" spans="3:20">
      <c r="E564" t="s">
        <v>9303</v>
      </c>
      <c r="F564">
        <f>COUNTIFS(G:G,"Omission", K:K,"Adjective")+COUNTIFS(G:G,"Omission", K:K,"Adverb")+COUNTIFS(G:G,"Omission", K:K,"Noun")+COUNTIFS(G:G,"Omission", K:K,"Participle")+COUNTIFS(G:G,"Omission", K:K,"Verb")</f>
        <v>54</v>
      </c>
      <c r="S564" s="9"/>
      <c r="T564" s="9"/>
    </row>
    <row r="565" spans="3:20">
      <c r="E565" t="s">
        <v>9304</v>
      </c>
      <c r="F565">
        <f>F563/(F563+F564)</f>
        <v>0.40659340659340659</v>
      </c>
      <c r="S565" s="9"/>
      <c r="T565" s="9"/>
    </row>
    <row r="566" spans="3:20">
      <c r="E566" t="s">
        <v>9309</v>
      </c>
      <c r="F566">
        <f>F565-F560</f>
        <v>-8.951048951048951E-2</v>
      </c>
      <c r="S566" s="9"/>
      <c r="T566" s="9"/>
    </row>
    <row r="567" spans="3:20">
      <c r="S567" s="9"/>
      <c r="T567" s="9"/>
    </row>
    <row r="568" spans="3:20">
      <c r="D568" s="18" t="s">
        <v>9305</v>
      </c>
      <c r="E568" s="18"/>
      <c r="F568" s="18"/>
      <c r="S568" s="9"/>
      <c r="T568" s="9"/>
    </row>
    <row r="569" spans="3:20">
      <c r="D569" t="s">
        <v>8684</v>
      </c>
      <c r="E569" t="s">
        <v>9306</v>
      </c>
      <c r="F569" t="s">
        <v>9307</v>
      </c>
      <c r="S569" s="9"/>
      <c r="T569" s="9"/>
    </row>
    <row r="570" spans="3:20">
      <c r="C570" t="s">
        <v>9299</v>
      </c>
      <c r="D570">
        <f>COUNTIFS(G:G,"Addition", L:L, "Present")</f>
        <v>23</v>
      </c>
      <c r="E570">
        <f>COUNTIFS(G:G,"Addition", L:L, "Absent")</f>
        <v>115</v>
      </c>
      <c r="F570">
        <f>D570/(D570+E570)</f>
        <v>0.16666666666666666</v>
      </c>
      <c r="S570" s="9"/>
      <c r="T570" s="9"/>
    </row>
    <row r="571" spans="3:20">
      <c r="C571" t="s">
        <v>9300</v>
      </c>
      <c r="D571">
        <f>COUNTIFS(G:G,"Omission", L:L, "Present")</f>
        <v>54</v>
      </c>
      <c r="E571">
        <f>COUNTIFS(G:G,"Omission", L:L, "Absent")</f>
        <v>150</v>
      </c>
      <c r="F571">
        <f>D571/(D571+E571)</f>
        <v>0.26470588235294118</v>
      </c>
      <c r="S571" s="9"/>
      <c r="T571" s="9"/>
    </row>
    <row r="572" spans="3:20">
      <c r="C572" t="s">
        <v>9308</v>
      </c>
      <c r="D572">
        <f>SUM(D570+D571)</f>
        <v>77</v>
      </c>
      <c r="E572">
        <f>SUM(E570+E571)</f>
        <v>265</v>
      </c>
      <c r="F572">
        <f>D572/(D572+E572)</f>
        <v>0.22514619883040934</v>
      </c>
      <c r="S572" s="9"/>
      <c r="T572" s="9"/>
    </row>
    <row r="573" spans="3:20">
      <c r="S573" s="9"/>
      <c r="T573" s="9"/>
    </row>
    <row r="574" spans="3:20">
      <c r="S574" s="9"/>
      <c r="T574" s="9"/>
    </row>
    <row r="575" spans="3:20">
      <c r="D575" t="s">
        <v>9299</v>
      </c>
      <c r="E575" t="s">
        <v>9300</v>
      </c>
      <c r="F575" t="s">
        <v>9310</v>
      </c>
      <c r="S575" s="9"/>
      <c r="T575" s="9"/>
    </row>
    <row r="576" spans="3:20">
      <c r="C576" t="s">
        <v>9311</v>
      </c>
      <c r="D576">
        <f>COUNTIFS(G:G,"Addition", L:L, "Absent")</f>
        <v>115</v>
      </c>
      <c r="E576">
        <f>COUNTIFS(G:G,"Omission", L:L, "Absent")</f>
        <v>150</v>
      </c>
      <c r="F576">
        <f>D576/(D576+E576)</f>
        <v>0.43396226415094341</v>
      </c>
      <c r="S576" s="9"/>
      <c r="T576" s="9"/>
    </row>
    <row r="577" spans="3:20">
      <c r="C577" t="s">
        <v>9312</v>
      </c>
      <c r="D577">
        <f>COUNTIFS(G:G,"Addition", L:L, "Present")</f>
        <v>23</v>
      </c>
      <c r="E577">
        <f>COUNTIFS(G:G,"Omission", L:L, "Present")</f>
        <v>54</v>
      </c>
      <c r="F577">
        <f>D577/(D577+E577)</f>
        <v>0.29870129870129869</v>
      </c>
      <c r="S577" s="9"/>
      <c r="T577" s="9"/>
    </row>
    <row r="578" spans="3:20">
      <c r="E578" t="s">
        <v>9365</v>
      </c>
      <c r="F578">
        <f>F577-F576</f>
        <v>-0.13526096544964472</v>
      </c>
      <c r="S578" s="9"/>
      <c r="T578" s="9"/>
    </row>
    <row r="579" spans="3:20">
      <c r="S579" s="9"/>
      <c r="T579" s="9"/>
    </row>
    <row r="580" spans="3:20">
      <c r="S580" s="9"/>
      <c r="T580" s="9"/>
    </row>
    <row r="581" spans="3:20">
      <c r="D581" t="s">
        <v>9299</v>
      </c>
      <c r="E581" t="s">
        <v>9300</v>
      </c>
      <c r="F581" t="s">
        <v>9310</v>
      </c>
      <c r="S581" s="9"/>
      <c r="T581" s="9"/>
    </row>
    <row r="582" spans="3:20">
      <c r="C582" t="s">
        <v>9313</v>
      </c>
      <c r="D582">
        <f>COUNTIFS(G:G,"Addition", O:O, "")</f>
        <v>214</v>
      </c>
      <c r="E582">
        <f>COUNTIFS(G:G,"Omission", O:O, "")</f>
        <v>286</v>
      </c>
      <c r="F582">
        <f>D582/(D582+E582)</f>
        <v>0.42799999999999999</v>
      </c>
      <c r="S582" s="9"/>
      <c r="T582" s="9"/>
    </row>
    <row r="583" spans="3:20">
      <c r="C583" t="s">
        <v>9314</v>
      </c>
      <c r="D583">
        <f>COUNTIFS(G:G,"Addition", O:O, "Dittography")</f>
        <v>22</v>
      </c>
      <c r="E583">
        <f>COUNTIFS(G:G,"Omission", O:O, "Dittography")</f>
        <v>20</v>
      </c>
      <c r="F583">
        <f>D583/(D583+E583)</f>
        <v>0.52380952380952384</v>
      </c>
      <c r="S583" s="9"/>
      <c r="T583" s="9"/>
    </row>
    <row r="584" spans="3:20">
      <c r="E584" t="s">
        <v>9365</v>
      </c>
      <c r="F584">
        <f>F583-F582</f>
        <v>9.5809523809523844E-2</v>
      </c>
      <c r="S584" s="9"/>
      <c r="T584" s="9"/>
    </row>
    <row r="585" spans="3:20">
      <c r="S585" s="9"/>
      <c r="T585" s="9"/>
    </row>
    <row r="586" spans="3:20">
      <c r="S586" s="9"/>
      <c r="T586" s="9"/>
    </row>
    <row r="587" spans="3:20">
      <c r="C587" t="s">
        <v>9298</v>
      </c>
      <c r="D587" t="s">
        <v>9299</v>
      </c>
      <c r="E587" t="s">
        <v>9300</v>
      </c>
      <c r="F587" t="s">
        <v>9310</v>
      </c>
      <c r="S587" s="9"/>
      <c r="T587" s="9"/>
    </row>
    <row r="588" spans="3:20">
      <c r="C588" s="13">
        <v>1</v>
      </c>
      <c r="D588">
        <f>COUNTIFS(G:G,"Addition", I:I, 1)</f>
        <v>228</v>
      </c>
      <c r="E588">
        <f>COUNTIFS(G:G,"Omission", I:I, 1)</f>
        <v>248</v>
      </c>
      <c r="F588">
        <f>D588/(D588+E588)</f>
        <v>0.47899159663865548</v>
      </c>
      <c r="S588" s="9"/>
      <c r="T588" s="9"/>
    </row>
    <row r="589" spans="3:20">
      <c r="C589" s="13" t="s">
        <v>9315</v>
      </c>
      <c r="D589">
        <f>COUNTIFS(G:G,"Addition", I:I, "&gt;=2", I:I, "&lt;=3")</f>
        <v>11</v>
      </c>
      <c r="E589">
        <f>COUNTIFS(G:G,"Omission", I:I, "&gt;=2", I:I, "&lt;=3")</f>
        <v>38</v>
      </c>
      <c r="F589">
        <f t="shared" ref="F589:F590" si="9">D589/(D589+E589)</f>
        <v>0.22448979591836735</v>
      </c>
      <c r="S589" s="9"/>
      <c r="T589" s="9"/>
    </row>
    <row r="590" spans="3:20">
      <c r="C590" s="13" t="s">
        <v>9316</v>
      </c>
      <c r="D590">
        <f>COUNTIFS(G:G,"Addition", I:I, "&gt;=4")</f>
        <v>4</v>
      </c>
      <c r="E590">
        <f>COUNTIFS(G:G,"Omission", I:I, "&gt;=4")</f>
        <v>20</v>
      </c>
      <c r="F590">
        <f t="shared" si="9"/>
        <v>0.16666666666666666</v>
      </c>
      <c r="S590" s="9"/>
      <c r="T590" s="9"/>
    </row>
    <row r="591" spans="3:20">
      <c r="S591" s="9"/>
      <c r="T591" s="9"/>
    </row>
    <row r="592" spans="3:20">
      <c r="S592" s="9"/>
      <c r="T592" s="9"/>
    </row>
    <row r="593" spans="3:20">
      <c r="C593" t="s">
        <v>9298</v>
      </c>
      <c r="D593" t="s">
        <v>9299</v>
      </c>
      <c r="E593" t="s">
        <v>9300</v>
      </c>
      <c r="F593" t="s">
        <v>9301</v>
      </c>
      <c r="S593" s="9"/>
      <c r="T593" s="9"/>
    </row>
    <row r="594" spans="3:20">
      <c r="C594">
        <v>1</v>
      </c>
      <c r="D594" s="13">
        <f>COUNTIFS(G:G,"Addition", I:I, C594)</f>
        <v>228</v>
      </c>
      <c r="E594">
        <f>COUNTIFS(G:G,"Omission", I:I, C594)</f>
        <v>248</v>
      </c>
      <c r="F594">
        <f>D594/(D594+E594)</f>
        <v>0.47899159663865548</v>
      </c>
      <c r="S594" s="9"/>
      <c r="T594" s="9"/>
    </row>
    <row r="595" spans="3:20">
      <c r="C595">
        <v>2</v>
      </c>
      <c r="D595" s="13">
        <f>COUNTIFS(G:G,"Addition", I:I, C595)</f>
        <v>9</v>
      </c>
      <c r="E595">
        <f>COUNTIFS(G:G,"Omission", I:I, C595)</f>
        <v>31</v>
      </c>
      <c r="F595">
        <f t="shared" ref="F595:F598" si="10">D595/(D595+E595)</f>
        <v>0.22500000000000001</v>
      </c>
      <c r="S595" s="9"/>
      <c r="T595" s="9"/>
    </row>
    <row r="596" spans="3:20">
      <c r="C596">
        <v>3</v>
      </c>
      <c r="D596" s="13">
        <f>COUNTIFS(G:G,"Addition", I:I, C596)</f>
        <v>2</v>
      </c>
      <c r="E596">
        <f>COUNTIFS(G:G,"Omission", I:I, C596)</f>
        <v>7</v>
      </c>
      <c r="F596">
        <f t="shared" si="10"/>
        <v>0.22222222222222221</v>
      </c>
      <c r="S596" s="9"/>
      <c r="T596" s="9"/>
    </row>
    <row r="597" spans="3:20">
      <c r="C597">
        <v>4</v>
      </c>
      <c r="D597" s="13">
        <f>COUNTIFS(G:G,"Addition", I:I, C597)</f>
        <v>2</v>
      </c>
      <c r="E597">
        <f>COUNTIFS(G:G,"Omission", I:I, C597)</f>
        <v>3</v>
      </c>
      <c r="F597">
        <f t="shared" si="10"/>
        <v>0.4</v>
      </c>
      <c r="S597" s="9"/>
      <c r="T597" s="9"/>
    </row>
    <row r="598" spans="3:20">
      <c r="C598" t="s">
        <v>9317</v>
      </c>
      <c r="D598" s="13">
        <f>COUNTIFS(G:G,"Addition", I:I, C598)</f>
        <v>2</v>
      </c>
      <c r="E598">
        <f>COUNTIFS(G:G,"Omission", I:I, C598)</f>
        <v>17</v>
      </c>
      <c r="F598">
        <f t="shared" si="10"/>
        <v>0.10526315789473684</v>
      </c>
      <c r="S598" s="9"/>
      <c r="T598" s="9"/>
    </row>
    <row r="599" spans="3:20">
      <c r="D599" s="13"/>
      <c r="S599" s="9"/>
      <c r="T599" s="9"/>
    </row>
    <row r="600" spans="3:20">
      <c r="S600" s="9"/>
      <c r="T600" s="9"/>
    </row>
    <row r="601" spans="3:20">
      <c r="D601" t="s">
        <v>9318</v>
      </c>
      <c r="E601">
        <v>77731</v>
      </c>
      <c r="S601" s="9"/>
      <c r="T601" s="9"/>
    </row>
    <row r="602" spans="3:20">
      <c r="S602" s="9"/>
      <c r="T602" s="9"/>
    </row>
  </sheetData>
  <mergeCells count="1">
    <mergeCell ref="D568:F568"/>
  </mergeCells>
  <conditionalFormatting sqref="G2:G550">
    <cfRule type="expression" dxfId="126" priority="7">
      <formula>$I2&lt;&gt;""</formula>
    </cfRule>
    <cfRule type="expression" dxfId="125" priority="8">
      <formula>$I2=""</formula>
    </cfRule>
  </conditionalFormatting>
  <conditionalFormatting sqref="H2:L550 O2:P550">
    <cfRule type="expression" dxfId="124" priority="16">
      <formula>AND(OR($I2="Addition",$I2="Omission"), H2="")</formula>
    </cfRule>
    <cfRule type="expression" dxfId="123" priority="17">
      <formula>AND($I2&lt;&gt;"Addition",$I2&lt;&gt;"Omission",$I2&lt;&gt;"Substitution - Word")</formula>
    </cfRule>
  </conditionalFormatting>
  <conditionalFormatting sqref="H2:P550">
    <cfRule type="expression" dxfId="122" priority="15">
      <formula>AND(OR($I2="Addition",$I2="Omission"), H2&lt;&gt;"")</formula>
    </cfRule>
  </conditionalFormatting>
  <conditionalFormatting sqref="K2:K550">
    <cfRule type="expression" dxfId="121" priority="13">
      <formula>AND($K2&lt;&gt;"",$K2&gt;1)</formula>
    </cfRule>
  </conditionalFormatting>
  <conditionalFormatting sqref="M2:N550">
    <cfRule type="expression" dxfId="120" priority="9">
      <formula>$N2="Absent"</formula>
    </cfRule>
    <cfRule type="expression" dxfId="119" priority="10">
      <formula>$N2="NA"</formula>
    </cfRule>
    <cfRule type="expression" dxfId="118" priority="11">
      <formula>AND(OR($I2="Addition",$I2="Omission"), M2="")</formula>
    </cfRule>
    <cfRule type="expression" dxfId="117" priority="12">
      <formula>AND($I2&lt;&gt;"Addition",$I2&lt;&gt;"Omission")</formula>
    </cfRule>
  </conditionalFormatting>
  <conditionalFormatting sqref="O2:O550">
    <cfRule type="expression" dxfId="116" priority="14">
      <formula>OR($I2="Addition",$I2="Omission",$I2 = "Substitution - Word")</formula>
    </cfRule>
  </conditionalFormatting>
  <conditionalFormatting sqref="Q2:Q550">
    <cfRule type="expression" dxfId="115" priority="1">
      <formula>AND(OR($I2="Addition",$I2="Omission"), Q2&lt;&gt;"")</formula>
    </cfRule>
    <cfRule type="expression" dxfId="114" priority="2">
      <formula>AND(OR($I2="Addition",$I2="Omission"), Q2="")</formula>
    </cfRule>
    <cfRule type="expression" dxfId="113" priority="3">
      <formula>AND($I2&lt;&gt;"Addition",$I2&lt;&gt;"Omission",$I2&lt;&gt;"Substitution - Word")</formula>
    </cfRule>
  </conditionalFormatting>
  <conditionalFormatting sqref="R2:T550">
    <cfRule type="expression" dxfId="112" priority="4">
      <formula>AND(AND(LEFT($I2,3)="Sub", RIGHT($I2,4)&lt;&gt;"Form"),$T2&lt;&gt;"")</formula>
    </cfRule>
    <cfRule type="expression" dxfId="111" priority="5">
      <formula>AND(AND(LEFT($I2,3)="Sub", RIGHT($I2,4)&lt;&gt;"Form"),$T2="")</formula>
    </cfRule>
    <cfRule type="expression" dxfId="110" priority="6">
      <formula>"&lt;&gt;AND(LEFT($J2,3)=""Sub"", RIGHT($J2,4)&lt;&gt;""Form"")"</formula>
    </cfRule>
  </conditionalFormatting>
  <conditionalFormatting sqref="S551:T602">
    <cfRule type="expression" dxfId="109" priority="33">
      <formula>AND(AND(LEFT($I551,3)="Sub", RIGHT($I551,4)&lt;&gt;"Form"),$T551&lt;&gt;"")</formula>
    </cfRule>
    <cfRule type="expression" dxfId="108" priority="34">
      <formula>AND(AND(LEFT($I551,3)="Sub", RIGHT($I551,4)&lt;&gt;"Form"),$T551="")</formula>
    </cfRule>
    <cfRule type="expression" dxfId="107" priority="35">
      <formula>"&lt;&gt;AND(LEFT($J2,3)=""Sub"", RIGHT($J2,4)&lt;&gt;""Form"")"</formula>
    </cfRule>
  </conditionalFormatting>
  <conditionalFormatting sqref="U2:U550">
    <cfRule type="expression" dxfId="106" priority="19">
      <formula>AND($W2&lt;&gt;"",OR($AD2="Yes",$AE2&lt;&gt;""))</formula>
    </cfRule>
    <cfRule type="expression" dxfId="105" priority="20">
      <formula>OR($AD2="Yes",$AE2&lt;&gt;"")</formula>
    </cfRule>
    <cfRule type="expression" dxfId="104" priority="26">
      <formula>AND($AD2&lt;&gt;"Yes",$AE2="")</formula>
    </cfRule>
  </conditionalFormatting>
  <conditionalFormatting sqref="U2:AD550">
    <cfRule type="expression" dxfId="103" priority="24">
      <formula>AND($I2&lt;&gt;"",$I2&lt;&gt;"Unclear due to correction")</formula>
    </cfRule>
    <cfRule type="expression" dxfId="102" priority="25">
      <formula>OR($I2="",$I2="Unclear due to correction")</formula>
    </cfRule>
  </conditionalFormatting>
  <conditionalFormatting sqref="V2:V550">
    <cfRule type="expression" dxfId="101" priority="18">
      <formula>AND($I2&lt;&gt;"",$I2&lt;&gt;"Unclear due to correction",$X2="")</formula>
    </cfRule>
  </conditionalFormatting>
  <conditionalFormatting sqref="W2:W550">
    <cfRule type="expression" dxfId="100" priority="21">
      <formula>AND($X2="Yes",$Y2="")</formula>
    </cfRule>
    <cfRule type="expression" dxfId="99" priority="22">
      <formula>$X2=""</formula>
    </cfRule>
  </conditionalFormatting>
  <conditionalFormatting sqref="AB2:AB550">
    <cfRule type="expression" dxfId="98" priority="23">
      <formula>AND(OR($AB2&lt;&gt;"",$AC2&lt;&gt;""),$AD2="")</formula>
    </cfRule>
  </conditionalFormatting>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6">
        <x14:dataValidation type="list" allowBlank="1" showInputMessage="1" xr:uid="{C2CBB34B-42B2-4ED9-982C-7D960772D63C}">
          <x14:formula1>
            <xm:f>'Data Regularization'!$A$2:$A$1048576</xm:f>
          </x14:formula1>
          <xm:sqref>D2:D550</xm:sqref>
        </x14:dataValidation>
        <x14:dataValidation type="list" allowBlank="1" showInputMessage="1" showErrorMessage="1" xr:uid="{8D404BA0-F3C4-4F8A-ABAB-3FE9F8CAE64C}">
          <x14:formula1>
            <xm:f>'Data Regularization'!$C$2:$C$1048576</xm:f>
          </x14:formula1>
          <xm:sqref>F2:F550</xm:sqref>
        </x14:dataValidation>
        <x14:dataValidation type="list" allowBlank="1" showInputMessage="1" showErrorMessage="1" xr:uid="{3D3F25F3-9392-4343-9CDA-F782F1A64BDA}">
          <x14:formula1>
            <xm:f>'Data Regularization'!$B$2:$B$1048576</xm:f>
          </x14:formula1>
          <xm:sqref>E2:E550</xm:sqref>
        </x14:dataValidation>
        <x14:dataValidation type="list" allowBlank="1" showInputMessage="1" showErrorMessage="1" xr:uid="{8FCA9E58-60E7-408A-8A88-F3CB0D17A68E}">
          <x14:formula1>
            <xm:f>'Data Regularization'!$D$2:$D$1048576</xm:f>
          </x14:formula1>
          <xm:sqref>G2:G550</xm:sqref>
        </x14:dataValidation>
        <x14:dataValidation type="list" allowBlank="1" showInputMessage="1" showErrorMessage="1" xr:uid="{381C6527-ECBE-499E-B73B-637BFD735688}">
          <x14:formula1>
            <xm:f>'Data Regularization'!$E$2:$E$1048576</xm:f>
          </x14:formula1>
          <xm:sqref>K2:K550</xm:sqref>
        </x14:dataValidation>
        <x14:dataValidation type="list" allowBlank="1" showInputMessage="1" showErrorMessage="1" xr:uid="{C5E80A97-E7A5-4960-8BD4-7652A78AA342}">
          <x14:formula1>
            <xm:f>'Data Regularization'!$F$2:$F$1048576</xm:f>
          </x14:formula1>
          <xm:sqref>L2:L550</xm:sqref>
        </x14:dataValidation>
        <x14:dataValidation type="list" allowBlank="1" showInputMessage="1" showErrorMessage="1" xr:uid="{F8F33329-94C7-4BD9-B990-77B50C41FCC3}">
          <x14:formula1>
            <xm:f>'Data Regularization'!$G$2:$G$1048576</xm:f>
          </x14:formula1>
          <xm:sqref>O2:O550</xm:sqref>
        </x14:dataValidation>
        <x14:dataValidation type="list" allowBlank="1" showInputMessage="1" showErrorMessage="1" xr:uid="{A136CB82-2F9A-40DD-9BBC-017A50F65C98}">
          <x14:formula1>
            <xm:f>'Data Regularization'!$J$2:$J$1048576</xm:f>
          </x14:formula1>
          <xm:sqref>W2:W550</xm:sqref>
        </x14:dataValidation>
        <x14:dataValidation type="list" allowBlank="1" showInputMessage="1" showErrorMessage="1" xr:uid="{4BF187CB-3663-4481-802C-2BACD5F172D1}">
          <x14:formula1>
            <xm:f>'Data Regularization'!$K$2:$K$1048576</xm:f>
          </x14:formula1>
          <xm:sqref>X2:X550</xm:sqref>
        </x14:dataValidation>
        <x14:dataValidation type="list" allowBlank="1" showInputMessage="1" showErrorMessage="1" xr:uid="{3E4C11D2-1313-4211-9C98-6EFE0D795B0A}">
          <x14:formula1>
            <xm:f>'Data Regularization'!$L$2:$L$1048576</xm:f>
          </x14:formula1>
          <xm:sqref>Y2:Y550</xm:sqref>
        </x14:dataValidation>
        <x14:dataValidation type="list" allowBlank="1" showInputMessage="1" showErrorMessage="1" xr:uid="{3031C1B7-A827-45B3-A58B-5C5D49C2F5EB}">
          <x14:formula1>
            <xm:f>'Data Regularization'!$M$2:$M$1048576</xm:f>
          </x14:formula1>
          <xm:sqref>Z2:Z550</xm:sqref>
        </x14:dataValidation>
        <x14:dataValidation type="list" allowBlank="1" showInputMessage="1" showErrorMessage="1" xr:uid="{9191F17A-678D-40DA-9D68-05E1D9FB43B6}">
          <x14:formula1>
            <xm:f>'Data Regularization'!$N$2:$N$1048576</xm:f>
          </x14:formula1>
          <xm:sqref>AB2:AB550</xm:sqref>
        </x14:dataValidation>
        <x14:dataValidation type="list" allowBlank="1" showInputMessage="1" showErrorMessage="1" xr:uid="{8A5D38AF-DE5D-469C-B6DE-DD7AC6261648}">
          <x14:formula1>
            <xm:f>'Data Regularization'!$O$2:$O$1048576</xm:f>
          </x14:formula1>
          <xm:sqref>AC2:AC550</xm:sqref>
        </x14:dataValidation>
        <x14:dataValidation type="list" allowBlank="1" showInputMessage="1" showErrorMessage="1" xr:uid="{C6D37123-3311-4C0B-9ED2-BEAFBA3AFBD4}">
          <x14:formula1>
            <xm:f>'Data Regularization'!$H$2:$H$1048576</xm:f>
          </x14:formula1>
          <xm:sqref>U2:U550</xm:sqref>
        </x14:dataValidation>
        <x14:dataValidation type="list" allowBlank="1" showInputMessage="1" xr:uid="{E160D3A3-B7AF-46CE-A7A4-8F4195630262}">
          <x14:formula1>
            <xm:f>'Data Regularization'!$I$2:$I$1048576</xm:f>
          </x14:formula1>
          <xm:sqref>V2:V550</xm:sqref>
        </x14:dataValidation>
        <x14:dataValidation type="list" allowBlank="1" showInputMessage="1" showErrorMessage="1" xr:uid="{A830FC98-7243-4EC8-A89B-FBC6618DE6BB}">
          <x14:formula1>
            <xm:f>'Data Regularization'!$P$2:$P$1048576</xm:f>
          </x14:formula1>
          <xm:sqref>AD2:AD550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D18BC-1C23-4D51-85BA-94FBE1006A3E}">
  <dimension ref="A1:AD40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0" s="1" customFormat="1">
      <c r="A1" s="1" t="s">
        <v>0</v>
      </c>
      <c r="B1" s="1" t="s">
        <v>5</v>
      </c>
      <c r="C1" s="1" t="s">
        <v>6</v>
      </c>
      <c r="D1" s="1" t="s">
        <v>8711</v>
      </c>
      <c r="E1" s="1" t="s">
        <v>8712</v>
      </c>
      <c r="F1" s="1" t="s">
        <v>8713</v>
      </c>
      <c r="G1" s="1" t="s">
        <v>3</v>
      </c>
      <c r="H1" s="1" t="s">
        <v>8714</v>
      </c>
      <c r="I1" s="1" t="s">
        <v>8715</v>
      </c>
      <c r="J1" s="1" t="s">
        <v>8716</v>
      </c>
      <c r="K1" s="1" t="s">
        <v>8717</v>
      </c>
      <c r="L1" s="1" t="s">
        <v>8677</v>
      </c>
      <c r="M1" s="1" t="s">
        <v>8718</v>
      </c>
      <c r="N1" s="8" t="s">
        <v>8719</v>
      </c>
      <c r="O1" s="1" t="s">
        <v>8678</v>
      </c>
      <c r="P1" s="1" t="s">
        <v>8720</v>
      </c>
      <c r="Q1" s="1" t="s">
        <v>9322</v>
      </c>
      <c r="R1" s="1" t="s">
        <v>8721</v>
      </c>
      <c r="S1" s="1" t="s">
        <v>9319</v>
      </c>
      <c r="T1" s="1" t="s">
        <v>9320</v>
      </c>
      <c r="U1" s="1" t="s">
        <v>8723</v>
      </c>
      <c r="V1" s="1" t="s">
        <v>8724</v>
      </c>
      <c r="W1" s="1" t="s">
        <v>8725</v>
      </c>
      <c r="X1" s="1" t="s">
        <v>8679</v>
      </c>
      <c r="Y1" s="1" t="s">
        <v>8680</v>
      </c>
      <c r="Z1" s="1" t="s">
        <v>8681</v>
      </c>
      <c r="AA1" s="1" t="s">
        <v>8722</v>
      </c>
      <c r="AB1" s="1" t="s">
        <v>8726</v>
      </c>
      <c r="AC1" s="1" t="s">
        <v>8682</v>
      </c>
      <c r="AD1" s="1" t="s">
        <v>8727</v>
      </c>
    </row>
    <row r="2" spans="1:30" ht="43.5">
      <c r="A2" s="3" t="s">
        <v>27</v>
      </c>
      <c r="B2" s="3" t="s">
        <v>3902</v>
      </c>
      <c r="C2" s="3" t="s">
        <v>3903</v>
      </c>
      <c r="G2" s="9" t="s">
        <v>3885</v>
      </c>
      <c r="H2" s="9"/>
      <c r="I2" s="9">
        <v>1</v>
      </c>
      <c r="J2" s="9">
        <v>2</v>
      </c>
      <c r="K2" s="9" t="s">
        <v>8707</v>
      </c>
      <c r="L2" s="9" t="s">
        <v>8730</v>
      </c>
      <c r="M2" s="9"/>
      <c r="N2" s="10"/>
      <c r="O2" s="9"/>
      <c r="P2" s="9">
        <v>519</v>
      </c>
      <c r="Q2" s="9">
        <v>66.768728049298218</v>
      </c>
      <c r="R2" s="9"/>
      <c r="S2" s="9" t="s">
        <v>9321</v>
      </c>
      <c r="T2" s="9" t="s">
        <v>9321</v>
      </c>
      <c r="U2" s="9"/>
      <c r="V2" s="9"/>
      <c r="W2" s="9"/>
      <c r="X2" s="9"/>
      <c r="Y2" s="9"/>
      <c r="Z2" s="9"/>
      <c r="AA2" s="9"/>
      <c r="AB2" s="9"/>
      <c r="AC2" s="9"/>
      <c r="AD2" s="9"/>
    </row>
    <row r="3" spans="1:30" ht="43.5">
      <c r="A3" s="3" t="s">
        <v>33</v>
      </c>
      <c r="B3" s="3" t="s">
        <v>8759</v>
      </c>
      <c r="C3" s="3" t="s">
        <v>8760</v>
      </c>
      <c r="F3" t="s">
        <v>3884</v>
      </c>
      <c r="G3" s="9" t="s">
        <v>3885</v>
      </c>
      <c r="H3" s="9"/>
      <c r="I3" s="9">
        <v>1</v>
      </c>
      <c r="J3" s="9">
        <v>3</v>
      </c>
      <c r="K3" s="9" t="s">
        <v>8689</v>
      </c>
      <c r="L3" s="9" t="s">
        <v>8690</v>
      </c>
      <c r="M3" s="9"/>
      <c r="N3" s="10"/>
      <c r="O3" s="9"/>
      <c r="P3" s="9">
        <v>10929</v>
      </c>
      <c r="Q3" s="9">
        <v>1406.0027530843549</v>
      </c>
      <c r="R3" s="9"/>
      <c r="S3" s="9" t="s">
        <v>9321</v>
      </c>
      <c r="T3" s="9" t="s">
        <v>9321</v>
      </c>
      <c r="U3" s="9"/>
      <c r="V3" s="9"/>
      <c r="W3" s="9"/>
      <c r="X3" s="9"/>
      <c r="Y3" s="9"/>
      <c r="Z3" s="9"/>
      <c r="AA3" s="9"/>
      <c r="AB3" s="9"/>
      <c r="AC3" s="9"/>
      <c r="AD3" s="9"/>
    </row>
    <row r="4" spans="1:30" ht="29">
      <c r="A4" s="3" t="s">
        <v>38</v>
      </c>
      <c r="B4" t="s">
        <v>8761</v>
      </c>
      <c r="C4" t="s">
        <v>8762</v>
      </c>
      <c r="G4" s="9" t="s">
        <v>3889</v>
      </c>
      <c r="H4" s="9"/>
      <c r="I4" s="9">
        <v>1</v>
      </c>
      <c r="J4" s="9">
        <v>1</v>
      </c>
      <c r="K4" s="9" t="s">
        <v>8689</v>
      </c>
      <c r="L4" s="9" t="s">
        <v>8730</v>
      </c>
      <c r="M4" s="9"/>
      <c r="N4" s="10"/>
      <c r="O4" s="9"/>
      <c r="P4" s="9">
        <v>10929</v>
      </c>
      <c r="Q4" s="9">
        <v>1406.0027530843549</v>
      </c>
      <c r="R4" s="9"/>
      <c r="S4" s="9" t="s">
        <v>9321</v>
      </c>
      <c r="T4" s="9" t="s">
        <v>9321</v>
      </c>
      <c r="U4" s="9" t="s">
        <v>8728</v>
      </c>
      <c r="V4" s="9"/>
      <c r="W4" s="9"/>
      <c r="X4" s="9"/>
      <c r="Y4" s="9"/>
      <c r="Z4" s="9"/>
      <c r="AA4" s="9"/>
      <c r="AB4" s="9"/>
      <c r="AC4" s="9"/>
      <c r="AD4" s="9"/>
    </row>
    <row r="5" spans="1:30" ht="29">
      <c r="A5" s="3" t="s">
        <v>38</v>
      </c>
      <c r="B5" t="s">
        <v>8763</v>
      </c>
      <c r="C5" t="s">
        <v>8764</v>
      </c>
      <c r="G5" s="9" t="s">
        <v>3889</v>
      </c>
      <c r="H5" s="9"/>
      <c r="I5" s="9">
        <v>1</v>
      </c>
      <c r="J5" s="9">
        <v>1</v>
      </c>
      <c r="K5" s="9" t="s">
        <v>8689</v>
      </c>
      <c r="L5" s="9" t="s">
        <v>8730</v>
      </c>
      <c r="M5" s="9"/>
      <c r="N5" s="10"/>
      <c r="O5" s="9"/>
      <c r="P5" s="9">
        <v>10929</v>
      </c>
      <c r="Q5" s="9">
        <v>1406.0027530843549</v>
      </c>
      <c r="R5" s="9"/>
      <c r="S5" s="9" t="s">
        <v>9321</v>
      </c>
      <c r="T5" s="9" t="s">
        <v>9321</v>
      </c>
      <c r="U5" s="9" t="s">
        <v>8728</v>
      </c>
      <c r="V5" s="9"/>
      <c r="W5" s="9"/>
      <c r="X5" s="9"/>
      <c r="Y5" s="9"/>
      <c r="Z5" s="9"/>
      <c r="AA5" s="9"/>
      <c r="AB5" s="9"/>
      <c r="AC5" s="9"/>
      <c r="AD5" s="9"/>
    </row>
    <row r="6" spans="1:30" ht="43.5">
      <c r="A6" s="3" t="s">
        <v>39</v>
      </c>
      <c r="B6" t="s">
        <v>8765</v>
      </c>
      <c r="C6" s="3" t="s">
        <v>8766</v>
      </c>
      <c r="F6" t="s">
        <v>3884</v>
      </c>
      <c r="G6" s="9" t="s">
        <v>3885</v>
      </c>
      <c r="H6" s="9"/>
      <c r="I6" s="9">
        <v>1</v>
      </c>
      <c r="J6" s="9">
        <v>3</v>
      </c>
      <c r="K6" s="9" t="s">
        <v>8689</v>
      </c>
      <c r="L6" s="9" t="s">
        <v>8690</v>
      </c>
      <c r="M6" s="9"/>
      <c r="N6" s="10"/>
      <c r="O6" s="9"/>
      <c r="P6" s="9">
        <v>10929</v>
      </c>
      <c r="Q6" s="9">
        <v>1406.0027530843549</v>
      </c>
      <c r="R6" s="9"/>
      <c r="S6" s="9" t="s">
        <v>9321</v>
      </c>
      <c r="T6" s="9" t="s">
        <v>9321</v>
      </c>
      <c r="U6" s="9"/>
      <c r="V6" s="9"/>
      <c r="W6" s="9"/>
      <c r="X6" s="9"/>
      <c r="Y6" s="9"/>
      <c r="Z6" s="9"/>
      <c r="AA6" s="9"/>
      <c r="AB6" s="9"/>
      <c r="AC6" s="9"/>
      <c r="AD6" s="9"/>
    </row>
    <row r="7" spans="1:30" ht="29">
      <c r="A7" s="3" t="s">
        <v>40</v>
      </c>
      <c r="B7" t="s">
        <v>8767</v>
      </c>
      <c r="C7" t="s">
        <v>8768</v>
      </c>
      <c r="G7" s="9" t="s">
        <v>3889</v>
      </c>
      <c r="H7" s="9"/>
      <c r="I7" s="9">
        <v>1</v>
      </c>
      <c r="J7" s="9">
        <v>2</v>
      </c>
      <c r="K7" s="9" t="s">
        <v>8689</v>
      </c>
      <c r="L7" s="9" t="s">
        <v>8730</v>
      </c>
      <c r="M7" s="9"/>
      <c r="N7" s="10"/>
      <c r="O7" s="9"/>
      <c r="P7" s="9">
        <v>10929</v>
      </c>
      <c r="Q7" s="9">
        <v>1406.0027530843549</v>
      </c>
      <c r="R7" s="9"/>
      <c r="S7" s="9" t="s">
        <v>9321</v>
      </c>
      <c r="T7" s="9" t="s">
        <v>9321</v>
      </c>
      <c r="U7" s="9"/>
      <c r="V7" s="9"/>
      <c r="W7" s="9"/>
      <c r="X7" s="9"/>
      <c r="Y7" s="9"/>
      <c r="Z7" s="9"/>
      <c r="AA7" s="9"/>
      <c r="AB7" s="9"/>
      <c r="AC7" s="9"/>
      <c r="AD7" s="9"/>
    </row>
    <row r="8" spans="1:30" ht="43.5">
      <c r="A8" s="3" t="s">
        <v>45</v>
      </c>
      <c r="B8" s="3" t="s">
        <v>8775</v>
      </c>
      <c r="C8" s="3" t="s">
        <v>8776</v>
      </c>
      <c r="G8" s="9" t="s">
        <v>3889</v>
      </c>
      <c r="H8" s="9"/>
      <c r="I8" s="9">
        <v>1</v>
      </c>
      <c r="J8" s="9">
        <v>3</v>
      </c>
      <c r="K8" s="9" t="s">
        <v>8689</v>
      </c>
      <c r="L8" s="9" t="s">
        <v>8690</v>
      </c>
      <c r="M8" s="9"/>
      <c r="N8" s="10"/>
      <c r="O8" s="9"/>
      <c r="P8" s="9">
        <v>10929</v>
      </c>
      <c r="Q8" s="9">
        <v>1406.0027530843549</v>
      </c>
      <c r="R8" s="9"/>
      <c r="S8" s="9" t="s">
        <v>9321</v>
      </c>
      <c r="T8" s="9" t="s">
        <v>9321</v>
      </c>
      <c r="U8" s="9"/>
      <c r="V8" s="9"/>
      <c r="W8" s="9"/>
      <c r="X8" s="9"/>
      <c r="Y8" s="9"/>
      <c r="Z8" s="9"/>
      <c r="AA8" s="9"/>
      <c r="AB8" s="9"/>
      <c r="AC8" s="9"/>
      <c r="AD8" s="9"/>
    </row>
    <row r="9" spans="1:30" ht="72.5">
      <c r="A9" s="3" t="s">
        <v>52</v>
      </c>
      <c r="B9" s="3" t="s">
        <v>8779</v>
      </c>
      <c r="C9" s="3" t="s">
        <v>8780</v>
      </c>
      <c r="F9" t="s">
        <v>3892</v>
      </c>
      <c r="G9" s="9" t="s">
        <v>3885</v>
      </c>
      <c r="H9" s="9"/>
      <c r="I9" s="9">
        <v>1</v>
      </c>
      <c r="J9" s="9">
        <v>3</v>
      </c>
      <c r="K9" s="9" t="s">
        <v>8707</v>
      </c>
      <c r="L9" s="9" t="s">
        <v>8690</v>
      </c>
      <c r="M9" s="9"/>
      <c r="N9" s="10"/>
      <c r="O9" s="9"/>
      <c r="P9" s="9">
        <v>991</v>
      </c>
      <c r="Q9" s="9">
        <v>127.49096242168504</v>
      </c>
      <c r="R9" s="9"/>
      <c r="S9" s="9" t="s">
        <v>9321</v>
      </c>
      <c r="T9" s="9" t="s">
        <v>9321</v>
      </c>
      <c r="U9" s="9"/>
      <c r="V9" s="9"/>
      <c r="W9" s="9"/>
      <c r="X9" s="9"/>
      <c r="Y9" s="9"/>
      <c r="Z9" s="9"/>
      <c r="AA9" s="9"/>
      <c r="AB9" s="9"/>
      <c r="AC9" s="9"/>
      <c r="AD9" s="9"/>
    </row>
    <row r="10" spans="1:30" ht="29">
      <c r="A10" s="3" t="s">
        <v>55</v>
      </c>
      <c r="B10" t="s">
        <v>9402</v>
      </c>
      <c r="C10" t="s">
        <v>8781</v>
      </c>
      <c r="G10" s="9" t="s">
        <v>3889</v>
      </c>
      <c r="H10" s="9"/>
      <c r="I10" s="9">
        <v>1</v>
      </c>
      <c r="J10" s="9">
        <v>5</v>
      </c>
      <c r="K10" s="9" t="s">
        <v>8705</v>
      </c>
      <c r="L10" s="9" t="s">
        <v>8684</v>
      </c>
      <c r="M10" s="9" t="s">
        <v>8777</v>
      </c>
      <c r="N10" s="10" t="s">
        <v>8778</v>
      </c>
      <c r="O10" s="9"/>
      <c r="P10" s="9">
        <v>3678</v>
      </c>
      <c r="Q10" s="9">
        <v>473.17029241872609</v>
      </c>
      <c r="R10" s="9"/>
      <c r="S10" s="9" t="s">
        <v>9321</v>
      </c>
      <c r="T10" s="9" t="s">
        <v>9321</v>
      </c>
      <c r="U10" s="9"/>
      <c r="V10" s="9"/>
      <c r="W10" s="9"/>
      <c r="X10" s="9"/>
      <c r="Y10" s="9"/>
      <c r="Z10" s="9"/>
      <c r="AA10" s="9"/>
      <c r="AB10" s="9"/>
      <c r="AC10" s="9"/>
      <c r="AD10" s="9"/>
    </row>
    <row r="11" spans="1:30" ht="43.5">
      <c r="A11" s="3" t="s">
        <v>55</v>
      </c>
      <c r="B11" s="3" t="s">
        <v>8782</v>
      </c>
      <c r="C11" s="3" t="s">
        <v>8783</v>
      </c>
      <c r="F11" t="s">
        <v>3884</v>
      </c>
      <c r="G11" s="9" t="s">
        <v>3885</v>
      </c>
      <c r="H11" s="9"/>
      <c r="I11" s="9">
        <v>1</v>
      </c>
      <c r="J11" s="9">
        <v>3</v>
      </c>
      <c r="K11" s="9" t="s">
        <v>8689</v>
      </c>
      <c r="L11" s="9" t="s">
        <v>8690</v>
      </c>
      <c r="M11" s="9"/>
      <c r="N11" s="10"/>
      <c r="O11" s="9"/>
      <c r="P11" s="9">
        <v>10929</v>
      </c>
      <c r="Q11" s="9">
        <v>1406.0027530843549</v>
      </c>
      <c r="R11" s="9"/>
      <c r="S11" s="9" t="s">
        <v>9321</v>
      </c>
      <c r="T11" s="9" t="s">
        <v>9321</v>
      </c>
      <c r="U11" s="9"/>
      <c r="V11" s="9"/>
      <c r="W11" s="9"/>
      <c r="X11" s="9"/>
      <c r="Y11" s="9"/>
      <c r="Z11" s="9"/>
      <c r="AA11" s="9"/>
      <c r="AB11" s="9"/>
      <c r="AC11" s="9"/>
      <c r="AD11" s="9"/>
    </row>
    <row r="12" spans="1:30" ht="43.5">
      <c r="A12" s="3" t="s">
        <v>57</v>
      </c>
      <c r="B12" s="3" t="s">
        <v>3939</v>
      </c>
      <c r="C12" s="3" t="s">
        <v>3938</v>
      </c>
      <c r="F12" t="s">
        <v>3884</v>
      </c>
      <c r="G12" s="9" t="s">
        <v>3885</v>
      </c>
      <c r="H12" s="9"/>
      <c r="I12" s="9">
        <v>1</v>
      </c>
      <c r="J12" s="9">
        <v>5</v>
      </c>
      <c r="K12" s="9" t="s">
        <v>8705</v>
      </c>
      <c r="L12" s="9" t="s">
        <v>8690</v>
      </c>
      <c r="M12" s="9"/>
      <c r="N12" s="10"/>
      <c r="O12" s="9"/>
      <c r="P12" s="9">
        <v>3678</v>
      </c>
      <c r="Q12" s="9">
        <v>473.17029241872609</v>
      </c>
      <c r="R12" s="9"/>
      <c r="S12" s="9" t="s">
        <v>9321</v>
      </c>
      <c r="T12" s="9" t="s">
        <v>9321</v>
      </c>
      <c r="U12" s="9"/>
      <c r="V12" s="9"/>
      <c r="W12" s="9"/>
      <c r="X12" s="9"/>
      <c r="Y12" s="9"/>
      <c r="Z12" s="9"/>
      <c r="AA12" s="9"/>
      <c r="AB12" s="9"/>
      <c r="AC12" s="9"/>
      <c r="AD12" s="9"/>
    </row>
    <row r="13" spans="1:30" ht="29">
      <c r="A13" s="3" t="s">
        <v>62</v>
      </c>
      <c r="B13" s="3" t="s">
        <v>8784</v>
      </c>
      <c r="C13" s="3" t="s">
        <v>8785</v>
      </c>
      <c r="F13" t="s">
        <v>3884</v>
      </c>
      <c r="G13" s="9" t="s">
        <v>3885</v>
      </c>
      <c r="H13" s="9"/>
      <c r="I13" s="9">
        <v>1</v>
      </c>
      <c r="J13" s="9">
        <v>1</v>
      </c>
      <c r="K13" s="9" t="s">
        <v>8689</v>
      </c>
      <c r="L13" s="9" t="s">
        <v>8730</v>
      </c>
      <c r="M13" s="9"/>
      <c r="N13" s="10"/>
      <c r="O13" s="9"/>
      <c r="P13" s="9">
        <v>10929</v>
      </c>
      <c r="Q13" s="9">
        <v>1406.0027530843549</v>
      </c>
      <c r="R13" s="9"/>
      <c r="S13" s="9" t="s">
        <v>9321</v>
      </c>
      <c r="T13" s="9" t="s">
        <v>9321</v>
      </c>
      <c r="U13" s="9"/>
      <c r="V13" s="9"/>
      <c r="W13" s="9"/>
      <c r="X13" s="9"/>
      <c r="Y13" s="9"/>
      <c r="Z13" s="9"/>
      <c r="AA13" s="9"/>
      <c r="AB13" s="9"/>
      <c r="AC13" s="9"/>
      <c r="AD13" s="9"/>
    </row>
    <row r="14" spans="1:30" ht="29">
      <c r="A14" s="3" t="s">
        <v>66</v>
      </c>
      <c r="B14" t="s">
        <v>8786</v>
      </c>
      <c r="C14" t="s">
        <v>8787</v>
      </c>
      <c r="F14" t="s">
        <v>3884</v>
      </c>
      <c r="G14" s="9" t="s">
        <v>3885</v>
      </c>
      <c r="H14" s="9"/>
      <c r="I14" s="9">
        <v>1</v>
      </c>
      <c r="J14" s="9">
        <v>3</v>
      </c>
      <c r="K14" s="9" t="s">
        <v>8705</v>
      </c>
      <c r="L14" s="9" t="s">
        <v>8690</v>
      </c>
      <c r="M14" s="9"/>
      <c r="N14" s="10"/>
      <c r="O14" s="9"/>
      <c r="P14" s="9">
        <v>1443</v>
      </c>
      <c r="Q14" s="9">
        <v>185.64022076134361</v>
      </c>
      <c r="R14" s="9"/>
      <c r="S14" s="9" t="s">
        <v>9321</v>
      </c>
      <c r="T14" s="9" t="s">
        <v>9321</v>
      </c>
      <c r="U14" s="9"/>
      <c r="V14" s="9"/>
      <c r="W14" s="9"/>
      <c r="X14" s="9"/>
      <c r="Y14" s="9"/>
      <c r="Z14" s="9"/>
      <c r="AA14" s="9"/>
      <c r="AB14" s="9"/>
      <c r="AC14" s="9"/>
      <c r="AD14" s="9"/>
    </row>
    <row r="15" spans="1:30" ht="58">
      <c r="A15" s="3" t="s">
        <v>70</v>
      </c>
      <c r="B15" s="3" t="s">
        <v>3943</v>
      </c>
      <c r="C15" s="3" t="s">
        <v>3944</v>
      </c>
      <c r="F15" t="s">
        <v>3884</v>
      </c>
      <c r="G15" s="9" t="s">
        <v>3885</v>
      </c>
      <c r="H15" s="9"/>
      <c r="I15" s="9">
        <v>1</v>
      </c>
      <c r="J15" s="9">
        <v>3</v>
      </c>
      <c r="K15" s="9" t="s">
        <v>8689</v>
      </c>
      <c r="L15" s="9" t="s">
        <v>8690</v>
      </c>
      <c r="M15" s="9"/>
      <c r="N15" s="10"/>
      <c r="O15" s="9"/>
      <c r="P15" s="9">
        <v>10929</v>
      </c>
      <c r="Q15" s="9">
        <v>1406.0027530843549</v>
      </c>
      <c r="R15" s="9"/>
      <c r="S15" s="9" t="s">
        <v>9321</v>
      </c>
      <c r="T15" s="9" t="s">
        <v>9321</v>
      </c>
      <c r="U15" s="9"/>
      <c r="V15" s="9"/>
      <c r="W15" s="9"/>
      <c r="X15" s="9"/>
      <c r="Y15" s="9"/>
      <c r="Z15" s="9"/>
      <c r="AA15" s="9"/>
      <c r="AB15" s="9"/>
      <c r="AC15" s="9"/>
      <c r="AD15" s="9"/>
    </row>
    <row r="16" spans="1:30" ht="58">
      <c r="A16" s="3" t="s">
        <v>72</v>
      </c>
      <c r="B16" s="3" t="s">
        <v>8790</v>
      </c>
      <c r="C16" s="3" t="s">
        <v>8792</v>
      </c>
      <c r="G16" s="9" t="s">
        <v>3885</v>
      </c>
      <c r="H16" s="9"/>
      <c r="I16" s="9">
        <v>1</v>
      </c>
      <c r="J16" s="9">
        <v>1</v>
      </c>
      <c r="K16" s="9" t="s">
        <v>8689</v>
      </c>
      <c r="L16" s="9" t="s">
        <v>8730</v>
      </c>
      <c r="M16" s="9"/>
      <c r="N16" s="10"/>
      <c r="O16" s="9"/>
      <c r="P16" s="9">
        <v>10929</v>
      </c>
      <c r="Q16" s="9">
        <v>1406.0027530843549</v>
      </c>
      <c r="R16" s="9"/>
      <c r="S16" s="9" t="s">
        <v>9321</v>
      </c>
      <c r="T16" s="9" t="s">
        <v>9321</v>
      </c>
      <c r="U16" s="9"/>
      <c r="V16" s="9"/>
      <c r="W16" s="9"/>
      <c r="X16" s="9"/>
      <c r="Y16" s="9"/>
      <c r="Z16" s="9"/>
      <c r="AA16" s="9"/>
      <c r="AB16" s="9"/>
      <c r="AC16" s="9"/>
      <c r="AD16" s="9"/>
    </row>
    <row r="17" spans="1:30" ht="58">
      <c r="A17" s="3" t="s">
        <v>72</v>
      </c>
      <c r="B17" s="3" t="s">
        <v>8790</v>
      </c>
      <c r="C17" s="3" t="s">
        <v>8794</v>
      </c>
      <c r="G17" s="9" t="s">
        <v>3885</v>
      </c>
      <c r="H17" s="9"/>
      <c r="I17" s="9">
        <v>1</v>
      </c>
      <c r="J17" s="9">
        <v>3</v>
      </c>
      <c r="K17" s="9" t="s">
        <v>8689</v>
      </c>
      <c r="L17" s="9" t="s">
        <v>8690</v>
      </c>
      <c r="M17" s="9"/>
      <c r="N17" s="10"/>
      <c r="O17" s="9"/>
      <c r="P17" s="9">
        <v>10929</v>
      </c>
      <c r="Q17" s="9">
        <v>1406.0027530843549</v>
      </c>
      <c r="R17" s="9"/>
      <c r="S17" s="9" t="s">
        <v>9321</v>
      </c>
      <c r="T17" s="9" t="s">
        <v>9321</v>
      </c>
      <c r="U17" s="9"/>
      <c r="V17" s="9"/>
      <c r="W17" s="9"/>
      <c r="X17" s="9"/>
      <c r="Y17" s="9"/>
      <c r="Z17" s="9"/>
      <c r="AA17" s="9"/>
      <c r="AB17" s="9"/>
      <c r="AC17" s="9"/>
      <c r="AD17" s="9"/>
    </row>
    <row r="18" spans="1:30">
      <c r="A18" s="3" t="s">
        <v>73</v>
      </c>
      <c r="B18" t="s">
        <v>8795</v>
      </c>
      <c r="C18" t="s">
        <v>8796</v>
      </c>
      <c r="G18" s="9" t="s">
        <v>3885</v>
      </c>
      <c r="H18" s="9"/>
      <c r="I18" s="9">
        <v>1</v>
      </c>
      <c r="J18" s="9">
        <v>1</v>
      </c>
      <c r="K18" s="9" t="s">
        <v>8689</v>
      </c>
      <c r="L18" s="9" t="s">
        <v>8730</v>
      </c>
      <c r="M18" s="9"/>
      <c r="N18" s="10"/>
      <c r="O18" s="9"/>
      <c r="P18" s="9">
        <v>10929</v>
      </c>
      <c r="Q18" s="9">
        <v>1406.0027530843549</v>
      </c>
      <c r="R18" s="9"/>
      <c r="S18" s="9" t="s">
        <v>9321</v>
      </c>
      <c r="T18" s="9" t="s">
        <v>9321</v>
      </c>
      <c r="U18" s="9"/>
      <c r="V18" s="9"/>
      <c r="W18" s="9"/>
      <c r="X18" s="9"/>
      <c r="Y18" s="9"/>
      <c r="Z18" s="9"/>
      <c r="AA18" s="9"/>
      <c r="AB18" s="9"/>
      <c r="AC18" s="9"/>
      <c r="AD18" s="9"/>
    </row>
    <row r="19" spans="1:30" ht="43.5">
      <c r="A19" s="3" t="s">
        <v>75</v>
      </c>
      <c r="B19" s="3" t="s">
        <v>2331</v>
      </c>
      <c r="C19" s="3" t="s">
        <v>3949</v>
      </c>
      <c r="G19" s="9" t="s">
        <v>3885</v>
      </c>
      <c r="H19" s="9"/>
      <c r="I19" s="9">
        <v>1</v>
      </c>
      <c r="J19" s="9">
        <v>2</v>
      </c>
      <c r="K19" s="9" t="s">
        <v>8689</v>
      </c>
      <c r="L19" s="9" t="s">
        <v>8730</v>
      </c>
      <c r="M19" s="9"/>
      <c r="N19" s="10"/>
      <c r="O19" s="9"/>
      <c r="P19" s="9">
        <v>10929</v>
      </c>
      <c r="Q19" s="9">
        <v>1406.0027530843549</v>
      </c>
      <c r="R19" s="9"/>
      <c r="S19" s="9" t="s">
        <v>9321</v>
      </c>
      <c r="T19" s="9" t="s">
        <v>9321</v>
      </c>
      <c r="U19" s="9"/>
      <c r="V19" s="9"/>
      <c r="W19" s="9"/>
      <c r="X19" s="9"/>
      <c r="Y19" s="9"/>
      <c r="Z19" s="9"/>
      <c r="AA19" s="9"/>
      <c r="AB19" s="9"/>
      <c r="AC19" s="9"/>
      <c r="AD19" s="9"/>
    </row>
    <row r="20" spans="1:30" ht="29">
      <c r="A20" s="3" t="s">
        <v>81</v>
      </c>
      <c r="B20" s="3" t="s">
        <v>8806</v>
      </c>
      <c r="C20" s="3" t="s">
        <v>8807</v>
      </c>
      <c r="G20" s="9" t="s">
        <v>3885</v>
      </c>
      <c r="H20" s="9"/>
      <c r="I20" s="9">
        <v>1</v>
      </c>
      <c r="J20" s="9">
        <v>1</v>
      </c>
      <c r="K20" s="9" t="s">
        <v>8689</v>
      </c>
      <c r="L20" s="9" t="s">
        <v>8730</v>
      </c>
      <c r="M20" s="9"/>
      <c r="N20" s="10"/>
      <c r="O20" s="9"/>
      <c r="P20" s="9">
        <v>10929</v>
      </c>
      <c r="Q20" s="9">
        <v>1406.0027530843549</v>
      </c>
      <c r="R20" s="9"/>
      <c r="S20" s="9" t="s">
        <v>9321</v>
      </c>
      <c r="T20" s="9" t="s">
        <v>9321</v>
      </c>
      <c r="U20" s="9"/>
      <c r="V20" s="9"/>
      <c r="W20" s="9"/>
      <c r="X20" s="9"/>
      <c r="Y20" s="9"/>
      <c r="Z20" s="9"/>
      <c r="AA20" s="9"/>
      <c r="AB20" s="9"/>
      <c r="AC20" s="9"/>
      <c r="AD20" s="9"/>
    </row>
    <row r="21" spans="1:30" ht="43.5">
      <c r="A21" s="3" t="s">
        <v>84</v>
      </c>
      <c r="B21" s="3" t="s">
        <v>3959</v>
      </c>
      <c r="C21" s="3" t="s">
        <v>3960</v>
      </c>
      <c r="G21" s="9" t="s">
        <v>3889</v>
      </c>
      <c r="H21" s="9"/>
      <c r="I21" s="9">
        <v>1</v>
      </c>
      <c r="J21" s="9">
        <v>2</v>
      </c>
      <c r="K21" s="9" t="s">
        <v>8689</v>
      </c>
      <c r="L21" s="9" t="s">
        <v>8730</v>
      </c>
      <c r="M21" s="9"/>
      <c r="N21" s="10"/>
      <c r="O21" s="9"/>
      <c r="P21" s="9">
        <v>10929</v>
      </c>
      <c r="Q21" s="9">
        <v>1406.0027530843549</v>
      </c>
      <c r="R21" s="9"/>
      <c r="S21" s="9" t="s">
        <v>9321</v>
      </c>
      <c r="T21" s="9" t="s">
        <v>9321</v>
      </c>
      <c r="U21" s="9"/>
      <c r="V21" s="9"/>
      <c r="W21" s="9"/>
      <c r="X21" s="9"/>
      <c r="Y21" s="9"/>
      <c r="Z21" s="9"/>
      <c r="AA21" s="9"/>
      <c r="AB21" s="9"/>
      <c r="AC21" s="9"/>
      <c r="AD21" s="9"/>
    </row>
    <row r="22" spans="1:30" ht="29">
      <c r="A22" s="3" t="s">
        <v>85</v>
      </c>
      <c r="B22" s="3" t="s">
        <v>3961</v>
      </c>
      <c r="C22" s="3" t="s">
        <v>3962</v>
      </c>
      <c r="F22" t="s">
        <v>3884</v>
      </c>
      <c r="G22" s="9" t="s">
        <v>3889</v>
      </c>
      <c r="H22" s="9"/>
      <c r="I22" s="9">
        <v>1</v>
      </c>
      <c r="J22" s="9">
        <v>3</v>
      </c>
      <c r="K22" s="9" t="s">
        <v>8689</v>
      </c>
      <c r="L22" s="9" t="s">
        <v>8690</v>
      </c>
      <c r="M22" s="9"/>
      <c r="N22" s="10"/>
      <c r="O22" s="9"/>
      <c r="P22" s="9">
        <v>10929</v>
      </c>
      <c r="Q22" s="9">
        <v>1406.0027530843549</v>
      </c>
      <c r="R22" s="9"/>
      <c r="S22" s="9" t="s">
        <v>9321</v>
      </c>
      <c r="T22" s="9" t="s">
        <v>9321</v>
      </c>
      <c r="U22" s="9"/>
      <c r="V22" s="9"/>
      <c r="W22" s="9"/>
      <c r="X22" s="9"/>
      <c r="Y22" s="9"/>
      <c r="Z22" s="9"/>
      <c r="AA22" s="9"/>
      <c r="AB22" s="9"/>
      <c r="AC22" s="9"/>
      <c r="AD22" s="9"/>
    </row>
    <row r="23" spans="1:30" ht="43.5">
      <c r="A23" s="3" t="s">
        <v>90</v>
      </c>
      <c r="B23" s="3" t="s">
        <v>3967</v>
      </c>
      <c r="C23" s="3" t="s">
        <v>3968</v>
      </c>
      <c r="G23" s="9" t="s">
        <v>3885</v>
      </c>
      <c r="H23" s="9"/>
      <c r="I23" s="9">
        <v>1</v>
      </c>
      <c r="J23" s="9">
        <v>2</v>
      </c>
      <c r="K23" s="9" t="s">
        <v>8707</v>
      </c>
      <c r="L23" s="9" t="s">
        <v>8730</v>
      </c>
      <c r="M23" s="9"/>
      <c r="N23" s="10"/>
      <c r="O23" s="9"/>
      <c r="P23" s="9">
        <v>1942</v>
      </c>
      <c r="Q23" s="9">
        <v>249.83597277791355</v>
      </c>
      <c r="R23" s="9"/>
      <c r="S23" s="9" t="s">
        <v>9321</v>
      </c>
      <c r="T23" s="9" t="s">
        <v>9321</v>
      </c>
      <c r="U23" s="9"/>
      <c r="V23" s="9"/>
      <c r="W23" s="9"/>
      <c r="X23" s="9"/>
      <c r="Y23" s="9"/>
      <c r="Z23" s="9"/>
      <c r="AA23" s="9"/>
      <c r="AB23" s="9"/>
      <c r="AC23" s="9"/>
      <c r="AD23" s="9"/>
    </row>
    <row r="24" spans="1:30" ht="43.5">
      <c r="A24" s="3" t="s">
        <v>90</v>
      </c>
      <c r="B24" s="3" t="s">
        <v>3971</v>
      </c>
      <c r="C24" s="3" t="s">
        <v>3973</v>
      </c>
      <c r="F24" t="s">
        <v>3884</v>
      </c>
      <c r="G24" s="9" t="s">
        <v>3885</v>
      </c>
      <c r="H24" s="9"/>
      <c r="I24" s="9">
        <v>1</v>
      </c>
      <c r="J24" s="9">
        <v>3</v>
      </c>
      <c r="K24" s="9" t="s">
        <v>8698</v>
      </c>
      <c r="L24" s="9" t="s">
        <v>8690</v>
      </c>
      <c r="M24" s="9"/>
      <c r="N24" s="10"/>
      <c r="O24" s="9"/>
      <c r="P24" s="9">
        <v>9418</v>
      </c>
      <c r="Q24" s="9">
        <v>1211.6144138117354</v>
      </c>
      <c r="R24" s="9"/>
      <c r="S24" s="9" t="s">
        <v>9321</v>
      </c>
      <c r="T24" s="9" t="s">
        <v>9321</v>
      </c>
      <c r="U24" s="9"/>
      <c r="V24" s="9"/>
      <c r="W24" s="9"/>
      <c r="X24" s="9"/>
      <c r="Y24" s="9"/>
      <c r="Z24" s="9"/>
      <c r="AA24" s="9"/>
      <c r="AB24" s="9"/>
      <c r="AC24" s="9"/>
      <c r="AD24" s="9"/>
    </row>
    <row r="25" spans="1:30" ht="43.5">
      <c r="A25" s="3" t="s">
        <v>91</v>
      </c>
      <c r="B25" s="3" t="s">
        <v>3979</v>
      </c>
      <c r="C25" s="3" t="s">
        <v>3980</v>
      </c>
      <c r="G25" s="9" t="s">
        <v>3889</v>
      </c>
      <c r="H25" s="9"/>
      <c r="I25" s="9">
        <v>1</v>
      </c>
      <c r="J25" s="9">
        <v>7</v>
      </c>
      <c r="K25" s="9" t="s">
        <v>8705</v>
      </c>
      <c r="L25" s="9" t="s">
        <v>8684</v>
      </c>
      <c r="M25" s="9" t="s">
        <v>8777</v>
      </c>
      <c r="N25" s="10" t="s">
        <v>8772</v>
      </c>
      <c r="O25" s="9"/>
      <c r="P25" s="9">
        <v>79</v>
      </c>
      <c r="Q25" s="9">
        <v>10.163255329276607</v>
      </c>
      <c r="R25" s="9"/>
      <c r="S25" s="9" t="s">
        <v>9321</v>
      </c>
      <c r="T25" s="9" t="s">
        <v>9321</v>
      </c>
      <c r="U25" s="9"/>
      <c r="V25" s="9"/>
      <c r="W25" s="9"/>
      <c r="X25" s="9"/>
      <c r="Y25" s="9"/>
      <c r="Z25" s="9"/>
      <c r="AA25" s="9"/>
      <c r="AB25" s="9"/>
      <c r="AC25" s="9"/>
      <c r="AD25" s="9"/>
    </row>
    <row r="26" spans="1:30" ht="29">
      <c r="A26" s="3" t="s">
        <v>92</v>
      </c>
      <c r="B26" s="3" t="s">
        <v>3983</v>
      </c>
      <c r="C26" s="3" t="s">
        <v>3984</v>
      </c>
      <c r="G26" s="9" t="s">
        <v>3889</v>
      </c>
      <c r="H26" s="9"/>
      <c r="I26" s="9">
        <v>1</v>
      </c>
      <c r="J26" s="9">
        <v>3</v>
      </c>
      <c r="K26" s="9" t="s">
        <v>8689</v>
      </c>
      <c r="L26" s="9" t="s">
        <v>8684</v>
      </c>
      <c r="M26" s="9" t="s">
        <v>8771</v>
      </c>
      <c r="N26" s="10" t="s">
        <v>8778</v>
      </c>
      <c r="O26" s="9"/>
      <c r="P26" s="9">
        <v>10929</v>
      </c>
      <c r="Q26" s="9">
        <v>1406.0027530843549</v>
      </c>
      <c r="R26" s="9"/>
      <c r="S26" s="9" t="s">
        <v>9321</v>
      </c>
      <c r="T26" s="9" t="s">
        <v>9321</v>
      </c>
      <c r="U26" s="9" t="s">
        <v>8728</v>
      </c>
      <c r="V26" s="9"/>
      <c r="W26" s="9"/>
      <c r="X26" s="9"/>
      <c r="Y26" s="9"/>
      <c r="Z26" s="9"/>
      <c r="AA26" s="9"/>
      <c r="AB26" s="9"/>
      <c r="AC26" s="9"/>
      <c r="AD26" s="9"/>
    </row>
    <row r="27" spans="1:30" ht="43.5">
      <c r="A27" s="3" t="s">
        <v>92</v>
      </c>
      <c r="B27" s="3" t="s">
        <v>3985</v>
      </c>
      <c r="C27" s="3" t="s">
        <v>3986</v>
      </c>
      <c r="F27" t="s">
        <v>3884</v>
      </c>
      <c r="G27" s="9" t="s">
        <v>3885</v>
      </c>
      <c r="H27" s="9"/>
      <c r="I27" s="9">
        <v>1</v>
      </c>
      <c r="J27" s="9">
        <v>3</v>
      </c>
      <c r="K27" s="9" t="s">
        <v>8689</v>
      </c>
      <c r="L27" s="9" t="s">
        <v>8684</v>
      </c>
      <c r="M27" s="9" t="s">
        <v>8771</v>
      </c>
      <c r="N27" s="10" t="s">
        <v>8778</v>
      </c>
      <c r="O27" s="9"/>
      <c r="P27" s="9">
        <v>10929</v>
      </c>
      <c r="Q27" s="9">
        <v>1406.0027530843549</v>
      </c>
      <c r="R27" s="9"/>
      <c r="S27" s="9" t="s">
        <v>9321</v>
      </c>
      <c r="T27" s="9" t="s">
        <v>9321</v>
      </c>
      <c r="U27" s="9"/>
      <c r="V27" s="9"/>
      <c r="W27" s="9"/>
      <c r="X27" s="9"/>
      <c r="Y27" s="9"/>
      <c r="Z27" s="9"/>
      <c r="AA27" s="9"/>
      <c r="AB27" s="9"/>
      <c r="AC27" s="9"/>
      <c r="AD27" s="9"/>
    </row>
    <row r="28" spans="1:30" ht="29">
      <c r="A28" s="3" t="s">
        <v>92</v>
      </c>
      <c r="B28" t="s">
        <v>8817</v>
      </c>
      <c r="C28" t="s">
        <v>9554</v>
      </c>
      <c r="G28" s="9" t="s">
        <v>3885</v>
      </c>
      <c r="H28" s="9"/>
      <c r="I28" s="9">
        <v>1</v>
      </c>
      <c r="J28" s="9">
        <v>1</v>
      </c>
      <c r="K28" s="9" t="s">
        <v>8689</v>
      </c>
      <c r="L28" s="9" t="s">
        <v>8730</v>
      </c>
      <c r="M28" s="9"/>
      <c r="N28" s="10"/>
      <c r="O28" s="9"/>
      <c r="P28" s="9">
        <v>10929</v>
      </c>
      <c r="Q28" s="9">
        <v>1406.0027530843549</v>
      </c>
      <c r="R28" s="9"/>
      <c r="S28" s="9" t="s">
        <v>9321</v>
      </c>
      <c r="T28" s="9" t="s">
        <v>9321</v>
      </c>
      <c r="U28" s="9"/>
      <c r="V28" s="9"/>
      <c r="W28" s="9"/>
      <c r="X28" s="9"/>
      <c r="Y28" s="9"/>
      <c r="Z28" s="9"/>
      <c r="AA28" s="9"/>
      <c r="AB28" s="9"/>
      <c r="AC28" s="9"/>
      <c r="AD28" s="9"/>
    </row>
    <row r="29" spans="1:30" ht="29">
      <c r="A29" s="3" t="s">
        <v>105</v>
      </c>
      <c r="B29" s="3" t="s">
        <v>4004</v>
      </c>
      <c r="C29" s="3" t="s">
        <v>4005</v>
      </c>
      <c r="F29" t="s">
        <v>3884</v>
      </c>
      <c r="G29" s="9" t="s">
        <v>3889</v>
      </c>
      <c r="H29" s="9"/>
      <c r="I29" s="9">
        <v>1</v>
      </c>
      <c r="J29" s="9">
        <v>2</v>
      </c>
      <c r="K29" s="9" t="s">
        <v>8689</v>
      </c>
      <c r="L29" s="9" t="s">
        <v>8730</v>
      </c>
      <c r="M29" s="9"/>
      <c r="N29" s="10"/>
      <c r="O29" s="9"/>
      <c r="P29" s="9">
        <v>10929</v>
      </c>
      <c r="Q29" s="9">
        <v>1406.0027530843549</v>
      </c>
      <c r="R29" s="9"/>
      <c r="S29" s="9" t="s">
        <v>9321</v>
      </c>
      <c r="T29" s="9" t="s">
        <v>9321</v>
      </c>
      <c r="U29" s="9"/>
      <c r="V29" s="9"/>
      <c r="W29" s="9"/>
      <c r="X29" s="9"/>
      <c r="Y29" s="9"/>
      <c r="Z29" s="9"/>
      <c r="AA29" s="9"/>
      <c r="AB29" s="9"/>
      <c r="AC29" s="9"/>
      <c r="AD29" s="9"/>
    </row>
    <row r="30" spans="1:30" ht="43.5">
      <c r="A30" s="3" t="s">
        <v>121</v>
      </c>
      <c r="B30" s="3" t="s">
        <v>2331</v>
      </c>
      <c r="C30" s="3" t="s">
        <v>3949</v>
      </c>
      <c r="G30" s="9" t="s">
        <v>3885</v>
      </c>
      <c r="H30" s="9"/>
      <c r="I30" s="9">
        <v>1</v>
      </c>
      <c r="J30" s="9">
        <v>2</v>
      </c>
      <c r="K30" s="9" t="s">
        <v>8689</v>
      </c>
      <c r="L30" s="9" t="s">
        <v>8730</v>
      </c>
      <c r="M30" s="9"/>
      <c r="N30" s="10"/>
      <c r="O30" s="9"/>
      <c r="P30" s="9">
        <v>10929</v>
      </c>
      <c r="Q30" s="9">
        <v>1406.0027530843549</v>
      </c>
      <c r="R30" s="9"/>
      <c r="S30" s="9" t="s">
        <v>9321</v>
      </c>
      <c r="T30" s="9" t="s">
        <v>9321</v>
      </c>
      <c r="U30" s="9"/>
      <c r="V30" s="9"/>
      <c r="W30" s="9"/>
      <c r="X30" s="9"/>
      <c r="Y30" s="9"/>
      <c r="Z30" s="9"/>
      <c r="AA30" s="9"/>
      <c r="AB30" s="9"/>
      <c r="AC30" s="9"/>
      <c r="AD30" s="9"/>
    </row>
    <row r="31" spans="1:30" ht="130.5">
      <c r="A31" s="3" t="s">
        <v>121</v>
      </c>
      <c r="B31" s="3" t="s">
        <v>9189</v>
      </c>
      <c r="C31" s="3" t="s">
        <v>9190</v>
      </c>
      <c r="G31" s="9" t="s">
        <v>3885</v>
      </c>
      <c r="H31" s="9"/>
      <c r="I31" s="9">
        <v>1</v>
      </c>
      <c r="J31" s="9">
        <v>2</v>
      </c>
      <c r="K31" s="9" t="s">
        <v>8689</v>
      </c>
      <c r="L31" s="9" t="s">
        <v>8730</v>
      </c>
      <c r="M31" s="9"/>
      <c r="N31" s="10"/>
      <c r="O31" s="9"/>
      <c r="P31" s="9">
        <v>10929</v>
      </c>
      <c r="Q31" s="9">
        <v>1406.0027530843549</v>
      </c>
      <c r="R31" s="9"/>
      <c r="S31" s="9" t="s">
        <v>9321</v>
      </c>
      <c r="T31" s="9" t="s">
        <v>9321</v>
      </c>
      <c r="U31" s="9" t="s">
        <v>4</v>
      </c>
      <c r="V31" s="9"/>
      <c r="W31" s="9"/>
      <c r="X31" s="9"/>
      <c r="Y31" s="9"/>
      <c r="Z31" s="9"/>
      <c r="AA31" s="9"/>
      <c r="AB31" s="9"/>
      <c r="AC31" s="9"/>
      <c r="AD31" s="9"/>
    </row>
    <row r="32" spans="1:30" ht="130.5">
      <c r="A32" s="3" t="s">
        <v>121</v>
      </c>
      <c r="B32" s="3" t="s">
        <v>9189</v>
      </c>
      <c r="C32" s="3" t="s">
        <v>9191</v>
      </c>
      <c r="F32" t="s">
        <v>3884</v>
      </c>
      <c r="G32" s="9" t="s">
        <v>3885</v>
      </c>
      <c r="H32" s="9"/>
      <c r="I32" s="9">
        <v>1</v>
      </c>
      <c r="J32" s="9">
        <v>3</v>
      </c>
      <c r="K32" s="9" t="s">
        <v>8689</v>
      </c>
      <c r="L32" s="9" t="s">
        <v>8690</v>
      </c>
      <c r="M32" s="9"/>
      <c r="N32" s="10"/>
      <c r="O32" s="9"/>
      <c r="P32" s="9">
        <v>10929</v>
      </c>
      <c r="Q32" s="9">
        <v>1406.0027530843549</v>
      </c>
      <c r="R32" s="9"/>
      <c r="S32" s="9" t="s">
        <v>9321</v>
      </c>
      <c r="T32" s="9" t="s">
        <v>9321</v>
      </c>
      <c r="U32" s="9" t="s">
        <v>4</v>
      </c>
      <c r="V32" s="9"/>
      <c r="W32" s="9"/>
      <c r="X32" s="9"/>
      <c r="Y32" s="9"/>
      <c r="Z32" s="9"/>
      <c r="AA32" s="9"/>
      <c r="AB32" s="9"/>
      <c r="AC32" s="9"/>
      <c r="AD32" s="9"/>
    </row>
    <row r="33" spans="1:30" ht="43.5">
      <c r="A33" s="3" t="s">
        <v>125</v>
      </c>
      <c r="B33" s="3" t="s">
        <v>9194</v>
      </c>
      <c r="C33" s="3" t="s">
        <v>9195</v>
      </c>
      <c r="F33" t="s">
        <v>3884</v>
      </c>
      <c r="G33" s="9" t="s">
        <v>3885</v>
      </c>
      <c r="H33" s="9"/>
      <c r="I33" s="9">
        <v>1</v>
      </c>
      <c r="J33" s="9">
        <v>1</v>
      </c>
      <c r="K33" s="9" t="s">
        <v>8689</v>
      </c>
      <c r="L33" s="9" t="s">
        <v>8730</v>
      </c>
      <c r="M33" s="9"/>
      <c r="N33" s="10"/>
      <c r="O33" s="9"/>
      <c r="P33" s="9">
        <v>10929</v>
      </c>
      <c r="Q33" s="9">
        <v>1406.0027530843549</v>
      </c>
      <c r="R33" s="9"/>
      <c r="S33" s="9" t="s">
        <v>9321</v>
      </c>
      <c r="T33" s="9" t="s">
        <v>9321</v>
      </c>
      <c r="U33" s="9"/>
      <c r="V33" s="9"/>
      <c r="W33" s="9"/>
      <c r="X33" s="9"/>
      <c r="Y33" s="9"/>
      <c r="Z33" s="9"/>
      <c r="AA33" s="9"/>
      <c r="AB33" s="9"/>
      <c r="AC33" s="9"/>
      <c r="AD33" s="9"/>
    </row>
    <row r="34" spans="1:30" ht="87">
      <c r="A34" s="3" t="s">
        <v>129</v>
      </c>
      <c r="B34" s="3" t="s">
        <v>9422</v>
      </c>
      <c r="C34" s="3" t="s">
        <v>9421</v>
      </c>
      <c r="G34" s="9" t="s">
        <v>3889</v>
      </c>
      <c r="H34" s="9"/>
      <c r="I34" s="9">
        <v>1</v>
      </c>
      <c r="J34" s="9">
        <v>5</v>
      </c>
      <c r="K34" s="9" t="s">
        <v>8705</v>
      </c>
      <c r="L34" s="9" t="s">
        <v>8684</v>
      </c>
      <c r="M34" s="9" t="s">
        <v>8777</v>
      </c>
      <c r="N34" s="10" t="s">
        <v>8778</v>
      </c>
      <c r="O34" s="9"/>
      <c r="P34" s="9">
        <v>3678</v>
      </c>
      <c r="Q34" s="9">
        <v>473.17029241872609</v>
      </c>
      <c r="R34" s="9"/>
      <c r="S34" s="9" t="s">
        <v>9321</v>
      </c>
      <c r="T34" s="9" t="s">
        <v>9321</v>
      </c>
      <c r="U34" s="9"/>
      <c r="V34" s="9"/>
      <c r="W34" s="9"/>
      <c r="X34" s="9"/>
      <c r="Y34" s="9"/>
      <c r="Z34" s="9"/>
      <c r="AA34" s="9"/>
      <c r="AB34" s="9"/>
      <c r="AC34" s="9"/>
      <c r="AD34" s="9"/>
    </row>
    <row r="35" spans="1:30">
      <c r="A35" s="3" t="s">
        <v>134</v>
      </c>
      <c r="B35" s="3" t="s">
        <v>4037</v>
      </c>
      <c r="C35" s="3" t="s">
        <v>4038</v>
      </c>
      <c r="G35" s="9" t="s">
        <v>3889</v>
      </c>
      <c r="H35" s="9"/>
      <c r="I35" s="9">
        <v>1</v>
      </c>
      <c r="J35" s="9">
        <v>1</v>
      </c>
      <c r="K35" s="9" t="s">
        <v>8698</v>
      </c>
      <c r="L35" s="9" t="s">
        <v>8730</v>
      </c>
      <c r="M35" s="9"/>
      <c r="N35" s="10"/>
      <c r="O35" s="9"/>
      <c r="P35" s="9">
        <v>73</v>
      </c>
      <c r="Q35" s="9">
        <v>9.3913625194581307</v>
      </c>
      <c r="R35" s="9"/>
      <c r="S35" s="9" t="s">
        <v>9321</v>
      </c>
      <c r="T35" s="9" t="s">
        <v>9321</v>
      </c>
      <c r="U35" s="9"/>
      <c r="V35" s="9"/>
      <c r="W35" s="9"/>
      <c r="X35" s="9"/>
      <c r="Y35" s="9"/>
      <c r="Z35" s="9"/>
      <c r="AA35" s="9"/>
      <c r="AB35" s="9"/>
      <c r="AC35" s="9"/>
      <c r="AD35" s="9"/>
    </row>
    <row r="36" spans="1:30" ht="58">
      <c r="A36" s="3" t="s">
        <v>136</v>
      </c>
      <c r="B36" s="3" t="s">
        <v>4041</v>
      </c>
      <c r="C36" s="3" t="s">
        <v>4042</v>
      </c>
      <c r="G36" s="9" t="s">
        <v>3889</v>
      </c>
      <c r="H36" s="9"/>
      <c r="I36" s="9">
        <v>1</v>
      </c>
      <c r="J36" s="9">
        <v>6</v>
      </c>
      <c r="K36" s="9" t="s">
        <v>8705</v>
      </c>
      <c r="L36" s="9" t="s">
        <v>8684</v>
      </c>
      <c r="M36" s="9" t="s">
        <v>8777</v>
      </c>
      <c r="N36" s="10" t="s">
        <v>8778</v>
      </c>
      <c r="O36" s="9"/>
      <c r="P36" s="9">
        <v>3678</v>
      </c>
      <c r="Q36" s="9">
        <v>473.17029241872609</v>
      </c>
      <c r="R36" s="9"/>
      <c r="S36" s="9" t="s">
        <v>9321</v>
      </c>
      <c r="T36" s="9" t="s">
        <v>9321</v>
      </c>
      <c r="U36" s="9"/>
      <c r="V36" s="9"/>
      <c r="W36" s="9"/>
      <c r="X36" s="9"/>
      <c r="Y36" s="9"/>
      <c r="Z36" s="9"/>
      <c r="AA36" s="9"/>
      <c r="AB36" s="9"/>
      <c r="AC36" s="9"/>
      <c r="AD36" s="9"/>
    </row>
    <row r="37" spans="1:30" ht="43.5">
      <c r="A37" s="3" t="s">
        <v>142</v>
      </c>
      <c r="B37" s="3" t="s">
        <v>4054</v>
      </c>
      <c r="C37" s="3" t="s">
        <v>4055</v>
      </c>
      <c r="G37" s="9" t="s">
        <v>3889</v>
      </c>
      <c r="H37" s="9"/>
      <c r="I37" s="9">
        <v>1</v>
      </c>
      <c r="J37" s="9">
        <v>3</v>
      </c>
      <c r="K37" s="9" t="s">
        <v>8689</v>
      </c>
      <c r="L37" s="9" t="s">
        <v>8684</v>
      </c>
      <c r="M37" s="9" t="s">
        <v>8771</v>
      </c>
      <c r="N37" s="10" t="s">
        <v>8778</v>
      </c>
      <c r="O37" s="9"/>
      <c r="P37" s="9">
        <v>10929</v>
      </c>
      <c r="Q37" s="9">
        <v>1406.0027530843549</v>
      </c>
      <c r="R37" s="9"/>
      <c r="S37" s="9" t="s">
        <v>9321</v>
      </c>
      <c r="T37" s="9" t="s">
        <v>9321</v>
      </c>
      <c r="U37" s="9"/>
      <c r="V37" s="9"/>
      <c r="W37" s="9"/>
      <c r="X37" s="9"/>
      <c r="Y37" s="9"/>
      <c r="Z37" s="9"/>
      <c r="AA37" s="9"/>
      <c r="AB37" s="9"/>
      <c r="AC37" s="9"/>
      <c r="AD37" s="9"/>
    </row>
    <row r="38" spans="1:30" ht="43.5">
      <c r="A38" s="3" t="s">
        <v>143</v>
      </c>
      <c r="B38" s="3" t="s">
        <v>4056</v>
      </c>
      <c r="C38" s="3" t="s">
        <v>4057</v>
      </c>
      <c r="F38" t="s">
        <v>3884</v>
      </c>
      <c r="G38" s="9" t="s">
        <v>3889</v>
      </c>
      <c r="H38" s="9"/>
      <c r="I38" s="9">
        <v>1</v>
      </c>
      <c r="J38" s="9">
        <v>3</v>
      </c>
      <c r="K38" s="9" t="s">
        <v>8689</v>
      </c>
      <c r="L38" s="9" t="s">
        <v>8690</v>
      </c>
      <c r="M38" s="9"/>
      <c r="N38" s="10"/>
      <c r="O38" s="9"/>
      <c r="P38" s="9">
        <v>10929</v>
      </c>
      <c r="Q38" s="9">
        <v>1406.0027530843549</v>
      </c>
      <c r="R38" s="9"/>
      <c r="S38" s="9" t="s">
        <v>9321</v>
      </c>
      <c r="T38" s="9" t="s">
        <v>9321</v>
      </c>
      <c r="U38" s="9"/>
      <c r="V38" s="9"/>
      <c r="W38" s="9"/>
      <c r="X38" s="9"/>
      <c r="Y38" s="9"/>
      <c r="Z38" s="9"/>
      <c r="AA38" s="9"/>
      <c r="AB38" s="9"/>
      <c r="AC38" s="9"/>
      <c r="AD38" s="9"/>
    </row>
    <row r="39" spans="1:30" ht="58">
      <c r="A39" s="3" t="s">
        <v>147</v>
      </c>
      <c r="B39" s="3" t="s">
        <v>4063</v>
      </c>
      <c r="C39" s="3" t="s">
        <v>4064</v>
      </c>
      <c r="F39" t="s">
        <v>3884</v>
      </c>
      <c r="G39" s="9" t="s">
        <v>3885</v>
      </c>
      <c r="H39" s="9"/>
      <c r="I39" s="9">
        <v>1</v>
      </c>
      <c r="J39" s="9">
        <v>1</v>
      </c>
      <c r="K39" s="9" t="s">
        <v>8689</v>
      </c>
      <c r="L39" s="9" t="s">
        <v>8730</v>
      </c>
      <c r="M39" s="9"/>
      <c r="N39" s="10"/>
      <c r="O39" s="9"/>
      <c r="P39" s="9">
        <v>10929</v>
      </c>
      <c r="Q39" s="9">
        <v>1406.0027530843549</v>
      </c>
      <c r="R39" s="9"/>
      <c r="S39" s="9" t="s">
        <v>9321</v>
      </c>
      <c r="T39" s="9" t="s">
        <v>9321</v>
      </c>
      <c r="U39" s="9"/>
      <c r="V39" s="9"/>
      <c r="W39" s="9"/>
      <c r="X39" s="9"/>
      <c r="Y39" s="9"/>
      <c r="Z39" s="9"/>
      <c r="AA39" s="9"/>
      <c r="AB39" s="9"/>
      <c r="AC39" s="9"/>
      <c r="AD39" s="9"/>
    </row>
    <row r="40" spans="1:30" ht="29">
      <c r="A40" s="3" t="s">
        <v>150</v>
      </c>
      <c r="B40" t="s">
        <v>8837</v>
      </c>
      <c r="C40" t="s">
        <v>8836</v>
      </c>
      <c r="G40" s="9" t="s">
        <v>3889</v>
      </c>
      <c r="H40" s="9"/>
      <c r="I40" s="9">
        <v>1</v>
      </c>
      <c r="J40" s="9">
        <v>4</v>
      </c>
      <c r="K40" s="9" t="s">
        <v>8710</v>
      </c>
      <c r="L40" s="9" t="s">
        <v>8690</v>
      </c>
      <c r="M40" s="9"/>
      <c r="N40" s="10"/>
      <c r="O40" s="9"/>
      <c r="P40" s="9">
        <v>266</v>
      </c>
      <c r="Q40" s="9">
        <v>34.220581235285792</v>
      </c>
      <c r="R40" s="9"/>
      <c r="S40" s="9" t="s">
        <v>9321</v>
      </c>
      <c r="T40" s="9" t="s">
        <v>9321</v>
      </c>
      <c r="U40" s="9"/>
      <c r="V40" s="9"/>
      <c r="W40" s="9"/>
      <c r="X40" s="9"/>
      <c r="Y40" s="9"/>
      <c r="Z40" s="9"/>
      <c r="AA40" s="9"/>
      <c r="AB40" s="9"/>
      <c r="AC40" s="9"/>
      <c r="AD40" s="9"/>
    </row>
    <row r="41" spans="1:30" ht="58">
      <c r="A41" s="3" t="s">
        <v>152</v>
      </c>
      <c r="B41" s="3" t="s">
        <v>8843</v>
      </c>
      <c r="C41" s="3" t="s">
        <v>4074</v>
      </c>
      <c r="G41" s="9" t="s">
        <v>3889</v>
      </c>
      <c r="H41" s="9"/>
      <c r="I41" s="9">
        <v>1</v>
      </c>
      <c r="J41" s="9">
        <v>3</v>
      </c>
      <c r="K41" s="9" t="s">
        <v>8705</v>
      </c>
      <c r="L41" s="9" t="s">
        <v>8690</v>
      </c>
      <c r="M41" s="9"/>
      <c r="N41" s="10"/>
      <c r="O41" s="9"/>
      <c r="P41" s="9">
        <v>1485</v>
      </c>
      <c r="Q41" s="9">
        <v>191.04347043007292</v>
      </c>
      <c r="R41" s="9"/>
      <c r="S41" s="9" t="s">
        <v>9321</v>
      </c>
      <c r="T41" s="9" t="s">
        <v>9321</v>
      </c>
      <c r="U41" s="9"/>
      <c r="V41" s="9"/>
      <c r="W41" s="9"/>
      <c r="X41" s="9"/>
      <c r="Y41" s="9"/>
      <c r="Z41" s="9"/>
      <c r="AA41" s="9"/>
      <c r="AB41" s="9"/>
      <c r="AC41" s="9"/>
      <c r="AD41" s="9"/>
    </row>
    <row r="42" spans="1:30" ht="58">
      <c r="A42" s="3" t="s">
        <v>153</v>
      </c>
      <c r="B42" s="3" t="s">
        <v>4079</v>
      </c>
      <c r="C42" s="3" t="s">
        <v>4080</v>
      </c>
      <c r="F42" t="s">
        <v>3892</v>
      </c>
      <c r="G42" s="9" t="s">
        <v>3889</v>
      </c>
      <c r="H42" s="9"/>
      <c r="I42" s="9">
        <v>1</v>
      </c>
      <c r="J42" s="9">
        <v>2</v>
      </c>
      <c r="K42" s="9" t="s">
        <v>8689</v>
      </c>
      <c r="L42" s="9" t="s">
        <v>8730</v>
      </c>
      <c r="M42" s="9"/>
      <c r="N42" s="10"/>
      <c r="O42" s="9"/>
      <c r="P42" s="9">
        <v>10929</v>
      </c>
      <c r="Q42" s="9">
        <v>1406.0027530843549</v>
      </c>
      <c r="R42" s="9"/>
      <c r="S42" s="9" t="s">
        <v>9321</v>
      </c>
      <c r="T42" s="9" t="s">
        <v>9321</v>
      </c>
      <c r="U42" s="9"/>
      <c r="V42" s="9"/>
      <c r="W42" s="9"/>
      <c r="X42" s="9"/>
      <c r="Y42" s="9"/>
      <c r="Z42" s="9"/>
      <c r="AA42" s="9"/>
      <c r="AB42" s="9"/>
      <c r="AC42" s="9"/>
      <c r="AD42" s="9"/>
    </row>
    <row r="43" spans="1:30" ht="43.5">
      <c r="A43" s="3" t="s">
        <v>154</v>
      </c>
      <c r="B43" s="3" t="s">
        <v>4088</v>
      </c>
      <c r="C43" s="3" t="s">
        <v>4086</v>
      </c>
      <c r="F43" t="s">
        <v>3884</v>
      </c>
      <c r="G43" s="9" t="s">
        <v>3889</v>
      </c>
      <c r="H43" s="9"/>
      <c r="I43" s="9">
        <v>1</v>
      </c>
      <c r="J43" s="9">
        <v>3</v>
      </c>
      <c r="K43" s="9" t="s">
        <v>8689</v>
      </c>
      <c r="L43" s="9" t="s">
        <v>8690</v>
      </c>
      <c r="M43" s="9"/>
      <c r="N43" s="10"/>
      <c r="O43" s="9"/>
      <c r="P43" s="9">
        <v>10929</v>
      </c>
      <c r="Q43" s="9">
        <v>1406.0027530843549</v>
      </c>
      <c r="R43" s="9"/>
      <c r="S43" s="9" t="s">
        <v>9321</v>
      </c>
      <c r="T43" s="9" t="s">
        <v>9321</v>
      </c>
      <c r="U43" s="9"/>
      <c r="V43" s="9"/>
      <c r="W43" s="9"/>
      <c r="X43" s="9"/>
      <c r="Y43" s="9"/>
      <c r="Z43" s="9"/>
      <c r="AA43" s="9"/>
      <c r="AB43" s="9"/>
      <c r="AC43" s="9"/>
      <c r="AD43" s="9"/>
    </row>
    <row r="44" spans="1:30" ht="43.5">
      <c r="A44" s="3" t="s">
        <v>159</v>
      </c>
      <c r="B44" s="3" t="s">
        <v>4094</v>
      </c>
      <c r="C44" s="3" t="s">
        <v>4095</v>
      </c>
      <c r="F44" t="s">
        <v>3884</v>
      </c>
      <c r="G44" s="9" t="s">
        <v>3889</v>
      </c>
      <c r="H44" s="9"/>
      <c r="I44" s="9">
        <v>1</v>
      </c>
      <c r="J44" s="9">
        <v>2</v>
      </c>
      <c r="K44" s="9" t="s">
        <v>8689</v>
      </c>
      <c r="L44" s="9" t="s">
        <v>8730</v>
      </c>
      <c r="M44" s="9"/>
      <c r="N44" s="10"/>
      <c r="O44" s="9"/>
      <c r="P44" s="9">
        <v>10929</v>
      </c>
      <c r="Q44" s="9">
        <v>1406.0027530843549</v>
      </c>
      <c r="R44" s="9"/>
      <c r="S44" s="9" t="s">
        <v>9321</v>
      </c>
      <c r="T44" s="9" t="s">
        <v>9321</v>
      </c>
      <c r="U44" s="9"/>
      <c r="V44" s="9"/>
      <c r="W44" s="9"/>
      <c r="X44" s="9"/>
      <c r="Y44" s="9"/>
      <c r="Z44" s="9"/>
      <c r="AA44" s="9"/>
      <c r="AB44" s="9"/>
      <c r="AC44" s="9"/>
      <c r="AD44" s="9"/>
    </row>
    <row r="45" spans="1:30" ht="29">
      <c r="A45" s="3" t="s">
        <v>171</v>
      </c>
      <c r="B45" s="3" t="s">
        <v>4111</v>
      </c>
      <c r="C45" s="3" t="s">
        <v>4112</v>
      </c>
      <c r="G45" s="9" t="s">
        <v>3889</v>
      </c>
      <c r="H45" s="9"/>
      <c r="I45" s="9">
        <v>1</v>
      </c>
      <c r="J45" s="9">
        <v>2</v>
      </c>
      <c r="K45" s="9" t="s">
        <v>8689</v>
      </c>
      <c r="L45" s="9" t="s">
        <v>8690</v>
      </c>
      <c r="M45" s="9"/>
      <c r="N45" s="10"/>
      <c r="O45" s="9" t="s">
        <v>8685</v>
      </c>
      <c r="P45" s="9">
        <v>10929</v>
      </c>
      <c r="Q45" s="9">
        <v>1406.0027530843549</v>
      </c>
      <c r="R45" s="9"/>
      <c r="S45" s="9" t="s">
        <v>9321</v>
      </c>
      <c r="T45" s="9" t="s">
        <v>9321</v>
      </c>
      <c r="U45" s="9"/>
      <c r="V45" s="9"/>
      <c r="W45" s="9"/>
      <c r="X45" s="9"/>
      <c r="Y45" s="9"/>
      <c r="Z45" s="9"/>
      <c r="AA45" s="9"/>
      <c r="AB45" s="9"/>
      <c r="AC45" s="9"/>
      <c r="AD45" s="9"/>
    </row>
    <row r="46" spans="1:30" ht="43.5">
      <c r="A46" s="3" t="s">
        <v>174</v>
      </c>
      <c r="B46" s="3" t="s">
        <v>8853</v>
      </c>
      <c r="C46" s="3" t="s">
        <v>8854</v>
      </c>
      <c r="G46" s="9" t="s">
        <v>3889</v>
      </c>
      <c r="H46" s="9"/>
      <c r="I46" s="9">
        <v>1</v>
      </c>
      <c r="J46" s="9">
        <v>1</v>
      </c>
      <c r="K46" s="9" t="s">
        <v>8689</v>
      </c>
      <c r="L46" s="9" t="s">
        <v>8730</v>
      </c>
      <c r="M46" s="9"/>
      <c r="N46" s="10"/>
      <c r="O46" s="9"/>
      <c r="P46" s="9">
        <v>10929</v>
      </c>
      <c r="Q46" s="9">
        <v>1406.0027530843549</v>
      </c>
      <c r="R46" s="9"/>
      <c r="S46" s="9" t="s">
        <v>9321</v>
      </c>
      <c r="T46" s="9" t="s">
        <v>9321</v>
      </c>
      <c r="U46" s="9"/>
      <c r="V46" s="9"/>
      <c r="W46" s="9"/>
      <c r="X46" s="9"/>
      <c r="Y46" s="9"/>
      <c r="Z46" s="9"/>
      <c r="AA46" s="9"/>
      <c r="AB46" s="9"/>
      <c r="AC46" s="9"/>
      <c r="AD46" s="9"/>
    </row>
    <row r="47" spans="1:30" ht="29">
      <c r="A47" s="3" t="s">
        <v>183</v>
      </c>
      <c r="B47" s="3" t="s">
        <v>4122</v>
      </c>
      <c r="C47" s="3" t="s">
        <v>4123</v>
      </c>
      <c r="G47" s="9" t="s">
        <v>3885</v>
      </c>
      <c r="H47" s="9"/>
      <c r="I47" s="9">
        <v>1</v>
      </c>
      <c r="J47" s="9">
        <v>2</v>
      </c>
      <c r="K47" s="9" t="s">
        <v>8707</v>
      </c>
      <c r="L47" s="9" t="s">
        <v>8730</v>
      </c>
      <c r="M47" s="9"/>
      <c r="N47" s="10"/>
      <c r="O47" s="9"/>
      <c r="P47" s="9">
        <v>1942</v>
      </c>
      <c r="Q47" s="9">
        <v>249.83597277791355</v>
      </c>
      <c r="R47" s="9"/>
      <c r="S47" s="9" t="s">
        <v>9321</v>
      </c>
      <c r="T47" s="9" t="s">
        <v>9321</v>
      </c>
      <c r="U47" s="9"/>
      <c r="V47" s="9"/>
      <c r="W47" s="9"/>
      <c r="X47" s="9"/>
      <c r="Y47" s="9"/>
      <c r="Z47" s="9"/>
      <c r="AA47" s="9"/>
      <c r="AB47" s="9"/>
      <c r="AC47" s="9"/>
      <c r="AD47" s="9"/>
    </row>
    <row r="48" spans="1:30" ht="58">
      <c r="A48" s="3" t="s">
        <v>192</v>
      </c>
      <c r="B48" s="3" t="s">
        <v>4130</v>
      </c>
      <c r="C48" s="3" t="s">
        <v>8863</v>
      </c>
      <c r="F48" t="s">
        <v>3888</v>
      </c>
      <c r="G48" s="9" t="s">
        <v>3885</v>
      </c>
      <c r="H48" s="9"/>
      <c r="I48" s="9">
        <v>1</v>
      </c>
      <c r="J48" s="9">
        <v>1</v>
      </c>
      <c r="K48" s="9" t="s">
        <v>8689</v>
      </c>
      <c r="L48" s="9" t="s">
        <v>8730</v>
      </c>
      <c r="M48" s="9"/>
      <c r="N48" s="10"/>
      <c r="O48" s="9"/>
      <c r="P48" s="9">
        <v>10929</v>
      </c>
      <c r="Q48" s="9">
        <v>1406.0027530843549</v>
      </c>
      <c r="R48" s="9"/>
      <c r="S48" s="9" t="s">
        <v>9321</v>
      </c>
      <c r="T48" s="9" t="s">
        <v>9321</v>
      </c>
      <c r="U48" s="9" t="s">
        <v>8728</v>
      </c>
      <c r="V48" s="9"/>
      <c r="W48" s="9"/>
      <c r="X48" s="9"/>
      <c r="Y48" s="9"/>
      <c r="Z48" s="9"/>
      <c r="AA48" s="9"/>
      <c r="AB48" s="9"/>
      <c r="AC48" s="9"/>
      <c r="AD48" s="9"/>
    </row>
    <row r="49" spans="1:30" ht="43.5">
      <c r="A49" s="3" t="s">
        <v>195</v>
      </c>
      <c r="B49" s="3" t="s">
        <v>8868</v>
      </c>
      <c r="C49" s="3" t="s">
        <v>8869</v>
      </c>
      <c r="G49" s="9" t="s">
        <v>3889</v>
      </c>
      <c r="H49" s="9"/>
      <c r="I49" s="9">
        <v>1</v>
      </c>
      <c r="J49" s="9">
        <v>1</v>
      </c>
      <c r="K49" s="9" t="s">
        <v>8689</v>
      </c>
      <c r="L49" s="9" t="s">
        <v>8730</v>
      </c>
      <c r="M49" s="9"/>
      <c r="N49" s="10"/>
      <c r="O49" s="9"/>
      <c r="P49" s="9">
        <v>10929</v>
      </c>
      <c r="Q49" s="9">
        <v>1406.0027530843549</v>
      </c>
      <c r="R49" s="9"/>
      <c r="S49" s="9" t="s">
        <v>9321</v>
      </c>
      <c r="T49" s="9" t="s">
        <v>9321</v>
      </c>
      <c r="U49" s="9"/>
      <c r="V49" s="9"/>
      <c r="W49" s="9"/>
      <c r="X49" s="9"/>
      <c r="Y49" s="9"/>
      <c r="Z49" s="9"/>
      <c r="AA49" s="9"/>
      <c r="AB49" s="9"/>
      <c r="AC49" s="9"/>
      <c r="AD49" s="9"/>
    </row>
    <row r="50" spans="1:30" ht="29">
      <c r="A50" s="3" t="s">
        <v>201</v>
      </c>
      <c r="B50" s="3" t="s">
        <v>4143</v>
      </c>
      <c r="C50" s="3" t="s">
        <v>4144</v>
      </c>
      <c r="G50" s="9" t="s">
        <v>3889</v>
      </c>
      <c r="H50" s="9"/>
      <c r="I50" s="9">
        <v>1</v>
      </c>
      <c r="J50" s="9">
        <v>2</v>
      </c>
      <c r="K50" s="9" t="s">
        <v>8689</v>
      </c>
      <c r="L50" s="9" t="s">
        <v>8730</v>
      </c>
      <c r="M50" s="9"/>
      <c r="N50" s="10"/>
      <c r="O50" s="9"/>
      <c r="P50" s="9">
        <v>10929</v>
      </c>
      <c r="Q50" s="9">
        <v>1406.0027530843549</v>
      </c>
      <c r="R50" s="9"/>
      <c r="S50" s="9" t="s">
        <v>9321</v>
      </c>
      <c r="T50" s="9" t="s">
        <v>9321</v>
      </c>
      <c r="U50" s="9" t="s">
        <v>8728</v>
      </c>
      <c r="V50" s="9"/>
      <c r="W50" s="9"/>
      <c r="X50" s="9"/>
      <c r="Y50" s="9"/>
      <c r="Z50" s="9"/>
      <c r="AA50" s="9"/>
      <c r="AB50" s="9"/>
      <c r="AC50" s="9"/>
      <c r="AD50" s="9"/>
    </row>
    <row r="51" spans="1:30" ht="58">
      <c r="A51" s="3" t="s">
        <v>201</v>
      </c>
      <c r="B51" s="3" t="s">
        <v>9576</v>
      </c>
      <c r="C51" s="4" t="s">
        <v>9577</v>
      </c>
      <c r="D51" t="s">
        <v>4197</v>
      </c>
      <c r="G51" s="9" t="s">
        <v>3889</v>
      </c>
      <c r="H51" s="9"/>
      <c r="I51" s="9">
        <v>1</v>
      </c>
      <c r="J51" s="9">
        <v>2</v>
      </c>
      <c r="K51" s="9" t="s">
        <v>8689</v>
      </c>
      <c r="L51" s="9" t="s">
        <v>8730</v>
      </c>
      <c r="M51" s="9"/>
      <c r="N51" s="10"/>
      <c r="O51" s="9"/>
      <c r="P51" s="9">
        <v>10929</v>
      </c>
      <c r="Q51" s="9">
        <v>1406.0027530843549</v>
      </c>
      <c r="R51" s="9"/>
      <c r="S51" s="9" t="s">
        <v>9321</v>
      </c>
      <c r="T51" s="9" t="s">
        <v>9321</v>
      </c>
      <c r="U51" s="9"/>
      <c r="V51" s="9"/>
      <c r="W51" s="9"/>
      <c r="X51" s="9"/>
      <c r="Y51" s="9"/>
      <c r="Z51" s="9"/>
      <c r="AA51" s="9"/>
      <c r="AB51" s="9"/>
      <c r="AC51" s="9"/>
      <c r="AD51" s="9"/>
    </row>
    <row r="52" spans="1:30" ht="58">
      <c r="A52" s="3" t="s">
        <v>201</v>
      </c>
      <c r="B52" s="3" t="s">
        <v>9578</v>
      </c>
      <c r="C52" s="3" t="s">
        <v>8870</v>
      </c>
      <c r="G52" s="9" t="s">
        <v>3889</v>
      </c>
      <c r="H52" s="9"/>
      <c r="I52" s="9">
        <v>1</v>
      </c>
      <c r="J52" s="9">
        <v>2</v>
      </c>
      <c r="K52" s="9" t="s">
        <v>8689</v>
      </c>
      <c r="L52" s="9" t="s">
        <v>8730</v>
      </c>
      <c r="M52" s="9"/>
      <c r="N52" s="10"/>
      <c r="O52" s="9"/>
      <c r="P52" s="9">
        <v>10929</v>
      </c>
      <c r="Q52" s="9">
        <v>1406.0027530843549</v>
      </c>
      <c r="R52" s="9"/>
      <c r="S52" s="9" t="s">
        <v>9321</v>
      </c>
      <c r="T52" s="9" t="s">
        <v>9321</v>
      </c>
      <c r="U52" s="9"/>
      <c r="V52" s="9"/>
      <c r="W52" s="9"/>
      <c r="X52" s="9"/>
      <c r="Y52" s="9"/>
      <c r="Z52" s="9"/>
      <c r="AA52" s="9"/>
      <c r="AB52" s="9"/>
      <c r="AC52" s="9"/>
      <c r="AD52" s="9"/>
    </row>
    <row r="53" spans="1:30" ht="29">
      <c r="A53" s="3" t="s">
        <v>202</v>
      </c>
      <c r="B53" s="3" t="s">
        <v>4143</v>
      </c>
      <c r="C53" s="3" t="s">
        <v>4144</v>
      </c>
      <c r="G53" s="9" t="s">
        <v>3889</v>
      </c>
      <c r="H53" s="9"/>
      <c r="I53" s="9">
        <v>1</v>
      </c>
      <c r="J53" s="9">
        <v>2</v>
      </c>
      <c r="K53" s="9" t="s">
        <v>8689</v>
      </c>
      <c r="L53" s="9" t="s">
        <v>8730</v>
      </c>
      <c r="M53" s="9"/>
      <c r="N53" s="10"/>
      <c r="O53" s="9"/>
      <c r="P53" s="9">
        <v>10929</v>
      </c>
      <c r="Q53" s="9">
        <v>1406.0027530843549</v>
      </c>
      <c r="R53" s="9"/>
      <c r="S53" s="9" t="s">
        <v>9321</v>
      </c>
      <c r="T53" s="9" t="s">
        <v>9321</v>
      </c>
      <c r="U53" s="9" t="s">
        <v>8728</v>
      </c>
      <c r="V53" s="9"/>
      <c r="W53" s="9"/>
      <c r="X53" s="9"/>
      <c r="Y53" s="9"/>
      <c r="Z53" s="9"/>
      <c r="AA53" s="9"/>
      <c r="AB53" s="9"/>
      <c r="AC53" s="9"/>
      <c r="AD53" s="9"/>
    </row>
    <row r="54" spans="1:30" ht="29">
      <c r="A54" s="3" t="s">
        <v>203</v>
      </c>
      <c r="B54" s="3" t="s">
        <v>8872</v>
      </c>
      <c r="C54" s="3" t="s">
        <v>8871</v>
      </c>
      <c r="F54" t="s">
        <v>3884</v>
      </c>
      <c r="G54" s="9" t="s">
        <v>3885</v>
      </c>
      <c r="H54" s="9"/>
      <c r="I54" s="9">
        <v>1</v>
      </c>
      <c r="J54" s="9">
        <v>1</v>
      </c>
      <c r="K54" s="9" t="s">
        <v>8689</v>
      </c>
      <c r="L54" s="9" t="s">
        <v>8730</v>
      </c>
      <c r="M54" s="9"/>
      <c r="N54" s="10"/>
      <c r="O54" s="9"/>
      <c r="P54" s="9">
        <v>10929</v>
      </c>
      <c r="Q54" s="9">
        <v>1406.0027530843549</v>
      </c>
      <c r="R54" s="9"/>
      <c r="S54" s="9" t="s">
        <v>9321</v>
      </c>
      <c r="T54" s="9" t="s">
        <v>9321</v>
      </c>
      <c r="U54" s="9"/>
      <c r="V54" s="9"/>
      <c r="W54" s="9"/>
      <c r="X54" s="9"/>
      <c r="Y54" s="9"/>
      <c r="Z54" s="9"/>
      <c r="AA54" s="9"/>
      <c r="AB54" s="9"/>
      <c r="AC54" s="9"/>
      <c r="AD54" s="9"/>
    </row>
    <row r="55" spans="1:30" ht="29">
      <c r="A55" s="3" t="s">
        <v>206</v>
      </c>
      <c r="B55" s="3" t="s">
        <v>8877</v>
      </c>
      <c r="C55" s="3" t="s">
        <v>8878</v>
      </c>
      <c r="F55" t="s">
        <v>3884</v>
      </c>
      <c r="G55" s="9" t="s">
        <v>3889</v>
      </c>
      <c r="H55" s="9"/>
      <c r="I55" s="9">
        <v>1</v>
      </c>
      <c r="J55" s="9">
        <v>1</v>
      </c>
      <c r="K55" s="9" t="s">
        <v>8689</v>
      </c>
      <c r="L55" s="9" t="s">
        <v>8730</v>
      </c>
      <c r="M55" s="9"/>
      <c r="N55" s="10"/>
      <c r="O55" s="9"/>
      <c r="P55" s="9">
        <v>10929</v>
      </c>
      <c r="Q55" s="9">
        <v>1406.0027530843549</v>
      </c>
      <c r="R55" s="9"/>
      <c r="S55" s="9" t="s">
        <v>9321</v>
      </c>
      <c r="T55" s="9" t="s">
        <v>9321</v>
      </c>
      <c r="U55" s="9"/>
      <c r="V55" s="9"/>
      <c r="W55" s="9"/>
      <c r="X55" s="9"/>
      <c r="Y55" s="9"/>
      <c r="Z55" s="9"/>
      <c r="AA55" s="9"/>
      <c r="AB55" s="9"/>
      <c r="AC55" s="9"/>
      <c r="AD55" s="9"/>
    </row>
    <row r="56" spans="1:30" ht="43.5">
      <c r="A56" s="3" t="s">
        <v>210</v>
      </c>
      <c r="B56" s="3" t="s">
        <v>4148</v>
      </c>
      <c r="C56" s="3" t="s">
        <v>4149</v>
      </c>
      <c r="F56" t="s">
        <v>3884</v>
      </c>
      <c r="G56" s="9" t="s">
        <v>3889</v>
      </c>
      <c r="H56" s="9"/>
      <c r="I56" s="9">
        <v>1</v>
      </c>
      <c r="J56" s="9">
        <v>2</v>
      </c>
      <c r="K56" s="9" t="s">
        <v>8689</v>
      </c>
      <c r="L56" s="9" t="s">
        <v>8730</v>
      </c>
      <c r="M56" s="9"/>
      <c r="N56" s="10"/>
      <c r="O56" s="9"/>
      <c r="P56" s="9">
        <v>10929</v>
      </c>
      <c r="Q56" s="9">
        <v>1406.0027530843549</v>
      </c>
      <c r="R56" s="9"/>
      <c r="S56" s="9" t="s">
        <v>9321</v>
      </c>
      <c r="T56" s="9" t="s">
        <v>9321</v>
      </c>
      <c r="U56" s="9"/>
      <c r="V56" s="9"/>
      <c r="W56" s="9"/>
      <c r="X56" s="9"/>
      <c r="Y56" s="9"/>
      <c r="Z56" s="9"/>
      <c r="AA56" s="9"/>
      <c r="AB56" s="9"/>
      <c r="AC56" s="9"/>
      <c r="AD56" s="9"/>
    </row>
    <row r="57" spans="1:30" ht="43.5">
      <c r="A57" s="3" t="s">
        <v>211</v>
      </c>
      <c r="B57" s="3" t="s">
        <v>9580</v>
      </c>
      <c r="C57" s="3" t="s">
        <v>9581</v>
      </c>
      <c r="F57" t="s">
        <v>3884</v>
      </c>
      <c r="G57" s="9" t="s">
        <v>3885</v>
      </c>
      <c r="H57" s="9"/>
      <c r="I57" s="9">
        <v>1</v>
      </c>
      <c r="J57" s="9">
        <v>1</v>
      </c>
      <c r="K57" s="9" t="s">
        <v>8698</v>
      </c>
      <c r="L57" s="9" t="s">
        <v>8730</v>
      </c>
      <c r="M57" s="9"/>
      <c r="N57" s="10"/>
      <c r="O57" s="9"/>
      <c r="P57" s="9">
        <v>55</v>
      </c>
      <c r="Q57" s="9">
        <v>7.075684090002702</v>
      </c>
      <c r="R57" s="9"/>
      <c r="S57" s="9" t="s">
        <v>9321</v>
      </c>
      <c r="T57" s="9" t="s">
        <v>9321</v>
      </c>
      <c r="U57" s="9"/>
      <c r="V57" s="9"/>
      <c r="W57" s="9"/>
      <c r="X57" s="9"/>
      <c r="Y57" s="9"/>
      <c r="Z57" s="9"/>
      <c r="AA57" s="9"/>
      <c r="AB57" s="9"/>
      <c r="AC57" s="9"/>
      <c r="AD57" s="9"/>
    </row>
    <row r="58" spans="1:30" ht="43.5">
      <c r="A58" s="3" t="s">
        <v>217</v>
      </c>
      <c r="B58" s="3" t="s">
        <v>4155</v>
      </c>
      <c r="C58" s="3" t="s">
        <v>4156</v>
      </c>
      <c r="G58" s="9" t="s">
        <v>3885</v>
      </c>
      <c r="H58" s="9"/>
      <c r="I58" s="9">
        <v>1</v>
      </c>
      <c r="J58" s="9">
        <v>3</v>
      </c>
      <c r="K58" s="9" t="s">
        <v>8689</v>
      </c>
      <c r="L58" s="9" t="s">
        <v>8690</v>
      </c>
      <c r="M58" s="9"/>
      <c r="N58" s="10"/>
      <c r="O58" s="9"/>
      <c r="P58" s="9">
        <v>10929</v>
      </c>
      <c r="Q58" s="9">
        <v>1406.0027530843549</v>
      </c>
      <c r="R58" s="9"/>
      <c r="S58" s="9" t="s">
        <v>9321</v>
      </c>
      <c r="T58" s="9" t="s">
        <v>9321</v>
      </c>
      <c r="U58" s="9"/>
      <c r="V58" s="9"/>
      <c r="W58" s="9"/>
      <c r="X58" s="9"/>
      <c r="Y58" s="9"/>
      <c r="Z58" s="9"/>
      <c r="AA58" s="9"/>
      <c r="AB58" s="9"/>
      <c r="AC58" s="9"/>
      <c r="AD58" s="9"/>
    </row>
    <row r="59" spans="1:30" ht="43.5">
      <c r="A59" s="3" t="s">
        <v>222</v>
      </c>
      <c r="B59" s="3" t="s">
        <v>8890</v>
      </c>
      <c r="C59" s="3" t="s">
        <v>8891</v>
      </c>
      <c r="G59" s="9" t="s">
        <v>3889</v>
      </c>
      <c r="H59" s="9"/>
      <c r="I59" s="9">
        <v>1</v>
      </c>
      <c r="J59" s="9">
        <v>3</v>
      </c>
      <c r="K59" s="9" t="s">
        <v>8689</v>
      </c>
      <c r="L59" s="9" t="s">
        <v>8690</v>
      </c>
      <c r="M59" s="9"/>
      <c r="N59" s="10"/>
      <c r="O59" s="9"/>
      <c r="P59" s="9">
        <v>10929</v>
      </c>
      <c r="Q59" s="9">
        <v>1406.0027530843549</v>
      </c>
      <c r="R59" s="9"/>
      <c r="S59" s="9" t="s">
        <v>9321</v>
      </c>
      <c r="T59" s="9" t="s">
        <v>9321</v>
      </c>
      <c r="U59" s="9" t="s">
        <v>8728</v>
      </c>
      <c r="V59" s="9"/>
      <c r="W59" s="9"/>
      <c r="X59" s="9"/>
      <c r="Y59" s="9"/>
      <c r="Z59" s="9"/>
      <c r="AA59" s="9"/>
      <c r="AB59" s="9"/>
      <c r="AC59" s="9"/>
      <c r="AD59" s="9"/>
    </row>
    <row r="60" spans="1:30" ht="29">
      <c r="A60" s="3" t="s">
        <v>228</v>
      </c>
      <c r="B60" s="3" t="s">
        <v>4165</v>
      </c>
      <c r="C60" s="3" t="s">
        <v>4166</v>
      </c>
      <c r="F60" t="s">
        <v>3884</v>
      </c>
      <c r="G60" s="9" t="s">
        <v>3889</v>
      </c>
      <c r="H60" s="9"/>
      <c r="I60" s="9">
        <v>1</v>
      </c>
      <c r="J60" s="9">
        <v>2</v>
      </c>
      <c r="K60" s="9" t="s">
        <v>8689</v>
      </c>
      <c r="L60" s="9" t="s">
        <v>8730</v>
      </c>
      <c r="M60" s="9"/>
      <c r="N60" s="10"/>
      <c r="O60" s="9"/>
      <c r="P60" s="9">
        <v>10929</v>
      </c>
      <c r="Q60" s="9">
        <v>1406.0027530843549</v>
      </c>
      <c r="R60" s="9"/>
      <c r="S60" s="9" t="s">
        <v>9321</v>
      </c>
      <c r="T60" s="9" t="s">
        <v>9321</v>
      </c>
      <c r="U60" s="9"/>
      <c r="V60" s="9"/>
      <c r="W60" s="9"/>
      <c r="X60" s="9"/>
      <c r="Y60" s="9"/>
      <c r="Z60" s="9"/>
      <c r="AA60" s="9"/>
      <c r="AB60" s="9"/>
      <c r="AC60" s="9"/>
      <c r="AD60" s="9"/>
    </row>
    <row r="61" spans="1:30" ht="29">
      <c r="A61" s="3" t="s">
        <v>231</v>
      </c>
      <c r="B61" s="3" t="s">
        <v>4169</v>
      </c>
      <c r="C61" s="3" t="s">
        <v>4170</v>
      </c>
      <c r="F61" t="s">
        <v>3884</v>
      </c>
      <c r="G61" s="9" t="s">
        <v>3885</v>
      </c>
      <c r="H61" s="9"/>
      <c r="I61" s="9">
        <v>1</v>
      </c>
      <c r="J61" s="9">
        <v>3</v>
      </c>
      <c r="K61" s="9" t="s">
        <v>8689</v>
      </c>
      <c r="L61" s="9" t="s">
        <v>8690</v>
      </c>
      <c r="M61" s="9"/>
      <c r="N61" s="10"/>
      <c r="O61" s="9"/>
      <c r="P61" s="9">
        <v>10929</v>
      </c>
      <c r="Q61" s="9">
        <v>1406.0027530843549</v>
      </c>
      <c r="R61" s="9"/>
      <c r="S61" s="9" t="s">
        <v>9321</v>
      </c>
      <c r="T61" s="9" t="s">
        <v>9321</v>
      </c>
      <c r="U61" s="9"/>
      <c r="V61" s="9"/>
      <c r="W61" s="9"/>
      <c r="X61" s="9"/>
      <c r="Y61" s="9"/>
      <c r="Z61" s="9"/>
      <c r="AA61" s="9"/>
      <c r="AB61" s="9"/>
      <c r="AC61" s="9"/>
      <c r="AD61" s="9"/>
    </row>
    <row r="62" spans="1:30" ht="58">
      <c r="A62" s="3" t="s">
        <v>236</v>
      </c>
      <c r="B62" s="3" t="s">
        <v>4173</v>
      </c>
      <c r="C62" s="3" t="s">
        <v>4174</v>
      </c>
      <c r="G62" s="9" t="s">
        <v>3889</v>
      </c>
      <c r="H62" s="9"/>
      <c r="I62" s="9">
        <v>1</v>
      </c>
      <c r="J62" s="9">
        <v>5</v>
      </c>
      <c r="K62" s="9" t="s">
        <v>8705</v>
      </c>
      <c r="L62" s="9" t="s">
        <v>8690</v>
      </c>
      <c r="M62" s="9"/>
      <c r="N62" s="10"/>
      <c r="O62" s="9"/>
      <c r="P62" s="9">
        <v>3678</v>
      </c>
      <c r="Q62" s="9">
        <v>473.17029241872609</v>
      </c>
      <c r="R62" s="9"/>
      <c r="S62" s="9" t="s">
        <v>9321</v>
      </c>
      <c r="T62" s="9" t="s">
        <v>9321</v>
      </c>
      <c r="U62" s="9"/>
      <c r="V62" s="9"/>
      <c r="W62" s="9"/>
      <c r="X62" s="9"/>
      <c r="Y62" s="9"/>
      <c r="Z62" s="9"/>
      <c r="AA62" s="9"/>
      <c r="AB62" s="9"/>
      <c r="AC62" s="9"/>
      <c r="AD62" s="9"/>
    </row>
    <row r="63" spans="1:30" ht="29">
      <c r="A63" s="3" t="s">
        <v>242</v>
      </c>
      <c r="B63" s="3" t="s">
        <v>4184</v>
      </c>
      <c r="C63" s="3" t="s">
        <v>4185</v>
      </c>
      <c r="G63" s="9" t="s">
        <v>3885</v>
      </c>
      <c r="H63" s="9"/>
      <c r="I63" s="9">
        <v>1</v>
      </c>
      <c r="J63" s="9">
        <v>3</v>
      </c>
      <c r="K63" s="9" t="s">
        <v>8689</v>
      </c>
      <c r="L63" s="9" t="s">
        <v>8690</v>
      </c>
      <c r="M63" s="9"/>
      <c r="N63" s="10"/>
      <c r="O63" s="9"/>
      <c r="P63" s="9">
        <v>10929</v>
      </c>
      <c r="Q63" s="9">
        <v>1406.0027530843549</v>
      </c>
      <c r="R63" s="9"/>
      <c r="S63" s="9" t="s">
        <v>9321</v>
      </c>
      <c r="T63" s="9" t="s">
        <v>9321</v>
      </c>
      <c r="U63" s="9"/>
      <c r="V63" s="9"/>
      <c r="W63" s="9"/>
      <c r="X63" s="9"/>
      <c r="Y63" s="9"/>
      <c r="Z63" s="9"/>
      <c r="AA63" s="9"/>
      <c r="AB63" s="9"/>
      <c r="AC63" s="9"/>
      <c r="AD63" s="9"/>
    </row>
    <row r="64" spans="1:30" ht="29">
      <c r="A64" s="3" t="s">
        <v>245</v>
      </c>
      <c r="B64" s="3" t="s">
        <v>4190</v>
      </c>
      <c r="C64" s="3" t="s">
        <v>4191</v>
      </c>
      <c r="F64" t="s">
        <v>3884</v>
      </c>
      <c r="G64" s="9" t="s">
        <v>3885</v>
      </c>
      <c r="H64" s="9"/>
      <c r="I64" s="9">
        <v>1</v>
      </c>
      <c r="J64" s="9">
        <v>3</v>
      </c>
      <c r="K64" s="9" t="s">
        <v>8705</v>
      </c>
      <c r="L64" s="9" t="s">
        <v>8690</v>
      </c>
      <c r="M64" s="9"/>
      <c r="N64" s="10"/>
      <c r="O64" s="9"/>
      <c r="P64" s="9">
        <v>1485</v>
      </c>
      <c r="Q64" s="9">
        <v>191.04347043007292</v>
      </c>
      <c r="R64" s="9"/>
      <c r="S64" s="9" t="s">
        <v>9321</v>
      </c>
      <c r="T64" s="9" t="s">
        <v>9321</v>
      </c>
      <c r="U64" s="9"/>
      <c r="V64" s="9"/>
      <c r="W64" s="9"/>
      <c r="X64" s="9"/>
      <c r="Y64" s="9"/>
      <c r="Z64" s="9"/>
      <c r="AA64" s="9"/>
      <c r="AB64" s="9"/>
      <c r="AC64" s="9"/>
      <c r="AD64" s="9"/>
    </row>
    <row r="65" spans="1:30" ht="43.5">
      <c r="A65" s="3" t="s">
        <v>256</v>
      </c>
      <c r="B65" s="3" t="s">
        <v>4202</v>
      </c>
      <c r="C65" s="3" t="s">
        <v>4203</v>
      </c>
      <c r="G65" s="9" t="s">
        <v>3885</v>
      </c>
      <c r="H65" s="9"/>
      <c r="I65" s="9">
        <v>1</v>
      </c>
      <c r="J65" s="9">
        <v>2</v>
      </c>
      <c r="K65" s="9" t="s">
        <v>8689</v>
      </c>
      <c r="L65" s="9" t="s">
        <v>8730</v>
      </c>
      <c r="M65" s="9"/>
      <c r="N65" s="10"/>
      <c r="O65" s="9"/>
      <c r="P65" s="9">
        <v>10929</v>
      </c>
      <c r="Q65" s="9">
        <v>1406.0027530843549</v>
      </c>
      <c r="R65" s="9"/>
      <c r="S65" s="9" t="s">
        <v>9321</v>
      </c>
      <c r="T65" s="9" t="s">
        <v>9321</v>
      </c>
      <c r="U65" s="9"/>
      <c r="V65" s="9"/>
      <c r="W65" s="9"/>
      <c r="X65" s="9"/>
      <c r="Y65" s="9"/>
      <c r="Z65" s="9"/>
      <c r="AA65" s="9"/>
      <c r="AB65" s="9"/>
      <c r="AC65" s="9"/>
      <c r="AD65" s="9"/>
    </row>
    <row r="66" spans="1:30" ht="43.5">
      <c r="A66" s="3" t="s">
        <v>266</v>
      </c>
      <c r="B66" s="3" t="s">
        <v>4235</v>
      </c>
      <c r="C66" s="3" t="s">
        <v>4236</v>
      </c>
      <c r="F66" t="s">
        <v>3884</v>
      </c>
      <c r="G66" s="9" t="s">
        <v>3885</v>
      </c>
      <c r="H66" s="9"/>
      <c r="I66" s="9">
        <v>1</v>
      </c>
      <c r="J66" s="9">
        <v>2</v>
      </c>
      <c r="K66" s="9" t="s">
        <v>8734</v>
      </c>
      <c r="L66" s="9" t="s">
        <v>8730</v>
      </c>
      <c r="M66" s="9"/>
      <c r="N66" s="10"/>
      <c r="O66" s="9"/>
      <c r="P66" s="9">
        <v>698</v>
      </c>
      <c r="Q66" s="9">
        <v>89.796863542216116</v>
      </c>
      <c r="R66" s="9"/>
      <c r="S66" s="9" t="s">
        <v>9321</v>
      </c>
      <c r="T66" s="9" t="s">
        <v>9321</v>
      </c>
      <c r="U66" s="9"/>
      <c r="V66" s="9"/>
      <c r="W66" s="9"/>
      <c r="X66" s="9"/>
      <c r="Y66" s="9"/>
      <c r="Z66" s="9"/>
      <c r="AA66" s="9"/>
      <c r="AB66" s="9"/>
      <c r="AC66" s="9"/>
      <c r="AD66" s="9"/>
    </row>
    <row r="67" spans="1:30" ht="43.5">
      <c r="A67" s="3" t="s">
        <v>267</v>
      </c>
      <c r="B67" s="3" t="s">
        <v>9445</v>
      </c>
      <c r="C67" s="3" t="s">
        <v>9446</v>
      </c>
      <c r="G67" s="9" t="s">
        <v>3889</v>
      </c>
      <c r="H67" s="9"/>
      <c r="I67" s="9">
        <v>1</v>
      </c>
      <c r="J67" s="9">
        <v>3</v>
      </c>
      <c r="K67" s="9" t="s">
        <v>8689</v>
      </c>
      <c r="L67" s="9" t="s">
        <v>8690</v>
      </c>
      <c r="M67" s="9"/>
      <c r="N67" s="10"/>
      <c r="O67" s="9"/>
      <c r="P67" s="9">
        <v>10929</v>
      </c>
      <c r="Q67" s="9">
        <v>1406.0027530843549</v>
      </c>
      <c r="R67" s="9"/>
      <c r="S67" s="9" t="s">
        <v>9321</v>
      </c>
      <c r="T67" s="9" t="s">
        <v>9321</v>
      </c>
      <c r="U67" s="9" t="s">
        <v>4</v>
      </c>
      <c r="V67" s="9"/>
      <c r="W67" s="9"/>
      <c r="X67" s="9"/>
      <c r="Y67" s="9"/>
      <c r="Z67" s="9"/>
      <c r="AA67" s="9"/>
      <c r="AB67" s="9"/>
      <c r="AC67" s="9"/>
      <c r="AD67" s="9"/>
    </row>
    <row r="68" spans="1:30" ht="43.5">
      <c r="A68" s="3" t="s">
        <v>271</v>
      </c>
      <c r="B68" s="3" t="s">
        <v>4248</v>
      </c>
      <c r="C68" s="3" t="s">
        <v>4249</v>
      </c>
      <c r="G68" s="9" t="s">
        <v>3889</v>
      </c>
      <c r="H68" s="9"/>
      <c r="I68" s="9">
        <v>1</v>
      </c>
      <c r="J68" s="9">
        <v>3</v>
      </c>
      <c r="K68" s="9" t="s">
        <v>8689</v>
      </c>
      <c r="L68" s="9" t="s">
        <v>8690</v>
      </c>
      <c r="M68" s="9"/>
      <c r="N68" s="10"/>
      <c r="O68" s="9"/>
      <c r="P68" s="9">
        <v>10929</v>
      </c>
      <c r="Q68" s="9">
        <v>1406.0027530843549</v>
      </c>
      <c r="R68" s="9"/>
      <c r="S68" s="9" t="s">
        <v>9321</v>
      </c>
      <c r="T68" s="9" t="s">
        <v>9321</v>
      </c>
      <c r="U68" s="9"/>
      <c r="V68" s="9"/>
      <c r="W68" s="9"/>
      <c r="X68" s="9"/>
      <c r="Y68" s="9"/>
      <c r="Z68" s="9"/>
      <c r="AA68" s="9"/>
      <c r="AB68" s="9"/>
      <c r="AC68" s="9"/>
      <c r="AD68" s="9"/>
    </row>
    <row r="69" spans="1:30" ht="43.5">
      <c r="A69" s="3" t="s">
        <v>274</v>
      </c>
      <c r="B69" s="3" t="s">
        <v>4256</v>
      </c>
      <c r="C69" s="3" t="s">
        <v>4257</v>
      </c>
      <c r="G69" s="9" t="s">
        <v>3885</v>
      </c>
      <c r="H69" s="9"/>
      <c r="I69" s="9">
        <v>1</v>
      </c>
      <c r="J69" s="9">
        <v>2</v>
      </c>
      <c r="K69" s="9" t="s">
        <v>8689</v>
      </c>
      <c r="L69" s="9" t="s">
        <v>8730</v>
      </c>
      <c r="M69" s="9"/>
      <c r="N69" s="10"/>
      <c r="O69" s="9" t="s">
        <v>8685</v>
      </c>
      <c r="P69" s="9">
        <v>10929</v>
      </c>
      <c r="Q69" s="9">
        <v>1406.0027530843549</v>
      </c>
      <c r="R69" s="9"/>
      <c r="S69" s="9" t="s">
        <v>9321</v>
      </c>
      <c r="T69" s="9" t="s">
        <v>9321</v>
      </c>
      <c r="U69" s="9" t="s">
        <v>4</v>
      </c>
      <c r="V69" s="9"/>
      <c r="W69" s="9"/>
      <c r="X69" s="9"/>
      <c r="Y69" s="9"/>
      <c r="Z69" s="9"/>
      <c r="AA69" s="9"/>
      <c r="AB69" s="9"/>
      <c r="AC69" s="9"/>
      <c r="AD69" s="9"/>
    </row>
    <row r="70" spans="1:30" ht="29">
      <c r="A70" s="3" t="s">
        <v>275</v>
      </c>
      <c r="B70" s="3" t="s">
        <v>4260</v>
      </c>
      <c r="C70" s="3" t="s">
        <v>4261</v>
      </c>
      <c r="F70" t="s">
        <v>3884</v>
      </c>
      <c r="G70" s="9" t="s">
        <v>3889</v>
      </c>
      <c r="H70" s="9"/>
      <c r="I70" s="9">
        <v>1</v>
      </c>
      <c r="J70" s="9">
        <v>2</v>
      </c>
      <c r="K70" s="9" t="s">
        <v>8689</v>
      </c>
      <c r="L70" s="9" t="s">
        <v>8730</v>
      </c>
      <c r="M70" s="9"/>
      <c r="N70" s="10"/>
      <c r="O70" s="9"/>
      <c r="P70" s="9">
        <v>10929</v>
      </c>
      <c r="Q70" s="9">
        <v>1406.0027530843549</v>
      </c>
      <c r="R70" s="9"/>
      <c r="S70" s="9" t="s">
        <v>9321</v>
      </c>
      <c r="T70" s="9" t="s">
        <v>9321</v>
      </c>
      <c r="U70" s="9"/>
      <c r="V70" s="9"/>
      <c r="W70" s="9"/>
      <c r="X70" s="9"/>
      <c r="Y70" s="9"/>
      <c r="Z70" s="9"/>
      <c r="AA70" s="9"/>
      <c r="AB70" s="9"/>
      <c r="AC70" s="9"/>
      <c r="AD70" s="9"/>
    </row>
    <row r="71" spans="1:30" ht="43.5">
      <c r="A71" s="3" t="s">
        <v>278</v>
      </c>
      <c r="B71" s="3" t="s">
        <v>8913</v>
      </c>
      <c r="C71" s="3" t="s">
        <v>8912</v>
      </c>
      <c r="F71" t="s">
        <v>3884</v>
      </c>
      <c r="G71" s="9" t="s">
        <v>3889</v>
      </c>
      <c r="H71" s="9"/>
      <c r="I71" s="9">
        <v>1</v>
      </c>
      <c r="J71" s="9">
        <v>5</v>
      </c>
      <c r="K71" s="9" t="s">
        <v>8705</v>
      </c>
      <c r="L71" s="9" t="s">
        <v>8690</v>
      </c>
      <c r="M71" s="9"/>
      <c r="N71" s="10"/>
      <c r="O71" s="9"/>
      <c r="P71" s="9">
        <v>3678</v>
      </c>
      <c r="Q71" s="9">
        <v>473.17029241872609</v>
      </c>
      <c r="R71" s="9"/>
      <c r="S71" s="9" t="s">
        <v>9321</v>
      </c>
      <c r="T71" s="9" t="s">
        <v>9321</v>
      </c>
      <c r="U71" s="9"/>
      <c r="V71" s="9"/>
      <c r="W71" s="9"/>
      <c r="X71" s="9"/>
      <c r="Y71" s="9"/>
      <c r="Z71" s="9"/>
      <c r="AA71" s="9"/>
      <c r="AB71" s="9"/>
      <c r="AC71" s="9"/>
      <c r="AD71" s="9"/>
    </row>
    <row r="72" spans="1:30" ht="58">
      <c r="A72" s="3" t="s">
        <v>290</v>
      </c>
      <c r="B72" s="3" t="s">
        <v>4281</v>
      </c>
      <c r="C72" s="3" t="s">
        <v>8921</v>
      </c>
      <c r="F72" t="s">
        <v>3884</v>
      </c>
      <c r="G72" s="9" t="s">
        <v>3889</v>
      </c>
      <c r="H72" s="9"/>
      <c r="I72" s="9">
        <v>1</v>
      </c>
      <c r="J72" s="9">
        <v>1</v>
      </c>
      <c r="K72" s="9" t="s">
        <v>8689</v>
      </c>
      <c r="L72" s="9" t="s">
        <v>8730</v>
      </c>
      <c r="M72" s="9"/>
      <c r="N72" s="10"/>
      <c r="O72" s="9" t="s">
        <v>8685</v>
      </c>
      <c r="P72" s="9">
        <v>10929</v>
      </c>
      <c r="Q72" s="9">
        <v>1406.0027530843549</v>
      </c>
      <c r="R72" s="9"/>
      <c r="S72" s="9" t="s">
        <v>9321</v>
      </c>
      <c r="T72" s="9" t="s">
        <v>9321</v>
      </c>
      <c r="U72" s="9"/>
      <c r="V72" s="9"/>
      <c r="W72" s="9"/>
      <c r="X72" s="9"/>
      <c r="Y72" s="9"/>
      <c r="Z72" s="9"/>
      <c r="AA72" s="9"/>
      <c r="AB72" s="9"/>
      <c r="AC72" s="9"/>
      <c r="AD72" s="9"/>
    </row>
    <row r="73" spans="1:30" ht="87">
      <c r="A73" s="3" t="s">
        <v>292</v>
      </c>
      <c r="B73" s="3" t="s">
        <v>4284</v>
      </c>
      <c r="C73" s="3" t="s">
        <v>4287</v>
      </c>
      <c r="G73" s="9" t="s">
        <v>3885</v>
      </c>
      <c r="H73" s="9"/>
      <c r="I73" s="9">
        <v>1</v>
      </c>
      <c r="J73" s="9">
        <v>3</v>
      </c>
      <c r="K73" s="9" t="s">
        <v>8689</v>
      </c>
      <c r="L73" s="9" t="s">
        <v>8690</v>
      </c>
      <c r="M73" s="9"/>
      <c r="N73" s="10"/>
      <c r="O73" s="9" t="s">
        <v>8685</v>
      </c>
      <c r="P73" s="9">
        <v>10929</v>
      </c>
      <c r="Q73" s="9">
        <v>1406.0027530843549</v>
      </c>
      <c r="R73" s="9"/>
      <c r="S73" s="9" t="s">
        <v>9321</v>
      </c>
      <c r="T73" s="9" t="s">
        <v>9321</v>
      </c>
      <c r="U73" s="9"/>
      <c r="V73" s="9"/>
      <c r="W73" s="9"/>
      <c r="X73" s="9"/>
      <c r="Y73" s="9"/>
      <c r="Z73" s="9"/>
      <c r="AA73" s="9"/>
      <c r="AB73" s="9"/>
      <c r="AC73" s="9"/>
      <c r="AD73" s="9"/>
    </row>
    <row r="74" spans="1:30" ht="43.5">
      <c r="A74" s="3" t="s">
        <v>297</v>
      </c>
      <c r="B74" s="3" t="s">
        <v>4295</v>
      </c>
      <c r="C74" s="3" t="s">
        <v>4298</v>
      </c>
      <c r="G74" s="9" t="s">
        <v>3885</v>
      </c>
      <c r="H74" s="9"/>
      <c r="I74" s="9">
        <v>1</v>
      </c>
      <c r="J74" s="9">
        <v>2</v>
      </c>
      <c r="K74" s="9" t="s">
        <v>8689</v>
      </c>
      <c r="L74" s="9" t="s">
        <v>8730</v>
      </c>
      <c r="M74" s="9"/>
      <c r="N74" s="10"/>
      <c r="O74" s="9"/>
      <c r="P74" s="9">
        <v>10929</v>
      </c>
      <c r="Q74" s="9">
        <v>1406.0027530843549</v>
      </c>
      <c r="R74" s="9"/>
      <c r="S74" s="9" t="s">
        <v>9321</v>
      </c>
      <c r="T74" s="9" t="s">
        <v>9321</v>
      </c>
      <c r="U74" s="9"/>
      <c r="V74" s="9"/>
      <c r="W74" s="9"/>
      <c r="X74" s="9"/>
      <c r="Y74" s="9"/>
      <c r="Z74" s="9"/>
      <c r="AA74" s="9"/>
      <c r="AB74" s="9"/>
      <c r="AC74" s="9"/>
      <c r="AD74" s="9"/>
    </row>
    <row r="75" spans="1:30" ht="43.5">
      <c r="A75" s="3" t="s">
        <v>302</v>
      </c>
      <c r="B75" s="3" t="s">
        <v>4302</v>
      </c>
      <c r="C75" s="3" t="s">
        <v>4303</v>
      </c>
      <c r="G75" s="9" t="s">
        <v>3885</v>
      </c>
      <c r="H75" s="9"/>
      <c r="I75" s="9">
        <v>1</v>
      </c>
      <c r="J75" s="9">
        <v>1</v>
      </c>
      <c r="K75" s="9" t="s">
        <v>8689</v>
      </c>
      <c r="L75" s="9" t="s">
        <v>8730</v>
      </c>
      <c r="M75" s="9"/>
      <c r="N75" s="10"/>
      <c r="O75" s="9"/>
      <c r="P75" s="9">
        <v>10929</v>
      </c>
      <c r="Q75" s="9">
        <v>1406.0027530843549</v>
      </c>
      <c r="R75" s="9"/>
      <c r="S75" s="9" t="s">
        <v>9321</v>
      </c>
      <c r="T75" s="9" t="s">
        <v>9321</v>
      </c>
      <c r="U75" s="9" t="s">
        <v>8728</v>
      </c>
      <c r="V75" s="9"/>
      <c r="W75" s="9"/>
      <c r="X75" s="9"/>
      <c r="Y75" s="9"/>
      <c r="Z75" s="9"/>
      <c r="AA75" s="9"/>
      <c r="AB75" s="9"/>
      <c r="AC75" s="9"/>
      <c r="AD75" s="9"/>
    </row>
    <row r="76" spans="1:30" ht="43.5">
      <c r="A76" s="3" t="s">
        <v>306</v>
      </c>
      <c r="B76" s="3" t="s">
        <v>4312</v>
      </c>
      <c r="C76" s="3" t="s">
        <v>4313</v>
      </c>
      <c r="F76" t="s">
        <v>3884</v>
      </c>
      <c r="G76" s="9" t="s">
        <v>3889</v>
      </c>
      <c r="H76" s="9"/>
      <c r="I76" s="9">
        <v>1</v>
      </c>
      <c r="J76" s="9">
        <v>2</v>
      </c>
      <c r="K76" s="9" t="s">
        <v>8707</v>
      </c>
      <c r="L76" s="9" t="s">
        <v>8730</v>
      </c>
      <c r="M76" s="9"/>
      <c r="N76" s="10"/>
      <c r="O76" s="9"/>
      <c r="P76" s="9">
        <v>1942</v>
      </c>
      <c r="Q76" s="9">
        <v>249.83597277791355</v>
      </c>
      <c r="R76" s="9"/>
      <c r="S76" s="9" t="s">
        <v>9321</v>
      </c>
      <c r="T76" s="9" t="s">
        <v>9321</v>
      </c>
      <c r="U76" s="9"/>
      <c r="V76" s="9"/>
      <c r="W76" s="9"/>
      <c r="X76" s="9"/>
      <c r="Y76" s="9"/>
      <c r="Z76" s="9"/>
      <c r="AA76" s="9"/>
      <c r="AB76" s="9"/>
      <c r="AC76" s="9"/>
      <c r="AD76" s="9"/>
    </row>
    <row r="77" spans="1:30" ht="29">
      <c r="A77" s="3" t="s">
        <v>307</v>
      </c>
      <c r="B77" s="3" t="s">
        <v>4314</v>
      </c>
      <c r="C77" s="3" t="s">
        <v>4315</v>
      </c>
      <c r="G77" s="9" t="s">
        <v>3889</v>
      </c>
      <c r="H77" s="9"/>
      <c r="I77" s="9">
        <v>1</v>
      </c>
      <c r="J77" s="9">
        <v>1</v>
      </c>
      <c r="K77" s="9" t="s">
        <v>8689</v>
      </c>
      <c r="L77" s="9" t="s">
        <v>8730</v>
      </c>
      <c r="M77" s="9"/>
      <c r="N77" s="10"/>
      <c r="O77" s="9"/>
      <c r="P77" s="9">
        <v>10929</v>
      </c>
      <c r="Q77" s="9">
        <v>1406.0027530843549</v>
      </c>
      <c r="R77" s="9"/>
      <c r="S77" s="9" t="s">
        <v>9321</v>
      </c>
      <c r="T77" s="9" t="s">
        <v>9321</v>
      </c>
      <c r="U77" s="9"/>
      <c r="V77" s="9"/>
      <c r="W77" s="9"/>
      <c r="X77" s="9"/>
      <c r="Y77" s="9"/>
      <c r="Z77" s="9"/>
      <c r="AA77" s="9"/>
      <c r="AB77" s="9"/>
      <c r="AC77" s="9"/>
      <c r="AD77" s="9"/>
    </row>
    <row r="78" spans="1:30" ht="29">
      <c r="A78" s="3" t="s">
        <v>311</v>
      </c>
      <c r="B78" s="3" t="s">
        <v>4321</v>
      </c>
      <c r="C78" s="3" t="s">
        <v>4322</v>
      </c>
      <c r="G78" s="9" t="s">
        <v>3885</v>
      </c>
      <c r="H78" s="9"/>
      <c r="I78" s="9">
        <v>1</v>
      </c>
      <c r="J78" s="9">
        <v>1</v>
      </c>
      <c r="K78" s="9" t="s">
        <v>8689</v>
      </c>
      <c r="L78" s="9" t="s">
        <v>8730</v>
      </c>
      <c r="M78" s="9"/>
      <c r="N78" s="10"/>
      <c r="O78" s="9"/>
      <c r="P78" s="9">
        <v>10929</v>
      </c>
      <c r="Q78" s="9">
        <v>1406.0027530843549</v>
      </c>
      <c r="R78" s="9"/>
      <c r="S78" s="9" t="s">
        <v>9321</v>
      </c>
      <c r="T78" s="9" t="s">
        <v>9321</v>
      </c>
      <c r="U78" s="9"/>
      <c r="V78" s="9"/>
      <c r="W78" s="9"/>
      <c r="X78" s="9"/>
      <c r="Y78" s="9"/>
      <c r="Z78" s="9"/>
      <c r="AA78" s="9"/>
      <c r="AB78" s="9"/>
      <c r="AC78" s="9"/>
      <c r="AD78" s="9"/>
    </row>
    <row r="79" spans="1:30" ht="43.5">
      <c r="A79" s="3" t="s">
        <v>313</v>
      </c>
      <c r="B79" s="3" t="s">
        <v>4327</v>
      </c>
      <c r="C79" s="3" t="s">
        <v>4328</v>
      </c>
      <c r="F79" t="s">
        <v>3884</v>
      </c>
      <c r="G79" s="9" t="s">
        <v>3889</v>
      </c>
      <c r="H79" s="9"/>
      <c r="I79" s="9">
        <v>1</v>
      </c>
      <c r="J79" s="9">
        <v>3</v>
      </c>
      <c r="K79" s="9" t="s">
        <v>8689</v>
      </c>
      <c r="L79" s="9" t="s">
        <v>8690</v>
      </c>
      <c r="M79" s="9"/>
      <c r="N79" s="10"/>
      <c r="O79" s="9"/>
      <c r="P79" s="9">
        <v>10929</v>
      </c>
      <c r="Q79" s="9">
        <v>1406.0027530843549</v>
      </c>
      <c r="R79" s="9"/>
      <c r="S79" s="9" t="s">
        <v>9321</v>
      </c>
      <c r="T79" s="9" t="s">
        <v>9321</v>
      </c>
      <c r="U79" s="9"/>
      <c r="V79" s="9"/>
      <c r="W79" s="9"/>
      <c r="X79" s="9"/>
      <c r="Y79" s="9"/>
      <c r="Z79" s="9"/>
      <c r="AA79" s="9"/>
      <c r="AB79" s="9"/>
      <c r="AC79" s="9"/>
      <c r="AD79" s="9"/>
    </row>
    <row r="80" spans="1:30" ht="29">
      <c r="A80" s="3" t="s">
        <v>315</v>
      </c>
      <c r="B80" s="3" t="s">
        <v>9588</v>
      </c>
      <c r="C80" s="3" t="s">
        <v>9589</v>
      </c>
      <c r="G80" s="9" t="s">
        <v>3889</v>
      </c>
      <c r="H80" s="9"/>
      <c r="I80" s="9">
        <v>1</v>
      </c>
      <c r="J80" s="9">
        <v>1</v>
      </c>
      <c r="K80" s="9" t="s">
        <v>8689</v>
      </c>
      <c r="L80" s="9" t="s">
        <v>8730</v>
      </c>
      <c r="M80" s="9"/>
      <c r="N80" s="10"/>
      <c r="O80" s="9"/>
      <c r="P80" s="9">
        <v>10929</v>
      </c>
      <c r="Q80" s="9">
        <v>1406.0027530843549</v>
      </c>
      <c r="R80" s="9"/>
      <c r="S80" s="9" t="s">
        <v>9321</v>
      </c>
      <c r="T80" s="9" t="s">
        <v>9321</v>
      </c>
      <c r="U80" s="9"/>
      <c r="V80" s="9"/>
      <c r="W80" s="9"/>
      <c r="X80" s="9"/>
      <c r="Y80" s="9"/>
      <c r="Z80" s="9"/>
      <c r="AA80" s="9"/>
      <c r="AB80" s="9"/>
      <c r="AC80" s="9"/>
      <c r="AD80" s="9"/>
    </row>
    <row r="81" spans="1:30" ht="58">
      <c r="A81" s="3" t="s">
        <v>322</v>
      </c>
      <c r="B81" s="3" t="s">
        <v>4345</v>
      </c>
      <c r="C81" s="3" t="s">
        <v>4346</v>
      </c>
      <c r="F81" t="s">
        <v>3884</v>
      </c>
      <c r="G81" s="9" t="s">
        <v>3889</v>
      </c>
      <c r="H81" s="9"/>
      <c r="I81" s="9">
        <v>1</v>
      </c>
      <c r="J81" s="9">
        <v>2</v>
      </c>
      <c r="K81" s="9" t="s">
        <v>8698</v>
      </c>
      <c r="L81" s="9" t="s">
        <v>8730</v>
      </c>
      <c r="M81" s="9"/>
      <c r="N81" s="10"/>
      <c r="O81" s="9"/>
      <c r="P81" s="9">
        <v>159</v>
      </c>
      <c r="Q81" s="9">
        <v>20.455159460189627</v>
      </c>
      <c r="R81" s="9"/>
      <c r="S81" s="9" t="s">
        <v>9321</v>
      </c>
      <c r="T81" s="9" t="s">
        <v>9321</v>
      </c>
      <c r="U81" s="9"/>
      <c r="V81" s="9"/>
      <c r="W81" s="9"/>
      <c r="X81" s="9"/>
      <c r="Y81" s="9"/>
      <c r="Z81" s="9"/>
      <c r="AA81" s="9"/>
      <c r="AB81" s="9"/>
      <c r="AC81" s="9"/>
      <c r="AD81" s="9"/>
    </row>
    <row r="82" spans="1:30" ht="29">
      <c r="A82" s="3" t="s">
        <v>327</v>
      </c>
      <c r="B82" s="3" t="s">
        <v>4355</v>
      </c>
      <c r="C82" s="3" t="s">
        <v>4352</v>
      </c>
      <c r="G82" s="9" t="s">
        <v>3889</v>
      </c>
      <c r="H82" s="9"/>
      <c r="I82" s="9">
        <v>1</v>
      </c>
      <c r="J82" s="9">
        <v>1</v>
      </c>
      <c r="K82" s="9" t="s">
        <v>8689</v>
      </c>
      <c r="L82" s="9" t="s">
        <v>8730</v>
      </c>
      <c r="M82" s="9"/>
      <c r="N82" s="10"/>
      <c r="O82" s="9"/>
      <c r="P82" s="9">
        <v>10929</v>
      </c>
      <c r="Q82" s="9">
        <v>1406.0027530843549</v>
      </c>
      <c r="R82" s="9"/>
      <c r="S82" s="9" t="s">
        <v>9321</v>
      </c>
      <c r="T82" s="9" t="s">
        <v>9321</v>
      </c>
      <c r="U82" s="9"/>
      <c r="V82" s="9"/>
      <c r="W82" s="9"/>
      <c r="X82" s="9"/>
      <c r="Y82" s="9"/>
      <c r="Z82" s="9"/>
      <c r="AA82" s="9"/>
      <c r="AB82" s="9"/>
      <c r="AC82" s="9"/>
      <c r="AD82" s="9"/>
    </row>
    <row r="83" spans="1:30" ht="72.5">
      <c r="A83" s="3" t="s">
        <v>334</v>
      </c>
      <c r="B83" s="3" t="s">
        <v>4362</v>
      </c>
      <c r="C83" s="3" t="s">
        <v>4363</v>
      </c>
      <c r="G83" s="9" t="s">
        <v>3889</v>
      </c>
      <c r="H83" s="9"/>
      <c r="I83" s="9">
        <v>1</v>
      </c>
      <c r="J83" s="9">
        <v>3</v>
      </c>
      <c r="K83" s="9" t="s">
        <v>8689</v>
      </c>
      <c r="L83" s="9" t="s">
        <v>8684</v>
      </c>
      <c r="M83" s="9" t="s">
        <v>8777</v>
      </c>
      <c r="N83" s="10" t="s">
        <v>8778</v>
      </c>
      <c r="O83" s="9" t="s">
        <v>8685</v>
      </c>
      <c r="P83" s="9">
        <v>10929</v>
      </c>
      <c r="Q83" s="9">
        <v>1406.0027530843549</v>
      </c>
      <c r="R83" s="9"/>
      <c r="S83" s="9" t="s">
        <v>9321</v>
      </c>
      <c r="T83" s="9" t="s">
        <v>9321</v>
      </c>
      <c r="U83" s="9"/>
      <c r="V83" s="9"/>
      <c r="W83" s="9"/>
      <c r="X83" s="9"/>
      <c r="Y83" s="9"/>
      <c r="Z83" s="9"/>
      <c r="AA83" s="9"/>
      <c r="AB83" s="9"/>
      <c r="AC83" s="9"/>
      <c r="AD83" s="9"/>
    </row>
    <row r="84" spans="1:30" ht="43.5">
      <c r="A84" s="3" t="s">
        <v>343</v>
      </c>
      <c r="B84" s="3" t="s">
        <v>4391</v>
      </c>
      <c r="C84" s="3" t="s">
        <v>4392</v>
      </c>
      <c r="F84" t="s">
        <v>3884</v>
      </c>
      <c r="G84" s="9" t="s">
        <v>3885</v>
      </c>
      <c r="H84" s="9"/>
      <c r="I84" s="9">
        <v>1</v>
      </c>
      <c r="J84" s="9">
        <v>2</v>
      </c>
      <c r="K84" s="9" t="s">
        <v>8705</v>
      </c>
      <c r="L84" s="9" t="s">
        <v>8730</v>
      </c>
      <c r="M84" s="9"/>
      <c r="N84" s="10"/>
      <c r="O84" s="9" t="s">
        <v>8691</v>
      </c>
      <c r="P84" s="9">
        <v>1485</v>
      </c>
      <c r="Q84" s="9">
        <v>191.04347043007292</v>
      </c>
      <c r="R84" s="9"/>
      <c r="S84" s="9" t="s">
        <v>9321</v>
      </c>
      <c r="T84" s="9" t="s">
        <v>9321</v>
      </c>
      <c r="U84" s="9"/>
      <c r="V84" s="9"/>
      <c r="W84" s="9"/>
      <c r="X84" s="9"/>
      <c r="Y84" s="9"/>
      <c r="Z84" s="9"/>
      <c r="AA84" s="9"/>
      <c r="AB84" s="9"/>
      <c r="AC84" s="9"/>
      <c r="AD84" s="9"/>
    </row>
    <row r="85" spans="1:30" ht="43.5">
      <c r="A85" s="3" t="s">
        <v>344</v>
      </c>
      <c r="B85" s="3" t="s">
        <v>4395</v>
      </c>
      <c r="C85" s="3" t="s">
        <v>4396</v>
      </c>
      <c r="D85" t="s">
        <v>4397</v>
      </c>
      <c r="G85" s="9" t="s">
        <v>3885</v>
      </c>
      <c r="H85" s="9"/>
      <c r="I85" s="9">
        <v>1</v>
      </c>
      <c r="J85" s="9">
        <v>3</v>
      </c>
      <c r="K85" s="9" t="s">
        <v>8698</v>
      </c>
      <c r="L85" s="9" t="s">
        <v>8690</v>
      </c>
      <c r="M85" s="9"/>
      <c r="N85" s="10"/>
      <c r="O85" s="9"/>
      <c r="P85" s="9">
        <v>4</v>
      </c>
      <c r="Q85" s="9">
        <v>0.51459520654565105</v>
      </c>
      <c r="R85" s="9"/>
      <c r="S85" s="9" t="s">
        <v>9321</v>
      </c>
      <c r="T85" s="9" t="s">
        <v>9321</v>
      </c>
      <c r="U85" s="9" t="s">
        <v>8728</v>
      </c>
      <c r="V85" s="9"/>
      <c r="W85" s="9"/>
      <c r="X85" s="9"/>
      <c r="Y85" s="9"/>
      <c r="Z85" s="9"/>
      <c r="AA85" s="9"/>
      <c r="AB85" s="9"/>
      <c r="AC85" s="9"/>
      <c r="AD85" s="9"/>
    </row>
    <row r="86" spans="1:30" ht="43.5">
      <c r="A86" s="3" t="s">
        <v>353</v>
      </c>
      <c r="B86" s="3" t="s">
        <v>4405</v>
      </c>
      <c r="C86" s="3" t="s">
        <v>4406</v>
      </c>
      <c r="F86" t="s">
        <v>3884</v>
      </c>
      <c r="G86" s="9" t="s">
        <v>3885</v>
      </c>
      <c r="H86" s="9"/>
      <c r="I86" s="9">
        <v>1</v>
      </c>
      <c r="J86" s="9">
        <v>4</v>
      </c>
      <c r="K86" s="9" t="s">
        <v>8710</v>
      </c>
      <c r="L86" s="9" t="s">
        <v>8690</v>
      </c>
      <c r="M86" s="9"/>
      <c r="N86" s="10"/>
      <c r="O86" s="9"/>
      <c r="P86" s="9">
        <v>266</v>
      </c>
      <c r="Q86" s="9">
        <v>34.220581235285792</v>
      </c>
      <c r="R86" s="9"/>
      <c r="S86" s="9" t="s">
        <v>9321</v>
      </c>
      <c r="T86" s="9" t="s">
        <v>9321</v>
      </c>
      <c r="U86" s="9"/>
      <c r="V86" s="9"/>
      <c r="W86" s="9"/>
      <c r="X86" s="9"/>
      <c r="Y86" s="9"/>
      <c r="Z86" s="9"/>
      <c r="AA86" s="9"/>
      <c r="AB86" s="9"/>
      <c r="AC86" s="9"/>
      <c r="AD86" s="9"/>
    </row>
    <row r="87" spans="1:30" ht="130.5">
      <c r="A87" s="3" t="s">
        <v>361</v>
      </c>
      <c r="B87" s="3" t="s">
        <v>4433</v>
      </c>
      <c r="C87" s="3" t="s">
        <v>4434</v>
      </c>
      <c r="F87" t="s">
        <v>3892</v>
      </c>
      <c r="G87" s="9" t="s">
        <v>3889</v>
      </c>
      <c r="H87" s="9"/>
      <c r="I87" s="9">
        <v>1</v>
      </c>
      <c r="J87" s="9">
        <v>3</v>
      </c>
      <c r="K87" s="9" t="s">
        <v>8707</v>
      </c>
      <c r="L87" s="9" t="s">
        <v>8690</v>
      </c>
      <c r="M87" s="9"/>
      <c r="N87" s="10"/>
      <c r="O87" s="9"/>
      <c r="P87" s="9">
        <v>991</v>
      </c>
      <c r="Q87" s="9">
        <v>127.49096242168504</v>
      </c>
      <c r="R87" s="9"/>
      <c r="S87" s="9" t="s">
        <v>9321</v>
      </c>
      <c r="T87" s="9" t="s">
        <v>9321</v>
      </c>
      <c r="U87" s="9"/>
      <c r="V87" s="9"/>
      <c r="W87" s="9"/>
      <c r="X87" s="9"/>
      <c r="Y87" s="9"/>
      <c r="Z87" s="9"/>
      <c r="AA87" s="9"/>
      <c r="AB87" s="9"/>
      <c r="AC87" s="9"/>
      <c r="AD87" s="9"/>
    </row>
    <row r="88" spans="1:30" ht="43.5">
      <c r="A88" s="3" t="s">
        <v>364</v>
      </c>
      <c r="B88" s="3" t="s">
        <v>4444</v>
      </c>
      <c r="C88" s="3" t="s">
        <v>4445</v>
      </c>
      <c r="F88" t="s">
        <v>3884</v>
      </c>
      <c r="G88" s="9" t="s">
        <v>3889</v>
      </c>
      <c r="H88" s="9"/>
      <c r="I88" s="9">
        <v>1</v>
      </c>
      <c r="J88" s="9">
        <v>3</v>
      </c>
      <c r="K88" s="9" t="s">
        <v>8689</v>
      </c>
      <c r="L88" s="9" t="s">
        <v>8690</v>
      </c>
      <c r="M88" s="9"/>
      <c r="N88" s="10"/>
      <c r="O88" s="9"/>
      <c r="P88" s="9">
        <v>10929</v>
      </c>
      <c r="Q88" s="9">
        <v>1406.0027530843549</v>
      </c>
      <c r="R88" s="9"/>
      <c r="S88" s="9" t="s">
        <v>9321</v>
      </c>
      <c r="T88" s="9" t="s">
        <v>9321</v>
      </c>
      <c r="U88" s="9"/>
      <c r="V88" s="9"/>
      <c r="W88" s="9"/>
      <c r="X88" s="9"/>
      <c r="Y88" s="9"/>
      <c r="Z88" s="9"/>
      <c r="AA88" s="9"/>
      <c r="AB88" s="9"/>
      <c r="AC88" s="9"/>
      <c r="AD88" s="9"/>
    </row>
    <row r="89" spans="1:30" ht="43.5">
      <c r="A89" s="3" t="s">
        <v>365</v>
      </c>
      <c r="B89" s="3" t="s">
        <v>4449</v>
      </c>
      <c r="C89" s="3" t="s">
        <v>4450</v>
      </c>
      <c r="G89" s="9" t="s">
        <v>3889</v>
      </c>
      <c r="H89" s="9"/>
      <c r="I89" s="9">
        <v>1</v>
      </c>
      <c r="J89" s="9">
        <v>2</v>
      </c>
      <c r="K89" s="9" t="s">
        <v>8689</v>
      </c>
      <c r="L89" s="9" t="s">
        <v>8730</v>
      </c>
      <c r="M89" s="9"/>
      <c r="N89" s="10"/>
      <c r="O89" s="9"/>
      <c r="P89" s="9">
        <v>10929</v>
      </c>
      <c r="Q89" s="9">
        <v>1406.0027530843549</v>
      </c>
      <c r="R89" s="9"/>
      <c r="S89" s="9" t="s">
        <v>9321</v>
      </c>
      <c r="T89" s="9" t="s">
        <v>9321</v>
      </c>
      <c r="U89" s="9"/>
      <c r="V89" s="9"/>
      <c r="W89" s="9"/>
      <c r="X89" s="9"/>
      <c r="Y89" s="9"/>
      <c r="Z89" s="9"/>
      <c r="AA89" s="9"/>
      <c r="AB89" s="9"/>
      <c r="AC89" s="9"/>
      <c r="AD89" s="9"/>
    </row>
    <row r="90" spans="1:30" ht="58">
      <c r="A90" s="3" t="s">
        <v>365</v>
      </c>
      <c r="B90" s="3" t="s">
        <v>8936</v>
      </c>
      <c r="C90" s="3" t="s">
        <v>8937</v>
      </c>
      <c r="F90" t="s">
        <v>3884</v>
      </c>
      <c r="G90" s="9" t="s">
        <v>3885</v>
      </c>
      <c r="H90" s="9"/>
      <c r="I90" s="9">
        <v>1</v>
      </c>
      <c r="J90" s="9">
        <v>3</v>
      </c>
      <c r="K90" s="9" t="s">
        <v>8698</v>
      </c>
      <c r="L90" s="9" t="s">
        <v>8690</v>
      </c>
      <c r="M90" s="9"/>
      <c r="N90" s="10"/>
      <c r="O90" s="9"/>
      <c r="P90" s="9">
        <v>9418</v>
      </c>
      <c r="Q90" s="9">
        <v>1211.6144138117354</v>
      </c>
      <c r="R90" s="9"/>
      <c r="S90" s="9" t="s">
        <v>9321</v>
      </c>
      <c r="T90" s="9" t="s">
        <v>9321</v>
      </c>
      <c r="U90" s="9"/>
      <c r="V90" s="9"/>
      <c r="W90" s="9"/>
      <c r="X90" s="9"/>
      <c r="Y90" s="9"/>
      <c r="Z90" s="9"/>
      <c r="AA90" s="9"/>
      <c r="AB90" s="9"/>
      <c r="AC90" s="9"/>
      <c r="AD90" s="9"/>
    </row>
    <row r="91" spans="1:30" ht="43.5">
      <c r="A91" s="3" t="s">
        <v>370</v>
      </c>
      <c r="B91" s="3" t="s">
        <v>4460</v>
      </c>
      <c r="C91" s="3" t="s">
        <v>4461</v>
      </c>
      <c r="G91" s="9" t="s">
        <v>3885</v>
      </c>
      <c r="H91" s="9"/>
      <c r="I91" s="9">
        <v>1</v>
      </c>
      <c r="J91" s="9">
        <v>2</v>
      </c>
      <c r="K91" s="9" t="s">
        <v>8689</v>
      </c>
      <c r="L91" s="9" t="s">
        <v>8730</v>
      </c>
      <c r="M91" s="9"/>
      <c r="N91" s="10"/>
      <c r="O91" s="9"/>
      <c r="P91" s="9">
        <v>10929</v>
      </c>
      <c r="Q91" s="9">
        <v>1406.0027530843549</v>
      </c>
      <c r="R91" s="9"/>
      <c r="S91" s="9" t="s">
        <v>9321</v>
      </c>
      <c r="T91" s="9" t="s">
        <v>9321</v>
      </c>
      <c r="U91" s="9"/>
      <c r="V91" s="9"/>
      <c r="W91" s="9"/>
      <c r="X91" s="9"/>
      <c r="Y91" s="9"/>
      <c r="Z91" s="9"/>
      <c r="AA91" s="9"/>
      <c r="AB91" s="9"/>
      <c r="AC91" s="9"/>
      <c r="AD91" s="9"/>
    </row>
    <row r="92" spans="1:30" ht="43.5">
      <c r="A92" s="3" t="s">
        <v>372</v>
      </c>
      <c r="B92" s="3" t="s">
        <v>8938</v>
      </c>
      <c r="C92" s="3" t="s">
        <v>8939</v>
      </c>
      <c r="F92" t="s">
        <v>3884</v>
      </c>
      <c r="G92" s="9" t="s">
        <v>3885</v>
      </c>
      <c r="H92" s="9"/>
      <c r="I92" s="9">
        <v>1</v>
      </c>
      <c r="J92" s="9">
        <v>1</v>
      </c>
      <c r="K92" s="9" t="s">
        <v>8705</v>
      </c>
      <c r="L92" s="9" t="s">
        <v>8730</v>
      </c>
      <c r="M92" s="9"/>
      <c r="N92" s="10"/>
      <c r="O92" s="9"/>
      <c r="P92" s="9">
        <v>615</v>
      </c>
      <c r="Q92" s="9">
        <v>79.119013006393843</v>
      </c>
      <c r="R92" s="9"/>
      <c r="S92" s="9" t="s">
        <v>9321</v>
      </c>
      <c r="T92" s="9" t="s">
        <v>9321</v>
      </c>
      <c r="U92" s="9"/>
      <c r="V92" s="9"/>
      <c r="W92" s="9"/>
      <c r="X92" s="9"/>
      <c r="Y92" s="9"/>
      <c r="Z92" s="9"/>
      <c r="AA92" s="9"/>
      <c r="AB92" s="9"/>
      <c r="AC92" s="9"/>
      <c r="AD92" s="9"/>
    </row>
    <row r="93" spans="1:30" ht="29">
      <c r="A93" s="3" t="s">
        <v>374</v>
      </c>
      <c r="B93" s="3" t="s">
        <v>9456</v>
      </c>
      <c r="C93" s="3" t="s">
        <v>9454</v>
      </c>
      <c r="G93" s="9" t="s">
        <v>3889</v>
      </c>
      <c r="H93" s="9"/>
      <c r="I93" s="9">
        <v>1</v>
      </c>
      <c r="J93" s="9">
        <v>2</v>
      </c>
      <c r="K93" s="9" t="s">
        <v>8698</v>
      </c>
      <c r="L93" s="9" t="s">
        <v>8730</v>
      </c>
      <c r="M93" s="9"/>
      <c r="N93" s="10"/>
      <c r="O93" s="9" t="s">
        <v>8685</v>
      </c>
      <c r="P93" s="9">
        <v>159</v>
      </c>
      <c r="Q93" s="9">
        <v>20.455159460189627</v>
      </c>
      <c r="R93" s="9"/>
      <c r="S93" s="9" t="s">
        <v>9321</v>
      </c>
      <c r="T93" s="9" t="s">
        <v>9321</v>
      </c>
      <c r="U93" s="9"/>
      <c r="V93" s="9"/>
      <c r="W93" s="9"/>
      <c r="X93" s="9"/>
      <c r="Y93" s="9"/>
      <c r="Z93" s="9"/>
      <c r="AA93" s="9"/>
      <c r="AB93" s="9"/>
      <c r="AC93" s="9"/>
      <c r="AD93" s="9"/>
    </row>
    <row r="94" spans="1:30" ht="43.5">
      <c r="A94" s="3" t="s">
        <v>378</v>
      </c>
      <c r="B94" s="3" t="s">
        <v>4469</v>
      </c>
      <c r="C94" s="3" t="s">
        <v>4472</v>
      </c>
      <c r="F94" t="s">
        <v>3884</v>
      </c>
      <c r="G94" s="9" t="s">
        <v>3885</v>
      </c>
      <c r="H94" s="9"/>
      <c r="I94" s="9">
        <v>1</v>
      </c>
      <c r="J94" s="9">
        <v>2</v>
      </c>
      <c r="K94" s="9" t="s">
        <v>8689</v>
      </c>
      <c r="L94" s="9" t="s">
        <v>8730</v>
      </c>
      <c r="M94" s="9"/>
      <c r="N94" s="10"/>
      <c r="O94" s="9"/>
      <c r="P94" s="9">
        <v>10929</v>
      </c>
      <c r="Q94" s="9">
        <v>1406.0027530843549</v>
      </c>
      <c r="R94" s="9"/>
      <c r="S94" s="9" t="s">
        <v>9321</v>
      </c>
      <c r="T94" s="9" t="s">
        <v>9321</v>
      </c>
      <c r="U94" s="9"/>
      <c r="V94" s="9"/>
      <c r="W94" s="9"/>
      <c r="X94" s="9"/>
      <c r="Y94" s="9"/>
      <c r="Z94" s="9"/>
      <c r="AA94" s="9"/>
      <c r="AB94" s="9"/>
      <c r="AC94" s="9"/>
      <c r="AD94" s="9"/>
    </row>
    <row r="95" spans="1:30" ht="58">
      <c r="A95" s="3" t="s">
        <v>385</v>
      </c>
      <c r="B95" s="3" t="s">
        <v>4483</v>
      </c>
      <c r="C95" s="3" t="s">
        <v>4484</v>
      </c>
      <c r="G95" s="9" t="s">
        <v>3889</v>
      </c>
      <c r="H95" s="9"/>
      <c r="I95" s="9">
        <v>1</v>
      </c>
      <c r="J95" s="9">
        <v>2</v>
      </c>
      <c r="K95" s="9" t="s">
        <v>8689</v>
      </c>
      <c r="L95" s="9" t="s">
        <v>8730</v>
      </c>
      <c r="M95" s="9"/>
      <c r="N95" s="10"/>
      <c r="O95" s="9"/>
      <c r="P95" s="9">
        <v>10929</v>
      </c>
      <c r="Q95" s="9">
        <v>1406.0027530843549</v>
      </c>
      <c r="R95" s="9"/>
      <c r="S95" s="9" t="s">
        <v>9321</v>
      </c>
      <c r="T95" s="9" t="s">
        <v>9321</v>
      </c>
      <c r="U95" s="9"/>
      <c r="V95" s="9"/>
      <c r="W95" s="9"/>
      <c r="X95" s="9"/>
      <c r="Y95" s="9"/>
      <c r="Z95" s="9"/>
      <c r="AA95" s="9"/>
      <c r="AB95" s="9"/>
      <c r="AC95" s="9"/>
      <c r="AD95" s="9"/>
    </row>
    <row r="96" spans="1:30" ht="43.5">
      <c r="A96" s="3" t="s">
        <v>386</v>
      </c>
      <c r="B96" s="3" t="s">
        <v>4486</v>
      </c>
      <c r="C96" s="3" t="s">
        <v>4487</v>
      </c>
      <c r="G96" s="9" t="s">
        <v>3885</v>
      </c>
      <c r="H96" s="9"/>
      <c r="I96" s="9">
        <v>1</v>
      </c>
      <c r="J96" s="9">
        <v>2</v>
      </c>
      <c r="K96" s="9" t="s">
        <v>8689</v>
      </c>
      <c r="L96" s="9" t="s">
        <v>8730</v>
      </c>
      <c r="M96" s="9"/>
      <c r="N96" s="10"/>
      <c r="O96" s="9"/>
      <c r="P96" s="9">
        <v>10929</v>
      </c>
      <c r="Q96" s="9">
        <v>1406.0027530843549</v>
      </c>
      <c r="R96" s="9"/>
      <c r="S96" s="9" t="s">
        <v>9321</v>
      </c>
      <c r="T96" s="9" t="s">
        <v>9321</v>
      </c>
      <c r="U96" s="9" t="s">
        <v>8728</v>
      </c>
      <c r="V96" s="9"/>
      <c r="W96" s="9"/>
      <c r="X96" s="9"/>
      <c r="Y96" s="9"/>
      <c r="Z96" s="9"/>
      <c r="AA96" s="9"/>
      <c r="AB96" s="9"/>
      <c r="AC96" s="9"/>
      <c r="AD96" s="9"/>
    </row>
    <row r="97" spans="1:30" ht="58">
      <c r="A97" s="3" t="s">
        <v>387</v>
      </c>
      <c r="B97" s="3" t="s">
        <v>4494</v>
      </c>
      <c r="C97" s="3" t="s">
        <v>4495</v>
      </c>
      <c r="G97" s="9" t="s">
        <v>3885</v>
      </c>
      <c r="H97" s="9"/>
      <c r="I97" s="9">
        <v>1</v>
      </c>
      <c r="J97" s="9">
        <v>1</v>
      </c>
      <c r="K97" s="9" t="s">
        <v>8689</v>
      </c>
      <c r="L97" s="9" t="s">
        <v>8730</v>
      </c>
      <c r="M97" s="9"/>
      <c r="N97" s="10"/>
      <c r="O97" s="9"/>
      <c r="P97" s="9">
        <v>10929</v>
      </c>
      <c r="Q97" s="9">
        <v>1406.0027530843549</v>
      </c>
      <c r="R97" s="9"/>
      <c r="S97" s="9" t="s">
        <v>9321</v>
      </c>
      <c r="T97" s="9" t="s">
        <v>9321</v>
      </c>
      <c r="U97" s="9"/>
      <c r="V97" s="9"/>
      <c r="W97" s="9"/>
      <c r="X97" s="9"/>
      <c r="Y97" s="9"/>
      <c r="Z97" s="9"/>
      <c r="AA97" s="9"/>
      <c r="AB97" s="9"/>
      <c r="AC97" s="9"/>
      <c r="AD97" s="9"/>
    </row>
    <row r="98" spans="1:30" ht="29">
      <c r="A98" s="3" t="s">
        <v>387</v>
      </c>
      <c r="B98" s="3" t="s">
        <v>4498</v>
      </c>
      <c r="C98" s="3" t="s">
        <v>4499</v>
      </c>
      <c r="G98" s="9" t="s">
        <v>3885</v>
      </c>
      <c r="H98" s="9"/>
      <c r="I98" s="9">
        <v>1</v>
      </c>
      <c r="J98" s="9">
        <v>1</v>
      </c>
      <c r="K98" s="9" t="s">
        <v>8689</v>
      </c>
      <c r="L98" s="9" t="s">
        <v>8730</v>
      </c>
      <c r="M98" s="9"/>
      <c r="N98" s="10"/>
      <c r="O98" s="9"/>
      <c r="P98" s="9">
        <v>10929</v>
      </c>
      <c r="Q98" s="9">
        <v>1406.0027530843549</v>
      </c>
      <c r="R98" s="9"/>
      <c r="S98" s="9" t="s">
        <v>9321</v>
      </c>
      <c r="T98" s="9" t="s">
        <v>9321</v>
      </c>
      <c r="U98" s="9"/>
      <c r="V98" s="9"/>
      <c r="W98" s="9"/>
      <c r="X98" s="9"/>
      <c r="Y98" s="9"/>
      <c r="Z98" s="9"/>
      <c r="AA98" s="9"/>
      <c r="AB98" s="9"/>
      <c r="AC98" s="9"/>
      <c r="AD98" s="9"/>
    </row>
    <row r="99" spans="1:30" ht="29">
      <c r="A99" s="3" t="s">
        <v>390</v>
      </c>
      <c r="B99" s="3" t="s">
        <v>4502</v>
      </c>
      <c r="C99" s="3" t="s">
        <v>8948</v>
      </c>
      <c r="F99" t="s">
        <v>3884</v>
      </c>
      <c r="G99" s="9" t="s">
        <v>3889</v>
      </c>
      <c r="H99" s="9"/>
      <c r="I99" s="9">
        <v>1</v>
      </c>
      <c r="J99" s="9">
        <v>3</v>
      </c>
      <c r="K99" s="9" t="s">
        <v>8689</v>
      </c>
      <c r="L99" s="9" t="s">
        <v>8690</v>
      </c>
      <c r="M99" s="9"/>
      <c r="N99" s="10"/>
      <c r="O99" s="9"/>
      <c r="P99" s="9">
        <v>10929</v>
      </c>
      <c r="Q99" s="9">
        <v>1406.0027530843549</v>
      </c>
      <c r="R99" s="9"/>
      <c r="S99" s="9" t="s">
        <v>9321</v>
      </c>
      <c r="T99" s="9" t="s">
        <v>9321</v>
      </c>
      <c r="U99" s="9"/>
      <c r="V99" s="9"/>
      <c r="W99" s="9"/>
      <c r="X99" s="9"/>
      <c r="Y99" s="9"/>
      <c r="Z99" s="9"/>
      <c r="AA99" s="9"/>
      <c r="AB99" s="9"/>
      <c r="AC99" s="9"/>
      <c r="AD99" s="9"/>
    </row>
    <row r="100" spans="1:30" ht="29">
      <c r="A100" s="3" t="s">
        <v>395</v>
      </c>
      <c r="B100" s="3" t="s">
        <v>4514</v>
      </c>
      <c r="C100" s="3" t="s">
        <v>4515</v>
      </c>
      <c r="G100" s="9" t="s">
        <v>3889</v>
      </c>
      <c r="H100" s="9"/>
      <c r="I100" s="9">
        <v>1</v>
      </c>
      <c r="J100" s="9">
        <v>3</v>
      </c>
      <c r="K100" s="9" t="s">
        <v>8698</v>
      </c>
      <c r="L100" s="9" t="s">
        <v>8690</v>
      </c>
      <c r="M100" s="9"/>
      <c r="N100" s="10"/>
      <c r="O100" s="9"/>
      <c r="P100" s="9">
        <v>9418</v>
      </c>
      <c r="Q100" s="9">
        <v>1211.6144138117354</v>
      </c>
      <c r="R100" s="9"/>
      <c r="S100" s="9" t="s">
        <v>9321</v>
      </c>
      <c r="T100" s="9" t="s">
        <v>9321</v>
      </c>
      <c r="U100" s="9"/>
      <c r="V100" s="9"/>
      <c r="W100" s="9"/>
      <c r="X100" s="9"/>
      <c r="Y100" s="9"/>
      <c r="Z100" s="9"/>
      <c r="AA100" s="9"/>
      <c r="AB100" s="9"/>
      <c r="AC100" s="9"/>
      <c r="AD100" s="9"/>
    </row>
    <row r="101" spans="1:30" ht="29">
      <c r="A101" s="3" t="s">
        <v>396</v>
      </c>
      <c r="B101" s="3" t="s">
        <v>4518</v>
      </c>
      <c r="C101" s="3" t="s">
        <v>4519</v>
      </c>
      <c r="F101" t="s">
        <v>3884</v>
      </c>
      <c r="G101" s="9" t="s">
        <v>3885</v>
      </c>
      <c r="H101" s="9"/>
      <c r="I101" s="9">
        <v>1</v>
      </c>
      <c r="J101" s="9">
        <v>1</v>
      </c>
      <c r="K101" s="9" t="s">
        <v>8698</v>
      </c>
      <c r="L101" s="9" t="s">
        <v>8730</v>
      </c>
      <c r="M101" s="9"/>
      <c r="N101" s="10"/>
      <c r="O101" s="9"/>
      <c r="P101" s="9">
        <v>1</v>
      </c>
      <c r="Q101" s="9">
        <v>0.12864880163641276</v>
      </c>
      <c r="R101" s="9"/>
      <c r="S101" s="9" t="s">
        <v>9321</v>
      </c>
      <c r="T101" s="9" t="s">
        <v>9321</v>
      </c>
      <c r="U101" s="9"/>
      <c r="V101" s="9"/>
      <c r="W101" s="9"/>
      <c r="X101" s="9"/>
      <c r="Y101" s="9"/>
      <c r="Z101" s="9"/>
      <c r="AA101" s="9"/>
      <c r="AB101" s="9"/>
      <c r="AC101" s="9"/>
      <c r="AD101" s="9"/>
    </row>
    <row r="102" spans="1:30" ht="101.5">
      <c r="A102" s="3" t="s">
        <v>401</v>
      </c>
      <c r="B102" s="3" t="s">
        <v>4533</v>
      </c>
      <c r="C102" s="3" t="s">
        <v>9595</v>
      </c>
      <c r="F102" t="s">
        <v>3892</v>
      </c>
      <c r="G102" s="9" t="s">
        <v>3885</v>
      </c>
      <c r="H102" s="9"/>
      <c r="I102" s="9">
        <v>1</v>
      </c>
      <c r="J102" s="9">
        <v>3</v>
      </c>
      <c r="K102" s="9" t="s">
        <v>8698</v>
      </c>
      <c r="L102" s="9" t="s">
        <v>8690</v>
      </c>
      <c r="M102" s="9"/>
      <c r="N102" s="10"/>
      <c r="O102" s="9"/>
      <c r="P102" s="9">
        <v>9418</v>
      </c>
      <c r="Q102" s="9">
        <v>1211.6144138117354</v>
      </c>
      <c r="R102" s="9"/>
      <c r="S102" s="9" t="s">
        <v>9321</v>
      </c>
      <c r="T102" s="9" t="s">
        <v>9321</v>
      </c>
      <c r="U102" s="9"/>
      <c r="V102" s="9"/>
      <c r="W102" s="9"/>
      <c r="X102" s="9"/>
      <c r="Y102" s="9"/>
      <c r="Z102" s="9"/>
      <c r="AA102" s="9"/>
      <c r="AB102" s="9"/>
      <c r="AC102" s="9"/>
      <c r="AD102" s="9"/>
    </row>
    <row r="103" spans="1:30" ht="29">
      <c r="A103" s="3" t="s">
        <v>404</v>
      </c>
      <c r="B103" s="3" t="s">
        <v>4536</v>
      </c>
      <c r="C103" s="3" t="s">
        <v>4537</v>
      </c>
      <c r="G103" s="9" t="s">
        <v>3885</v>
      </c>
      <c r="H103" s="9"/>
      <c r="I103" s="9">
        <v>1</v>
      </c>
      <c r="J103" s="9">
        <v>3</v>
      </c>
      <c r="K103" s="9" t="s">
        <v>8689</v>
      </c>
      <c r="L103" s="9" t="s">
        <v>8690</v>
      </c>
      <c r="M103" s="9"/>
      <c r="N103" s="10"/>
      <c r="O103" s="9"/>
      <c r="P103" s="9">
        <v>10929</v>
      </c>
      <c r="Q103" s="9">
        <v>1406.0027530843549</v>
      </c>
      <c r="R103" s="9"/>
      <c r="S103" s="9" t="s">
        <v>9321</v>
      </c>
      <c r="T103" s="9" t="s">
        <v>9321</v>
      </c>
      <c r="U103" s="9"/>
      <c r="V103" s="9"/>
      <c r="W103" s="9"/>
      <c r="X103" s="9"/>
      <c r="Y103" s="9"/>
      <c r="Z103" s="9"/>
      <c r="AA103" s="9"/>
      <c r="AB103" s="9"/>
      <c r="AC103" s="9"/>
      <c r="AD103" s="9"/>
    </row>
    <row r="104" spans="1:30" ht="29">
      <c r="A104" s="3" t="s">
        <v>409</v>
      </c>
      <c r="B104" s="3" t="s">
        <v>4544</v>
      </c>
      <c r="C104" s="3" t="s">
        <v>4545</v>
      </c>
      <c r="G104" s="9" t="s">
        <v>3889</v>
      </c>
      <c r="H104" s="9"/>
      <c r="I104" s="9">
        <v>1</v>
      </c>
      <c r="J104" s="9">
        <v>3</v>
      </c>
      <c r="K104" s="9" t="s">
        <v>8689</v>
      </c>
      <c r="L104" s="9" t="s">
        <v>8690</v>
      </c>
      <c r="M104" s="9"/>
      <c r="N104" s="10"/>
      <c r="O104" s="9"/>
      <c r="P104" s="9">
        <v>10929</v>
      </c>
      <c r="Q104" s="9">
        <v>1406.0027530843549</v>
      </c>
      <c r="R104" s="9"/>
      <c r="S104" s="9" t="s">
        <v>9321</v>
      </c>
      <c r="T104" s="9" t="s">
        <v>9321</v>
      </c>
      <c r="U104" s="9"/>
      <c r="V104" s="9"/>
      <c r="W104" s="9"/>
      <c r="X104" s="9"/>
      <c r="Y104" s="9"/>
      <c r="Z104" s="9"/>
      <c r="AA104" s="9"/>
      <c r="AB104" s="9"/>
      <c r="AC104" s="9"/>
      <c r="AD104" s="9"/>
    </row>
    <row r="105" spans="1:30" ht="72.5">
      <c r="A105" s="3" t="s">
        <v>417</v>
      </c>
      <c r="B105" s="3" t="s">
        <v>4557</v>
      </c>
      <c r="C105" s="3" t="s">
        <v>4558</v>
      </c>
      <c r="G105" s="9" t="s">
        <v>3885</v>
      </c>
      <c r="H105" s="9"/>
      <c r="I105" s="9">
        <v>1</v>
      </c>
      <c r="J105" s="9">
        <v>2</v>
      </c>
      <c r="K105" s="9" t="s">
        <v>8689</v>
      </c>
      <c r="L105" s="9" t="s">
        <v>8730</v>
      </c>
      <c r="M105" s="9"/>
      <c r="N105" s="10"/>
      <c r="O105" s="9"/>
      <c r="P105" s="9">
        <v>10929</v>
      </c>
      <c r="Q105" s="9">
        <v>1406.0027530843549</v>
      </c>
      <c r="R105" s="9"/>
      <c r="S105" s="9" t="s">
        <v>9321</v>
      </c>
      <c r="T105" s="9" t="s">
        <v>9321</v>
      </c>
      <c r="U105" s="9"/>
      <c r="V105" s="9"/>
      <c r="W105" s="9"/>
      <c r="X105" s="9"/>
      <c r="Y105" s="9"/>
      <c r="Z105" s="9"/>
      <c r="AA105" s="9"/>
      <c r="AB105" s="9"/>
      <c r="AC105" s="9"/>
      <c r="AD105" s="9"/>
    </row>
    <row r="106" spans="1:30" ht="43.5">
      <c r="A106" s="3" t="s">
        <v>424</v>
      </c>
      <c r="B106" s="3" t="s">
        <v>4569</v>
      </c>
      <c r="C106" s="3" t="s">
        <v>4570</v>
      </c>
      <c r="F106" t="s">
        <v>3884</v>
      </c>
      <c r="G106" s="9" t="s">
        <v>3885</v>
      </c>
      <c r="H106" s="9"/>
      <c r="I106" s="9">
        <v>1</v>
      </c>
      <c r="J106" s="9">
        <v>3</v>
      </c>
      <c r="K106" s="9" t="s">
        <v>8689</v>
      </c>
      <c r="L106" s="9" t="s">
        <v>8690</v>
      </c>
      <c r="M106" s="9"/>
      <c r="N106" s="10"/>
      <c r="O106" s="9"/>
      <c r="P106" s="9">
        <v>10929</v>
      </c>
      <c r="Q106" s="9">
        <v>1406.0027530843549</v>
      </c>
      <c r="R106" s="9"/>
      <c r="S106" s="9" t="s">
        <v>9321</v>
      </c>
      <c r="T106" s="9" t="s">
        <v>9321</v>
      </c>
      <c r="U106" s="9"/>
      <c r="V106" s="9"/>
      <c r="W106" s="9"/>
      <c r="X106" s="9"/>
      <c r="Y106" s="9"/>
      <c r="Z106" s="9"/>
      <c r="AA106" s="9"/>
      <c r="AB106" s="9"/>
      <c r="AC106" s="9"/>
      <c r="AD106" s="9"/>
    </row>
    <row r="107" spans="1:30" ht="43.5">
      <c r="A107" s="3" t="s">
        <v>428</v>
      </c>
      <c r="B107" s="3" t="s">
        <v>8953</v>
      </c>
      <c r="C107" s="3" t="s">
        <v>8952</v>
      </c>
      <c r="G107" s="9" t="s">
        <v>3885</v>
      </c>
      <c r="H107" s="9"/>
      <c r="I107" s="9">
        <v>1</v>
      </c>
      <c r="J107" s="9">
        <v>3</v>
      </c>
      <c r="K107" s="9" t="s">
        <v>8705</v>
      </c>
      <c r="L107" s="9" t="s">
        <v>8690</v>
      </c>
      <c r="M107" s="9"/>
      <c r="N107" s="10"/>
      <c r="O107" s="9"/>
      <c r="P107" s="9">
        <v>1485</v>
      </c>
      <c r="Q107" s="9">
        <v>191.04347043007292</v>
      </c>
      <c r="R107" s="9"/>
      <c r="S107" s="9" t="s">
        <v>9321</v>
      </c>
      <c r="T107" s="9" t="s">
        <v>9321</v>
      </c>
      <c r="U107" s="9"/>
      <c r="V107" s="9"/>
      <c r="W107" s="9"/>
      <c r="X107" s="9"/>
      <c r="Y107" s="9"/>
      <c r="Z107" s="9"/>
      <c r="AA107" s="9"/>
      <c r="AB107" s="9"/>
      <c r="AC107" s="9"/>
      <c r="AD107" s="9"/>
    </row>
    <row r="108" spans="1:30" ht="43.5">
      <c r="A108" s="3" t="s">
        <v>430</v>
      </c>
      <c r="B108" s="3" t="s">
        <v>4579</v>
      </c>
      <c r="C108" s="3" t="s">
        <v>4580</v>
      </c>
      <c r="F108" t="s">
        <v>3884</v>
      </c>
      <c r="G108" s="9" t="s">
        <v>3885</v>
      </c>
      <c r="H108" s="9"/>
      <c r="I108" s="9">
        <v>1</v>
      </c>
      <c r="J108" s="9">
        <v>2</v>
      </c>
      <c r="K108" s="9" t="s">
        <v>8698</v>
      </c>
      <c r="L108" s="9" t="s">
        <v>8730</v>
      </c>
      <c r="M108" s="9"/>
      <c r="N108" s="10"/>
      <c r="O108" s="9" t="s">
        <v>8685</v>
      </c>
      <c r="P108" s="9">
        <v>1</v>
      </c>
      <c r="Q108" s="9">
        <v>0.12864880163641276</v>
      </c>
      <c r="R108" s="9"/>
      <c r="S108" s="9" t="s">
        <v>9321</v>
      </c>
      <c r="T108" s="9" t="s">
        <v>9321</v>
      </c>
      <c r="U108" s="9"/>
      <c r="V108" s="9"/>
      <c r="W108" s="9"/>
      <c r="X108" s="9"/>
      <c r="Y108" s="9"/>
      <c r="Z108" s="9"/>
      <c r="AA108" s="9"/>
      <c r="AB108" s="9"/>
      <c r="AC108" s="9"/>
      <c r="AD108" s="9"/>
    </row>
    <row r="109" spans="1:30" ht="43.5">
      <c r="A109" s="3" t="s">
        <v>432</v>
      </c>
      <c r="B109" s="3" t="s">
        <v>4583</v>
      </c>
      <c r="C109" s="3" t="s">
        <v>4584</v>
      </c>
      <c r="F109" t="s">
        <v>3884</v>
      </c>
      <c r="G109" s="9" t="s">
        <v>3889</v>
      </c>
      <c r="H109" s="9"/>
      <c r="I109" s="9">
        <v>1</v>
      </c>
      <c r="J109" s="9">
        <v>3</v>
      </c>
      <c r="K109" s="9" t="s">
        <v>8705</v>
      </c>
      <c r="L109" s="9" t="s">
        <v>8690</v>
      </c>
      <c r="M109" s="9"/>
      <c r="N109" s="10"/>
      <c r="O109" s="9"/>
      <c r="P109" s="9">
        <v>1443</v>
      </c>
      <c r="Q109" s="9">
        <v>185.64022076134361</v>
      </c>
      <c r="R109" s="9"/>
      <c r="S109" s="9" t="s">
        <v>9321</v>
      </c>
      <c r="T109" s="9" t="s">
        <v>9321</v>
      </c>
      <c r="U109" s="9"/>
      <c r="V109" s="9"/>
      <c r="W109" s="9"/>
      <c r="X109" s="9"/>
      <c r="Y109" s="9"/>
      <c r="Z109" s="9"/>
      <c r="AA109" s="9"/>
      <c r="AB109" s="9"/>
      <c r="AC109" s="9"/>
      <c r="AD109" s="9"/>
    </row>
    <row r="110" spans="1:30" ht="29">
      <c r="A110" s="3" t="s">
        <v>433</v>
      </c>
      <c r="B110" s="3" t="s">
        <v>4585</v>
      </c>
      <c r="C110" s="3" t="s">
        <v>4586</v>
      </c>
      <c r="G110" s="9" t="s">
        <v>3885</v>
      </c>
      <c r="H110" s="9"/>
      <c r="I110" s="9">
        <v>1</v>
      </c>
      <c r="J110" s="9">
        <v>4</v>
      </c>
      <c r="K110" s="9" t="s">
        <v>8689</v>
      </c>
      <c r="L110" s="9" t="s">
        <v>8690</v>
      </c>
      <c r="M110" s="9"/>
      <c r="N110" s="10"/>
      <c r="O110" s="9"/>
      <c r="P110" s="9">
        <v>10929</v>
      </c>
      <c r="Q110" s="9">
        <v>1406.0027530843549</v>
      </c>
      <c r="R110" s="9"/>
      <c r="S110" s="9" t="s">
        <v>9321</v>
      </c>
      <c r="T110" s="9" t="s">
        <v>9321</v>
      </c>
      <c r="U110" s="9"/>
      <c r="V110" s="9"/>
      <c r="W110" s="9"/>
      <c r="X110" s="9"/>
      <c r="Y110" s="9"/>
      <c r="Z110" s="9"/>
      <c r="AA110" s="9"/>
      <c r="AB110" s="9"/>
      <c r="AC110" s="9"/>
      <c r="AD110" s="9"/>
    </row>
    <row r="111" spans="1:30" ht="29">
      <c r="A111" s="3" t="s">
        <v>433</v>
      </c>
      <c r="B111" s="3" t="s">
        <v>8954</v>
      </c>
      <c r="C111" s="3" t="s">
        <v>8955</v>
      </c>
      <c r="G111" s="9" t="s">
        <v>3885</v>
      </c>
      <c r="H111" s="9"/>
      <c r="I111" s="9">
        <v>1</v>
      </c>
      <c r="J111" s="9">
        <v>1</v>
      </c>
      <c r="K111" s="9" t="s">
        <v>8689</v>
      </c>
      <c r="L111" s="9" t="s">
        <v>8730</v>
      </c>
      <c r="M111" s="9"/>
      <c r="N111" s="10"/>
      <c r="O111" s="9"/>
      <c r="P111" s="9">
        <v>10929</v>
      </c>
      <c r="Q111" s="9">
        <v>1406.0027530843549</v>
      </c>
      <c r="R111" s="9"/>
      <c r="S111" s="9" t="s">
        <v>9321</v>
      </c>
      <c r="T111" s="9" t="s">
        <v>9321</v>
      </c>
      <c r="U111" s="9"/>
      <c r="V111" s="9"/>
      <c r="W111" s="9"/>
      <c r="X111" s="9"/>
      <c r="Y111" s="9"/>
      <c r="Z111" s="9"/>
      <c r="AA111" s="9"/>
      <c r="AB111" s="9"/>
      <c r="AC111" s="9"/>
      <c r="AD111" s="9"/>
    </row>
    <row r="112" spans="1:30" ht="58">
      <c r="A112" s="3" t="s">
        <v>434</v>
      </c>
      <c r="B112" s="3" t="s">
        <v>9596</v>
      </c>
      <c r="C112" s="3" t="s">
        <v>9597</v>
      </c>
      <c r="G112" s="9" t="s">
        <v>3889</v>
      </c>
      <c r="H112" s="9"/>
      <c r="I112" s="9">
        <v>1</v>
      </c>
      <c r="J112" s="9">
        <v>2</v>
      </c>
      <c r="K112" s="9" t="s">
        <v>8689</v>
      </c>
      <c r="L112" s="9" t="s">
        <v>8730</v>
      </c>
      <c r="M112" s="9"/>
      <c r="N112" s="10"/>
      <c r="O112" s="9"/>
      <c r="P112" s="9">
        <v>10929</v>
      </c>
      <c r="Q112" s="9">
        <v>1406.0027530843549</v>
      </c>
      <c r="R112" s="9"/>
      <c r="S112" s="9" t="s">
        <v>9321</v>
      </c>
      <c r="T112" s="9" t="s">
        <v>9321</v>
      </c>
      <c r="U112" s="9"/>
      <c r="V112" s="9"/>
      <c r="W112" s="9"/>
      <c r="X112" s="9"/>
      <c r="Y112" s="9"/>
      <c r="Z112" s="9"/>
      <c r="AA112" s="9"/>
      <c r="AB112" s="9"/>
      <c r="AC112" s="9"/>
      <c r="AD112" s="9"/>
    </row>
    <row r="113" spans="1:30" ht="43.5">
      <c r="A113" s="3" t="s">
        <v>446</v>
      </c>
      <c r="B113" s="3" t="s">
        <v>4602</v>
      </c>
      <c r="C113" s="3" t="s">
        <v>4603</v>
      </c>
      <c r="F113" t="s">
        <v>3884</v>
      </c>
      <c r="G113" s="9" t="s">
        <v>3885</v>
      </c>
      <c r="H113" s="9"/>
      <c r="I113" s="9">
        <v>1</v>
      </c>
      <c r="J113" s="9">
        <v>2</v>
      </c>
      <c r="K113" s="9" t="s">
        <v>8698</v>
      </c>
      <c r="L113" s="9" t="s">
        <v>8730</v>
      </c>
      <c r="M113" s="9"/>
      <c r="N113" s="10"/>
      <c r="O113" s="9"/>
      <c r="P113" s="9">
        <v>55</v>
      </c>
      <c r="Q113" s="9">
        <v>7.075684090002702</v>
      </c>
      <c r="R113" s="9"/>
      <c r="S113" s="9" t="s">
        <v>9321</v>
      </c>
      <c r="T113" s="9" t="s">
        <v>9321</v>
      </c>
      <c r="U113" s="9"/>
      <c r="V113" s="9"/>
      <c r="W113" s="9"/>
      <c r="X113" s="9"/>
      <c r="Y113" s="9"/>
      <c r="Z113" s="9"/>
      <c r="AA113" s="9"/>
      <c r="AB113" s="9"/>
      <c r="AC113" s="9"/>
      <c r="AD113" s="9"/>
    </row>
    <row r="114" spans="1:30" ht="58">
      <c r="A114" s="3" t="s">
        <v>452</v>
      </c>
      <c r="B114" s="3" t="s">
        <v>4618</v>
      </c>
      <c r="C114" s="3" t="s">
        <v>4619</v>
      </c>
      <c r="F114" t="s">
        <v>3884</v>
      </c>
      <c r="G114" s="9" t="s">
        <v>3885</v>
      </c>
      <c r="H114" s="9"/>
      <c r="I114" s="9">
        <v>1</v>
      </c>
      <c r="J114" s="9">
        <v>3</v>
      </c>
      <c r="K114" s="9" t="s">
        <v>8705</v>
      </c>
      <c r="L114" s="9" t="s">
        <v>8690</v>
      </c>
      <c r="M114" s="9"/>
      <c r="N114" s="10"/>
      <c r="O114" s="9"/>
      <c r="P114" s="9">
        <v>1485</v>
      </c>
      <c r="Q114" s="9">
        <v>191.04347043007292</v>
      </c>
      <c r="R114" s="9"/>
      <c r="S114" s="9" t="s">
        <v>9321</v>
      </c>
      <c r="T114" s="9" t="s">
        <v>9321</v>
      </c>
      <c r="U114" s="9"/>
      <c r="V114" s="9"/>
      <c r="W114" s="9"/>
      <c r="X114" s="9"/>
      <c r="Y114" s="9"/>
      <c r="Z114" s="9"/>
      <c r="AA114" s="9"/>
      <c r="AB114" s="9"/>
      <c r="AC114" s="9"/>
      <c r="AD114" s="9"/>
    </row>
    <row r="115" spans="1:30" ht="58">
      <c r="A115" s="3" t="s">
        <v>452</v>
      </c>
      <c r="B115" s="3" t="s">
        <v>8964</v>
      </c>
      <c r="C115" s="3" t="s">
        <v>8965</v>
      </c>
      <c r="G115" s="9" t="s">
        <v>3885</v>
      </c>
      <c r="H115" s="9"/>
      <c r="I115" s="9">
        <v>1</v>
      </c>
      <c r="J115" s="9">
        <v>3</v>
      </c>
      <c r="K115" s="9" t="s">
        <v>8689</v>
      </c>
      <c r="L115" s="9" t="s">
        <v>8690</v>
      </c>
      <c r="M115" s="9"/>
      <c r="N115" s="10"/>
      <c r="O115" s="9"/>
      <c r="P115" s="9">
        <v>10929</v>
      </c>
      <c r="Q115" s="9">
        <v>1406.0027530843549</v>
      </c>
      <c r="R115" s="9"/>
      <c r="S115" s="9" t="s">
        <v>9321</v>
      </c>
      <c r="T115" s="9" t="s">
        <v>9321</v>
      </c>
      <c r="U115" s="9"/>
      <c r="V115" s="9"/>
      <c r="W115" s="9"/>
      <c r="X115" s="9"/>
      <c r="Y115" s="9"/>
      <c r="Z115" s="9"/>
      <c r="AA115" s="9"/>
      <c r="AB115" s="9"/>
      <c r="AC115" s="9"/>
      <c r="AD115" s="9"/>
    </row>
    <row r="116" spans="1:30" ht="43.5">
      <c r="A116" s="3" t="s">
        <v>455</v>
      </c>
      <c r="B116" s="3" t="s">
        <v>8966</v>
      </c>
      <c r="C116" s="3" t="s">
        <v>8967</v>
      </c>
      <c r="G116" s="9" t="s">
        <v>3885</v>
      </c>
      <c r="H116" s="9"/>
      <c r="I116" s="9">
        <v>1</v>
      </c>
      <c r="J116" s="9">
        <v>3</v>
      </c>
      <c r="K116" s="9" t="s">
        <v>8689</v>
      </c>
      <c r="L116" s="9" t="s">
        <v>8690</v>
      </c>
      <c r="M116" s="9"/>
      <c r="N116" s="10"/>
      <c r="O116" s="9"/>
      <c r="P116" s="9">
        <v>10929</v>
      </c>
      <c r="Q116" s="9">
        <v>1406.0027530843549</v>
      </c>
      <c r="R116" s="9"/>
      <c r="S116" s="9" t="s">
        <v>9321</v>
      </c>
      <c r="T116" s="9" t="s">
        <v>9321</v>
      </c>
      <c r="U116" s="9" t="s">
        <v>4</v>
      </c>
      <c r="V116" s="9"/>
      <c r="W116" s="9"/>
      <c r="X116" s="9"/>
      <c r="Y116" s="9"/>
      <c r="Z116" s="9"/>
      <c r="AA116" s="9"/>
      <c r="AB116" s="9"/>
      <c r="AC116" s="9"/>
      <c r="AD116" s="9"/>
    </row>
    <row r="117" spans="1:30" ht="43.5">
      <c r="A117" s="3" t="s">
        <v>458</v>
      </c>
      <c r="B117" s="3" t="s">
        <v>9461</v>
      </c>
      <c r="C117" s="3" t="s">
        <v>9462</v>
      </c>
      <c r="F117" t="s">
        <v>3884</v>
      </c>
      <c r="G117" s="9" t="s">
        <v>3889</v>
      </c>
      <c r="H117" s="9"/>
      <c r="I117" s="9">
        <v>1</v>
      </c>
      <c r="J117" s="9">
        <v>3</v>
      </c>
      <c r="K117" s="9" t="s">
        <v>8689</v>
      </c>
      <c r="L117" s="9" t="s">
        <v>8690</v>
      </c>
      <c r="M117" s="9"/>
      <c r="N117" s="10"/>
      <c r="O117" s="9"/>
      <c r="P117" s="9">
        <v>10929</v>
      </c>
      <c r="Q117" s="9">
        <v>1406.0027530843549</v>
      </c>
      <c r="R117" s="9"/>
      <c r="S117" s="9" t="s">
        <v>9321</v>
      </c>
      <c r="T117" s="9" t="s">
        <v>9321</v>
      </c>
      <c r="U117" s="9"/>
      <c r="V117" s="9"/>
      <c r="W117" s="9"/>
      <c r="X117" s="9"/>
      <c r="Y117" s="9"/>
      <c r="Z117" s="9"/>
      <c r="AA117" s="9"/>
      <c r="AB117" s="9"/>
      <c r="AC117" s="9"/>
      <c r="AD117" s="9"/>
    </row>
    <row r="118" spans="1:30" ht="29">
      <c r="A118" s="3" t="s">
        <v>460</v>
      </c>
      <c r="B118" s="3" t="s">
        <v>4630</v>
      </c>
      <c r="C118" s="3" t="s">
        <v>4631</v>
      </c>
      <c r="G118" s="9" t="s">
        <v>3885</v>
      </c>
      <c r="H118" s="9"/>
      <c r="I118" s="9">
        <v>1</v>
      </c>
      <c r="J118" s="9">
        <v>3</v>
      </c>
      <c r="K118" s="9" t="s">
        <v>8689</v>
      </c>
      <c r="L118" s="9" t="s">
        <v>8690</v>
      </c>
      <c r="M118" s="9"/>
      <c r="N118" s="10"/>
      <c r="O118" s="9"/>
      <c r="P118" s="9">
        <v>10929</v>
      </c>
      <c r="Q118" s="9">
        <v>1406.0027530843549</v>
      </c>
      <c r="R118" s="9"/>
      <c r="S118" s="9" t="s">
        <v>9321</v>
      </c>
      <c r="T118" s="9" t="s">
        <v>9321</v>
      </c>
      <c r="U118" s="9"/>
      <c r="V118" s="9"/>
      <c r="W118" s="9"/>
      <c r="X118" s="9"/>
      <c r="Y118" s="9"/>
      <c r="Z118" s="9"/>
      <c r="AA118" s="9"/>
      <c r="AB118" s="9"/>
      <c r="AC118" s="9"/>
      <c r="AD118" s="9"/>
    </row>
    <row r="119" spans="1:30" ht="29">
      <c r="A119" s="3" t="s">
        <v>473</v>
      </c>
      <c r="B119" s="3" t="s">
        <v>4239</v>
      </c>
      <c r="C119" s="3" t="s">
        <v>4238</v>
      </c>
      <c r="G119" s="9" t="s">
        <v>3885</v>
      </c>
      <c r="H119" s="9"/>
      <c r="I119" s="9">
        <v>1</v>
      </c>
      <c r="J119" s="9">
        <v>3</v>
      </c>
      <c r="K119" s="9" t="s">
        <v>8689</v>
      </c>
      <c r="L119" s="9" t="s">
        <v>8690</v>
      </c>
      <c r="M119" s="9"/>
      <c r="N119" s="10"/>
      <c r="O119" s="9"/>
      <c r="P119" s="9">
        <v>10929</v>
      </c>
      <c r="Q119" s="9">
        <v>1406.0027530843549</v>
      </c>
      <c r="R119" s="9"/>
      <c r="S119" s="9" t="s">
        <v>9321</v>
      </c>
      <c r="T119" s="9" t="s">
        <v>9321</v>
      </c>
      <c r="U119" s="9"/>
      <c r="V119" s="9"/>
      <c r="W119" s="9"/>
      <c r="X119" s="9"/>
      <c r="Y119" s="9"/>
      <c r="Z119" s="9"/>
      <c r="AA119" s="9"/>
      <c r="AB119" s="9"/>
      <c r="AC119" s="9"/>
      <c r="AD119" s="9"/>
    </row>
    <row r="120" spans="1:30" ht="43.5">
      <c r="A120" s="3" t="s">
        <v>476</v>
      </c>
      <c r="B120" s="3" t="s">
        <v>4649</v>
      </c>
      <c r="C120" s="3" t="s">
        <v>4650</v>
      </c>
      <c r="F120" t="s">
        <v>3884</v>
      </c>
      <c r="G120" s="9" t="s">
        <v>3889</v>
      </c>
      <c r="H120" s="9"/>
      <c r="I120" s="9">
        <v>1</v>
      </c>
      <c r="J120" s="9">
        <v>2</v>
      </c>
      <c r="K120" s="9" t="s">
        <v>8689</v>
      </c>
      <c r="L120" s="9" t="s">
        <v>8730</v>
      </c>
      <c r="M120" s="9"/>
      <c r="N120" s="10"/>
      <c r="O120" s="9"/>
      <c r="P120" s="9">
        <v>10929</v>
      </c>
      <c r="Q120" s="9">
        <v>1406.0027530843549</v>
      </c>
      <c r="R120" s="9"/>
      <c r="S120" s="9" t="s">
        <v>9321</v>
      </c>
      <c r="T120" s="9" t="s">
        <v>9321</v>
      </c>
      <c r="U120" s="9"/>
      <c r="V120" s="9"/>
      <c r="W120" s="9"/>
      <c r="X120" s="9"/>
      <c r="Y120" s="9"/>
      <c r="Z120" s="9"/>
      <c r="AA120" s="9"/>
      <c r="AB120" s="9"/>
      <c r="AC120" s="9"/>
      <c r="AD120" s="9"/>
    </row>
    <row r="121" spans="1:30" ht="29">
      <c r="A121" s="3" t="s">
        <v>481</v>
      </c>
      <c r="B121" s="3" t="s">
        <v>4536</v>
      </c>
      <c r="C121" s="3" t="s">
        <v>4537</v>
      </c>
      <c r="G121" s="9" t="s">
        <v>3885</v>
      </c>
      <c r="H121" s="9"/>
      <c r="I121" s="9">
        <v>1</v>
      </c>
      <c r="J121" s="9">
        <v>3</v>
      </c>
      <c r="K121" s="9" t="s">
        <v>8689</v>
      </c>
      <c r="L121" s="9" t="s">
        <v>8690</v>
      </c>
      <c r="M121" s="9"/>
      <c r="N121" s="10"/>
      <c r="O121" s="9"/>
      <c r="P121" s="9">
        <v>10929</v>
      </c>
      <c r="Q121" s="9">
        <v>1406.0027530843549</v>
      </c>
      <c r="R121" s="9"/>
      <c r="S121" s="9" t="s">
        <v>9321</v>
      </c>
      <c r="T121" s="9" t="s">
        <v>9321</v>
      </c>
      <c r="U121" s="9"/>
      <c r="V121" s="9"/>
      <c r="W121" s="9"/>
      <c r="X121" s="9"/>
      <c r="Y121" s="9"/>
      <c r="Z121" s="9"/>
      <c r="AA121" s="9"/>
      <c r="AB121" s="9"/>
      <c r="AC121" s="9"/>
      <c r="AD121" s="9"/>
    </row>
    <row r="122" spans="1:30" ht="43.5">
      <c r="A122" s="3" t="s">
        <v>502</v>
      </c>
      <c r="B122" s="3" t="s">
        <v>4690</v>
      </c>
      <c r="C122" s="3" t="s">
        <v>4687</v>
      </c>
      <c r="F122" t="s">
        <v>3884</v>
      </c>
      <c r="G122" s="9" t="s">
        <v>3889</v>
      </c>
      <c r="H122" s="9"/>
      <c r="I122" s="9">
        <v>1</v>
      </c>
      <c r="J122" s="9">
        <v>3</v>
      </c>
      <c r="K122" s="9" t="s">
        <v>8689</v>
      </c>
      <c r="L122" s="9" t="s">
        <v>8690</v>
      </c>
      <c r="M122" s="9"/>
      <c r="N122" s="10"/>
      <c r="O122" s="9"/>
      <c r="P122" s="9">
        <v>10929</v>
      </c>
      <c r="Q122" s="9">
        <v>1406.0027530843549</v>
      </c>
      <c r="R122" s="9"/>
      <c r="S122" s="9" t="s">
        <v>9321</v>
      </c>
      <c r="T122" s="9" t="s">
        <v>9321</v>
      </c>
      <c r="U122" s="9"/>
      <c r="V122" s="9"/>
      <c r="W122" s="9"/>
      <c r="X122" s="9"/>
      <c r="Y122" s="9"/>
      <c r="Z122" s="9"/>
      <c r="AA122" s="9"/>
      <c r="AB122" s="9"/>
      <c r="AC122" s="9"/>
      <c r="AD122" s="9"/>
    </row>
    <row r="123" spans="1:30" ht="58">
      <c r="A123" s="3" t="s">
        <v>519</v>
      </c>
      <c r="B123" s="3" t="s">
        <v>4728</v>
      </c>
      <c r="C123" s="3" t="s">
        <v>4729</v>
      </c>
      <c r="F123" t="s">
        <v>3884</v>
      </c>
      <c r="G123" s="9" t="s">
        <v>3889</v>
      </c>
      <c r="H123" s="9"/>
      <c r="I123" s="9">
        <v>1</v>
      </c>
      <c r="J123" s="9">
        <v>3</v>
      </c>
      <c r="K123" s="9" t="s">
        <v>8689</v>
      </c>
      <c r="L123" s="9" t="s">
        <v>8690</v>
      </c>
      <c r="M123" s="9"/>
      <c r="N123" s="10"/>
      <c r="O123" s="9"/>
      <c r="P123" s="9">
        <v>10929</v>
      </c>
      <c r="Q123" s="9">
        <v>1406.0027530843549</v>
      </c>
      <c r="R123" s="9"/>
      <c r="S123" s="9" t="s">
        <v>9321</v>
      </c>
      <c r="T123" s="9" t="s">
        <v>9321</v>
      </c>
      <c r="U123" s="9"/>
      <c r="V123" s="9"/>
      <c r="W123" s="9"/>
      <c r="X123" s="9"/>
      <c r="Y123" s="9"/>
      <c r="Z123" s="9"/>
      <c r="AA123" s="9"/>
      <c r="AB123" s="9"/>
      <c r="AC123" s="9"/>
      <c r="AD123" s="9"/>
    </row>
    <row r="124" spans="1:30" ht="43.5">
      <c r="A124" s="3" t="s">
        <v>555</v>
      </c>
      <c r="B124" s="3" t="s">
        <v>4800</v>
      </c>
      <c r="C124" s="3" t="s">
        <v>4801</v>
      </c>
      <c r="G124" s="9" t="s">
        <v>3885</v>
      </c>
      <c r="H124" s="9"/>
      <c r="I124" s="9">
        <v>1</v>
      </c>
      <c r="J124" s="9">
        <v>3</v>
      </c>
      <c r="K124" s="9" t="s">
        <v>8705</v>
      </c>
      <c r="L124" s="9" t="s">
        <v>8690</v>
      </c>
      <c r="M124" s="9"/>
      <c r="N124" s="10"/>
      <c r="O124" s="9"/>
      <c r="P124" s="9">
        <v>1485</v>
      </c>
      <c r="Q124" s="9">
        <v>191.04347043007292</v>
      </c>
      <c r="R124" s="9"/>
      <c r="S124" s="9" t="s">
        <v>9321</v>
      </c>
      <c r="T124" s="9" t="s">
        <v>9321</v>
      </c>
      <c r="U124" s="9"/>
      <c r="V124" s="9"/>
      <c r="W124" s="9"/>
      <c r="X124" s="9"/>
      <c r="Y124" s="9"/>
      <c r="Z124" s="9"/>
      <c r="AA124" s="9"/>
      <c r="AB124" s="9"/>
      <c r="AC124" s="9"/>
      <c r="AD124" s="9"/>
    </row>
    <row r="125" spans="1:30" ht="29">
      <c r="A125" s="3" t="s">
        <v>555</v>
      </c>
      <c r="B125" s="3" t="s">
        <v>4802</v>
      </c>
      <c r="C125" s="3" t="s">
        <v>4803</v>
      </c>
      <c r="G125" s="9" t="s">
        <v>3889</v>
      </c>
      <c r="H125" s="9"/>
      <c r="I125" s="9">
        <v>1</v>
      </c>
      <c r="J125" s="9">
        <v>1</v>
      </c>
      <c r="K125" s="9" t="s">
        <v>8689</v>
      </c>
      <c r="L125" s="9" t="s">
        <v>8730</v>
      </c>
      <c r="M125" s="9"/>
      <c r="N125" s="10"/>
      <c r="O125" s="9"/>
      <c r="P125" s="9">
        <v>10929</v>
      </c>
      <c r="Q125" s="9">
        <v>1406.0027530843549</v>
      </c>
      <c r="R125" s="9"/>
      <c r="S125" s="9" t="s">
        <v>9321</v>
      </c>
      <c r="T125" s="9" t="s">
        <v>9321</v>
      </c>
      <c r="U125" s="9" t="s">
        <v>8728</v>
      </c>
      <c r="V125" s="9"/>
      <c r="W125" s="9"/>
      <c r="X125" s="9"/>
      <c r="Y125" s="9"/>
      <c r="Z125" s="9"/>
      <c r="AA125" s="9"/>
      <c r="AB125" s="9"/>
      <c r="AC125" s="9"/>
      <c r="AD125" s="9"/>
    </row>
    <row r="126" spans="1:30" ht="43.5">
      <c r="A126" s="3" t="s">
        <v>560</v>
      </c>
      <c r="B126" s="3" t="s">
        <v>4806</v>
      </c>
      <c r="C126" s="3" t="s">
        <v>4807</v>
      </c>
      <c r="G126" s="9" t="s">
        <v>3889</v>
      </c>
      <c r="H126" s="9"/>
      <c r="I126" s="9">
        <v>1</v>
      </c>
      <c r="J126" s="9">
        <v>5</v>
      </c>
      <c r="K126" s="9" t="s">
        <v>8705</v>
      </c>
      <c r="L126" s="9" t="s">
        <v>8690</v>
      </c>
      <c r="M126" s="9"/>
      <c r="N126" s="10"/>
      <c r="O126" s="9"/>
      <c r="P126" s="9">
        <v>3678</v>
      </c>
      <c r="Q126" s="9">
        <v>473.17029241872609</v>
      </c>
      <c r="R126" s="9"/>
      <c r="S126" s="9" t="s">
        <v>9321</v>
      </c>
      <c r="T126" s="9" t="s">
        <v>9321</v>
      </c>
      <c r="U126" s="9"/>
      <c r="V126" s="9"/>
      <c r="W126" s="9"/>
      <c r="X126" s="9"/>
      <c r="Y126" s="9"/>
      <c r="Z126" s="9"/>
      <c r="AA126" s="9"/>
      <c r="AB126" s="9"/>
      <c r="AC126" s="9"/>
      <c r="AD126" s="9"/>
    </row>
    <row r="127" spans="1:30" ht="43.5">
      <c r="A127" s="3" t="s">
        <v>560</v>
      </c>
      <c r="B127" s="3" t="s">
        <v>4808</v>
      </c>
      <c r="C127" s="3" t="s">
        <v>4813</v>
      </c>
      <c r="F127" t="s">
        <v>3884</v>
      </c>
      <c r="G127" s="9" t="s">
        <v>3885</v>
      </c>
      <c r="H127" s="9"/>
      <c r="I127" s="9">
        <v>1</v>
      </c>
      <c r="J127" s="9">
        <v>3</v>
      </c>
      <c r="K127" s="9" t="s">
        <v>8698</v>
      </c>
      <c r="L127" s="9" t="s">
        <v>8690</v>
      </c>
      <c r="M127" s="9"/>
      <c r="N127" s="10"/>
      <c r="O127" s="9"/>
      <c r="P127" s="9">
        <v>653</v>
      </c>
      <c r="Q127" s="9">
        <v>84.007667468577537</v>
      </c>
      <c r="R127" s="9"/>
      <c r="S127" s="9" t="s">
        <v>9321</v>
      </c>
      <c r="T127" s="9" t="s">
        <v>9321</v>
      </c>
      <c r="U127" s="9"/>
      <c r="V127" s="9"/>
      <c r="W127" s="9"/>
      <c r="X127" s="9"/>
      <c r="Y127" s="9"/>
      <c r="Z127" s="9"/>
      <c r="AA127" s="9"/>
      <c r="AB127" s="9"/>
      <c r="AC127" s="9"/>
      <c r="AD127" s="9"/>
    </row>
    <row r="128" spans="1:30" ht="43.5">
      <c r="A128" s="3" t="s">
        <v>560</v>
      </c>
      <c r="B128" s="3" t="s">
        <v>4815</v>
      </c>
      <c r="C128" s="3" t="s">
        <v>4816</v>
      </c>
      <c r="G128" s="9" t="s">
        <v>3889</v>
      </c>
      <c r="H128" s="9"/>
      <c r="I128" s="9">
        <v>1</v>
      </c>
      <c r="J128" s="9">
        <v>4</v>
      </c>
      <c r="K128" s="9" t="s">
        <v>8705</v>
      </c>
      <c r="L128" s="9" t="s">
        <v>8690</v>
      </c>
      <c r="M128" s="9"/>
      <c r="N128" s="10"/>
      <c r="O128" s="9"/>
      <c r="P128" s="9">
        <v>3678</v>
      </c>
      <c r="Q128" s="9">
        <v>473.17029241872609</v>
      </c>
      <c r="R128" s="9"/>
      <c r="S128" s="9" t="s">
        <v>9321</v>
      </c>
      <c r="T128" s="9" t="s">
        <v>9321</v>
      </c>
      <c r="U128" s="9"/>
      <c r="V128" s="9"/>
      <c r="W128" s="9"/>
      <c r="X128" s="9"/>
      <c r="Y128" s="9"/>
      <c r="Z128" s="9"/>
      <c r="AA128" s="9"/>
      <c r="AB128" s="9"/>
      <c r="AC128" s="9"/>
      <c r="AD128" s="9"/>
    </row>
    <row r="129" spans="1:30" ht="29">
      <c r="A129" s="3" t="s">
        <v>564</v>
      </c>
      <c r="B129" t="s">
        <v>4569</v>
      </c>
      <c r="C129" t="s">
        <v>4570</v>
      </c>
      <c r="G129" s="9" t="s">
        <v>3885</v>
      </c>
      <c r="H129" s="9"/>
      <c r="I129" s="9">
        <v>1</v>
      </c>
      <c r="J129" s="9">
        <v>3</v>
      </c>
      <c r="K129" s="9" t="s">
        <v>8689</v>
      </c>
      <c r="L129" s="9" t="s">
        <v>8690</v>
      </c>
      <c r="M129" s="9"/>
      <c r="N129" s="10"/>
      <c r="O129" s="9"/>
      <c r="P129" s="9">
        <v>10929</v>
      </c>
      <c r="Q129" s="9">
        <v>1406.0027530843549</v>
      </c>
      <c r="R129" s="9"/>
      <c r="S129" s="9" t="s">
        <v>9321</v>
      </c>
      <c r="T129" s="9" t="s">
        <v>9321</v>
      </c>
      <c r="U129" s="9"/>
      <c r="V129" s="9"/>
      <c r="W129" s="9"/>
      <c r="X129" s="9"/>
      <c r="Y129" s="9"/>
      <c r="Z129" s="9"/>
      <c r="AA129" s="9"/>
      <c r="AB129" s="9"/>
      <c r="AC129" s="9"/>
      <c r="AD129" s="9"/>
    </row>
    <row r="130" spans="1:30" ht="58">
      <c r="A130" s="3" t="s">
        <v>566</v>
      </c>
      <c r="B130" s="3" t="s">
        <v>4831</v>
      </c>
      <c r="C130" s="3" t="s">
        <v>4830</v>
      </c>
      <c r="F130" t="s">
        <v>3884</v>
      </c>
      <c r="G130" s="9" t="s">
        <v>3889</v>
      </c>
      <c r="H130" s="9"/>
      <c r="I130" s="9">
        <v>1</v>
      </c>
      <c r="J130" s="9">
        <v>3</v>
      </c>
      <c r="K130" s="9" t="s">
        <v>8689</v>
      </c>
      <c r="L130" s="9" t="s">
        <v>8684</v>
      </c>
      <c r="M130" s="9" t="s">
        <v>8771</v>
      </c>
      <c r="N130" s="10" t="s">
        <v>8778</v>
      </c>
      <c r="O130" s="9"/>
      <c r="P130" s="9">
        <v>10929</v>
      </c>
      <c r="Q130" s="9">
        <v>1406.0027530843549</v>
      </c>
      <c r="R130" s="9"/>
      <c r="S130" s="9" t="s">
        <v>9321</v>
      </c>
      <c r="T130" s="9" t="s">
        <v>9321</v>
      </c>
      <c r="U130" s="9"/>
      <c r="V130" s="9"/>
      <c r="W130" s="9"/>
      <c r="X130" s="9"/>
      <c r="Y130" s="9"/>
      <c r="Z130" s="9"/>
      <c r="AA130" s="9"/>
      <c r="AB130" s="9"/>
      <c r="AC130" s="9"/>
      <c r="AD130" s="9"/>
    </row>
    <row r="131" spans="1:30" ht="29">
      <c r="A131" s="3" t="s">
        <v>577</v>
      </c>
      <c r="B131" s="3" t="s">
        <v>4850</v>
      </c>
      <c r="C131" s="3" t="s">
        <v>4851</v>
      </c>
      <c r="G131" s="9" t="s">
        <v>3885</v>
      </c>
      <c r="H131" s="9"/>
      <c r="I131" s="9">
        <v>1</v>
      </c>
      <c r="J131" s="9">
        <v>2</v>
      </c>
      <c r="K131" s="9" t="s">
        <v>8689</v>
      </c>
      <c r="L131" s="9" t="s">
        <v>8730</v>
      </c>
      <c r="M131" s="9"/>
      <c r="N131" s="10"/>
      <c r="O131" s="9"/>
      <c r="P131" s="9">
        <v>10929</v>
      </c>
      <c r="Q131" s="9">
        <v>1406.0027530843549</v>
      </c>
      <c r="R131" s="9"/>
      <c r="S131" s="9" t="s">
        <v>9321</v>
      </c>
      <c r="T131" s="9" t="s">
        <v>9321</v>
      </c>
      <c r="U131" s="9"/>
      <c r="V131" s="9"/>
      <c r="W131" s="9"/>
      <c r="X131" s="9"/>
      <c r="Y131" s="9"/>
      <c r="Z131" s="9"/>
      <c r="AA131" s="9"/>
      <c r="AB131" s="9"/>
      <c r="AC131" s="9"/>
      <c r="AD131" s="9"/>
    </row>
    <row r="132" spans="1:30" ht="43.5">
      <c r="A132" s="3" t="s">
        <v>590</v>
      </c>
      <c r="B132" s="3" t="s">
        <v>4870</v>
      </c>
      <c r="C132" s="3" t="s">
        <v>4871</v>
      </c>
      <c r="G132" s="9" t="s">
        <v>3885</v>
      </c>
      <c r="H132" s="9"/>
      <c r="I132" s="9">
        <v>1</v>
      </c>
      <c r="J132" s="9">
        <v>2</v>
      </c>
      <c r="K132" s="9" t="s">
        <v>8689</v>
      </c>
      <c r="L132" s="9" t="s">
        <v>8730</v>
      </c>
      <c r="M132" s="9"/>
      <c r="N132" s="10"/>
      <c r="O132" s="9"/>
      <c r="P132" s="9">
        <v>10929</v>
      </c>
      <c r="Q132" s="9">
        <v>1406.0027530843549</v>
      </c>
      <c r="R132" s="9"/>
      <c r="S132" s="9" t="s">
        <v>9321</v>
      </c>
      <c r="T132" s="9" t="s">
        <v>9321</v>
      </c>
      <c r="U132" s="9"/>
      <c r="V132" s="9"/>
      <c r="W132" s="9"/>
      <c r="X132" s="9"/>
      <c r="Y132" s="9"/>
      <c r="Z132" s="9"/>
      <c r="AA132" s="9"/>
      <c r="AB132" s="9"/>
      <c r="AC132" s="9"/>
      <c r="AD132" s="9"/>
    </row>
    <row r="133" spans="1:30" ht="43.5">
      <c r="A133" s="3" t="s">
        <v>591</v>
      </c>
      <c r="B133" s="3" t="s">
        <v>4872</v>
      </c>
      <c r="C133" s="3" t="s">
        <v>4875</v>
      </c>
      <c r="F133" t="s">
        <v>3884</v>
      </c>
      <c r="G133" s="9" t="s">
        <v>3885</v>
      </c>
      <c r="H133" s="9"/>
      <c r="I133" s="9">
        <v>1</v>
      </c>
      <c r="J133" s="9">
        <v>1</v>
      </c>
      <c r="K133" s="9" t="s">
        <v>8689</v>
      </c>
      <c r="L133" s="9" t="s">
        <v>8730</v>
      </c>
      <c r="M133" s="9"/>
      <c r="N133" s="10"/>
      <c r="O133" s="9"/>
      <c r="P133" s="9">
        <v>10929</v>
      </c>
      <c r="Q133" s="9">
        <v>1406.0027530843549</v>
      </c>
      <c r="R133" s="9"/>
      <c r="S133" s="9" t="s">
        <v>9321</v>
      </c>
      <c r="T133" s="9" t="s">
        <v>9321</v>
      </c>
      <c r="U133" s="9"/>
      <c r="V133" s="9"/>
      <c r="W133" s="9"/>
      <c r="X133" s="9"/>
      <c r="Y133" s="9"/>
      <c r="Z133" s="9"/>
      <c r="AA133" s="9"/>
      <c r="AB133" s="9"/>
      <c r="AC133" s="9"/>
      <c r="AD133" s="9"/>
    </row>
    <row r="134" spans="1:30" ht="29">
      <c r="A134" s="3" t="s">
        <v>594</v>
      </c>
      <c r="B134" s="3" t="s">
        <v>4878</v>
      </c>
      <c r="C134" s="3" t="s">
        <v>4879</v>
      </c>
      <c r="G134" s="9" t="s">
        <v>3889</v>
      </c>
      <c r="H134" s="9"/>
      <c r="I134" s="9">
        <v>1</v>
      </c>
      <c r="J134" s="9">
        <v>2</v>
      </c>
      <c r="K134" s="9" t="s">
        <v>8689</v>
      </c>
      <c r="L134" s="9" t="s">
        <v>8730</v>
      </c>
      <c r="M134" s="9"/>
      <c r="N134" s="10"/>
      <c r="O134" s="9"/>
      <c r="P134" s="9">
        <v>10929</v>
      </c>
      <c r="Q134" s="9">
        <v>1406.0027530843549</v>
      </c>
      <c r="R134" s="9"/>
      <c r="S134" s="9" t="s">
        <v>9321</v>
      </c>
      <c r="T134" s="9" t="s">
        <v>9321</v>
      </c>
      <c r="U134" s="9"/>
      <c r="V134" s="9"/>
      <c r="W134" s="9"/>
      <c r="X134" s="9"/>
      <c r="Y134" s="9"/>
      <c r="Z134" s="9"/>
      <c r="AA134" s="9"/>
      <c r="AB134" s="9"/>
      <c r="AC134" s="9"/>
      <c r="AD134" s="9"/>
    </row>
    <row r="135" spans="1:30" ht="29">
      <c r="A135" s="3" t="s">
        <v>598</v>
      </c>
      <c r="B135" t="s">
        <v>4886</v>
      </c>
      <c r="C135" t="s">
        <v>4887</v>
      </c>
      <c r="F135" t="s">
        <v>3884</v>
      </c>
      <c r="G135" s="9" t="s">
        <v>3885</v>
      </c>
      <c r="H135" s="9"/>
      <c r="I135" s="9">
        <v>1</v>
      </c>
      <c r="J135" s="9">
        <v>2</v>
      </c>
      <c r="K135" s="9" t="s">
        <v>8689</v>
      </c>
      <c r="L135" s="9" t="s">
        <v>8730</v>
      </c>
      <c r="M135" s="9"/>
      <c r="N135" s="10"/>
      <c r="O135" s="9"/>
      <c r="P135" s="9">
        <v>10929</v>
      </c>
      <c r="Q135" s="9">
        <v>1406.0027530843549</v>
      </c>
      <c r="R135" s="9"/>
      <c r="S135" s="9" t="s">
        <v>9321</v>
      </c>
      <c r="T135" s="9" t="s">
        <v>9321</v>
      </c>
      <c r="U135" s="9"/>
      <c r="V135" s="9"/>
      <c r="W135" s="9"/>
      <c r="X135" s="9"/>
      <c r="Y135" s="9"/>
      <c r="Z135" s="9"/>
      <c r="AA135" s="9"/>
      <c r="AB135" s="9"/>
      <c r="AC135" s="9"/>
      <c r="AD135" s="9"/>
    </row>
    <row r="136" spans="1:30" ht="43.5">
      <c r="A136" s="3" t="s">
        <v>603</v>
      </c>
      <c r="B136" s="3" t="s">
        <v>4899</v>
      </c>
      <c r="C136" s="3" t="s">
        <v>4900</v>
      </c>
      <c r="G136" s="9" t="s">
        <v>3889</v>
      </c>
      <c r="H136" s="9"/>
      <c r="I136" s="9">
        <v>1</v>
      </c>
      <c r="J136" s="9">
        <v>3</v>
      </c>
      <c r="K136" s="9" t="s">
        <v>8689</v>
      </c>
      <c r="L136" s="9" t="s">
        <v>8690</v>
      </c>
      <c r="M136" s="9"/>
      <c r="N136" s="10"/>
      <c r="O136" s="9"/>
      <c r="P136" s="9">
        <v>10929</v>
      </c>
      <c r="Q136" s="9">
        <v>1406.0027530843549</v>
      </c>
      <c r="R136" s="9"/>
      <c r="S136" s="9" t="s">
        <v>9321</v>
      </c>
      <c r="T136" s="9" t="s">
        <v>9321</v>
      </c>
      <c r="U136" s="9"/>
      <c r="V136" s="9"/>
      <c r="W136" s="9"/>
      <c r="X136" s="9"/>
      <c r="Y136" s="9"/>
      <c r="Z136" s="9"/>
      <c r="AA136" s="9"/>
      <c r="AB136" s="9"/>
      <c r="AC136" s="9"/>
      <c r="AD136" s="9"/>
    </row>
    <row r="137" spans="1:30" ht="43.5">
      <c r="A137" s="3" t="s">
        <v>604</v>
      </c>
      <c r="B137" s="3" t="s">
        <v>4901</v>
      </c>
      <c r="C137" s="3" t="s">
        <v>4902</v>
      </c>
      <c r="F137" t="s">
        <v>3884</v>
      </c>
      <c r="G137" s="9" t="s">
        <v>3885</v>
      </c>
      <c r="H137" s="9"/>
      <c r="I137" s="9">
        <v>1</v>
      </c>
      <c r="J137" s="9">
        <v>3</v>
      </c>
      <c r="K137" s="9" t="s">
        <v>8698</v>
      </c>
      <c r="L137" s="9" t="s">
        <v>8690</v>
      </c>
      <c r="M137" s="9"/>
      <c r="N137" s="10"/>
      <c r="O137" s="9"/>
      <c r="P137" s="9">
        <v>9418</v>
      </c>
      <c r="Q137" s="9">
        <v>1211.6144138117354</v>
      </c>
      <c r="R137" s="9"/>
      <c r="S137" s="9" t="s">
        <v>9321</v>
      </c>
      <c r="T137" s="9" t="s">
        <v>9321</v>
      </c>
      <c r="U137" s="9"/>
      <c r="V137" s="9"/>
      <c r="W137" s="9"/>
      <c r="X137" s="9"/>
      <c r="Y137" s="9"/>
      <c r="Z137" s="9"/>
      <c r="AA137" s="9"/>
      <c r="AB137" s="9"/>
      <c r="AC137" s="9"/>
      <c r="AD137" s="9"/>
    </row>
    <row r="138" spans="1:30" ht="43.5">
      <c r="A138" s="3" t="s">
        <v>605</v>
      </c>
      <c r="B138" s="3" t="s">
        <v>4903</v>
      </c>
      <c r="C138" s="3" t="s">
        <v>4904</v>
      </c>
      <c r="G138" s="9" t="s">
        <v>3885</v>
      </c>
      <c r="H138" s="9"/>
      <c r="I138" s="9">
        <v>1</v>
      </c>
      <c r="J138" s="9">
        <v>2</v>
      </c>
      <c r="K138" s="9" t="s">
        <v>8707</v>
      </c>
      <c r="L138" s="9" t="s">
        <v>8730</v>
      </c>
      <c r="M138" s="9"/>
      <c r="N138" s="10"/>
      <c r="O138" s="9"/>
      <c r="P138" s="9">
        <v>1942</v>
      </c>
      <c r="Q138" s="9">
        <v>249.83597277791355</v>
      </c>
      <c r="R138" s="9"/>
      <c r="S138" s="9" t="s">
        <v>9321</v>
      </c>
      <c r="T138" s="9" t="s">
        <v>9321</v>
      </c>
      <c r="U138" s="9"/>
      <c r="V138" s="9"/>
      <c r="W138" s="9"/>
      <c r="X138" s="9"/>
      <c r="Y138" s="9"/>
      <c r="Z138" s="9"/>
      <c r="AA138" s="9"/>
      <c r="AB138" s="9"/>
      <c r="AC138" s="9"/>
      <c r="AD138" s="9"/>
    </row>
    <row r="139" spans="1:30" ht="130.5">
      <c r="A139" s="3" t="s">
        <v>611</v>
      </c>
      <c r="B139" s="3" t="s">
        <v>4907</v>
      </c>
      <c r="C139" s="3" t="s">
        <v>4909</v>
      </c>
      <c r="F139" t="s">
        <v>3884</v>
      </c>
      <c r="G139" s="9" t="s">
        <v>3885</v>
      </c>
      <c r="H139" s="9"/>
      <c r="I139" s="9">
        <v>1</v>
      </c>
      <c r="J139" s="9">
        <v>2</v>
      </c>
      <c r="K139" s="9" t="s">
        <v>8705</v>
      </c>
      <c r="L139" s="9" t="s">
        <v>8730</v>
      </c>
      <c r="M139" s="9"/>
      <c r="N139" s="10"/>
      <c r="O139" s="9"/>
      <c r="P139" s="9">
        <v>615</v>
      </c>
      <c r="Q139" s="9">
        <v>79.119013006393843</v>
      </c>
      <c r="R139" s="9"/>
      <c r="S139" s="9" t="s">
        <v>9321</v>
      </c>
      <c r="T139" s="9" t="s">
        <v>9321</v>
      </c>
      <c r="U139" s="9"/>
      <c r="V139" s="9"/>
      <c r="W139" s="9"/>
      <c r="X139" s="9"/>
      <c r="Y139" s="9"/>
      <c r="Z139" s="9"/>
      <c r="AA139" s="9"/>
      <c r="AB139" s="9"/>
      <c r="AC139" s="9"/>
      <c r="AD139" s="9"/>
    </row>
    <row r="140" spans="1:30" ht="72.5">
      <c r="A140" s="3" t="s">
        <v>627</v>
      </c>
      <c r="B140" s="3" t="s">
        <v>8996</v>
      </c>
      <c r="C140" s="3" t="s">
        <v>8997</v>
      </c>
      <c r="F140" t="s">
        <v>3884</v>
      </c>
      <c r="G140" s="9" t="s">
        <v>3885</v>
      </c>
      <c r="H140" s="9"/>
      <c r="I140" s="9">
        <v>1</v>
      </c>
      <c r="J140" s="9">
        <v>2</v>
      </c>
      <c r="K140" s="9" t="s">
        <v>8705</v>
      </c>
      <c r="L140" s="9" t="s">
        <v>8730</v>
      </c>
      <c r="M140" s="9"/>
      <c r="N140" s="10"/>
      <c r="O140" s="9" t="s">
        <v>8685</v>
      </c>
      <c r="P140" s="9">
        <v>615</v>
      </c>
      <c r="Q140" s="9">
        <v>79.119013006393843</v>
      </c>
      <c r="R140" s="9"/>
      <c r="S140" s="9" t="s">
        <v>9321</v>
      </c>
      <c r="T140" s="9" t="s">
        <v>9321</v>
      </c>
      <c r="U140" s="9"/>
      <c r="V140" s="9"/>
      <c r="W140" s="9"/>
      <c r="X140" s="9"/>
      <c r="Y140" s="9"/>
      <c r="Z140" s="9"/>
      <c r="AA140" s="9"/>
      <c r="AB140" s="9"/>
      <c r="AC140" s="9"/>
      <c r="AD140" s="9"/>
    </row>
    <row r="141" spans="1:30" ht="43.5">
      <c r="A141" s="3" t="s">
        <v>631</v>
      </c>
      <c r="B141" s="3" t="s">
        <v>4936</v>
      </c>
      <c r="C141" s="3" t="s">
        <v>4937</v>
      </c>
      <c r="F141" t="s">
        <v>3884</v>
      </c>
      <c r="G141" s="9" t="s">
        <v>3889</v>
      </c>
      <c r="H141" s="9"/>
      <c r="I141" s="9">
        <v>1</v>
      </c>
      <c r="J141" s="9">
        <v>3</v>
      </c>
      <c r="K141" s="9" t="s">
        <v>8689</v>
      </c>
      <c r="L141" s="9" t="s">
        <v>8690</v>
      </c>
      <c r="M141" s="9"/>
      <c r="N141" s="10"/>
      <c r="O141" s="9"/>
      <c r="P141" s="9">
        <v>10929</v>
      </c>
      <c r="Q141" s="9">
        <v>1406.0027530843549</v>
      </c>
      <c r="R141" s="9"/>
      <c r="S141" s="9" t="s">
        <v>9321</v>
      </c>
      <c r="T141" s="9" t="s">
        <v>9321</v>
      </c>
      <c r="U141" s="9"/>
      <c r="V141" s="9"/>
      <c r="W141" s="9"/>
      <c r="X141" s="9"/>
      <c r="Y141" s="9"/>
      <c r="Z141" s="9"/>
      <c r="AA141" s="9"/>
      <c r="AB141" s="9"/>
      <c r="AC141" s="9"/>
      <c r="AD141" s="9"/>
    </row>
    <row r="142" spans="1:30" ht="43.5">
      <c r="A142" s="3" t="s">
        <v>634</v>
      </c>
      <c r="B142" s="3" t="s">
        <v>2904</v>
      </c>
      <c r="C142" s="3" t="s">
        <v>9611</v>
      </c>
      <c r="G142" s="9" t="s">
        <v>3885</v>
      </c>
      <c r="H142" s="9"/>
      <c r="I142" s="9">
        <v>1</v>
      </c>
      <c r="J142" s="9">
        <v>3</v>
      </c>
      <c r="K142" s="9" t="s">
        <v>8689</v>
      </c>
      <c r="L142" s="9" t="s">
        <v>8690</v>
      </c>
      <c r="M142" s="9"/>
      <c r="N142" s="10"/>
      <c r="O142" s="9"/>
      <c r="P142" s="9">
        <v>10929</v>
      </c>
      <c r="Q142" s="9">
        <v>1406.0027530843549</v>
      </c>
      <c r="R142" s="9"/>
      <c r="S142" s="9" t="s">
        <v>9321</v>
      </c>
      <c r="T142" s="9" t="s">
        <v>9321</v>
      </c>
      <c r="U142" s="9"/>
      <c r="V142" s="9"/>
      <c r="W142" s="9"/>
      <c r="X142" s="9"/>
      <c r="Y142" s="9"/>
      <c r="Z142" s="9"/>
      <c r="AA142" s="9"/>
      <c r="AB142" s="9"/>
      <c r="AC142" s="9"/>
      <c r="AD142" s="9"/>
    </row>
    <row r="143" spans="1:30" ht="43.5">
      <c r="A143" s="3" t="s">
        <v>640</v>
      </c>
      <c r="B143" s="3" t="s">
        <v>4962</v>
      </c>
      <c r="C143" s="3" t="s">
        <v>4963</v>
      </c>
      <c r="G143" s="9" t="s">
        <v>3889</v>
      </c>
      <c r="H143" s="9"/>
      <c r="I143" s="9">
        <v>1</v>
      </c>
      <c r="J143" s="9">
        <v>4</v>
      </c>
      <c r="K143" s="9" t="s">
        <v>8710</v>
      </c>
      <c r="L143" s="9" t="s">
        <v>8690</v>
      </c>
      <c r="M143" s="9"/>
      <c r="N143" s="10"/>
      <c r="O143" s="9"/>
      <c r="P143" s="9">
        <v>266</v>
      </c>
      <c r="Q143" s="9">
        <v>34.220581235285792</v>
      </c>
      <c r="R143" s="9"/>
      <c r="S143" s="9" t="s">
        <v>9321</v>
      </c>
      <c r="T143" s="9" t="s">
        <v>9321</v>
      </c>
      <c r="U143" s="9"/>
      <c r="V143" s="9"/>
      <c r="W143" s="9"/>
      <c r="X143" s="9"/>
      <c r="Y143" s="9"/>
      <c r="Z143" s="9"/>
      <c r="AA143" s="9"/>
      <c r="AB143" s="9"/>
      <c r="AC143" s="9"/>
      <c r="AD143" s="9"/>
    </row>
    <row r="144" spans="1:30" ht="43.5">
      <c r="A144" s="3" t="s">
        <v>642</v>
      </c>
      <c r="B144" s="3" t="s">
        <v>4972</v>
      </c>
      <c r="C144" s="3" t="s">
        <v>4973</v>
      </c>
      <c r="G144" s="9" t="s">
        <v>3889</v>
      </c>
      <c r="H144" s="9"/>
      <c r="I144" s="9">
        <v>1</v>
      </c>
      <c r="J144" s="9">
        <v>3</v>
      </c>
      <c r="K144" s="9" t="s">
        <v>8689</v>
      </c>
      <c r="L144" s="9" t="s">
        <v>8690</v>
      </c>
      <c r="M144" s="9"/>
      <c r="N144" s="10"/>
      <c r="O144" s="9"/>
      <c r="P144" s="9">
        <v>10929</v>
      </c>
      <c r="Q144" s="9">
        <v>1406.0027530843549</v>
      </c>
      <c r="R144" s="9"/>
      <c r="S144" s="9" t="s">
        <v>9321</v>
      </c>
      <c r="T144" s="9" t="s">
        <v>9321</v>
      </c>
      <c r="U144" s="9"/>
      <c r="V144" s="9"/>
      <c r="W144" s="9"/>
      <c r="X144" s="9"/>
      <c r="Y144" s="9"/>
      <c r="Z144" s="9"/>
      <c r="AA144" s="9"/>
      <c r="AB144" s="9"/>
      <c r="AC144" s="9"/>
      <c r="AD144" s="9"/>
    </row>
    <row r="145" spans="1:30" ht="29">
      <c r="A145" s="3" t="s">
        <v>642</v>
      </c>
      <c r="B145" s="3" t="s">
        <v>4974</v>
      </c>
      <c r="C145" s="3" t="s">
        <v>4975</v>
      </c>
      <c r="G145" s="9" t="s">
        <v>3889</v>
      </c>
      <c r="H145" s="9"/>
      <c r="I145" s="9">
        <v>1</v>
      </c>
      <c r="J145" s="9">
        <v>1</v>
      </c>
      <c r="K145" s="9" t="s">
        <v>8689</v>
      </c>
      <c r="L145" s="9" t="s">
        <v>8730</v>
      </c>
      <c r="M145" s="9"/>
      <c r="N145" s="10"/>
      <c r="O145" s="9" t="s">
        <v>8685</v>
      </c>
      <c r="P145" s="9">
        <v>10929</v>
      </c>
      <c r="Q145" s="9">
        <v>1406.0027530843549</v>
      </c>
      <c r="R145" s="9"/>
      <c r="S145" s="9" t="s">
        <v>9321</v>
      </c>
      <c r="T145" s="9" t="s">
        <v>9321</v>
      </c>
      <c r="U145" s="9"/>
      <c r="V145" s="9"/>
      <c r="W145" s="9"/>
      <c r="X145" s="9"/>
      <c r="Y145" s="9"/>
      <c r="Z145" s="9"/>
      <c r="AA145" s="9"/>
      <c r="AB145" s="9"/>
      <c r="AC145" s="9"/>
      <c r="AD145" s="9"/>
    </row>
    <row r="146" spans="1:30" ht="29">
      <c r="A146" s="3" t="s">
        <v>647</v>
      </c>
      <c r="B146" s="3" t="s">
        <v>4982</v>
      </c>
      <c r="C146" s="3" t="s">
        <v>4983</v>
      </c>
      <c r="G146" s="9" t="s">
        <v>3885</v>
      </c>
      <c r="H146" s="9"/>
      <c r="I146" s="9">
        <v>1</v>
      </c>
      <c r="J146" s="9">
        <v>2</v>
      </c>
      <c r="K146" s="9" t="s">
        <v>8689</v>
      </c>
      <c r="L146" s="9" t="s">
        <v>8730</v>
      </c>
      <c r="M146" s="9"/>
      <c r="N146" s="10"/>
      <c r="O146" s="9" t="s">
        <v>8685</v>
      </c>
      <c r="P146" s="9">
        <v>10929</v>
      </c>
      <c r="Q146" s="9">
        <v>1406.0027530843549</v>
      </c>
      <c r="R146" s="9"/>
      <c r="S146" s="9" t="s">
        <v>9321</v>
      </c>
      <c r="T146" s="9" t="s">
        <v>9321</v>
      </c>
      <c r="U146" s="9"/>
      <c r="V146" s="9"/>
      <c r="W146" s="9"/>
      <c r="X146" s="9"/>
      <c r="Y146" s="9"/>
      <c r="Z146" s="9"/>
      <c r="AA146" s="9"/>
      <c r="AB146" s="9"/>
      <c r="AC146" s="9"/>
      <c r="AD146" s="9"/>
    </row>
    <row r="147" spans="1:30" ht="43.5">
      <c r="A147" s="3" t="s">
        <v>653</v>
      </c>
      <c r="B147" s="3" t="s">
        <v>4994</v>
      </c>
      <c r="C147" s="3" t="s">
        <v>4993</v>
      </c>
      <c r="F147" t="s">
        <v>3884</v>
      </c>
      <c r="G147" s="9" t="s">
        <v>3889</v>
      </c>
      <c r="H147" s="9"/>
      <c r="I147" s="9">
        <v>1</v>
      </c>
      <c r="J147" s="9">
        <v>1</v>
      </c>
      <c r="K147" s="9" t="s">
        <v>8689</v>
      </c>
      <c r="L147" s="9" t="s">
        <v>8730</v>
      </c>
      <c r="M147" s="9"/>
      <c r="N147" s="10"/>
      <c r="O147" s="9"/>
      <c r="P147" s="9">
        <v>10929</v>
      </c>
      <c r="Q147" s="9">
        <v>1406.0027530843549</v>
      </c>
      <c r="R147" s="9"/>
      <c r="S147" s="9" t="s">
        <v>9321</v>
      </c>
      <c r="T147" s="9" t="s">
        <v>9321</v>
      </c>
      <c r="U147" s="9"/>
      <c r="V147" s="9"/>
      <c r="W147" s="9"/>
      <c r="X147" s="9"/>
      <c r="Y147" s="9"/>
      <c r="Z147" s="9"/>
      <c r="AA147" s="9"/>
      <c r="AB147" s="9"/>
      <c r="AC147" s="9"/>
      <c r="AD147" s="9"/>
    </row>
    <row r="148" spans="1:30" ht="43.5">
      <c r="A148" s="3" t="s">
        <v>653</v>
      </c>
      <c r="B148" s="3" t="s">
        <v>4995</v>
      </c>
      <c r="C148" s="3" t="s">
        <v>4993</v>
      </c>
      <c r="F148" t="s">
        <v>3884</v>
      </c>
      <c r="G148" s="9" t="s">
        <v>3889</v>
      </c>
      <c r="H148" s="9"/>
      <c r="I148" s="9">
        <v>1</v>
      </c>
      <c r="J148" s="9">
        <v>3</v>
      </c>
      <c r="K148" s="9" t="s">
        <v>8689</v>
      </c>
      <c r="L148" s="9" t="s">
        <v>8690</v>
      </c>
      <c r="M148" s="9"/>
      <c r="N148" s="10"/>
      <c r="O148" s="9"/>
      <c r="P148" s="9">
        <v>10929</v>
      </c>
      <c r="Q148" s="9">
        <v>1406.0027530843549</v>
      </c>
      <c r="R148" s="9"/>
      <c r="S148" s="9" t="s">
        <v>9321</v>
      </c>
      <c r="T148" s="9" t="s">
        <v>9321</v>
      </c>
      <c r="U148" s="9"/>
      <c r="V148" s="9"/>
      <c r="W148" s="9"/>
      <c r="X148" s="9"/>
      <c r="Y148" s="9"/>
      <c r="Z148" s="9"/>
      <c r="AA148" s="9"/>
      <c r="AB148" s="9"/>
      <c r="AC148" s="9"/>
      <c r="AD148" s="9"/>
    </row>
    <row r="149" spans="1:30" ht="43.5">
      <c r="A149" s="3" t="s">
        <v>660</v>
      </c>
      <c r="B149" s="3" t="s">
        <v>5002</v>
      </c>
      <c r="C149" s="3" t="s">
        <v>5003</v>
      </c>
      <c r="F149" t="s">
        <v>3884</v>
      </c>
      <c r="G149" s="9" t="s">
        <v>3885</v>
      </c>
      <c r="H149" s="9"/>
      <c r="I149" s="9">
        <v>1</v>
      </c>
      <c r="J149" s="9">
        <v>2</v>
      </c>
      <c r="K149" s="9" t="s">
        <v>8689</v>
      </c>
      <c r="L149" s="9" t="s">
        <v>8730</v>
      </c>
      <c r="M149" s="9"/>
      <c r="N149" s="10"/>
      <c r="O149" s="9"/>
      <c r="P149" s="9">
        <v>10929</v>
      </c>
      <c r="Q149" s="9">
        <v>1406.0027530843549</v>
      </c>
      <c r="R149" s="9"/>
      <c r="S149" s="9" t="s">
        <v>9321</v>
      </c>
      <c r="T149" s="9" t="s">
        <v>9321</v>
      </c>
      <c r="U149" s="9"/>
      <c r="V149" s="9"/>
      <c r="W149" s="9"/>
      <c r="X149" s="9"/>
      <c r="Y149" s="9"/>
      <c r="Z149" s="9"/>
      <c r="AA149" s="9"/>
      <c r="AB149" s="9"/>
      <c r="AC149" s="9"/>
      <c r="AD149" s="9"/>
    </row>
    <row r="150" spans="1:30" ht="43.5">
      <c r="A150" s="3" t="s">
        <v>661</v>
      </c>
      <c r="B150" s="3" t="s">
        <v>5004</v>
      </c>
      <c r="C150" s="3" t="s">
        <v>5005</v>
      </c>
      <c r="G150" s="9" t="s">
        <v>3885</v>
      </c>
      <c r="H150" s="9"/>
      <c r="I150" s="9">
        <v>1</v>
      </c>
      <c r="J150" s="9">
        <v>2</v>
      </c>
      <c r="K150" s="9" t="s">
        <v>8707</v>
      </c>
      <c r="L150" s="9" t="s">
        <v>8730</v>
      </c>
      <c r="M150" s="9"/>
      <c r="N150" s="10"/>
      <c r="O150" s="9"/>
      <c r="P150" s="9">
        <v>329</v>
      </c>
      <c r="Q150" s="9">
        <v>42.325455738379794</v>
      </c>
      <c r="R150" s="9"/>
      <c r="S150" s="9" t="s">
        <v>9321</v>
      </c>
      <c r="T150" s="9" t="s">
        <v>9321</v>
      </c>
      <c r="U150" s="9"/>
      <c r="V150" s="9"/>
      <c r="W150" s="9"/>
      <c r="X150" s="9"/>
      <c r="Y150" s="9"/>
      <c r="Z150" s="9"/>
      <c r="AA150" s="9"/>
      <c r="AB150" s="9"/>
      <c r="AC150" s="9"/>
      <c r="AD150" s="9"/>
    </row>
    <row r="151" spans="1:30" ht="43.5">
      <c r="A151" s="3" t="s">
        <v>669</v>
      </c>
      <c r="B151" s="3" t="s">
        <v>5027</v>
      </c>
      <c r="C151" s="3" t="s">
        <v>5028</v>
      </c>
      <c r="F151" t="s">
        <v>3884</v>
      </c>
      <c r="G151" s="9" t="s">
        <v>3889</v>
      </c>
      <c r="H151" s="9"/>
      <c r="I151" s="9">
        <v>1</v>
      </c>
      <c r="J151" s="9">
        <v>3</v>
      </c>
      <c r="K151" s="9" t="s">
        <v>8689</v>
      </c>
      <c r="L151" s="9" t="s">
        <v>8690</v>
      </c>
      <c r="M151" s="9"/>
      <c r="N151" s="10"/>
      <c r="O151" s="9"/>
      <c r="P151" s="9">
        <v>10929</v>
      </c>
      <c r="Q151" s="9">
        <v>1406.0027530843549</v>
      </c>
      <c r="R151" s="9"/>
      <c r="S151" s="9" t="s">
        <v>9321</v>
      </c>
      <c r="T151" s="9" t="s">
        <v>9321</v>
      </c>
      <c r="U151" s="9"/>
      <c r="V151" s="9"/>
      <c r="W151" s="9"/>
      <c r="X151" s="9"/>
      <c r="Y151" s="9"/>
      <c r="Z151" s="9"/>
      <c r="AA151" s="9"/>
      <c r="AB151" s="9"/>
      <c r="AC151" s="9"/>
      <c r="AD151" s="9"/>
    </row>
    <row r="152" spans="1:30" ht="58">
      <c r="A152" s="3" t="s">
        <v>676</v>
      </c>
      <c r="B152" s="3" t="s">
        <v>5040</v>
      </c>
      <c r="C152" s="3" t="s">
        <v>5041</v>
      </c>
      <c r="F152" t="s">
        <v>3884</v>
      </c>
      <c r="G152" s="9" t="s">
        <v>3885</v>
      </c>
      <c r="H152" s="9"/>
      <c r="I152" s="9">
        <v>1</v>
      </c>
      <c r="J152" s="9">
        <v>3</v>
      </c>
      <c r="K152" s="9" t="s">
        <v>8698</v>
      </c>
      <c r="L152" s="9" t="s">
        <v>8690</v>
      </c>
      <c r="M152" s="9"/>
      <c r="N152" s="10"/>
      <c r="O152" s="9"/>
      <c r="P152" s="9">
        <v>9418</v>
      </c>
      <c r="Q152" s="9">
        <v>1211.6144138117354</v>
      </c>
      <c r="R152" s="9"/>
      <c r="S152" s="9" t="s">
        <v>9321</v>
      </c>
      <c r="T152" s="9" t="s">
        <v>9321</v>
      </c>
      <c r="U152" s="9"/>
      <c r="V152" s="9"/>
      <c r="W152" s="9"/>
      <c r="X152" s="9"/>
      <c r="Y152" s="9"/>
      <c r="Z152" s="9"/>
      <c r="AA152" s="9"/>
      <c r="AB152" s="9"/>
      <c r="AC152" s="9"/>
      <c r="AD152" s="9"/>
    </row>
    <row r="153" spans="1:30" ht="72.5">
      <c r="A153" s="3" t="s">
        <v>677</v>
      </c>
      <c r="B153" s="3" t="s">
        <v>5044</v>
      </c>
      <c r="C153" s="3" t="s">
        <v>5045</v>
      </c>
      <c r="G153" s="9" t="s">
        <v>3889</v>
      </c>
      <c r="H153" s="9"/>
      <c r="I153" s="9">
        <v>1</v>
      </c>
      <c r="J153" s="9">
        <v>3</v>
      </c>
      <c r="K153" s="9" t="s">
        <v>8689</v>
      </c>
      <c r="L153" s="9" t="s">
        <v>8684</v>
      </c>
      <c r="M153" s="9" t="s">
        <v>8777</v>
      </c>
      <c r="N153" s="10" t="s">
        <v>8778</v>
      </c>
      <c r="O153" s="9" t="s">
        <v>8685</v>
      </c>
      <c r="P153" s="9">
        <v>10929</v>
      </c>
      <c r="Q153" s="9">
        <v>1406.0027530843549</v>
      </c>
      <c r="R153" s="9"/>
      <c r="S153" s="9" t="s">
        <v>9321</v>
      </c>
      <c r="T153" s="9" t="s">
        <v>9321</v>
      </c>
      <c r="U153" s="9"/>
      <c r="V153" s="9"/>
      <c r="W153" s="9"/>
      <c r="X153" s="9"/>
      <c r="Y153" s="9"/>
      <c r="Z153" s="9"/>
      <c r="AA153" s="9"/>
      <c r="AB153" s="9"/>
      <c r="AC153" s="9"/>
      <c r="AD153" s="9"/>
    </row>
    <row r="154" spans="1:30" ht="29">
      <c r="A154" s="3" t="s">
        <v>680</v>
      </c>
      <c r="B154" s="3" t="s">
        <v>5051</v>
      </c>
      <c r="C154" s="3" t="s">
        <v>5052</v>
      </c>
      <c r="F154" t="s">
        <v>3884</v>
      </c>
      <c r="G154" s="9" t="s">
        <v>3889</v>
      </c>
      <c r="H154" s="9"/>
      <c r="I154" s="9">
        <v>1</v>
      </c>
      <c r="J154" s="9">
        <v>3</v>
      </c>
      <c r="K154" s="9" t="s">
        <v>8689</v>
      </c>
      <c r="L154" s="9" t="s">
        <v>8690</v>
      </c>
      <c r="M154" s="9"/>
      <c r="N154" s="10"/>
      <c r="O154" s="9"/>
      <c r="P154" s="9">
        <v>10929</v>
      </c>
      <c r="Q154" s="9">
        <v>1406.0027530843549</v>
      </c>
      <c r="R154" s="9"/>
      <c r="S154" s="9" t="s">
        <v>9321</v>
      </c>
      <c r="T154" s="9" t="s">
        <v>9321</v>
      </c>
      <c r="U154" s="9"/>
      <c r="V154" s="9"/>
      <c r="W154" s="9"/>
      <c r="X154" s="9"/>
      <c r="Y154" s="9"/>
      <c r="Z154" s="9"/>
      <c r="AA154" s="9"/>
      <c r="AB154" s="9"/>
      <c r="AC154" s="9"/>
      <c r="AD154" s="9"/>
    </row>
    <row r="155" spans="1:30" ht="58">
      <c r="A155" s="3" t="s">
        <v>681</v>
      </c>
      <c r="B155" s="3" t="s">
        <v>5057</v>
      </c>
      <c r="C155" s="3" t="s">
        <v>9615</v>
      </c>
      <c r="G155" s="9" t="s">
        <v>3885</v>
      </c>
      <c r="H155" s="9"/>
      <c r="I155" s="9">
        <v>1</v>
      </c>
      <c r="J155" s="9">
        <v>3</v>
      </c>
      <c r="K155" s="9" t="s">
        <v>8689</v>
      </c>
      <c r="L155" s="9" t="s">
        <v>8690</v>
      </c>
      <c r="M155" s="9"/>
      <c r="N155" s="10"/>
      <c r="O155" s="9"/>
      <c r="P155" s="9">
        <v>10929</v>
      </c>
      <c r="Q155" s="9">
        <v>1406.0027530843549</v>
      </c>
      <c r="R155" s="9"/>
      <c r="S155" s="9" t="s">
        <v>9321</v>
      </c>
      <c r="T155" s="9" t="s">
        <v>9321</v>
      </c>
      <c r="U155" s="9"/>
      <c r="V155" s="9"/>
      <c r="W155" s="9"/>
      <c r="X155" s="9"/>
      <c r="Y155" s="9"/>
      <c r="Z155" s="9"/>
      <c r="AA155" s="9"/>
      <c r="AB155" s="9"/>
      <c r="AC155" s="9"/>
      <c r="AD155" s="9"/>
    </row>
    <row r="156" spans="1:30" ht="43.5">
      <c r="A156" s="3" t="s">
        <v>683</v>
      </c>
      <c r="B156" s="3" t="s">
        <v>5061</v>
      </c>
      <c r="C156" s="3" t="s">
        <v>5062</v>
      </c>
      <c r="F156" t="s">
        <v>3884</v>
      </c>
      <c r="G156" s="9" t="s">
        <v>3889</v>
      </c>
      <c r="H156" s="9"/>
      <c r="I156" s="9">
        <v>1</v>
      </c>
      <c r="J156" s="9">
        <v>2</v>
      </c>
      <c r="K156" s="9" t="s">
        <v>8689</v>
      </c>
      <c r="L156" s="9" t="s">
        <v>8730</v>
      </c>
      <c r="M156" s="9"/>
      <c r="N156" s="10"/>
      <c r="O156" s="9"/>
      <c r="P156" s="9">
        <v>10929</v>
      </c>
      <c r="Q156" s="9">
        <v>1406.0027530843549</v>
      </c>
      <c r="R156" s="9"/>
      <c r="S156" s="9" t="s">
        <v>9321</v>
      </c>
      <c r="T156" s="9" t="s">
        <v>9321</v>
      </c>
      <c r="U156" s="9"/>
      <c r="V156" s="9"/>
      <c r="W156" s="9"/>
      <c r="X156" s="9"/>
      <c r="Y156" s="9"/>
      <c r="Z156" s="9"/>
      <c r="AA156" s="9"/>
      <c r="AB156" s="9"/>
      <c r="AC156" s="9"/>
      <c r="AD156" s="9"/>
    </row>
    <row r="157" spans="1:30" ht="43.5">
      <c r="A157" s="3" t="s">
        <v>686</v>
      </c>
      <c r="B157" s="3" t="s">
        <v>5071</v>
      </c>
      <c r="C157" s="3" t="s">
        <v>5072</v>
      </c>
      <c r="G157" s="9" t="s">
        <v>3889</v>
      </c>
      <c r="H157" s="9"/>
      <c r="I157" s="9">
        <v>1</v>
      </c>
      <c r="J157" s="9">
        <v>1</v>
      </c>
      <c r="K157" s="9" t="s">
        <v>8689</v>
      </c>
      <c r="L157" s="9" t="s">
        <v>8730</v>
      </c>
      <c r="M157" s="9"/>
      <c r="N157" s="10"/>
      <c r="O157" s="9"/>
      <c r="P157" s="9">
        <v>10929</v>
      </c>
      <c r="Q157" s="9">
        <v>1406.0027530843549</v>
      </c>
      <c r="R157" s="9"/>
      <c r="S157" s="9" t="s">
        <v>9321</v>
      </c>
      <c r="T157" s="9" t="s">
        <v>9321</v>
      </c>
      <c r="U157" s="9"/>
      <c r="V157" s="9"/>
      <c r="W157" s="9"/>
      <c r="X157" s="9"/>
      <c r="Y157" s="9"/>
      <c r="Z157" s="9"/>
      <c r="AA157" s="9"/>
      <c r="AB157" s="9"/>
      <c r="AC157" s="9"/>
      <c r="AD157" s="9"/>
    </row>
    <row r="158" spans="1:30" ht="29">
      <c r="A158" s="3" t="s">
        <v>687</v>
      </c>
      <c r="B158" s="3" t="s">
        <v>5073</v>
      </c>
      <c r="C158" s="3" t="s">
        <v>5074</v>
      </c>
      <c r="G158" s="9" t="s">
        <v>3889</v>
      </c>
      <c r="H158" s="9"/>
      <c r="I158" s="9">
        <v>1</v>
      </c>
      <c r="J158" s="9">
        <v>3</v>
      </c>
      <c r="K158" s="9" t="s">
        <v>8689</v>
      </c>
      <c r="L158" s="9" t="s">
        <v>8690</v>
      </c>
      <c r="M158" s="9"/>
      <c r="N158" s="10"/>
      <c r="O158" s="9"/>
      <c r="P158" s="9">
        <v>10929</v>
      </c>
      <c r="Q158" s="9">
        <v>1406.0027530843549</v>
      </c>
      <c r="R158" s="9"/>
      <c r="S158" s="9" t="s">
        <v>9321</v>
      </c>
      <c r="T158" s="9" t="s">
        <v>9321</v>
      </c>
      <c r="U158" s="9"/>
      <c r="V158" s="9"/>
      <c r="W158" s="9"/>
      <c r="X158" s="9"/>
      <c r="Y158" s="9"/>
      <c r="Z158" s="9"/>
      <c r="AA158" s="9"/>
      <c r="AB158" s="9"/>
      <c r="AC158" s="9"/>
      <c r="AD158" s="9"/>
    </row>
    <row r="159" spans="1:30" ht="29">
      <c r="A159" s="3" t="s">
        <v>690</v>
      </c>
      <c r="B159" s="3" t="s">
        <v>5078</v>
      </c>
      <c r="C159" s="3" t="s">
        <v>5079</v>
      </c>
      <c r="G159" s="9" t="s">
        <v>3889</v>
      </c>
      <c r="H159" s="9"/>
      <c r="I159" s="9">
        <v>1</v>
      </c>
      <c r="J159" s="9">
        <v>3</v>
      </c>
      <c r="K159" s="9" t="s">
        <v>8689</v>
      </c>
      <c r="L159" s="9" t="s">
        <v>8690</v>
      </c>
      <c r="M159" s="9"/>
      <c r="N159" s="10"/>
      <c r="O159" s="9"/>
      <c r="P159" s="9">
        <v>10929</v>
      </c>
      <c r="Q159" s="9">
        <v>1406.0027530843549</v>
      </c>
      <c r="R159" s="9"/>
      <c r="S159" s="9" t="s">
        <v>9321</v>
      </c>
      <c r="T159" s="9" t="s">
        <v>9321</v>
      </c>
      <c r="U159" s="9"/>
      <c r="V159" s="9"/>
      <c r="W159" s="9"/>
      <c r="X159" s="9"/>
      <c r="Y159" s="9"/>
      <c r="Z159" s="9"/>
      <c r="AA159" s="9"/>
      <c r="AB159" s="9"/>
      <c r="AC159" s="9"/>
      <c r="AD159" s="9"/>
    </row>
    <row r="160" spans="1:30" ht="43.5">
      <c r="A160" s="3" t="s">
        <v>694</v>
      </c>
      <c r="B160" s="3" t="s">
        <v>4843</v>
      </c>
      <c r="C160" s="3" t="s">
        <v>5083</v>
      </c>
      <c r="F160" t="s">
        <v>3884</v>
      </c>
      <c r="G160" s="9" t="s">
        <v>3889</v>
      </c>
      <c r="H160" s="9"/>
      <c r="I160" s="9">
        <v>1</v>
      </c>
      <c r="J160" s="9">
        <v>4</v>
      </c>
      <c r="K160" s="9" t="s">
        <v>8707</v>
      </c>
      <c r="L160" s="9" t="s">
        <v>8690</v>
      </c>
      <c r="M160" s="9"/>
      <c r="N160" s="10"/>
      <c r="O160" s="9"/>
      <c r="P160" s="9">
        <v>428</v>
      </c>
      <c r="Q160" s="9">
        <v>55.06168710038466</v>
      </c>
      <c r="R160" s="9"/>
      <c r="S160" s="9" t="s">
        <v>9321</v>
      </c>
      <c r="T160" s="9" t="s">
        <v>9321</v>
      </c>
      <c r="U160" s="9"/>
      <c r="V160" s="9"/>
      <c r="W160" s="9"/>
      <c r="X160" s="9"/>
      <c r="Y160" s="9"/>
      <c r="Z160" s="9"/>
      <c r="AA160" s="9"/>
      <c r="AB160" s="9"/>
      <c r="AC160" s="9"/>
      <c r="AD160" s="9"/>
    </row>
    <row r="161" spans="1:30" ht="72.5">
      <c r="A161" s="3" t="s">
        <v>698</v>
      </c>
      <c r="B161" s="3" t="s">
        <v>5088</v>
      </c>
      <c r="C161" s="3" t="s">
        <v>5089</v>
      </c>
      <c r="F161" t="s">
        <v>3884</v>
      </c>
      <c r="G161" s="9" t="s">
        <v>3885</v>
      </c>
      <c r="H161" s="9"/>
      <c r="I161" s="9">
        <v>1</v>
      </c>
      <c r="J161" s="9">
        <v>2</v>
      </c>
      <c r="K161" s="9" t="s">
        <v>8689</v>
      </c>
      <c r="L161" s="9" t="s">
        <v>8730</v>
      </c>
      <c r="M161" s="9"/>
      <c r="N161" s="10"/>
      <c r="O161" s="9"/>
      <c r="P161" s="9">
        <v>10929</v>
      </c>
      <c r="Q161" s="9">
        <v>1406.0027530843549</v>
      </c>
      <c r="R161" s="9"/>
      <c r="S161" s="9" t="s">
        <v>9321</v>
      </c>
      <c r="T161" s="9" t="s">
        <v>9321</v>
      </c>
      <c r="U161" s="9"/>
      <c r="V161" s="9"/>
      <c r="W161" s="9"/>
      <c r="X161" s="9"/>
      <c r="Y161" s="9"/>
      <c r="Z161" s="9"/>
      <c r="AA161" s="9"/>
      <c r="AB161" s="9"/>
      <c r="AC161" s="9"/>
      <c r="AD161" s="9"/>
    </row>
    <row r="162" spans="1:30" ht="188.5">
      <c r="A162" s="3" t="s">
        <v>702</v>
      </c>
      <c r="B162" s="3" t="s">
        <v>5094</v>
      </c>
      <c r="C162" s="3" t="s">
        <v>5096</v>
      </c>
      <c r="F162" t="s">
        <v>3884</v>
      </c>
      <c r="G162" s="9" t="s">
        <v>3885</v>
      </c>
      <c r="H162" s="9"/>
      <c r="I162" s="9">
        <v>1</v>
      </c>
      <c r="J162" s="9">
        <v>3</v>
      </c>
      <c r="K162" s="9" t="s">
        <v>8689</v>
      </c>
      <c r="L162" s="9" t="s">
        <v>8690</v>
      </c>
      <c r="M162" s="9"/>
      <c r="N162" s="10"/>
      <c r="O162" s="9"/>
      <c r="P162" s="9">
        <v>10929</v>
      </c>
      <c r="Q162" s="9">
        <v>1406.0027530843549</v>
      </c>
      <c r="R162" s="9"/>
      <c r="S162" s="9" t="s">
        <v>9321</v>
      </c>
      <c r="T162" s="9" t="s">
        <v>9321</v>
      </c>
      <c r="U162" s="9"/>
      <c r="V162" s="9"/>
      <c r="W162" s="9"/>
      <c r="X162" s="9"/>
      <c r="Y162" s="9"/>
      <c r="Z162" s="9"/>
      <c r="AA162" s="9"/>
      <c r="AB162" s="9"/>
      <c r="AC162" s="9"/>
      <c r="AD162" s="9"/>
    </row>
    <row r="163" spans="1:30" ht="58">
      <c r="A163" s="3" t="s">
        <v>706</v>
      </c>
      <c r="B163" s="3" t="s">
        <v>5111</v>
      </c>
      <c r="C163" s="3" t="s">
        <v>5112</v>
      </c>
      <c r="F163" t="s">
        <v>3884</v>
      </c>
      <c r="G163" s="9" t="s">
        <v>3885</v>
      </c>
      <c r="H163" s="9"/>
      <c r="I163" s="9">
        <v>1</v>
      </c>
      <c r="J163" s="9">
        <v>3</v>
      </c>
      <c r="K163" s="9" t="s">
        <v>8698</v>
      </c>
      <c r="L163" s="9" t="s">
        <v>8690</v>
      </c>
      <c r="M163" s="9"/>
      <c r="N163" s="10"/>
      <c r="O163" s="9"/>
      <c r="P163" s="9">
        <v>9418</v>
      </c>
      <c r="Q163" s="9">
        <v>1211.6144138117354</v>
      </c>
      <c r="R163" s="9"/>
      <c r="S163" s="9" t="s">
        <v>9321</v>
      </c>
      <c r="T163" s="9" t="s">
        <v>9321</v>
      </c>
      <c r="U163" s="9"/>
      <c r="V163" s="9"/>
      <c r="W163" s="9"/>
      <c r="X163" s="9"/>
      <c r="Y163" s="9"/>
      <c r="Z163" s="9"/>
      <c r="AA163" s="9"/>
      <c r="AB163" s="9"/>
      <c r="AC163" s="9"/>
      <c r="AD163" s="9"/>
    </row>
    <row r="164" spans="1:30" ht="58">
      <c r="A164" s="3" t="s">
        <v>712</v>
      </c>
      <c r="B164" s="3" t="s">
        <v>5126</v>
      </c>
      <c r="C164" s="3" t="s">
        <v>5124</v>
      </c>
      <c r="G164" s="9" t="s">
        <v>3889</v>
      </c>
      <c r="H164" s="9"/>
      <c r="I164" s="9">
        <v>1</v>
      </c>
      <c r="J164" s="9">
        <v>3</v>
      </c>
      <c r="K164" s="9" t="s">
        <v>8705</v>
      </c>
      <c r="L164" s="9" t="s">
        <v>8690</v>
      </c>
      <c r="M164" s="9"/>
      <c r="N164" s="10"/>
      <c r="O164" s="9"/>
      <c r="P164" s="9">
        <v>1485</v>
      </c>
      <c r="Q164" s="9">
        <v>191.04347043007292</v>
      </c>
      <c r="R164" s="9"/>
      <c r="S164" s="9" t="s">
        <v>9321</v>
      </c>
      <c r="T164" s="9" t="s">
        <v>9321</v>
      </c>
      <c r="U164" s="9" t="s">
        <v>8728</v>
      </c>
      <c r="V164" s="9"/>
      <c r="W164" s="9"/>
      <c r="X164" s="9"/>
      <c r="Y164" s="9"/>
      <c r="Z164" s="9"/>
      <c r="AA164" s="9"/>
      <c r="AB164" s="9"/>
      <c r="AC164" s="9"/>
      <c r="AD164" s="9"/>
    </row>
    <row r="165" spans="1:30" ht="72.5">
      <c r="A165" s="3" t="s">
        <v>713</v>
      </c>
      <c r="B165" s="3" t="s">
        <v>5132</v>
      </c>
      <c r="C165" s="3" t="s">
        <v>5128</v>
      </c>
      <c r="F165" t="s">
        <v>3884</v>
      </c>
      <c r="G165" s="9" t="s">
        <v>3889</v>
      </c>
      <c r="H165" s="9"/>
      <c r="I165" s="9">
        <v>1</v>
      </c>
      <c r="J165" s="9">
        <v>1</v>
      </c>
      <c r="K165" s="9" t="s">
        <v>8689</v>
      </c>
      <c r="L165" s="9" t="s">
        <v>8730</v>
      </c>
      <c r="M165" s="9"/>
      <c r="N165" s="10"/>
      <c r="O165" s="9"/>
      <c r="P165" s="9">
        <v>10929</v>
      </c>
      <c r="Q165" s="9">
        <v>1406.0027530843549</v>
      </c>
      <c r="R165" s="9"/>
      <c r="S165" s="9" t="s">
        <v>9321</v>
      </c>
      <c r="T165" s="9" t="s">
        <v>9321</v>
      </c>
      <c r="U165" s="9"/>
      <c r="V165" s="9"/>
      <c r="W165" s="9"/>
      <c r="X165" s="9"/>
      <c r="Y165" s="9"/>
      <c r="Z165" s="9"/>
      <c r="AA165" s="9"/>
      <c r="AB165" s="9"/>
      <c r="AC165" s="9"/>
      <c r="AD165" s="9"/>
    </row>
    <row r="166" spans="1:30" ht="43.5">
      <c r="A166" s="3" t="s">
        <v>716</v>
      </c>
      <c r="B166" s="3" t="s">
        <v>5139</v>
      </c>
      <c r="C166" s="3" t="s">
        <v>5140</v>
      </c>
      <c r="G166" s="9" t="s">
        <v>3885</v>
      </c>
      <c r="H166" s="9"/>
      <c r="I166" s="9">
        <v>1</v>
      </c>
      <c r="J166" s="9">
        <v>1</v>
      </c>
      <c r="K166" s="9" t="s">
        <v>8689</v>
      </c>
      <c r="L166" s="9" t="s">
        <v>8730</v>
      </c>
      <c r="M166" s="9"/>
      <c r="N166" s="10"/>
      <c r="O166" s="9"/>
      <c r="P166" s="9">
        <v>10929</v>
      </c>
      <c r="Q166" s="9">
        <v>1406.0027530843549</v>
      </c>
      <c r="R166" s="9"/>
      <c r="S166" s="9" t="s">
        <v>9321</v>
      </c>
      <c r="T166" s="9" t="s">
        <v>9321</v>
      </c>
      <c r="U166" s="9"/>
      <c r="V166" s="9"/>
      <c r="W166" s="9"/>
      <c r="X166" s="9"/>
      <c r="Y166" s="9"/>
      <c r="Z166" s="9"/>
      <c r="AA166" s="9"/>
      <c r="AB166" s="9"/>
      <c r="AC166" s="9"/>
      <c r="AD166" s="9"/>
    </row>
    <row r="167" spans="1:30" ht="43.5">
      <c r="A167" s="3" t="s">
        <v>717</v>
      </c>
      <c r="B167" s="3" t="s">
        <v>5146</v>
      </c>
      <c r="C167" s="3" t="s">
        <v>5147</v>
      </c>
      <c r="G167" s="9" t="s">
        <v>3885</v>
      </c>
      <c r="H167" s="9"/>
      <c r="I167" s="9">
        <v>1</v>
      </c>
      <c r="J167" s="9">
        <v>3</v>
      </c>
      <c r="K167" s="9" t="s">
        <v>8689</v>
      </c>
      <c r="L167" s="9" t="s">
        <v>8690</v>
      </c>
      <c r="M167" s="9"/>
      <c r="N167" s="10"/>
      <c r="O167" s="9"/>
      <c r="P167" s="9">
        <v>10929</v>
      </c>
      <c r="Q167" s="9">
        <v>1406.0027530843549</v>
      </c>
      <c r="R167" s="9"/>
      <c r="S167" s="9" t="s">
        <v>9321</v>
      </c>
      <c r="T167" s="9" t="s">
        <v>9321</v>
      </c>
      <c r="U167" s="9"/>
      <c r="V167" s="9"/>
      <c r="W167" s="9"/>
      <c r="X167" s="9"/>
      <c r="Y167" s="9"/>
      <c r="Z167" s="9"/>
      <c r="AA167" s="9"/>
      <c r="AB167" s="9"/>
      <c r="AC167" s="9"/>
      <c r="AD167" s="9"/>
    </row>
    <row r="168" spans="1:30" ht="43.5">
      <c r="A168" s="3" t="s">
        <v>719</v>
      </c>
      <c r="B168" s="3" t="s">
        <v>5150</v>
      </c>
      <c r="C168" s="3" t="s">
        <v>5151</v>
      </c>
      <c r="F168" t="s">
        <v>3884</v>
      </c>
      <c r="G168" s="9" t="s">
        <v>3885</v>
      </c>
      <c r="H168" s="9"/>
      <c r="I168" s="9">
        <v>1</v>
      </c>
      <c r="J168" s="9">
        <v>5</v>
      </c>
      <c r="K168" s="9" t="s">
        <v>8705</v>
      </c>
      <c r="L168" s="9" t="s">
        <v>8690</v>
      </c>
      <c r="M168" s="9"/>
      <c r="N168" s="10"/>
      <c r="O168" s="9"/>
      <c r="P168" s="9">
        <v>3678</v>
      </c>
      <c r="Q168" s="9">
        <v>473.17029241872609</v>
      </c>
      <c r="R168" s="9"/>
      <c r="S168" s="9" t="s">
        <v>9321</v>
      </c>
      <c r="T168" s="9" t="s">
        <v>9321</v>
      </c>
      <c r="U168" s="9"/>
      <c r="V168" s="9"/>
      <c r="W168" s="9"/>
      <c r="X168" s="9"/>
      <c r="Y168" s="9"/>
      <c r="Z168" s="9"/>
      <c r="AA168" s="9"/>
      <c r="AB168" s="9"/>
      <c r="AC168" s="9"/>
      <c r="AD168" s="9"/>
    </row>
    <row r="169" spans="1:30" ht="43.5">
      <c r="A169" s="3" t="s">
        <v>722</v>
      </c>
      <c r="B169" s="3" t="s">
        <v>5157</v>
      </c>
      <c r="C169" s="3" t="s">
        <v>5156</v>
      </c>
      <c r="G169" s="9" t="s">
        <v>3889</v>
      </c>
      <c r="H169" s="9"/>
      <c r="I169" s="9">
        <v>1</v>
      </c>
      <c r="J169" s="9">
        <v>3</v>
      </c>
      <c r="K169" s="9" t="s">
        <v>8689</v>
      </c>
      <c r="L169" s="9" t="s">
        <v>8684</v>
      </c>
      <c r="M169" s="9" t="s">
        <v>8944</v>
      </c>
      <c r="N169" s="10" t="s">
        <v>8778</v>
      </c>
      <c r="O169" s="9" t="s">
        <v>8685</v>
      </c>
      <c r="P169" s="9">
        <v>10929</v>
      </c>
      <c r="Q169" s="9">
        <v>1406.0027530843549</v>
      </c>
      <c r="R169" s="9"/>
      <c r="S169" s="9" t="s">
        <v>9321</v>
      </c>
      <c r="T169" s="9" t="s">
        <v>9321</v>
      </c>
      <c r="U169" s="9"/>
      <c r="V169" s="9"/>
      <c r="W169" s="9"/>
      <c r="X169" s="9"/>
      <c r="Y169" s="9"/>
      <c r="Z169" s="9"/>
      <c r="AA169" s="9"/>
      <c r="AB169" s="9"/>
      <c r="AC169" s="9"/>
      <c r="AD169" s="9"/>
    </row>
    <row r="170" spans="1:30" ht="29">
      <c r="A170" s="3" t="s">
        <v>723</v>
      </c>
      <c r="B170" s="3" t="s">
        <v>5159</v>
      </c>
      <c r="C170" s="3" t="s">
        <v>4277</v>
      </c>
      <c r="F170" t="s">
        <v>3884</v>
      </c>
      <c r="G170" s="9" t="s">
        <v>3885</v>
      </c>
      <c r="H170" s="9"/>
      <c r="I170" s="9">
        <v>1</v>
      </c>
      <c r="J170" s="9">
        <v>2</v>
      </c>
      <c r="K170" s="9" t="s">
        <v>8689</v>
      </c>
      <c r="L170" s="9" t="s">
        <v>8730</v>
      </c>
      <c r="M170" s="9"/>
      <c r="N170" s="10"/>
      <c r="O170" s="9"/>
      <c r="P170" s="9">
        <v>10929</v>
      </c>
      <c r="Q170" s="9">
        <v>1406.0027530843549</v>
      </c>
      <c r="R170" s="9"/>
      <c r="S170" s="9" t="s">
        <v>9321</v>
      </c>
      <c r="T170" s="9" t="s">
        <v>9321</v>
      </c>
      <c r="U170" s="9"/>
      <c r="V170" s="9"/>
      <c r="W170" s="9"/>
      <c r="X170" s="9"/>
      <c r="Y170" s="9"/>
      <c r="Z170" s="9"/>
      <c r="AA170" s="9"/>
      <c r="AB170" s="9"/>
      <c r="AC170" s="9"/>
      <c r="AD170" s="9"/>
    </row>
    <row r="171" spans="1:30" ht="29">
      <c r="A171" s="3" t="s">
        <v>735</v>
      </c>
      <c r="B171" s="3" t="s">
        <v>5179</v>
      </c>
      <c r="C171" s="3" t="s">
        <v>5180</v>
      </c>
      <c r="F171" t="s">
        <v>3884</v>
      </c>
      <c r="G171" s="9" t="s">
        <v>3885</v>
      </c>
      <c r="H171" s="9"/>
      <c r="I171" s="9">
        <v>1</v>
      </c>
      <c r="J171" s="9">
        <v>1</v>
      </c>
      <c r="K171" s="9" t="s">
        <v>8689</v>
      </c>
      <c r="L171" s="9" t="s">
        <v>8730</v>
      </c>
      <c r="M171" s="9"/>
      <c r="N171" s="10"/>
      <c r="O171" s="9"/>
      <c r="P171" s="9">
        <v>10929</v>
      </c>
      <c r="Q171" s="9">
        <v>1406.0027530843549</v>
      </c>
      <c r="R171" s="9"/>
      <c r="S171" s="9" t="s">
        <v>9321</v>
      </c>
      <c r="T171" s="9" t="s">
        <v>9321</v>
      </c>
      <c r="U171" s="9"/>
      <c r="V171" s="9"/>
      <c r="W171" s="9"/>
      <c r="X171" s="9"/>
      <c r="Y171" s="9"/>
      <c r="Z171" s="9"/>
      <c r="AA171" s="9"/>
      <c r="AB171" s="9"/>
      <c r="AC171" s="9"/>
      <c r="AD171" s="9"/>
    </row>
    <row r="172" spans="1:30" ht="43.5">
      <c r="A172" s="3" t="s">
        <v>753</v>
      </c>
      <c r="B172" s="3" t="s">
        <v>5234</v>
      </c>
      <c r="C172" s="3" t="s">
        <v>5235</v>
      </c>
      <c r="G172" s="9" t="s">
        <v>3889</v>
      </c>
      <c r="H172" s="9"/>
      <c r="I172" s="9">
        <v>1</v>
      </c>
      <c r="J172" s="9">
        <v>1</v>
      </c>
      <c r="K172" s="9" t="s">
        <v>8689</v>
      </c>
      <c r="L172" s="9" t="s">
        <v>8730</v>
      </c>
      <c r="M172" s="9"/>
      <c r="N172" s="10"/>
      <c r="O172" s="9"/>
      <c r="P172" s="9">
        <v>10929</v>
      </c>
      <c r="Q172" s="9">
        <v>1406.0027530843549</v>
      </c>
      <c r="R172" s="9"/>
      <c r="S172" s="9" t="s">
        <v>9321</v>
      </c>
      <c r="T172" s="9" t="s">
        <v>9321</v>
      </c>
      <c r="U172" s="9" t="s">
        <v>8728</v>
      </c>
      <c r="V172" s="9"/>
      <c r="W172" s="9"/>
      <c r="X172" s="9"/>
      <c r="Y172" s="9"/>
      <c r="Z172" s="9"/>
      <c r="AA172" s="9"/>
      <c r="AB172" s="9"/>
      <c r="AC172" s="9"/>
      <c r="AD172" s="9"/>
    </row>
    <row r="173" spans="1:30" ht="72.5">
      <c r="A173" s="3" t="s">
        <v>754</v>
      </c>
      <c r="B173" s="3" t="s">
        <v>9026</v>
      </c>
      <c r="C173" s="3" t="s">
        <v>9027</v>
      </c>
      <c r="G173" s="9" t="s">
        <v>3889</v>
      </c>
      <c r="H173" s="9"/>
      <c r="I173" s="9">
        <v>1</v>
      </c>
      <c r="J173" s="9">
        <v>2</v>
      </c>
      <c r="K173" s="9" t="s">
        <v>8698</v>
      </c>
      <c r="L173" s="9" t="s">
        <v>8730</v>
      </c>
      <c r="M173" s="9"/>
      <c r="N173" s="10"/>
      <c r="O173" s="9"/>
      <c r="P173" s="9">
        <v>159</v>
      </c>
      <c r="Q173" s="9">
        <v>20.455159460189627</v>
      </c>
      <c r="R173" s="9"/>
      <c r="S173" s="9" t="s">
        <v>9321</v>
      </c>
      <c r="T173" s="9" t="s">
        <v>9321</v>
      </c>
      <c r="U173" s="9"/>
      <c r="V173" s="9"/>
      <c r="W173" s="9"/>
      <c r="X173" s="9"/>
      <c r="Y173" s="9"/>
      <c r="Z173" s="9"/>
      <c r="AA173" s="9"/>
      <c r="AB173" s="9"/>
      <c r="AC173" s="9"/>
      <c r="AD173" s="9"/>
    </row>
    <row r="174" spans="1:30" ht="43.5">
      <c r="A174" s="3" t="s">
        <v>756</v>
      </c>
      <c r="B174" s="3" t="s">
        <v>5245</v>
      </c>
      <c r="C174" s="3" t="s">
        <v>5246</v>
      </c>
      <c r="F174" t="s">
        <v>3884</v>
      </c>
      <c r="G174" s="9" t="s">
        <v>3885</v>
      </c>
      <c r="H174" s="9"/>
      <c r="I174" s="9">
        <v>1</v>
      </c>
      <c r="J174" s="9">
        <v>3</v>
      </c>
      <c r="K174" s="9" t="s">
        <v>8705</v>
      </c>
      <c r="L174" s="9" t="s">
        <v>8690</v>
      </c>
      <c r="M174" s="9"/>
      <c r="N174" s="10"/>
      <c r="O174" s="9"/>
      <c r="P174" s="9">
        <v>1485</v>
      </c>
      <c r="Q174" s="9">
        <v>191.04347043007292</v>
      </c>
      <c r="R174" s="9"/>
      <c r="S174" s="9" t="s">
        <v>9321</v>
      </c>
      <c r="T174" s="9" t="s">
        <v>9321</v>
      </c>
      <c r="U174" s="9"/>
      <c r="V174" s="9"/>
      <c r="W174" s="9"/>
      <c r="X174" s="9"/>
      <c r="Y174" s="9"/>
      <c r="Z174" s="9"/>
      <c r="AA174" s="9"/>
      <c r="AB174" s="9"/>
      <c r="AC174" s="9"/>
      <c r="AD174" s="9"/>
    </row>
    <row r="175" spans="1:30" ht="58">
      <c r="A175" s="3" t="s">
        <v>759</v>
      </c>
      <c r="B175" s="3" t="s">
        <v>5251</v>
      </c>
      <c r="C175" s="3" t="s">
        <v>5252</v>
      </c>
      <c r="G175" s="9" t="s">
        <v>3889</v>
      </c>
      <c r="H175" s="9"/>
      <c r="I175" s="9">
        <v>1</v>
      </c>
      <c r="J175" s="9">
        <v>2</v>
      </c>
      <c r="K175" s="9" t="s">
        <v>8689</v>
      </c>
      <c r="L175" s="9" t="s">
        <v>8730</v>
      </c>
      <c r="M175" s="9"/>
      <c r="N175" s="10"/>
      <c r="O175" s="9"/>
      <c r="P175" s="9">
        <v>10929</v>
      </c>
      <c r="Q175" s="9">
        <v>1406.0027530843549</v>
      </c>
      <c r="R175" s="9"/>
      <c r="S175" s="9" t="s">
        <v>9321</v>
      </c>
      <c r="T175" s="9" t="s">
        <v>9321</v>
      </c>
      <c r="U175" s="9"/>
      <c r="V175" s="9"/>
      <c r="W175" s="9"/>
      <c r="X175" s="9"/>
      <c r="Y175" s="9"/>
      <c r="Z175" s="9"/>
      <c r="AA175" s="9"/>
      <c r="AB175" s="9"/>
      <c r="AC175" s="9"/>
      <c r="AD175" s="9"/>
    </row>
    <row r="176" spans="1:30" ht="43.5">
      <c r="A176" s="3" t="s">
        <v>762</v>
      </c>
      <c r="B176" s="3" t="s">
        <v>5259</v>
      </c>
      <c r="C176" s="3" t="s">
        <v>5260</v>
      </c>
      <c r="F176" t="s">
        <v>3884</v>
      </c>
      <c r="G176" s="9" t="s">
        <v>3889</v>
      </c>
      <c r="H176" s="9"/>
      <c r="I176" s="9">
        <v>1</v>
      </c>
      <c r="J176" s="9">
        <v>2</v>
      </c>
      <c r="K176" s="9" t="s">
        <v>8689</v>
      </c>
      <c r="L176" s="9" t="s">
        <v>8730</v>
      </c>
      <c r="M176" s="9"/>
      <c r="N176" s="10"/>
      <c r="O176" s="9"/>
      <c r="P176" s="9">
        <v>10929</v>
      </c>
      <c r="Q176" s="9">
        <v>1406.0027530843549</v>
      </c>
      <c r="R176" s="9"/>
      <c r="S176" s="9" t="s">
        <v>9321</v>
      </c>
      <c r="T176" s="9" t="s">
        <v>9321</v>
      </c>
      <c r="U176" s="9" t="s">
        <v>8728</v>
      </c>
      <c r="V176" s="9"/>
      <c r="W176" s="9"/>
      <c r="X176" s="9"/>
      <c r="Y176" s="9"/>
      <c r="Z176" s="9"/>
      <c r="AA176" s="9"/>
      <c r="AB176" s="9"/>
      <c r="AC176" s="9"/>
      <c r="AD176" s="9"/>
    </row>
    <row r="177" spans="1:30" ht="58">
      <c r="A177" s="3" t="s">
        <v>767</v>
      </c>
      <c r="B177" s="3" t="s">
        <v>5275</v>
      </c>
      <c r="C177" s="3" t="s">
        <v>5276</v>
      </c>
      <c r="G177" s="9" t="s">
        <v>3889</v>
      </c>
      <c r="H177" s="9"/>
      <c r="I177" s="9">
        <v>1</v>
      </c>
      <c r="J177" s="9">
        <v>2</v>
      </c>
      <c r="K177" s="9" t="s">
        <v>8707</v>
      </c>
      <c r="L177" s="9" t="s">
        <v>8730</v>
      </c>
      <c r="M177" s="9"/>
      <c r="N177" s="10"/>
      <c r="O177" s="9" t="s">
        <v>8685</v>
      </c>
      <c r="P177" s="9">
        <v>1942</v>
      </c>
      <c r="Q177" s="9">
        <v>249.83597277791355</v>
      </c>
      <c r="R177" s="9"/>
      <c r="S177" s="9" t="s">
        <v>9321</v>
      </c>
      <c r="T177" s="9" t="s">
        <v>9321</v>
      </c>
      <c r="U177" s="9"/>
      <c r="V177" s="9"/>
      <c r="W177" s="9"/>
      <c r="X177" s="9"/>
      <c r="Y177" s="9"/>
      <c r="Z177" s="9"/>
      <c r="AA177" s="9"/>
      <c r="AB177" s="9"/>
      <c r="AC177" s="9"/>
      <c r="AD177" s="9"/>
    </row>
    <row r="178" spans="1:30" ht="58">
      <c r="A178" s="3" t="s">
        <v>769</v>
      </c>
      <c r="B178" s="3" t="s">
        <v>9031</v>
      </c>
      <c r="C178" s="3" t="s">
        <v>5285</v>
      </c>
      <c r="G178" s="9" t="s">
        <v>3889</v>
      </c>
      <c r="H178" s="9"/>
      <c r="I178" s="9">
        <v>1</v>
      </c>
      <c r="J178" s="9">
        <v>2</v>
      </c>
      <c r="K178" s="9" t="s">
        <v>8705</v>
      </c>
      <c r="L178" s="9" t="s">
        <v>8730</v>
      </c>
      <c r="M178" s="9"/>
      <c r="N178" s="10"/>
      <c r="O178" s="9"/>
      <c r="P178" s="9">
        <v>16</v>
      </c>
      <c r="Q178" s="9">
        <v>2.0583808261826042</v>
      </c>
      <c r="R178" s="9"/>
      <c r="S178" s="9" t="s">
        <v>9321</v>
      </c>
      <c r="T178" s="9" t="s">
        <v>9321</v>
      </c>
      <c r="U178" s="9"/>
      <c r="V178" s="9"/>
      <c r="W178" s="9"/>
      <c r="X178" s="9"/>
      <c r="Y178" s="9"/>
      <c r="Z178" s="9"/>
      <c r="AA178" s="9"/>
      <c r="AB178" s="9"/>
      <c r="AC178" s="9"/>
      <c r="AD178" s="9"/>
    </row>
    <row r="179" spans="1:30" ht="72.5">
      <c r="A179" s="3" t="s">
        <v>770</v>
      </c>
      <c r="B179" s="3" t="s">
        <v>5288</v>
      </c>
      <c r="C179" s="3" t="s">
        <v>5289</v>
      </c>
      <c r="G179" s="9" t="s">
        <v>3889</v>
      </c>
      <c r="H179" s="9"/>
      <c r="I179" s="9">
        <v>1</v>
      </c>
      <c r="J179" s="9">
        <v>3</v>
      </c>
      <c r="K179" s="9" t="s">
        <v>8689</v>
      </c>
      <c r="L179" s="9" t="s">
        <v>8690</v>
      </c>
      <c r="M179" s="9"/>
      <c r="N179" s="10"/>
      <c r="O179" s="9"/>
      <c r="P179" s="9">
        <v>10929</v>
      </c>
      <c r="Q179" s="9">
        <v>1406.0027530843549</v>
      </c>
      <c r="R179" s="9"/>
      <c r="S179" s="9" t="s">
        <v>9321</v>
      </c>
      <c r="T179" s="9" t="s">
        <v>9321</v>
      </c>
      <c r="U179" s="9"/>
      <c r="V179" s="9"/>
      <c r="W179" s="9"/>
      <c r="X179" s="9"/>
      <c r="Y179" s="9"/>
      <c r="Z179" s="9"/>
      <c r="AA179" s="9"/>
      <c r="AB179" s="9"/>
      <c r="AC179" s="9"/>
      <c r="AD179" s="9"/>
    </row>
    <row r="180" spans="1:30" ht="43.5">
      <c r="A180" s="3" t="s">
        <v>772</v>
      </c>
      <c r="B180" s="3" t="s">
        <v>5292</v>
      </c>
      <c r="C180" s="3" t="s">
        <v>5293</v>
      </c>
      <c r="G180" s="9" t="s">
        <v>3889</v>
      </c>
      <c r="H180" s="9"/>
      <c r="I180" s="9">
        <v>1</v>
      </c>
      <c r="J180" s="9">
        <v>2</v>
      </c>
      <c r="K180" s="9" t="s">
        <v>8734</v>
      </c>
      <c r="L180" s="9" t="s">
        <v>8730</v>
      </c>
      <c r="M180" s="9"/>
      <c r="N180" s="10"/>
      <c r="O180" s="9"/>
      <c r="P180" s="9">
        <v>120</v>
      </c>
      <c r="Q180" s="9">
        <v>15.43785619636953</v>
      </c>
      <c r="R180" s="9"/>
      <c r="S180" s="9" t="s">
        <v>9321</v>
      </c>
      <c r="T180" s="9" t="s">
        <v>9321</v>
      </c>
      <c r="U180" s="9" t="s">
        <v>4</v>
      </c>
      <c r="V180" s="9"/>
      <c r="W180" s="9"/>
      <c r="X180" s="9"/>
      <c r="Y180" s="9"/>
      <c r="Z180" s="9"/>
      <c r="AA180" s="9"/>
      <c r="AB180" s="9"/>
      <c r="AC180" s="9"/>
      <c r="AD180" s="9"/>
    </row>
    <row r="181" spans="1:30" ht="29">
      <c r="A181" s="3" t="s">
        <v>774</v>
      </c>
      <c r="B181" s="3" t="s">
        <v>5297</v>
      </c>
      <c r="C181" s="3" t="s">
        <v>5298</v>
      </c>
      <c r="G181" s="9" t="s">
        <v>3889</v>
      </c>
      <c r="H181" s="9"/>
      <c r="I181" s="9">
        <v>1</v>
      </c>
      <c r="J181" s="9">
        <v>3</v>
      </c>
      <c r="K181" s="9" t="s">
        <v>8689</v>
      </c>
      <c r="L181" s="9" t="s">
        <v>8690</v>
      </c>
      <c r="M181" s="9"/>
      <c r="N181" s="10"/>
      <c r="O181" s="9"/>
      <c r="P181" s="9">
        <v>10929</v>
      </c>
      <c r="Q181" s="9">
        <v>1406.0027530843549</v>
      </c>
      <c r="R181" s="9"/>
      <c r="S181" s="9" t="s">
        <v>9321</v>
      </c>
      <c r="T181" s="9" t="s">
        <v>9321</v>
      </c>
      <c r="U181" s="9" t="s">
        <v>8728</v>
      </c>
      <c r="V181" s="9"/>
      <c r="W181" s="9"/>
      <c r="X181" s="9"/>
      <c r="Y181" s="9"/>
      <c r="Z181" s="9"/>
      <c r="AA181" s="9"/>
      <c r="AB181" s="9"/>
      <c r="AC181" s="9"/>
      <c r="AD181" s="9"/>
    </row>
    <row r="182" spans="1:30" ht="43.5">
      <c r="A182" s="3" t="s">
        <v>778</v>
      </c>
      <c r="B182" s="3" t="s">
        <v>5312</v>
      </c>
      <c r="C182" s="3" t="s">
        <v>5311</v>
      </c>
      <c r="G182" s="9" t="s">
        <v>3885</v>
      </c>
      <c r="H182" s="9"/>
      <c r="I182" s="9">
        <v>1</v>
      </c>
      <c r="J182" s="9">
        <v>1</v>
      </c>
      <c r="K182" s="9" t="s">
        <v>8705</v>
      </c>
      <c r="L182" s="9" t="s">
        <v>8730</v>
      </c>
      <c r="M182" s="9"/>
      <c r="N182" s="10"/>
      <c r="O182" s="9"/>
      <c r="P182" s="9">
        <v>615</v>
      </c>
      <c r="Q182" s="9">
        <v>79.119013006393843</v>
      </c>
      <c r="R182" s="9"/>
      <c r="S182" s="9" t="s">
        <v>9321</v>
      </c>
      <c r="T182" s="9" t="s">
        <v>9321</v>
      </c>
      <c r="U182" s="9" t="s">
        <v>4</v>
      </c>
      <c r="V182" s="9"/>
      <c r="W182" s="9"/>
      <c r="X182" s="9"/>
      <c r="Y182" s="9"/>
      <c r="Z182" s="9"/>
      <c r="AA182" s="9"/>
      <c r="AB182" s="9"/>
      <c r="AC182" s="9"/>
      <c r="AD182" s="9"/>
    </row>
    <row r="183" spans="1:30" ht="72.5">
      <c r="A183" s="3" t="s">
        <v>790</v>
      </c>
      <c r="B183" s="3" t="s">
        <v>5335</v>
      </c>
      <c r="C183" s="3" t="s">
        <v>9035</v>
      </c>
      <c r="G183" s="9" t="s">
        <v>3885</v>
      </c>
      <c r="H183" s="9"/>
      <c r="I183" s="9">
        <v>1</v>
      </c>
      <c r="J183" s="9">
        <v>1</v>
      </c>
      <c r="K183" s="9" t="s">
        <v>8689</v>
      </c>
      <c r="L183" s="9" t="s">
        <v>8730</v>
      </c>
      <c r="M183" s="9"/>
      <c r="N183" s="10"/>
      <c r="O183" s="9"/>
      <c r="P183" s="9">
        <v>10929</v>
      </c>
      <c r="Q183" s="9">
        <v>1406.0027530843549</v>
      </c>
      <c r="R183" s="9"/>
      <c r="S183" s="9" t="s">
        <v>9321</v>
      </c>
      <c r="T183" s="9" t="s">
        <v>9321</v>
      </c>
      <c r="U183" s="9"/>
      <c r="V183" s="9"/>
      <c r="W183" s="9"/>
      <c r="X183" s="9"/>
      <c r="Y183" s="9"/>
      <c r="Z183" s="9"/>
      <c r="AA183" s="9"/>
      <c r="AB183" s="9"/>
      <c r="AC183" s="9"/>
      <c r="AD183" s="9"/>
    </row>
    <row r="184" spans="1:30" ht="29">
      <c r="A184" s="3" t="s">
        <v>795</v>
      </c>
      <c r="B184" s="3" t="s">
        <v>5346</v>
      </c>
      <c r="C184" s="3" t="s">
        <v>5347</v>
      </c>
      <c r="G184" s="9" t="s">
        <v>3889</v>
      </c>
      <c r="H184" s="9"/>
      <c r="I184" s="9">
        <v>1</v>
      </c>
      <c r="J184" s="9">
        <v>1</v>
      </c>
      <c r="K184" s="9" t="s">
        <v>8689</v>
      </c>
      <c r="L184" s="9" t="s">
        <v>8730</v>
      </c>
      <c r="M184" s="9"/>
      <c r="N184" s="10"/>
      <c r="O184" s="9"/>
      <c r="P184" s="9">
        <v>10929</v>
      </c>
      <c r="Q184" s="9">
        <v>1406.0027530843549</v>
      </c>
      <c r="R184" s="9"/>
      <c r="S184" s="9" t="s">
        <v>9321</v>
      </c>
      <c r="T184" s="9" t="s">
        <v>9321</v>
      </c>
      <c r="U184" s="9"/>
      <c r="V184" s="9"/>
      <c r="W184" s="9"/>
      <c r="X184" s="9"/>
      <c r="Y184" s="9"/>
      <c r="Z184" s="9"/>
      <c r="AA184" s="9"/>
      <c r="AB184" s="9"/>
      <c r="AC184" s="9"/>
      <c r="AD184" s="9"/>
    </row>
    <row r="185" spans="1:30" ht="29">
      <c r="A185" s="3" t="s">
        <v>799</v>
      </c>
      <c r="B185" s="3" t="s">
        <v>5359</v>
      </c>
      <c r="C185" s="3" t="s">
        <v>5347</v>
      </c>
      <c r="G185" s="9" t="s">
        <v>3889</v>
      </c>
      <c r="H185" s="9"/>
      <c r="I185" s="9">
        <v>1</v>
      </c>
      <c r="J185" s="9">
        <v>1</v>
      </c>
      <c r="K185" s="9" t="s">
        <v>8689</v>
      </c>
      <c r="L185" s="9" t="s">
        <v>8730</v>
      </c>
      <c r="M185" s="9"/>
      <c r="N185" s="10"/>
      <c r="O185" s="9"/>
      <c r="P185" s="9">
        <v>10929</v>
      </c>
      <c r="Q185" s="9">
        <v>1406.0027530843549</v>
      </c>
      <c r="R185" s="9"/>
      <c r="S185" s="9" t="s">
        <v>9321</v>
      </c>
      <c r="T185" s="9" t="s">
        <v>9321</v>
      </c>
      <c r="U185" s="9"/>
      <c r="V185" s="9"/>
      <c r="W185" s="9"/>
      <c r="X185" s="9"/>
      <c r="Y185" s="9"/>
      <c r="Z185" s="9"/>
      <c r="AA185" s="9"/>
      <c r="AB185" s="9"/>
      <c r="AC185" s="9"/>
      <c r="AD185" s="9"/>
    </row>
    <row r="186" spans="1:30" ht="29">
      <c r="A186" s="3" t="s">
        <v>799</v>
      </c>
      <c r="B186" s="3" t="s">
        <v>5362</v>
      </c>
      <c r="C186" s="3" t="s">
        <v>5363</v>
      </c>
      <c r="G186" s="9" t="s">
        <v>3889</v>
      </c>
      <c r="H186" s="9"/>
      <c r="I186" s="9">
        <v>1</v>
      </c>
      <c r="J186" s="9">
        <v>1</v>
      </c>
      <c r="K186" s="9" t="s">
        <v>8689</v>
      </c>
      <c r="L186" s="9" t="s">
        <v>8730</v>
      </c>
      <c r="M186" s="9"/>
      <c r="N186" s="10"/>
      <c r="O186" s="9"/>
      <c r="P186" s="9">
        <v>10929</v>
      </c>
      <c r="Q186" s="9">
        <v>1406.0027530843549</v>
      </c>
      <c r="R186" s="9"/>
      <c r="S186" s="9" t="s">
        <v>9321</v>
      </c>
      <c r="T186" s="9" t="s">
        <v>9321</v>
      </c>
      <c r="U186" s="9"/>
      <c r="V186" s="9"/>
      <c r="W186" s="9"/>
      <c r="X186" s="9"/>
      <c r="Y186" s="9"/>
      <c r="Z186" s="9"/>
      <c r="AA186" s="9"/>
      <c r="AB186" s="9"/>
      <c r="AC186" s="9"/>
      <c r="AD186" s="9"/>
    </row>
    <row r="187" spans="1:30" ht="101.5">
      <c r="A187" s="3" t="s">
        <v>807</v>
      </c>
      <c r="B187" s="3" t="s">
        <v>5384</v>
      </c>
      <c r="C187" s="3" t="s">
        <v>5383</v>
      </c>
      <c r="F187" t="s">
        <v>3884</v>
      </c>
      <c r="G187" s="9" t="s">
        <v>3889</v>
      </c>
      <c r="H187" s="9"/>
      <c r="I187" s="9">
        <v>1</v>
      </c>
      <c r="J187" s="9">
        <v>3</v>
      </c>
      <c r="K187" s="9" t="s">
        <v>8705</v>
      </c>
      <c r="L187" s="9" t="s">
        <v>8690</v>
      </c>
      <c r="M187" s="9"/>
      <c r="N187" s="10"/>
      <c r="O187" s="9"/>
      <c r="P187" s="9">
        <v>1485</v>
      </c>
      <c r="Q187" s="9">
        <v>191.04347043007292</v>
      </c>
      <c r="R187" s="9"/>
      <c r="S187" s="9" t="s">
        <v>9321</v>
      </c>
      <c r="T187" s="9" t="s">
        <v>9321</v>
      </c>
      <c r="U187" s="9"/>
      <c r="V187" s="9"/>
      <c r="W187" s="9"/>
      <c r="X187" s="9"/>
      <c r="Y187" s="9"/>
      <c r="Z187" s="9"/>
      <c r="AA187" s="9"/>
      <c r="AB187" s="9"/>
      <c r="AC187" s="9"/>
      <c r="AD187" s="9"/>
    </row>
    <row r="188" spans="1:30" ht="29">
      <c r="A188" s="3" t="s">
        <v>810</v>
      </c>
      <c r="B188" s="3" t="s">
        <v>5394</v>
      </c>
      <c r="C188" s="3" t="s">
        <v>5395</v>
      </c>
      <c r="G188" s="9" t="s">
        <v>3885</v>
      </c>
      <c r="H188" s="9"/>
      <c r="I188" s="9">
        <v>1</v>
      </c>
      <c r="J188" s="9">
        <v>3</v>
      </c>
      <c r="K188" s="9" t="s">
        <v>8689</v>
      </c>
      <c r="L188" s="9" t="s">
        <v>8690</v>
      </c>
      <c r="M188" s="9"/>
      <c r="N188" s="10"/>
      <c r="O188" s="9"/>
      <c r="P188" s="9">
        <v>10929</v>
      </c>
      <c r="Q188" s="9">
        <v>1406.0027530843549</v>
      </c>
      <c r="R188" s="9"/>
      <c r="S188" s="9" t="s">
        <v>9321</v>
      </c>
      <c r="T188" s="9" t="s">
        <v>9321</v>
      </c>
      <c r="U188" s="9"/>
      <c r="V188" s="9"/>
      <c r="W188" s="9"/>
      <c r="X188" s="9"/>
      <c r="Y188" s="9"/>
      <c r="Z188" s="9"/>
      <c r="AA188" s="9"/>
      <c r="AB188" s="9"/>
      <c r="AC188" s="9"/>
      <c r="AD188" s="9"/>
    </row>
    <row r="189" spans="1:30" ht="29">
      <c r="A189" s="3" t="s">
        <v>811</v>
      </c>
      <c r="B189" s="3" t="s">
        <v>5398</v>
      </c>
      <c r="C189" s="3" t="s">
        <v>5399</v>
      </c>
      <c r="F189" t="s">
        <v>3884</v>
      </c>
      <c r="G189" s="9" t="s">
        <v>3889</v>
      </c>
      <c r="H189" s="9"/>
      <c r="I189" s="9">
        <v>1</v>
      </c>
      <c r="J189" s="9">
        <v>2</v>
      </c>
      <c r="K189" s="9" t="s">
        <v>8689</v>
      </c>
      <c r="L189" s="9" t="s">
        <v>8730</v>
      </c>
      <c r="M189" s="9"/>
      <c r="N189" s="10"/>
      <c r="O189" s="9"/>
      <c r="P189" s="9">
        <v>10929</v>
      </c>
      <c r="Q189" s="9">
        <v>1406.0027530843549</v>
      </c>
      <c r="R189" s="9"/>
      <c r="S189" s="9" t="s">
        <v>9321</v>
      </c>
      <c r="T189" s="9" t="s">
        <v>9321</v>
      </c>
      <c r="U189" s="9"/>
      <c r="V189" s="9"/>
      <c r="W189" s="9"/>
      <c r="X189" s="9"/>
      <c r="Y189" s="9"/>
      <c r="Z189" s="9"/>
      <c r="AA189" s="9"/>
      <c r="AB189" s="9"/>
      <c r="AC189" s="9"/>
      <c r="AD189" s="9"/>
    </row>
    <row r="190" spans="1:30" ht="43.5">
      <c r="A190" s="3" t="s">
        <v>812</v>
      </c>
      <c r="B190" s="3" t="s">
        <v>5402</v>
      </c>
      <c r="C190" s="3" t="s">
        <v>5403</v>
      </c>
      <c r="G190" s="9" t="s">
        <v>3889</v>
      </c>
      <c r="H190" s="9"/>
      <c r="I190" s="9">
        <v>1</v>
      </c>
      <c r="J190" s="9">
        <v>1</v>
      </c>
      <c r="K190" s="9" t="s">
        <v>8689</v>
      </c>
      <c r="L190" s="9" t="s">
        <v>8730</v>
      </c>
      <c r="M190" s="9"/>
      <c r="N190" s="10"/>
      <c r="O190" s="9" t="s">
        <v>8685</v>
      </c>
      <c r="P190" s="9">
        <v>10929</v>
      </c>
      <c r="Q190" s="9">
        <v>1406.0027530843549</v>
      </c>
      <c r="R190" s="9"/>
      <c r="S190" s="9" t="s">
        <v>9321</v>
      </c>
      <c r="T190" s="9" t="s">
        <v>9321</v>
      </c>
      <c r="U190" s="9"/>
      <c r="V190" s="9"/>
      <c r="W190" s="9"/>
      <c r="X190" s="9"/>
      <c r="Y190" s="9"/>
      <c r="Z190" s="9"/>
      <c r="AA190" s="9"/>
      <c r="AB190" s="9"/>
      <c r="AC190" s="9"/>
      <c r="AD190" s="9"/>
    </row>
    <row r="191" spans="1:30" ht="29">
      <c r="A191" s="3" t="s">
        <v>813</v>
      </c>
      <c r="B191" s="3" t="s">
        <v>5412</v>
      </c>
      <c r="C191" s="3" t="s">
        <v>5413</v>
      </c>
      <c r="F191" t="s">
        <v>3884</v>
      </c>
      <c r="G191" s="9" t="s">
        <v>3889</v>
      </c>
      <c r="H191" s="9"/>
      <c r="I191" s="9">
        <v>1</v>
      </c>
      <c r="J191" s="9">
        <v>3</v>
      </c>
      <c r="K191" s="9" t="s">
        <v>8689</v>
      </c>
      <c r="L191" s="9" t="s">
        <v>8690</v>
      </c>
      <c r="M191" s="9"/>
      <c r="N191" s="10"/>
      <c r="O191" s="9"/>
      <c r="P191" s="9">
        <v>10929</v>
      </c>
      <c r="Q191" s="9">
        <v>1406.0027530843549</v>
      </c>
      <c r="R191" s="9"/>
      <c r="S191" s="9" t="s">
        <v>9321</v>
      </c>
      <c r="T191" s="9" t="s">
        <v>9321</v>
      </c>
      <c r="U191" s="9"/>
      <c r="V191" s="9"/>
      <c r="W191" s="9"/>
      <c r="X191" s="9"/>
      <c r="Y191" s="9"/>
      <c r="Z191" s="9"/>
      <c r="AA191" s="9"/>
      <c r="AB191" s="9"/>
      <c r="AC191" s="9"/>
      <c r="AD191" s="9"/>
    </row>
    <row r="192" spans="1:30" ht="43.5">
      <c r="A192" s="3" t="s">
        <v>814</v>
      </c>
      <c r="B192" s="3" t="s">
        <v>5433</v>
      </c>
      <c r="C192" s="3" t="s">
        <v>5434</v>
      </c>
      <c r="F192" t="s">
        <v>3884</v>
      </c>
      <c r="G192" s="9" t="s">
        <v>3885</v>
      </c>
      <c r="H192" s="9"/>
      <c r="I192" s="9">
        <v>1</v>
      </c>
      <c r="J192" s="9">
        <v>1</v>
      </c>
      <c r="K192" s="9" t="s">
        <v>8698</v>
      </c>
      <c r="L192" s="9" t="s">
        <v>8730</v>
      </c>
      <c r="M192" s="9"/>
      <c r="N192" s="10"/>
      <c r="O192" s="9"/>
      <c r="P192" s="9">
        <v>1</v>
      </c>
      <c r="Q192" s="9">
        <v>0.12864880163641276</v>
      </c>
      <c r="R192" s="9"/>
      <c r="S192" s="9" t="s">
        <v>9321</v>
      </c>
      <c r="T192" s="9" t="s">
        <v>9321</v>
      </c>
      <c r="U192" s="9"/>
      <c r="V192" s="9"/>
      <c r="W192" s="9"/>
      <c r="X192" s="9"/>
      <c r="Y192" s="9"/>
      <c r="Z192" s="9"/>
      <c r="AA192" s="9"/>
      <c r="AB192" s="9"/>
      <c r="AC192" s="9"/>
      <c r="AD192" s="9"/>
    </row>
    <row r="193" spans="1:30" ht="58">
      <c r="A193" s="3" t="s">
        <v>815</v>
      </c>
      <c r="B193" s="3" t="s">
        <v>5437</v>
      </c>
      <c r="C193" s="3" t="s">
        <v>5438</v>
      </c>
      <c r="G193" s="9" t="s">
        <v>3889</v>
      </c>
      <c r="H193" s="9"/>
      <c r="I193" s="9">
        <v>1</v>
      </c>
      <c r="J193" s="9">
        <v>3</v>
      </c>
      <c r="K193" s="9" t="s">
        <v>8698</v>
      </c>
      <c r="L193" s="9" t="s">
        <v>8690</v>
      </c>
      <c r="M193" s="9"/>
      <c r="N193" s="10"/>
      <c r="O193" s="9"/>
      <c r="P193" s="9">
        <v>9418</v>
      </c>
      <c r="Q193" s="9">
        <v>1211.6144138117354</v>
      </c>
      <c r="R193" s="9"/>
      <c r="S193" s="9" t="s">
        <v>9321</v>
      </c>
      <c r="T193" s="9" t="s">
        <v>9321</v>
      </c>
      <c r="U193" s="9"/>
      <c r="V193" s="9"/>
      <c r="W193" s="9"/>
      <c r="X193" s="9"/>
      <c r="Y193" s="9"/>
      <c r="Z193" s="9"/>
      <c r="AA193" s="9"/>
      <c r="AB193" s="9"/>
      <c r="AC193" s="9"/>
      <c r="AD193" s="9"/>
    </row>
    <row r="194" spans="1:30" ht="29">
      <c r="A194" s="3" t="s">
        <v>822</v>
      </c>
      <c r="B194" s="3" t="s">
        <v>5449</v>
      </c>
      <c r="C194" s="3" t="s">
        <v>5450</v>
      </c>
      <c r="F194" t="s">
        <v>3884</v>
      </c>
      <c r="G194" s="9" t="s">
        <v>3885</v>
      </c>
      <c r="H194" s="9"/>
      <c r="I194" s="9">
        <v>1</v>
      </c>
      <c r="J194" s="9">
        <v>2</v>
      </c>
      <c r="K194" s="9" t="s">
        <v>8689</v>
      </c>
      <c r="L194" s="9" t="s">
        <v>8730</v>
      </c>
      <c r="M194" s="9"/>
      <c r="N194" s="10"/>
      <c r="O194" s="9"/>
      <c r="P194" s="9">
        <v>10929</v>
      </c>
      <c r="Q194" s="9">
        <v>1406.0027530843549</v>
      </c>
      <c r="R194" s="9"/>
      <c r="S194" s="9" t="s">
        <v>9321</v>
      </c>
      <c r="T194" s="9" t="s">
        <v>9321</v>
      </c>
      <c r="U194" s="9"/>
      <c r="V194" s="9"/>
      <c r="W194" s="9"/>
      <c r="X194" s="9"/>
      <c r="Y194" s="9"/>
      <c r="Z194" s="9"/>
      <c r="AA194" s="9"/>
      <c r="AB194" s="9"/>
      <c r="AC194" s="9"/>
      <c r="AD194" s="9"/>
    </row>
    <row r="195" spans="1:30" ht="43.5">
      <c r="A195" s="3" t="s">
        <v>831</v>
      </c>
      <c r="B195" s="3" t="s">
        <v>5471</v>
      </c>
      <c r="C195" s="3" t="s">
        <v>5472</v>
      </c>
      <c r="F195" t="s">
        <v>3884</v>
      </c>
      <c r="G195" s="9" t="s">
        <v>3889</v>
      </c>
      <c r="H195" s="9"/>
      <c r="I195" s="9">
        <v>1</v>
      </c>
      <c r="J195" s="9">
        <v>3</v>
      </c>
      <c r="K195" s="9" t="s">
        <v>8698</v>
      </c>
      <c r="L195" s="9" t="s">
        <v>8690</v>
      </c>
      <c r="M195" s="9"/>
      <c r="N195" s="10"/>
      <c r="O195" s="9"/>
      <c r="P195" s="9">
        <v>653</v>
      </c>
      <c r="Q195" s="9">
        <v>84.007667468577537</v>
      </c>
      <c r="R195" s="9"/>
      <c r="S195" s="9" t="s">
        <v>9321</v>
      </c>
      <c r="T195" s="9" t="s">
        <v>9321</v>
      </c>
      <c r="U195" s="9"/>
      <c r="V195" s="9"/>
      <c r="W195" s="9"/>
      <c r="X195" s="9"/>
      <c r="Y195" s="9"/>
      <c r="Z195" s="9"/>
      <c r="AA195" s="9"/>
      <c r="AB195" s="9"/>
      <c r="AC195" s="9"/>
      <c r="AD195" s="9"/>
    </row>
    <row r="196" spans="1:30" ht="43.5">
      <c r="A196" s="3" t="s">
        <v>835</v>
      </c>
      <c r="B196" s="3" t="s">
        <v>5475</v>
      </c>
      <c r="C196" s="3" t="s">
        <v>5476</v>
      </c>
      <c r="G196" s="9" t="s">
        <v>3885</v>
      </c>
      <c r="H196" s="9"/>
      <c r="I196" s="9">
        <v>1</v>
      </c>
      <c r="J196" s="9">
        <v>3</v>
      </c>
      <c r="K196" s="9" t="s">
        <v>8689</v>
      </c>
      <c r="L196" s="9" t="s">
        <v>8690</v>
      </c>
      <c r="M196" s="9"/>
      <c r="N196" s="10"/>
      <c r="O196" s="9"/>
      <c r="P196" s="9">
        <v>10929</v>
      </c>
      <c r="Q196" s="9">
        <v>1406.0027530843549</v>
      </c>
      <c r="R196" s="9"/>
      <c r="S196" s="9" t="s">
        <v>9321</v>
      </c>
      <c r="T196" s="9" t="s">
        <v>9321</v>
      </c>
      <c r="U196" s="9"/>
      <c r="V196" s="9"/>
      <c r="W196" s="9"/>
      <c r="X196" s="9"/>
      <c r="Y196" s="9"/>
      <c r="Z196" s="9"/>
      <c r="AA196" s="9"/>
      <c r="AB196" s="9"/>
      <c r="AC196" s="9"/>
      <c r="AD196" s="9"/>
    </row>
    <row r="197" spans="1:30" ht="58">
      <c r="A197" s="3" t="s">
        <v>851</v>
      </c>
      <c r="B197" s="3" t="s">
        <v>5496</v>
      </c>
      <c r="C197" s="3" t="s">
        <v>5497</v>
      </c>
      <c r="F197" t="s">
        <v>3884</v>
      </c>
      <c r="G197" s="9" t="s">
        <v>3889</v>
      </c>
      <c r="H197" s="9"/>
      <c r="I197" s="9">
        <v>1</v>
      </c>
      <c r="J197" s="9">
        <v>3</v>
      </c>
      <c r="K197" s="9" t="s">
        <v>8689</v>
      </c>
      <c r="L197" s="9" t="s">
        <v>8690</v>
      </c>
      <c r="M197" s="9"/>
      <c r="N197" s="10"/>
      <c r="O197" s="9"/>
      <c r="P197" s="9">
        <v>10929</v>
      </c>
      <c r="Q197" s="9">
        <v>1406.0027530843549</v>
      </c>
      <c r="R197" s="9"/>
      <c r="S197" s="9" t="s">
        <v>9321</v>
      </c>
      <c r="T197" s="9" t="s">
        <v>9321</v>
      </c>
      <c r="U197" s="9"/>
      <c r="V197" s="9"/>
      <c r="W197" s="9"/>
      <c r="X197" s="9"/>
      <c r="Y197" s="9"/>
      <c r="Z197" s="9"/>
      <c r="AA197" s="9"/>
      <c r="AB197" s="9"/>
      <c r="AC197" s="9"/>
      <c r="AD197" s="9"/>
    </row>
    <row r="198" spans="1:30" ht="58">
      <c r="A198" s="3" t="s">
        <v>851</v>
      </c>
      <c r="B198" s="3" t="s">
        <v>5498</v>
      </c>
      <c r="C198" s="3" t="s">
        <v>5499</v>
      </c>
      <c r="F198" t="s">
        <v>3884</v>
      </c>
      <c r="G198" s="9" t="s">
        <v>3885</v>
      </c>
      <c r="H198" s="9"/>
      <c r="I198" s="9">
        <v>1</v>
      </c>
      <c r="J198" s="9">
        <v>2</v>
      </c>
      <c r="K198" s="9" t="s">
        <v>8734</v>
      </c>
      <c r="L198" s="9" t="s">
        <v>8730</v>
      </c>
      <c r="M198" s="9"/>
      <c r="N198" s="10"/>
      <c r="O198" s="9"/>
      <c r="P198" s="9">
        <v>120</v>
      </c>
      <c r="Q198" s="9">
        <v>15.43785619636953</v>
      </c>
      <c r="R198" s="9"/>
      <c r="S198" s="9" t="s">
        <v>9321</v>
      </c>
      <c r="T198" s="9" t="s">
        <v>9321</v>
      </c>
      <c r="U198" s="9"/>
      <c r="V198" s="9"/>
      <c r="W198" s="9"/>
      <c r="X198" s="9"/>
      <c r="Y198" s="9"/>
      <c r="Z198" s="9"/>
      <c r="AA198" s="9"/>
      <c r="AB198" s="9"/>
      <c r="AC198" s="9"/>
      <c r="AD198" s="9"/>
    </row>
    <row r="199" spans="1:30" ht="72.5">
      <c r="A199" s="3" t="s">
        <v>854</v>
      </c>
      <c r="B199" s="3" t="s">
        <v>9045</v>
      </c>
      <c r="C199" s="3" t="s">
        <v>9046</v>
      </c>
      <c r="G199" s="9" t="s">
        <v>3885</v>
      </c>
      <c r="H199" s="9"/>
      <c r="I199" s="9">
        <v>1</v>
      </c>
      <c r="J199" s="9">
        <v>3</v>
      </c>
      <c r="K199" s="9" t="s">
        <v>8698</v>
      </c>
      <c r="L199" s="9" t="s">
        <v>8690</v>
      </c>
      <c r="M199" s="9"/>
      <c r="N199" s="10"/>
      <c r="O199" s="9"/>
      <c r="P199" s="9">
        <v>9418</v>
      </c>
      <c r="Q199" s="9">
        <v>1211.6144138117354</v>
      </c>
      <c r="R199" s="9"/>
      <c r="S199" s="9" t="s">
        <v>9321</v>
      </c>
      <c r="T199" s="9" t="s">
        <v>9321</v>
      </c>
      <c r="U199" s="9"/>
      <c r="V199" s="9"/>
      <c r="W199" s="9"/>
      <c r="X199" s="9"/>
      <c r="Y199" s="9"/>
      <c r="Z199" s="9"/>
      <c r="AA199" s="9"/>
      <c r="AB199" s="9"/>
      <c r="AC199" s="9"/>
      <c r="AD199" s="9"/>
    </row>
    <row r="200" spans="1:30" ht="29">
      <c r="A200" s="3" t="s">
        <v>856</v>
      </c>
      <c r="B200" s="3" t="s">
        <v>5520</v>
      </c>
      <c r="C200" s="3" t="s">
        <v>5521</v>
      </c>
      <c r="G200" s="9" t="s">
        <v>3889</v>
      </c>
      <c r="H200" s="9"/>
      <c r="I200" s="9">
        <v>1</v>
      </c>
      <c r="J200" s="9">
        <v>2</v>
      </c>
      <c r="K200" s="9" t="s">
        <v>8689</v>
      </c>
      <c r="L200" s="9" t="s">
        <v>8730</v>
      </c>
      <c r="M200" s="9"/>
      <c r="N200" s="10"/>
      <c r="O200" s="9" t="s">
        <v>8685</v>
      </c>
      <c r="P200" s="9">
        <v>10929</v>
      </c>
      <c r="Q200" s="9">
        <v>1406.0027530843549</v>
      </c>
      <c r="R200" s="9"/>
      <c r="S200" s="9" t="s">
        <v>9321</v>
      </c>
      <c r="T200" s="9" t="s">
        <v>9321</v>
      </c>
      <c r="U200" s="9"/>
      <c r="V200" s="9"/>
      <c r="W200" s="9"/>
      <c r="X200" s="9"/>
      <c r="Y200" s="9"/>
      <c r="Z200" s="9"/>
      <c r="AA200" s="9"/>
      <c r="AB200" s="9"/>
      <c r="AC200" s="9"/>
      <c r="AD200" s="9"/>
    </row>
    <row r="201" spans="1:30" ht="29">
      <c r="A201" s="3" t="s">
        <v>861</v>
      </c>
      <c r="B201" s="3" t="s">
        <v>5530</v>
      </c>
      <c r="C201" s="3" t="s">
        <v>5531</v>
      </c>
      <c r="G201" s="9" t="s">
        <v>3889</v>
      </c>
      <c r="H201" s="9"/>
      <c r="I201" s="9">
        <v>1</v>
      </c>
      <c r="J201" s="9">
        <v>1</v>
      </c>
      <c r="K201" s="9" t="s">
        <v>8689</v>
      </c>
      <c r="L201" s="9" t="s">
        <v>8730</v>
      </c>
      <c r="M201" s="9"/>
      <c r="N201" s="10"/>
      <c r="O201" s="9"/>
      <c r="P201" s="9">
        <v>10929</v>
      </c>
      <c r="Q201" s="9">
        <v>1406.0027530843549</v>
      </c>
      <c r="R201" s="9"/>
      <c r="S201" s="9" t="s">
        <v>9321</v>
      </c>
      <c r="T201" s="9" t="s">
        <v>9321</v>
      </c>
      <c r="U201" s="9"/>
      <c r="V201" s="9"/>
      <c r="W201" s="9"/>
      <c r="X201" s="9"/>
      <c r="Y201" s="9"/>
      <c r="Z201" s="9"/>
      <c r="AA201" s="9"/>
      <c r="AB201" s="9"/>
      <c r="AC201" s="9"/>
      <c r="AD201" s="9"/>
    </row>
    <row r="202" spans="1:30" ht="58">
      <c r="A202" s="3" t="s">
        <v>863</v>
      </c>
      <c r="B202" s="3" t="s">
        <v>5542</v>
      </c>
      <c r="C202" s="3" t="s">
        <v>5539</v>
      </c>
      <c r="G202" s="9" t="s">
        <v>3889</v>
      </c>
      <c r="H202" s="9"/>
      <c r="I202" s="9">
        <v>1</v>
      </c>
      <c r="J202" s="9">
        <v>3</v>
      </c>
      <c r="K202" s="9" t="s">
        <v>8689</v>
      </c>
      <c r="L202" s="9" t="s">
        <v>8690</v>
      </c>
      <c r="M202" s="9"/>
      <c r="N202" s="10"/>
      <c r="O202" s="9"/>
      <c r="P202" s="9">
        <v>10929</v>
      </c>
      <c r="Q202" s="9">
        <v>1406.0027530843549</v>
      </c>
      <c r="R202" s="9"/>
      <c r="S202" s="9" t="s">
        <v>9321</v>
      </c>
      <c r="T202" s="9" t="s">
        <v>9321</v>
      </c>
      <c r="U202" s="9"/>
      <c r="V202" s="9"/>
      <c r="W202" s="9"/>
      <c r="X202" s="9"/>
      <c r="Y202" s="9"/>
      <c r="Z202" s="9"/>
      <c r="AA202" s="9"/>
      <c r="AB202" s="9"/>
      <c r="AC202" s="9"/>
      <c r="AD202" s="9"/>
    </row>
    <row r="203" spans="1:30" ht="29">
      <c r="A203" s="3" t="s">
        <v>866</v>
      </c>
      <c r="B203" s="3" t="s">
        <v>5549</v>
      </c>
      <c r="C203" s="3" t="s">
        <v>5550</v>
      </c>
      <c r="G203" s="9" t="s">
        <v>3889</v>
      </c>
      <c r="H203" s="9"/>
      <c r="I203" s="9">
        <v>1</v>
      </c>
      <c r="J203" s="9">
        <v>5</v>
      </c>
      <c r="K203" s="9" t="s">
        <v>8705</v>
      </c>
      <c r="L203" s="9" t="s">
        <v>8690</v>
      </c>
      <c r="M203" s="9"/>
      <c r="N203" s="10"/>
      <c r="O203" s="9"/>
      <c r="P203" s="9">
        <v>3678</v>
      </c>
      <c r="Q203" s="9">
        <v>473.17029241872609</v>
      </c>
      <c r="R203" s="9"/>
      <c r="S203" s="9" t="s">
        <v>9321</v>
      </c>
      <c r="T203" s="9" t="s">
        <v>9321</v>
      </c>
      <c r="U203" s="9"/>
      <c r="V203" s="9"/>
      <c r="W203" s="9"/>
      <c r="X203" s="9"/>
      <c r="Y203" s="9"/>
      <c r="Z203" s="9"/>
      <c r="AA203" s="9"/>
      <c r="AB203" s="9"/>
      <c r="AC203" s="9"/>
      <c r="AD203" s="9"/>
    </row>
    <row r="204" spans="1:30" ht="58">
      <c r="A204" s="3" t="s">
        <v>871</v>
      </c>
      <c r="B204" s="3" t="s">
        <v>5561</v>
      </c>
      <c r="C204" s="3" t="s">
        <v>5562</v>
      </c>
      <c r="G204" s="9" t="s">
        <v>3885</v>
      </c>
      <c r="H204" s="9"/>
      <c r="I204" s="9">
        <v>1</v>
      </c>
      <c r="J204" s="9">
        <v>3</v>
      </c>
      <c r="K204" s="9" t="s">
        <v>8689</v>
      </c>
      <c r="L204" s="9" t="s">
        <v>8690</v>
      </c>
      <c r="M204" s="9"/>
      <c r="N204" s="10"/>
      <c r="O204" s="9"/>
      <c r="P204" s="9">
        <v>10929</v>
      </c>
      <c r="Q204" s="9">
        <v>1406.0027530843549</v>
      </c>
      <c r="R204" s="9"/>
      <c r="S204" s="9" t="s">
        <v>9321</v>
      </c>
      <c r="T204" s="9" t="s">
        <v>9321</v>
      </c>
      <c r="U204" s="9"/>
      <c r="V204" s="9"/>
      <c r="W204" s="9"/>
      <c r="X204" s="9"/>
      <c r="Y204" s="9"/>
      <c r="Z204" s="9"/>
      <c r="AA204" s="9"/>
      <c r="AB204" s="9"/>
      <c r="AC204" s="9"/>
      <c r="AD204" s="9"/>
    </row>
    <row r="205" spans="1:30" ht="58">
      <c r="A205" s="3" t="s">
        <v>872</v>
      </c>
      <c r="B205" s="3" t="s">
        <v>5565</v>
      </c>
      <c r="C205" s="3" t="s">
        <v>5566</v>
      </c>
      <c r="F205" t="s">
        <v>3884</v>
      </c>
      <c r="G205" s="9" t="s">
        <v>3885</v>
      </c>
      <c r="H205" s="9"/>
      <c r="I205" s="9">
        <v>1</v>
      </c>
      <c r="J205" s="9">
        <v>3</v>
      </c>
      <c r="K205" s="9" t="s">
        <v>8698</v>
      </c>
      <c r="L205" s="9" t="s">
        <v>8690</v>
      </c>
      <c r="M205" s="9"/>
      <c r="N205" s="10"/>
      <c r="O205" s="9"/>
      <c r="P205" s="9">
        <v>9418</v>
      </c>
      <c r="Q205" s="9">
        <v>1211.6144138117354</v>
      </c>
      <c r="R205" s="9"/>
      <c r="S205" s="9" t="s">
        <v>9321</v>
      </c>
      <c r="T205" s="9" t="s">
        <v>9321</v>
      </c>
      <c r="U205" s="9"/>
      <c r="V205" s="9"/>
      <c r="W205" s="9"/>
      <c r="X205" s="9"/>
      <c r="Y205" s="9"/>
      <c r="Z205" s="9"/>
      <c r="AA205" s="9"/>
      <c r="AB205" s="9"/>
      <c r="AC205" s="9"/>
      <c r="AD205" s="9"/>
    </row>
    <row r="206" spans="1:30" ht="43.5">
      <c r="A206" s="3" t="s">
        <v>877</v>
      </c>
      <c r="B206" s="3" t="s">
        <v>5576</v>
      </c>
      <c r="C206" s="3" t="s">
        <v>5577</v>
      </c>
      <c r="G206" s="9" t="s">
        <v>3885</v>
      </c>
      <c r="H206" s="9"/>
      <c r="I206" s="9">
        <v>1</v>
      </c>
      <c r="J206" s="9">
        <v>1</v>
      </c>
      <c r="K206" s="9" t="s">
        <v>8689</v>
      </c>
      <c r="L206" s="9" t="s">
        <v>8730</v>
      </c>
      <c r="M206" s="9"/>
      <c r="N206" s="10"/>
      <c r="O206" s="9"/>
      <c r="P206" s="9">
        <v>10929</v>
      </c>
      <c r="Q206" s="9">
        <v>1406.0027530843549</v>
      </c>
      <c r="R206" s="9"/>
      <c r="S206" s="9" t="s">
        <v>9321</v>
      </c>
      <c r="T206" s="9" t="s">
        <v>9321</v>
      </c>
      <c r="U206" s="9"/>
      <c r="V206" s="9"/>
      <c r="W206" s="9"/>
      <c r="X206" s="9"/>
      <c r="Y206" s="9"/>
      <c r="Z206" s="9"/>
      <c r="AA206" s="9"/>
      <c r="AB206" s="9"/>
      <c r="AC206" s="9"/>
      <c r="AD206" s="9"/>
    </row>
    <row r="207" spans="1:30" ht="43.5">
      <c r="A207" s="3" t="s">
        <v>879</v>
      </c>
      <c r="B207" s="3" t="s">
        <v>5580</v>
      </c>
      <c r="C207" s="3" t="s">
        <v>5581</v>
      </c>
      <c r="G207" s="9" t="s">
        <v>3889</v>
      </c>
      <c r="H207" s="9"/>
      <c r="I207" s="9">
        <v>1</v>
      </c>
      <c r="J207" s="9">
        <v>5</v>
      </c>
      <c r="K207" s="9" t="s">
        <v>8705</v>
      </c>
      <c r="L207" s="9" t="s">
        <v>8690</v>
      </c>
      <c r="M207" s="9"/>
      <c r="N207" s="10"/>
      <c r="O207" s="9"/>
      <c r="P207" s="9">
        <v>3678</v>
      </c>
      <c r="Q207" s="9">
        <v>473.17029241872609</v>
      </c>
      <c r="R207" s="9"/>
      <c r="S207" s="9" t="s">
        <v>9321</v>
      </c>
      <c r="T207" s="9" t="s">
        <v>9321</v>
      </c>
      <c r="U207" s="9"/>
      <c r="V207" s="9"/>
      <c r="W207" s="9"/>
      <c r="X207" s="9"/>
      <c r="Y207" s="9"/>
      <c r="Z207" s="9"/>
      <c r="AA207" s="9"/>
      <c r="AB207" s="9"/>
      <c r="AC207" s="9"/>
      <c r="AD207" s="9"/>
    </row>
    <row r="208" spans="1:30" ht="58">
      <c r="A208" s="3" t="s">
        <v>882</v>
      </c>
      <c r="B208" s="3" t="s">
        <v>5582</v>
      </c>
      <c r="C208" s="3" t="s">
        <v>5583</v>
      </c>
      <c r="G208" s="9" t="s">
        <v>3889</v>
      </c>
      <c r="H208" s="9"/>
      <c r="I208" s="9">
        <v>1</v>
      </c>
      <c r="J208" s="9">
        <v>3</v>
      </c>
      <c r="K208" s="9" t="s">
        <v>8698</v>
      </c>
      <c r="L208" s="9" t="s">
        <v>8690</v>
      </c>
      <c r="M208" s="9"/>
      <c r="N208" s="10"/>
      <c r="O208" s="9"/>
      <c r="P208" s="9">
        <v>9418</v>
      </c>
      <c r="Q208" s="9">
        <v>1211.6144138117354</v>
      </c>
      <c r="R208" s="9"/>
      <c r="S208" s="9" t="s">
        <v>9321</v>
      </c>
      <c r="T208" s="9" t="s">
        <v>9321</v>
      </c>
      <c r="U208" s="9"/>
      <c r="V208" s="9"/>
      <c r="W208" s="9"/>
      <c r="X208" s="9"/>
      <c r="Y208" s="9"/>
      <c r="Z208" s="9"/>
      <c r="AA208" s="9"/>
      <c r="AB208" s="9"/>
      <c r="AC208" s="9"/>
      <c r="AD208" s="9"/>
    </row>
    <row r="209" spans="1:30" ht="43.5">
      <c r="A209" s="3" t="s">
        <v>892</v>
      </c>
      <c r="B209" s="3" t="s">
        <v>5600</v>
      </c>
      <c r="C209" s="3" t="s">
        <v>5601</v>
      </c>
      <c r="G209" s="9" t="s">
        <v>3889</v>
      </c>
      <c r="H209" s="9"/>
      <c r="I209" s="9">
        <v>1</v>
      </c>
      <c r="J209" s="9">
        <v>3</v>
      </c>
      <c r="K209" s="9" t="s">
        <v>8689</v>
      </c>
      <c r="L209" s="9" t="s">
        <v>8684</v>
      </c>
      <c r="M209" s="9" t="s">
        <v>8777</v>
      </c>
      <c r="N209" s="10" t="s">
        <v>8778</v>
      </c>
      <c r="O209" s="9"/>
      <c r="P209" s="9">
        <v>10929</v>
      </c>
      <c r="Q209" s="9">
        <v>1406.0027530843549</v>
      </c>
      <c r="R209" s="9"/>
      <c r="S209" s="9" t="s">
        <v>9321</v>
      </c>
      <c r="T209" s="9" t="s">
        <v>9321</v>
      </c>
      <c r="U209" s="9"/>
      <c r="V209" s="9"/>
      <c r="W209" s="9"/>
      <c r="X209" s="9"/>
      <c r="Y209" s="9"/>
      <c r="Z209" s="9"/>
      <c r="AA209" s="9"/>
      <c r="AB209" s="9"/>
      <c r="AC209" s="9"/>
      <c r="AD209" s="9"/>
    </row>
    <row r="210" spans="1:30" ht="58">
      <c r="A210" s="3" t="s">
        <v>898</v>
      </c>
      <c r="B210" s="3" t="s">
        <v>5608</v>
      </c>
      <c r="C210" s="3" t="s">
        <v>9055</v>
      </c>
      <c r="G210" s="9" t="s">
        <v>3885</v>
      </c>
      <c r="H210" s="9"/>
      <c r="I210" s="9">
        <v>1</v>
      </c>
      <c r="J210" s="9">
        <v>1</v>
      </c>
      <c r="K210" s="9" t="s">
        <v>8689</v>
      </c>
      <c r="L210" s="9" t="s">
        <v>8730</v>
      </c>
      <c r="M210" s="9"/>
      <c r="N210" s="10"/>
      <c r="O210" s="9"/>
      <c r="P210" s="9">
        <v>10929</v>
      </c>
      <c r="Q210" s="9">
        <v>1406.0027530843549</v>
      </c>
      <c r="R210" s="9"/>
      <c r="S210" s="9" t="s">
        <v>9321</v>
      </c>
      <c r="T210" s="9" t="s">
        <v>9321</v>
      </c>
      <c r="U210" s="9"/>
      <c r="V210" s="9"/>
      <c r="W210" s="9"/>
      <c r="X210" s="9"/>
      <c r="Y210" s="9"/>
      <c r="Z210" s="9"/>
      <c r="AA210" s="9"/>
      <c r="AB210" s="9"/>
      <c r="AC210" s="9"/>
      <c r="AD210" s="9"/>
    </row>
    <row r="211" spans="1:30" ht="58">
      <c r="A211" s="3" t="s">
        <v>903</v>
      </c>
      <c r="B211" s="3" t="s">
        <v>5613</v>
      </c>
      <c r="C211" s="3" t="s">
        <v>5614</v>
      </c>
      <c r="F211" t="s">
        <v>3884</v>
      </c>
      <c r="G211" s="9" t="s">
        <v>3885</v>
      </c>
      <c r="H211" s="9"/>
      <c r="I211" s="9">
        <v>1</v>
      </c>
      <c r="J211" s="9">
        <v>3</v>
      </c>
      <c r="K211" s="9" t="s">
        <v>8689</v>
      </c>
      <c r="L211" s="9" t="s">
        <v>8690</v>
      </c>
      <c r="M211" s="9"/>
      <c r="N211" s="10"/>
      <c r="O211" s="9"/>
      <c r="P211" s="9">
        <v>10929</v>
      </c>
      <c r="Q211" s="9">
        <v>1406.0027530843549</v>
      </c>
      <c r="R211" s="9"/>
      <c r="S211" s="9" t="s">
        <v>9321</v>
      </c>
      <c r="T211" s="9" t="s">
        <v>9321</v>
      </c>
      <c r="U211" s="9"/>
      <c r="V211" s="9"/>
      <c r="W211" s="9"/>
      <c r="X211" s="9"/>
      <c r="Y211" s="9"/>
      <c r="Z211" s="9"/>
      <c r="AA211" s="9"/>
      <c r="AB211" s="9"/>
      <c r="AC211" s="9"/>
      <c r="AD211" s="9"/>
    </row>
    <row r="212" spans="1:30" ht="58">
      <c r="A212" s="3" t="s">
        <v>905</v>
      </c>
      <c r="B212" s="3" t="s">
        <v>5615</v>
      </c>
      <c r="C212" s="3" t="s">
        <v>5616</v>
      </c>
      <c r="G212" s="9" t="s">
        <v>3889</v>
      </c>
      <c r="H212" s="9"/>
      <c r="I212" s="9">
        <v>1</v>
      </c>
      <c r="J212" s="9">
        <v>3</v>
      </c>
      <c r="K212" s="9" t="s">
        <v>8689</v>
      </c>
      <c r="L212" s="9" t="s">
        <v>8690</v>
      </c>
      <c r="M212" s="9"/>
      <c r="N212" s="10"/>
      <c r="O212" s="9"/>
      <c r="P212" s="9">
        <v>10929</v>
      </c>
      <c r="Q212" s="9">
        <v>1406.0027530843549</v>
      </c>
      <c r="R212" s="9"/>
      <c r="S212" s="9" t="s">
        <v>9321</v>
      </c>
      <c r="T212" s="9" t="s">
        <v>9321</v>
      </c>
      <c r="U212" s="9"/>
      <c r="V212" s="9"/>
      <c r="W212" s="9"/>
      <c r="X212" s="9"/>
      <c r="Y212" s="9"/>
      <c r="Z212" s="9"/>
      <c r="AA212" s="9"/>
      <c r="AB212" s="9"/>
      <c r="AC212" s="9"/>
      <c r="AD212" s="9"/>
    </row>
    <row r="213" spans="1:30" ht="58">
      <c r="A213" s="3" t="s">
        <v>906</v>
      </c>
      <c r="B213" s="3" t="s">
        <v>5617</v>
      </c>
      <c r="C213" s="3" t="s">
        <v>5618</v>
      </c>
      <c r="F213" t="s">
        <v>3884</v>
      </c>
      <c r="G213" s="9" t="s">
        <v>3889</v>
      </c>
      <c r="H213" s="9"/>
      <c r="I213" s="9">
        <v>1</v>
      </c>
      <c r="J213" s="9">
        <v>3</v>
      </c>
      <c r="K213" s="9" t="s">
        <v>8689</v>
      </c>
      <c r="L213" s="9" t="s">
        <v>8690</v>
      </c>
      <c r="M213" s="9"/>
      <c r="N213" s="10"/>
      <c r="O213" s="9"/>
      <c r="P213" s="9">
        <v>10929</v>
      </c>
      <c r="Q213" s="9">
        <v>1406.0027530843549</v>
      </c>
      <c r="R213" s="9"/>
      <c r="S213" s="9" t="s">
        <v>9321</v>
      </c>
      <c r="T213" s="9" t="s">
        <v>9321</v>
      </c>
      <c r="U213" s="9" t="s">
        <v>8728</v>
      </c>
      <c r="V213" s="9"/>
      <c r="W213" s="9"/>
      <c r="X213" s="9"/>
      <c r="Y213" s="9"/>
      <c r="Z213" s="9"/>
      <c r="AA213" s="9"/>
      <c r="AB213" s="9"/>
      <c r="AC213" s="9"/>
      <c r="AD213" s="9"/>
    </row>
    <row r="214" spans="1:30" ht="43.5">
      <c r="A214" s="3" t="s">
        <v>910</v>
      </c>
      <c r="B214" s="3" t="s">
        <v>5625</v>
      </c>
      <c r="C214" s="3" t="s">
        <v>5626</v>
      </c>
      <c r="F214" t="s">
        <v>3884</v>
      </c>
      <c r="G214" s="9" t="s">
        <v>3885</v>
      </c>
      <c r="H214" s="9"/>
      <c r="I214" s="9">
        <v>1</v>
      </c>
      <c r="J214" s="9">
        <v>2</v>
      </c>
      <c r="K214" s="9" t="s">
        <v>8707</v>
      </c>
      <c r="L214" s="9" t="s">
        <v>8730</v>
      </c>
      <c r="M214" s="9"/>
      <c r="N214" s="10"/>
      <c r="O214" s="9"/>
      <c r="P214" s="9">
        <v>519</v>
      </c>
      <c r="Q214" s="9">
        <v>66.768728049298218</v>
      </c>
      <c r="R214" s="9"/>
      <c r="S214" s="9" t="s">
        <v>9321</v>
      </c>
      <c r="T214" s="9" t="s">
        <v>9321</v>
      </c>
      <c r="U214" s="9"/>
      <c r="V214" s="9"/>
      <c r="W214" s="9"/>
      <c r="X214" s="9"/>
      <c r="Y214" s="9"/>
      <c r="Z214" s="9"/>
      <c r="AA214" s="9"/>
      <c r="AB214" s="9"/>
      <c r="AC214" s="9"/>
      <c r="AD214" s="9"/>
    </row>
    <row r="215" spans="1:30" ht="29">
      <c r="A215" s="3" t="s">
        <v>915</v>
      </c>
      <c r="B215" s="3" t="s">
        <v>5635</v>
      </c>
      <c r="C215" s="3" t="s">
        <v>5636</v>
      </c>
      <c r="G215" s="9" t="s">
        <v>3889</v>
      </c>
      <c r="H215" s="9"/>
      <c r="I215" s="9">
        <v>1</v>
      </c>
      <c r="J215" s="9">
        <v>2</v>
      </c>
      <c r="K215" s="9" t="s">
        <v>8707</v>
      </c>
      <c r="L215" s="9" t="s">
        <v>8730</v>
      </c>
      <c r="M215" s="9"/>
      <c r="N215" s="10"/>
      <c r="O215" s="9"/>
      <c r="P215" s="9">
        <v>519</v>
      </c>
      <c r="Q215" s="9">
        <v>66.768728049298218</v>
      </c>
      <c r="R215" s="9"/>
      <c r="S215" s="9" t="s">
        <v>9321</v>
      </c>
      <c r="T215" s="9" t="s">
        <v>9321</v>
      </c>
      <c r="U215" s="9"/>
      <c r="V215" s="9"/>
      <c r="W215" s="9"/>
      <c r="X215" s="9"/>
      <c r="Y215" s="9"/>
      <c r="Z215" s="9"/>
      <c r="AA215" s="9"/>
      <c r="AB215" s="9"/>
      <c r="AC215" s="9"/>
      <c r="AD215" s="9"/>
    </row>
    <row r="216" spans="1:30" ht="29">
      <c r="A216" s="3" t="s">
        <v>926</v>
      </c>
      <c r="B216" s="3" t="s">
        <v>5658</v>
      </c>
      <c r="C216" s="3" t="s">
        <v>5659</v>
      </c>
      <c r="F216" t="s">
        <v>3884</v>
      </c>
      <c r="G216" s="9" t="s">
        <v>3889</v>
      </c>
      <c r="H216" s="9"/>
      <c r="I216" s="9">
        <v>1</v>
      </c>
      <c r="J216" s="9">
        <v>3</v>
      </c>
      <c r="K216" s="9" t="s">
        <v>8705</v>
      </c>
      <c r="L216" s="9" t="s">
        <v>8690</v>
      </c>
      <c r="M216" s="9"/>
      <c r="N216" s="10"/>
      <c r="O216" s="9"/>
      <c r="P216" s="9">
        <v>991</v>
      </c>
      <c r="Q216" s="9">
        <v>127.49096242168504</v>
      </c>
      <c r="R216" s="9"/>
      <c r="S216" s="9" t="s">
        <v>9321</v>
      </c>
      <c r="T216" s="9" t="s">
        <v>9321</v>
      </c>
      <c r="U216" s="9"/>
      <c r="V216" s="9"/>
      <c r="W216" s="9"/>
      <c r="X216" s="9"/>
      <c r="Y216" s="9"/>
      <c r="Z216" s="9"/>
      <c r="AA216" s="9"/>
      <c r="AB216" s="9"/>
      <c r="AC216" s="9"/>
      <c r="AD216" s="9"/>
    </row>
    <row r="217" spans="1:30" ht="43.5">
      <c r="A217" s="3" t="s">
        <v>931</v>
      </c>
      <c r="B217" s="3" t="s">
        <v>5669</v>
      </c>
      <c r="C217" s="3" t="s">
        <v>5670</v>
      </c>
      <c r="G217" s="9" t="s">
        <v>3889</v>
      </c>
      <c r="H217" s="9"/>
      <c r="I217" s="9">
        <v>1</v>
      </c>
      <c r="J217" s="9">
        <v>2</v>
      </c>
      <c r="K217" s="9" t="s">
        <v>8707</v>
      </c>
      <c r="L217" s="9" t="s">
        <v>8730</v>
      </c>
      <c r="M217" s="9"/>
      <c r="N217" s="10"/>
      <c r="O217" s="9"/>
      <c r="P217" s="9">
        <v>519</v>
      </c>
      <c r="Q217" s="9">
        <v>66.768728049298218</v>
      </c>
      <c r="R217" s="9"/>
      <c r="S217" s="9" t="s">
        <v>9321</v>
      </c>
      <c r="T217" s="9" t="s">
        <v>9321</v>
      </c>
      <c r="U217" s="9"/>
      <c r="V217" s="9"/>
      <c r="W217" s="9"/>
      <c r="X217" s="9"/>
      <c r="Y217" s="9"/>
      <c r="Z217" s="9"/>
      <c r="AA217" s="9"/>
      <c r="AB217" s="9"/>
      <c r="AC217" s="9"/>
      <c r="AD217" s="9"/>
    </row>
    <row r="218" spans="1:30" ht="29">
      <c r="A218" s="3" t="s">
        <v>933</v>
      </c>
      <c r="B218" s="3" t="s">
        <v>5675</v>
      </c>
      <c r="C218" s="3" t="s">
        <v>5676</v>
      </c>
      <c r="F218" t="s">
        <v>3884</v>
      </c>
      <c r="G218" s="9" t="s">
        <v>3885</v>
      </c>
      <c r="H218" s="9"/>
      <c r="I218" s="9">
        <v>1</v>
      </c>
      <c r="J218" s="9">
        <v>3</v>
      </c>
      <c r="K218" s="9" t="s">
        <v>8698</v>
      </c>
      <c r="L218" s="9" t="s">
        <v>8690</v>
      </c>
      <c r="M218" s="9"/>
      <c r="N218" s="10"/>
      <c r="O218" s="9"/>
      <c r="P218" s="9">
        <v>9418</v>
      </c>
      <c r="Q218" s="9">
        <v>1211.6144138117354</v>
      </c>
      <c r="R218" s="9"/>
      <c r="S218" s="9" t="s">
        <v>9321</v>
      </c>
      <c r="T218" s="9" t="s">
        <v>9321</v>
      </c>
      <c r="U218" s="9"/>
      <c r="V218" s="9"/>
      <c r="W218" s="9"/>
      <c r="X218" s="9"/>
      <c r="Y218" s="9"/>
      <c r="Z218" s="9"/>
      <c r="AA218" s="9"/>
      <c r="AB218" s="9"/>
      <c r="AC218" s="9"/>
      <c r="AD218" s="9"/>
    </row>
    <row r="219" spans="1:30" ht="29">
      <c r="A219" s="3" t="s">
        <v>942</v>
      </c>
      <c r="B219" s="3" t="s">
        <v>5694</v>
      </c>
      <c r="C219" s="3" t="s">
        <v>5695</v>
      </c>
      <c r="F219" t="s">
        <v>3884</v>
      </c>
      <c r="G219" s="9" t="s">
        <v>3885</v>
      </c>
      <c r="H219" s="9"/>
      <c r="I219" s="9">
        <v>1</v>
      </c>
      <c r="J219" s="9">
        <v>1</v>
      </c>
      <c r="K219" s="9" t="s">
        <v>8689</v>
      </c>
      <c r="L219" s="9" t="s">
        <v>8730</v>
      </c>
      <c r="M219" s="9"/>
      <c r="N219" s="10"/>
      <c r="O219" s="9"/>
      <c r="P219" s="9">
        <v>10929</v>
      </c>
      <c r="Q219" s="9">
        <v>1406.0027530843549</v>
      </c>
      <c r="R219" s="9"/>
      <c r="S219" s="9" t="s">
        <v>9321</v>
      </c>
      <c r="T219" s="9" t="s">
        <v>9321</v>
      </c>
      <c r="U219" s="9"/>
      <c r="V219" s="9"/>
      <c r="W219" s="9"/>
      <c r="X219" s="9"/>
      <c r="Y219" s="9"/>
      <c r="Z219" s="9"/>
      <c r="AA219" s="9"/>
      <c r="AB219" s="9"/>
      <c r="AC219" s="9"/>
      <c r="AD219" s="9"/>
    </row>
    <row r="220" spans="1:30" ht="29">
      <c r="A220" s="3" t="s">
        <v>949</v>
      </c>
      <c r="B220" s="3" t="s">
        <v>5703</v>
      </c>
      <c r="C220" s="3" t="s">
        <v>5704</v>
      </c>
      <c r="G220" s="9" t="s">
        <v>3889</v>
      </c>
      <c r="H220" s="9"/>
      <c r="I220" s="9">
        <v>1</v>
      </c>
      <c r="J220" s="9">
        <v>2</v>
      </c>
      <c r="K220" s="9" t="s">
        <v>8689</v>
      </c>
      <c r="L220" s="9" t="s">
        <v>8730</v>
      </c>
      <c r="M220" s="9"/>
      <c r="N220" s="10"/>
      <c r="O220" s="9"/>
      <c r="P220" s="9">
        <v>10929</v>
      </c>
      <c r="Q220" s="9">
        <v>1406.0027530843549</v>
      </c>
      <c r="R220" s="9"/>
      <c r="S220" s="9" t="s">
        <v>9321</v>
      </c>
      <c r="T220" s="9" t="s">
        <v>9321</v>
      </c>
      <c r="U220" s="9"/>
      <c r="V220" s="9"/>
      <c r="W220" s="9"/>
      <c r="X220" s="9"/>
      <c r="Y220" s="9"/>
      <c r="Z220" s="9"/>
      <c r="AA220" s="9"/>
      <c r="AB220" s="9"/>
      <c r="AC220" s="9"/>
      <c r="AD220" s="9"/>
    </row>
    <row r="221" spans="1:30" ht="43.5">
      <c r="A221" s="3" t="s">
        <v>950</v>
      </c>
      <c r="B221" s="3" t="s">
        <v>5705</v>
      </c>
      <c r="C221" s="3" t="s">
        <v>5706</v>
      </c>
      <c r="G221" s="9" t="s">
        <v>3885</v>
      </c>
      <c r="H221" s="9"/>
      <c r="I221" s="9">
        <v>1</v>
      </c>
      <c r="J221" s="9">
        <v>3</v>
      </c>
      <c r="K221" s="9" t="s">
        <v>8689</v>
      </c>
      <c r="L221" s="9" t="s">
        <v>8690</v>
      </c>
      <c r="M221" s="9"/>
      <c r="N221" s="10"/>
      <c r="O221" s="9"/>
      <c r="P221" s="9">
        <v>10929</v>
      </c>
      <c r="Q221" s="9">
        <v>1406.0027530843549</v>
      </c>
      <c r="R221" s="9"/>
      <c r="S221" s="9" t="s">
        <v>9321</v>
      </c>
      <c r="T221" s="9" t="s">
        <v>9321</v>
      </c>
      <c r="U221" s="9"/>
      <c r="V221" s="9"/>
      <c r="W221" s="9"/>
      <c r="X221" s="9"/>
      <c r="Y221" s="9"/>
      <c r="Z221" s="9"/>
      <c r="AA221" s="9"/>
      <c r="AB221" s="9"/>
      <c r="AC221" s="9"/>
      <c r="AD221" s="9"/>
    </row>
    <row r="222" spans="1:30" ht="29">
      <c r="A222" s="3" t="s">
        <v>951</v>
      </c>
      <c r="B222" s="3" t="s">
        <v>5709</v>
      </c>
      <c r="C222" s="3" t="s">
        <v>5710</v>
      </c>
      <c r="G222" s="9" t="s">
        <v>3885</v>
      </c>
      <c r="H222" s="9"/>
      <c r="I222" s="9">
        <v>1</v>
      </c>
      <c r="J222" s="9">
        <v>2</v>
      </c>
      <c r="K222" s="9" t="s">
        <v>8689</v>
      </c>
      <c r="L222" s="9" t="s">
        <v>8730</v>
      </c>
      <c r="M222" s="9"/>
      <c r="N222" s="10"/>
      <c r="O222" s="9"/>
      <c r="P222" s="9">
        <v>10929</v>
      </c>
      <c r="Q222" s="9">
        <v>1406.0027530843549</v>
      </c>
      <c r="R222" s="9"/>
      <c r="S222" s="9" t="s">
        <v>9321</v>
      </c>
      <c r="T222" s="9" t="s">
        <v>9321</v>
      </c>
      <c r="U222" s="9"/>
      <c r="V222" s="9"/>
      <c r="W222" s="9"/>
      <c r="X222" s="9"/>
      <c r="Y222" s="9"/>
      <c r="Z222" s="9"/>
      <c r="AA222" s="9"/>
      <c r="AB222" s="9"/>
      <c r="AC222" s="9"/>
      <c r="AD222" s="9"/>
    </row>
    <row r="223" spans="1:30" ht="43.5">
      <c r="A223" s="3" t="s">
        <v>953</v>
      </c>
      <c r="B223" s="3" t="s">
        <v>5715</v>
      </c>
      <c r="C223" s="3" t="s">
        <v>5716</v>
      </c>
      <c r="G223" s="9" t="s">
        <v>3889</v>
      </c>
      <c r="H223" s="9"/>
      <c r="I223" s="9">
        <v>1</v>
      </c>
      <c r="J223" s="9">
        <v>2</v>
      </c>
      <c r="K223" s="9" t="s">
        <v>8689</v>
      </c>
      <c r="L223" s="9" t="s">
        <v>8730</v>
      </c>
      <c r="M223" s="9"/>
      <c r="N223" s="10"/>
      <c r="O223" s="9"/>
      <c r="P223" s="9">
        <v>10929</v>
      </c>
      <c r="Q223" s="9">
        <v>1406.0027530843549</v>
      </c>
      <c r="R223" s="9"/>
      <c r="S223" s="9" t="s">
        <v>9321</v>
      </c>
      <c r="T223" s="9" t="s">
        <v>9321</v>
      </c>
      <c r="U223" s="9"/>
      <c r="V223" s="9"/>
      <c r="W223" s="9"/>
      <c r="X223" s="9"/>
      <c r="Y223" s="9"/>
      <c r="Z223" s="9"/>
      <c r="AA223" s="9"/>
      <c r="AB223" s="9"/>
      <c r="AC223" s="9"/>
      <c r="AD223" s="9"/>
    </row>
    <row r="224" spans="1:30" ht="29">
      <c r="A224" s="3" t="s">
        <v>954</v>
      </c>
      <c r="B224" s="3" t="s">
        <v>5717</v>
      </c>
      <c r="C224" s="3" t="s">
        <v>5718</v>
      </c>
      <c r="F224" t="s">
        <v>3884</v>
      </c>
      <c r="G224" s="9" t="s">
        <v>3889</v>
      </c>
      <c r="H224" s="9"/>
      <c r="I224" s="9">
        <v>1</v>
      </c>
      <c r="J224" s="9">
        <v>3</v>
      </c>
      <c r="K224" s="9" t="s">
        <v>8698</v>
      </c>
      <c r="L224" s="9" t="s">
        <v>8690</v>
      </c>
      <c r="M224" s="9"/>
      <c r="N224" s="10"/>
      <c r="O224" s="9"/>
      <c r="P224" s="9">
        <v>653</v>
      </c>
      <c r="Q224" s="9">
        <v>84.007667468577537</v>
      </c>
      <c r="R224" s="9"/>
      <c r="S224" s="9" t="s">
        <v>9321</v>
      </c>
      <c r="T224" s="9" t="s">
        <v>9321</v>
      </c>
      <c r="U224" s="9"/>
      <c r="V224" s="9"/>
      <c r="W224" s="9"/>
      <c r="X224" s="9"/>
      <c r="Y224" s="9"/>
      <c r="Z224" s="9"/>
      <c r="AA224" s="9"/>
      <c r="AB224" s="9"/>
      <c r="AC224" s="9"/>
      <c r="AD224" s="9"/>
    </row>
    <row r="225" spans="1:30" ht="43.5">
      <c r="A225" s="3" t="s">
        <v>956</v>
      </c>
      <c r="B225" s="3" t="s">
        <v>5721</v>
      </c>
      <c r="C225" s="3" t="s">
        <v>5722</v>
      </c>
      <c r="G225" s="9" t="s">
        <v>3885</v>
      </c>
      <c r="H225" s="9"/>
      <c r="I225" s="9">
        <v>1</v>
      </c>
      <c r="J225" s="9">
        <v>3</v>
      </c>
      <c r="K225" s="9" t="s">
        <v>8698</v>
      </c>
      <c r="L225" s="9" t="s">
        <v>8690</v>
      </c>
      <c r="M225" s="9"/>
      <c r="N225" s="10"/>
      <c r="O225" s="9"/>
      <c r="P225" s="9">
        <v>9418</v>
      </c>
      <c r="Q225" s="9">
        <v>1211.6144138117354</v>
      </c>
      <c r="R225" s="9"/>
      <c r="S225" s="9" t="s">
        <v>9321</v>
      </c>
      <c r="T225" s="9" t="s">
        <v>9321</v>
      </c>
      <c r="U225" s="9"/>
      <c r="V225" s="9"/>
      <c r="W225" s="9"/>
      <c r="X225" s="9"/>
      <c r="Y225" s="9"/>
      <c r="Z225" s="9"/>
      <c r="AA225" s="9"/>
      <c r="AB225" s="9"/>
      <c r="AC225" s="9"/>
      <c r="AD225" s="9"/>
    </row>
    <row r="226" spans="1:30" ht="101.5">
      <c r="A226" s="3" t="s">
        <v>958</v>
      </c>
      <c r="B226" s="3" t="s">
        <v>9063</v>
      </c>
      <c r="C226" s="3" t="s">
        <v>9066</v>
      </c>
      <c r="G226" s="9" t="s">
        <v>3885</v>
      </c>
      <c r="H226" s="9"/>
      <c r="I226" s="9">
        <v>1</v>
      </c>
      <c r="J226" s="9">
        <v>1</v>
      </c>
      <c r="K226" s="9" t="s">
        <v>8698</v>
      </c>
      <c r="L226" s="9" t="s">
        <v>8730</v>
      </c>
      <c r="M226" s="9"/>
      <c r="N226" s="10"/>
      <c r="O226" s="9"/>
      <c r="P226" s="9">
        <v>55</v>
      </c>
      <c r="Q226" s="9">
        <v>7.075684090002702</v>
      </c>
      <c r="R226" s="9"/>
      <c r="S226" s="9" t="s">
        <v>9321</v>
      </c>
      <c r="T226" s="9" t="s">
        <v>9321</v>
      </c>
      <c r="U226" s="9"/>
      <c r="V226" s="9"/>
      <c r="W226" s="9"/>
      <c r="X226" s="9"/>
      <c r="Y226" s="9"/>
      <c r="Z226" s="9"/>
      <c r="AA226" s="9"/>
      <c r="AB226" s="9"/>
      <c r="AC226" s="9"/>
      <c r="AD226" s="9"/>
    </row>
    <row r="227" spans="1:30" ht="72.5">
      <c r="A227" s="3" t="s">
        <v>960</v>
      </c>
      <c r="B227" s="3" t="s">
        <v>9067</v>
      </c>
      <c r="C227" s="3" t="s">
        <v>5736</v>
      </c>
      <c r="G227" s="9" t="s">
        <v>3889</v>
      </c>
      <c r="H227" s="9"/>
      <c r="I227" s="9">
        <v>1</v>
      </c>
      <c r="J227" s="9">
        <v>2</v>
      </c>
      <c r="K227" s="9" t="s">
        <v>8698</v>
      </c>
      <c r="L227" s="9" t="s">
        <v>8730</v>
      </c>
      <c r="M227" s="9"/>
      <c r="N227" s="10"/>
      <c r="O227" s="9"/>
      <c r="P227" s="9">
        <v>55</v>
      </c>
      <c r="Q227" s="9">
        <v>7.075684090002702</v>
      </c>
      <c r="R227" s="9"/>
      <c r="S227" s="9" t="s">
        <v>9321</v>
      </c>
      <c r="T227" s="9" t="s">
        <v>9321</v>
      </c>
      <c r="U227" s="9"/>
      <c r="V227" s="9"/>
      <c r="W227" s="9"/>
      <c r="X227" s="9"/>
      <c r="Y227" s="9"/>
      <c r="Z227" s="9"/>
      <c r="AA227" s="9"/>
      <c r="AB227" s="9"/>
      <c r="AC227" s="9"/>
      <c r="AD227" s="9"/>
    </row>
    <row r="228" spans="1:30" ht="43.5">
      <c r="A228" s="3" t="s">
        <v>963</v>
      </c>
      <c r="B228" s="3" t="s">
        <v>5739</v>
      </c>
      <c r="C228" s="3" t="s">
        <v>5740</v>
      </c>
      <c r="D228" t="s">
        <v>3886</v>
      </c>
      <c r="G228" s="9" t="s">
        <v>3889</v>
      </c>
      <c r="H228" s="9"/>
      <c r="I228" s="9">
        <v>1</v>
      </c>
      <c r="J228" s="9">
        <v>2</v>
      </c>
      <c r="K228" s="9" t="s">
        <v>8689</v>
      </c>
      <c r="L228" s="9" t="s">
        <v>8730</v>
      </c>
      <c r="M228" s="9"/>
      <c r="N228" s="10"/>
      <c r="O228" s="9"/>
      <c r="P228" s="9">
        <v>10929</v>
      </c>
      <c r="Q228" s="9">
        <v>1406.0027530843549</v>
      </c>
      <c r="R228" s="9"/>
      <c r="S228" s="9" t="s">
        <v>9321</v>
      </c>
      <c r="T228" s="9" t="s">
        <v>9321</v>
      </c>
      <c r="U228" s="9"/>
      <c r="V228" s="9"/>
      <c r="W228" s="9"/>
      <c r="X228" s="9"/>
      <c r="Y228" s="9"/>
      <c r="Z228" s="9"/>
      <c r="AA228" s="9"/>
      <c r="AB228" s="9"/>
      <c r="AC228" s="9"/>
      <c r="AD228" s="9"/>
    </row>
    <row r="229" spans="1:30" ht="72.5">
      <c r="A229" s="3" t="s">
        <v>966</v>
      </c>
      <c r="B229" s="3" t="s">
        <v>5748</v>
      </c>
      <c r="C229" s="3" t="s">
        <v>5751</v>
      </c>
      <c r="G229" s="9" t="s">
        <v>3885</v>
      </c>
      <c r="H229" s="9"/>
      <c r="I229" s="9">
        <v>1</v>
      </c>
      <c r="J229" s="9">
        <v>3</v>
      </c>
      <c r="K229" s="9" t="s">
        <v>8689</v>
      </c>
      <c r="L229" s="9" t="s">
        <v>8690</v>
      </c>
      <c r="M229" s="9"/>
      <c r="N229" s="10"/>
      <c r="O229" s="9"/>
      <c r="P229" s="9">
        <v>10929</v>
      </c>
      <c r="Q229" s="9">
        <v>1406.0027530843549</v>
      </c>
      <c r="R229" s="9"/>
      <c r="S229" s="9" t="s">
        <v>9321</v>
      </c>
      <c r="T229" s="9" t="s">
        <v>9321</v>
      </c>
      <c r="U229" s="9"/>
      <c r="V229" s="9"/>
      <c r="W229" s="9"/>
      <c r="X229" s="9"/>
      <c r="Y229" s="9"/>
      <c r="Z229" s="9"/>
      <c r="AA229" s="9"/>
      <c r="AB229" s="9"/>
      <c r="AC229" s="9"/>
      <c r="AD229" s="9"/>
    </row>
    <row r="230" spans="1:30" ht="58">
      <c r="A230" s="3" t="s">
        <v>975</v>
      </c>
      <c r="B230" s="3" t="s">
        <v>5764</v>
      </c>
      <c r="C230" s="3" t="s">
        <v>5766</v>
      </c>
      <c r="G230" s="9" t="s">
        <v>3885</v>
      </c>
      <c r="H230" s="9"/>
      <c r="I230" s="9">
        <v>1</v>
      </c>
      <c r="J230" s="9">
        <v>3</v>
      </c>
      <c r="K230" s="9" t="s">
        <v>8689</v>
      </c>
      <c r="L230" s="9" t="s">
        <v>8690</v>
      </c>
      <c r="M230" s="9"/>
      <c r="N230" s="10"/>
      <c r="O230" s="9"/>
      <c r="P230" s="9">
        <v>10929</v>
      </c>
      <c r="Q230" s="9">
        <v>1406.0027530843549</v>
      </c>
      <c r="R230" s="9"/>
      <c r="S230" s="9" t="s">
        <v>9321</v>
      </c>
      <c r="T230" s="9" t="s">
        <v>9321</v>
      </c>
      <c r="U230" s="9"/>
      <c r="V230" s="9"/>
      <c r="W230" s="9"/>
      <c r="X230" s="9"/>
      <c r="Y230" s="9"/>
      <c r="Z230" s="9"/>
      <c r="AA230" s="9"/>
      <c r="AB230" s="9"/>
      <c r="AC230" s="9"/>
      <c r="AD230" s="9"/>
    </row>
    <row r="231" spans="1:30" ht="58">
      <c r="A231" s="3" t="s">
        <v>975</v>
      </c>
      <c r="B231" s="3" t="s">
        <v>5767</v>
      </c>
      <c r="C231" s="3" t="s">
        <v>5765</v>
      </c>
      <c r="G231" s="9" t="s">
        <v>3889</v>
      </c>
      <c r="H231" s="9"/>
      <c r="I231" s="9">
        <v>1</v>
      </c>
      <c r="J231" s="9">
        <v>5</v>
      </c>
      <c r="K231" s="9" t="s">
        <v>8705</v>
      </c>
      <c r="L231" s="9" t="s">
        <v>8684</v>
      </c>
      <c r="M231" s="9" t="s">
        <v>8777</v>
      </c>
      <c r="N231" s="10" t="s">
        <v>8778</v>
      </c>
      <c r="O231" s="9"/>
      <c r="P231" s="9">
        <v>3678</v>
      </c>
      <c r="Q231" s="9">
        <v>473.17029241872609</v>
      </c>
      <c r="R231" s="9"/>
      <c r="S231" s="9" t="s">
        <v>9321</v>
      </c>
      <c r="T231" s="9" t="s">
        <v>9321</v>
      </c>
      <c r="U231" s="9"/>
      <c r="V231" s="9"/>
      <c r="W231" s="9"/>
      <c r="X231" s="9"/>
      <c r="Y231" s="9"/>
      <c r="Z231" s="9"/>
      <c r="AA231" s="9"/>
      <c r="AB231" s="9"/>
      <c r="AC231" s="9"/>
      <c r="AD231" s="9"/>
    </row>
    <row r="232" spans="1:30" ht="43.5">
      <c r="A232" s="3" t="s">
        <v>975</v>
      </c>
      <c r="B232" s="3" t="s">
        <v>5768</v>
      </c>
      <c r="C232" s="3" t="s">
        <v>5769</v>
      </c>
      <c r="G232" s="9" t="s">
        <v>3889</v>
      </c>
      <c r="H232" s="9"/>
      <c r="I232" s="9">
        <v>1</v>
      </c>
      <c r="J232" s="9">
        <v>1</v>
      </c>
      <c r="K232" s="9" t="s">
        <v>8689</v>
      </c>
      <c r="L232" s="9" t="s">
        <v>8730</v>
      </c>
      <c r="M232" s="9"/>
      <c r="N232" s="10"/>
      <c r="O232" s="9"/>
      <c r="P232" s="9">
        <v>10929</v>
      </c>
      <c r="Q232" s="9">
        <v>1406.0027530843549</v>
      </c>
      <c r="R232" s="9"/>
      <c r="S232" s="9" t="s">
        <v>9321</v>
      </c>
      <c r="T232" s="9" t="s">
        <v>9321</v>
      </c>
      <c r="U232" s="9"/>
      <c r="V232" s="9"/>
      <c r="W232" s="9"/>
      <c r="X232" s="9"/>
      <c r="Y232" s="9"/>
      <c r="Z232" s="9"/>
      <c r="AA232" s="9"/>
      <c r="AB232" s="9"/>
      <c r="AC232" s="9"/>
      <c r="AD232" s="9"/>
    </row>
    <row r="233" spans="1:30" ht="43.5">
      <c r="A233" s="3" t="s">
        <v>976</v>
      </c>
      <c r="B233" s="3" t="s">
        <v>5770</v>
      </c>
      <c r="C233" s="3" t="s">
        <v>5771</v>
      </c>
      <c r="F233" t="s">
        <v>3884</v>
      </c>
      <c r="G233" s="9" t="s">
        <v>3885</v>
      </c>
      <c r="H233" s="9"/>
      <c r="I233" s="9">
        <v>1</v>
      </c>
      <c r="J233" s="9">
        <v>2</v>
      </c>
      <c r="K233" s="9" t="s">
        <v>8707</v>
      </c>
      <c r="L233" s="9" t="s">
        <v>8730</v>
      </c>
      <c r="M233" s="9"/>
      <c r="N233" s="10"/>
      <c r="O233" s="9"/>
      <c r="P233" s="9">
        <v>519</v>
      </c>
      <c r="Q233" s="9">
        <v>66.768728049298218</v>
      </c>
      <c r="R233" s="9"/>
      <c r="S233" s="9" t="s">
        <v>9321</v>
      </c>
      <c r="T233" s="9" t="s">
        <v>9321</v>
      </c>
      <c r="U233" s="9"/>
      <c r="V233" s="9"/>
      <c r="W233" s="9"/>
      <c r="X233" s="9"/>
      <c r="Y233" s="9"/>
      <c r="Z233" s="9"/>
      <c r="AA233" s="9"/>
      <c r="AB233" s="9"/>
      <c r="AC233" s="9"/>
      <c r="AD233" s="9"/>
    </row>
    <row r="234" spans="1:30" ht="58">
      <c r="A234" s="3" t="s">
        <v>980</v>
      </c>
      <c r="B234" s="3" t="s">
        <v>5774</v>
      </c>
      <c r="C234" s="3" t="s">
        <v>9236</v>
      </c>
      <c r="G234" s="9" t="s">
        <v>3885</v>
      </c>
      <c r="H234" s="9"/>
      <c r="I234" s="9">
        <v>1</v>
      </c>
      <c r="J234" s="9">
        <v>2</v>
      </c>
      <c r="K234" s="9" t="s">
        <v>8707</v>
      </c>
      <c r="L234" s="9" t="s">
        <v>8730</v>
      </c>
      <c r="M234" s="9"/>
      <c r="N234" s="10"/>
      <c r="O234" s="9"/>
      <c r="P234" s="9">
        <v>1942</v>
      </c>
      <c r="Q234" s="9">
        <v>249.83597277791355</v>
      </c>
      <c r="R234" s="9"/>
      <c r="S234" s="9" t="s">
        <v>9321</v>
      </c>
      <c r="T234" s="9" t="s">
        <v>9321</v>
      </c>
      <c r="U234" s="9"/>
      <c r="V234" s="9"/>
      <c r="W234" s="9"/>
      <c r="X234" s="9"/>
      <c r="Y234" s="9"/>
      <c r="Z234" s="9"/>
      <c r="AA234" s="9"/>
      <c r="AB234" s="9"/>
      <c r="AC234" s="9"/>
      <c r="AD234" s="9"/>
    </row>
    <row r="235" spans="1:30" ht="29">
      <c r="A235" s="3" t="s">
        <v>982</v>
      </c>
      <c r="B235" s="3" t="s">
        <v>5779</v>
      </c>
      <c r="C235" s="3" t="s">
        <v>9630</v>
      </c>
      <c r="F235" t="s">
        <v>3884</v>
      </c>
      <c r="G235" s="9" t="s">
        <v>3889</v>
      </c>
      <c r="H235" s="9"/>
      <c r="I235" s="9">
        <v>1</v>
      </c>
      <c r="J235" s="9">
        <v>3</v>
      </c>
      <c r="K235" s="9" t="s">
        <v>8705</v>
      </c>
      <c r="L235" s="9" t="s">
        <v>8690</v>
      </c>
      <c r="M235" s="9"/>
      <c r="N235" s="10"/>
      <c r="O235" s="9"/>
      <c r="P235" s="9">
        <v>1443</v>
      </c>
      <c r="Q235" s="9">
        <v>185.64022076134361</v>
      </c>
      <c r="R235" s="9"/>
      <c r="S235" s="9" t="s">
        <v>9321</v>
      </c>
      <c r="T235" s="9" t="s">
        <v>9321</v>
      </c>
      <c r="U235" s="9"/>
      <c r="V235" s="9"/>
      <c r="W235" s="9"/>
      <c r="X235" s="9"/>
      <c r="Y235" s="9"/>
      <c r="Z235" s="9"/>
      <c r="AA235" s="9"/>
      <c r="AB235" s="9"/>
      <c r="AC235" s="9"/>
      <c r="AD235" s="9"/>
    </row>
    <row r="236" spans="1:30" ht="43.5">
      <c r="A236" s="3" t="s">
        <v>993</v>
      </c>
      <c r="B236" s="3" t="s">
        <v>5798</v>
      </c>
      <c r="C236" s="3" t="s">
        <v>5799</v>
      </c>
      <c r="F236" t="s">
        <v>3884</v>
      </c>
      <c r="G236" s="9" t="s">
        <v>3885</v>
      </c>
      <c r="H236" s="9"/>
      <c r="I236" s="9">
        <v>1</v>
      </c>
      <c r="J236" s="9">
        <v>3</v>
      </c>
      <c r="K236" s="9" t="s">
        <v>8689</v>
      </c>
      <c r="L236" s="9" t="s">
        <v>8690</v>
      </c>
      <c r="M236" s="9"/>
      <c r="N236" s="10"/>
      <c r="O236" s="9"/>
      <c r="P236" s="9">
        <v>10929</v>
      </c>
      <c r="Q236" s="9">
        <v>1406.0027530843549</v>
      </c>
      <c r="R236" s="9"/>
      <c r="S236" s="9" t="s">
        <v>9321</v>
      </c>
      <c r="T236" s="9" t="s">
        <v>9321</v>
      </c>
      <c r="U236" s="9"/>
      <c r="V236" s="9"/>
      <c r="W236" s="9"/>
      <c r="X236" s="9"/>
      <c r="Y236" s="9"/>
      <c r="Z236" s="9"/>
      <c r="AA236" s="9"/>
      <c r="AB236" s="9"/>
      <c r="AC236" s="9"/>
      <c r="AD236" s="9"/>
    </row>
    <row r="237" spans="1:30" ht="29">
      <c r="A237" s="3" t="s">
        <v>995</v>
      </c>
      <c r="B237" s="3" t="s">
        <v>5804</v>
      </c>
      <c r="C237" s="3" t="s">
        <v>5805</v>
      </c>
      <c r="G237" s="9" t="s">
        <v>3889</v>
      </c>
      <c r="H237" s="9"/>
      <c r="I237" s="9">
        <v>1</v>
      </c>
      <c r="J237" s="9">
        <v>4</v>
      </c>
      <c r="K237" s="9" t="s">
        <v>8689</v>
      </c>
      <c r="L237" s="9" t="s">
        <v>8690</v>
      </c>
      <c r="M237" s="9"/>
      <c r="N237" s="10"/>
      <c r="O237" s="9"/>
      <c r="P237" s="9">
        <v>10929</v>
      </c>
      <c r="Q237" s="9">
        <v>1406.0027530843549</v>
      </c>
      <c r="R237" s="9"/>
      <c r="S237" s="9" t="s">
        <v>9321</v>
      </c>
      <c r="T237" s="9" t="s">
        <v>9321</v>
      </c>
      <c r="U237" s="9"/>
      <c r="V237" s="9"/>
      <c r="W237" s="9"/>
      <c r="X237" s="9"/>
      <c r="Y237" s="9"/>
      <c r="Z237" s="9"/>
      <c r="AA237" s="9"/>
      <c r="AB237" s="9"/>
      <c r="AC237" s="9"/>
      <c r="AD237" s="9"/>
    </row>
    <row r="238" spans="1:30" ht="29">
      <c r="A238" s="3" t="s">
        <v>996</v>
      </c>
      <c r="B238" s="3" t="s">
        <v>5806</v>
      </c>
      <c r="C238" s="3" t="s">
        <v>5807</v>
      </c>
      <c r="G238" s="9" t="s">
        <v>3885</v>
      </c>
      <c r="H238" s="9"/>
      <c r="I238" s="9">
        <v>1</v>
      </c>
      <c r="J238" s="9">
        <v>1</v>
      </c>
      <c r="K238" s="9" t="s">
        <v>8689</v>
      </c>
      <c r="L238" s="9" t="s">
        <v>8730</v>
      </c>
      <c r="M238" s="9"/>
      <c r="N238" s="10"/>
      <c r="O238" s="9"/>
      <c r="P238" s="9">
        <v>10929</v>
      </c>
      <c r="Q238" s="9">
        <v>1406.0027530843549</v>
      </c>
      <c r="R238" s="9"/>
      <c r="S238" s="9" t="s">
        <v>9321</v>
      </c>
      <c r="T238" s="9" t="s">
        <v>9321</v>
      </c>
      <c r="U238" s="9"/>
      <c r="V238" s="9"/>
      <c r="W238" s="9"/>
      <c r="X238" s="9"/>
      <c r="Y238" s="9"/>
      <c r="Z238" s="9"/>
      <c r="AA238" s="9"/>
      <c r="AB238" s="9"/>
      <c r="AC238" s="9"/>
      <c r="AD238" s="9"/>
    </row>
    <row r="239" spans="1:30" ht="29">
      <c r="A239" s="3" t="s">
        <v>1012</v>
      </c>
      <c r="B239" s="3" t="s">
        <v>5850</v>
      </c>
      <c r="C239" s="3" t="s">
        <v>5853</v>
      </c>
      <c r="G239" s="9" t="s">
        <v>3885</v>
      </c>
      <c r="H239" s="9"/>
      <c r="I239" s="9">
        <v>1</v>
      </c>
      <c r="J239" s="9">
        <v>3</v>
      </c>
      <c r="K239" s="9" t="s">
        <v>8689</v>
      </c>
      <c r="L239" s="9" t="s">
        <v>8690</v>
      </c>
      <c r="M239" s="9"/>
      <c r="N239" s="10"/>
      <c r="O239" s="9"/>
      <c r="P239" s="9">
        <v>10929</v>
      </c>
      <c r="Q239" s="9">
        <v>1406.0027530843549</v>
      </c>
      <c r="R239" s="9"/>
      <c r="S239" s="9" t="s">
        <v>9321</v>
      </c>
      <c r="T239" s="9" t="s">
        <v>9321</v>
      </c>
      <c r="U239" s="9"/>
      <c r="V239" s="9"/>
      <c r="W239" s="9"/>
      <c r="X239" s="9"/>
      <c r="Y239" s="9"/>
      <c r="Z239" s="9"/>
      <c r="AA239" s="9"/>
      <c r="AB239" s="9"/>
      <c r="AC239" s="9"/>
      <c r="AD239" s="9"/>
    </row>
    <row r="240" spans="1:30" ht="58">
      <c r="A240" s="3" t="s">
        <v>1029</v>
      </c>
      <c r="B240" s="3" t="s">
        <v>5883</v>
      </c>
      <c r="C240" s="3" t="s">
        <v>5885</v>
      </c>
      <c r="G240" s="9" t="s">
        <v>3885</v>
      </c>
      <c r="H240" s="9"/>
      <c r="I240" s="9">
        <v>1</v>
      </c>
      <c r="J240" s="9">
        <v>3</v>
      </c>
      <c r="K240" s="9" t="s">
        <v>8698</v>
      </c>
      <c r="L240" s="9" t="s">
        <v>8690</v>
      </c>
      <c r="M240" s="9"/>
      <c r="N240" s="10"/>
      <c r="O240" s="9"/>
      <c r="P240" s="9">
        <v>9418</v>
      </c>
      <c r="Q240" s="9">
        <v>1211.6144138117354</v>
      </c>
      <c r="R240" s="9"/>
      <c r="S240" s="9" t="s">
        <v>9321</v>
      </c>
      <c r="T240" s="9" t="s">
        <v>9321</v>
      </c>
      <c r="U240" s="9"/>
      <c r="V240" s="9"/>
      <c r="W240" s="9"/>
      <c r="X240" s="9"/>
      <c r="Y240" s="9"/>
      <c r="Z240" s="9"/>
      <c r="AA240" s="9"/>
      <c r="AB240" s="9"/>
      <c r="AC240" s="9"/>
      <c r="AD240" s="9"/>
    </row>
    <row r="241" spans="1:30" ht="58">
      <c r="A241" s="3" t="s">
        <v>1030</v>
      </c>
      <c r="B241" s="3" t="s">
        <v>5889</v>
      </c>
      <c r="C241" s="3" t="s">
        <v>5890</v>
      </c>
      <c r="G241" s="9" t="s">
        <v>3889</v>
      </c>
      <c r="H241" s="9"/>
      <c r="I241" s="9">
        <v>1</v>
      </c>
      <c r="J241" s="9">
        <v>1</v>
      </c>
      <c r="K241" s="9" t="s">
        <v>8698</v>
      </c>
      <c r="L241" s="9" t="s">
        <v>8730</v>
      </c>
      <c r="M241" s="9"/>
      <c r="N241" s="10"/>
      <c r="O241" s="9"/>
      <c r="P241" s="9">
        <v>73</v>
      </c>
      <c r="Q241" s="9">
        <v>9.3913625194581307</v>
      </c>
      <c r="R241" s="9"/>
      <c r="S241" s="9" t="s">
        <v>9321</v>
      </c>
      <c r="T241" s="9" t="s">
        <v>9321</v>
      </c>
      <c r="U241" s="9"/>
      <c r="V241" s="9"/>
      <c r="W241" s="9"/>
      <c r="X241" s="9"/>
      <c r="Y241" s="9"/>
      <c r="Z241" s="9"/>
      <c r="AA241" s="9"/>
      <c r="AB241" s="9"/>
      <c r="AC241" s="9"/>
      <c r="AD241" s="9"/>
    </row>
    <row r="242" spans="1:30" ht="43.5">
      <c r="A242" s="3" t="s">
        <v>1033</v>
      </c>
      <c r="B242" s="3" t="s">
        <v>5898</v>
      </c>
      <c r="C242" s="3" t="s">
        <v>5899</v>
      </c>
      <c r="F242" t="s">
        <v>3884</v>
      </c>
      <c r="G242" s="9" t="s">
        <v>3885</v>
      </c>
      <c r="H242" s="9"/>
      <c r="I242" s="9">
        <v>1</v>
      </c>
      <c r="J242" s="9">
        <v>2</v>
      </c>
      <c r="K242" s="9" t="s">
        <v>8705</v>
      </c>
      <c r="L242" s="9" t="s">
        <v>8730</v>
      </c>
      <c r="M242" s="9"/>
      <c r="N242" s="10"/>
      <c r="O242" s="9"/>
      <c r="P242" s="9">
        <v>615</v>
      </c>
      <c r="Q242" s="9">
        <v>79.119013006393843</v>
      </c>
      <c r="R242" s="9"/>
      <c r="S242" s="9" t="s">
        <v>9321</v>
      </c>
      <c r="T242" s="9" t="s">
        <v>9321</v>
      </c>
      <c r="U242" s="9"/>
      <c r="V242" s="9"/>
      <c r="W242" s="9"/>
      <c r="X242" s="9"/>
      <c r="Y242" s="9"/>
      <c r="Z242" s="9"/>
      <c r="AA242" s="9"/>
      <c r="AB242" s="9"/>
      <c r="AC242" s="9"/>
      <c r="AD242" s="9"/>
    </row>
    <row r="243" spans="1:30" ht="72.5">
      <c r="A243" s="3" t="s">
        <v>1041</v>
      </c>
      <c r="B243" s="3" t="s">
        <v>5913</v>
      </c>
      <c r="C243" s="3" t="s">
        <v>5912</v>
      </c>
      <c r="G243" s="9" t="s">
        <v>3885</v>
      </c>
      <c r="H243" s="9"/>
      <c r="I243" s="9">
        <v>1</v>
      </c>
      <c r="J243" s="9">
        <v>5</v>
      </c>
      <c r="K243" s="9" t="s">
        <v>8705</v>
      </c>
      <c r="L243" s="9" t="s">
        <v>8690</v>
      </c>
      <c r="M243" s="9"/>
      <c r="N243" s="10"/>
      <c r="O243" s="9"/>
      <c r="P243" s="9">
        <v>3678</v>
      </c>
      <c r="Q243" s="9">
        <v>473.17029241872609</v>
      </c>
      <c r="R243" s="9"/>
      <c r="S243" s="9" t="s">
        <v>9321</v>
      </c>
      <c r="T243" s="9" t="s">
        <v>9321</v>
      </c>
      <c r="U243" s="9"/>
      <c r="V243" s="9"/>
      <c r="W243" s="9"/>
      <c r="X243" s="9"/>
      <c r="Y243" s="9"/>
      <c r="Z243" s="9"/>
      <c r="AA243" s="9"/>
      <c r="AB243" s="9"/>
      <c r="AC243" s="9"/>
      <c r="AD243" s="9"/>
    </row>
    <row r="244" spans="1:30" ht="43.5">
      <c r="A244" s="3" t="s">
        <v>1056</v>
      </c>
      <c r="B244" s="3" t="s">
        <v>5953</v>
      </c>
      <c r="C244" s="3" t="s">
        <v>5954</v>
      </c>
      <c r="F244" t="s">
        <v>3884</v>
      </c>
      <c r="G244" s="9" t="s">
        <v>3885</v>
      </c>
      <c r="H244" s="9"/>
      <c r="I244" s="9">
        <v>1</v>
      </c>
      <c r="J244" s="9">
        <v>3</v>
      </c>
      <c r="K244" s="9" t="s">
        <v>8698</v>
      </c>
      <c r="L244" s="9" t="s">
        <v>8690</v>
      </c>
      <c r="M244" s="9"/>
      <c r="N244" s="10"/>
      <c r="O244" s="9"/>
      <c r="P244" s="9">
        <v>9418</v>
      </c>
      <c r="Q244" s="9">
        <v>1211.6144138117354</v>
      </c>
      <c r="R244" s="9"/>
      <c r="S244" s="9" t="s">
        <v>9321</v>
      </c>
      <c r="T244" s="9" t="s">
        <v>9321</v>
      </c>
      <c r="U244" s="9"/>
      <c r="V244" s="9"/>
      <c r="W244" s="9"/>
      <c r="X244" s="9"/>
      <c r="Y244" s="9"/>
      <c r="Z244" s="9"/>
      <c r="AA244" s="9"/>
      <c r="AB244" s="9"/>
      <c r="AC244" s="9"/>
      <c r="AD244" s="9"/>
    </row>
    <row r="245" spans="1:30" ht="43.5">
      <c r="A245" s="3" t="s">
        <v>1062</v>
      </c>
      <c r="B245" s="3" t="s">
        <v>5975</v>
      </c>
      <c r="C245" s="3" t="s">
        <v>5972</v>
      </c>
      <c r="G245" s="9" t="s">
        <v>3889</v>
      </c>
      <c r="H245" s="9"/>
      <c r="I245" s="9">
        <v>1</v>
      </c>
      <c r="J245" s="9">
        <v>2</v>
      </c>
      <c r="K245" s="9" t="s">
        <v>8689</v>
      </c>
      <c r="L245" s="9" t="s">
        <v>8730</v>
      </c>
      <c r="M245" s="9"/>
      <c r="N245" s="10"/>
      <c r="O245" s="9"/>
      <c r="P245" s="9">
        <v>10929</v>
      </c>
      <c r="Q245" s="9">
        <v>1406.0027530843549</v>
      </c>
      <c r="R245" s="9"/>
      <c r="S245" s="9" t="s">
        <v>9321</v>
      </c>
      <c r="T245" s="9" t="s">
        <v>9321</v>
      </c>
      <c r="U245" s="9"/>
      <c r="V245" s="9"/>
      <c r="W245" s="9"/>
      <c r="X245" s="9"/>
      <c r="Y245" s="9"/>
      <c r="Z245" s="9"/>
      <c r="AA245" s="9"/>
      <c r="AB245" s="9"/>
      <c r="AC245" s="9"/>
      <c r="AD245" s="9"/>
    </row>
    <row r="246" spans="1:30" ht="58">
      <c r="A246" s="3" t="s">
        <v>1062</v>
      </c>
      <c r="B246" s="3" t="s">
        <v>5976</v>
      </c>
      <c r="C246" s="3" t="s">
        <v>5977</v>
      </c>
      <c r="G246" s="9" t="s">
        <v>3885</v>
      </c>
      <c r="H246" s="9"/>
      <c r="I246" s="9">
        <v>1</v>
      </c>
      <c r="J246" s="9">
        <v>2</v>
      </c>
      <c r="K246" s="9" t="s">
        <v>8705</v>
      </c>
      <c r="L246" s="9" t="s">
        <v>8730</v>
      </c>
      <c r="M246" s="9"/>
      <c r="N246" s="10"/>
      <c r="O246" s="9"/>
      <c r="P246" s="9">
        <v>615</v>
      </c>
      <c r="Q246" s="9">
        <v>79.119013006393843</v>
      </c>
      <c r="R246" s="9"/>
      <c r="S246" s="9" t="s">
        <v>9321</v>
      </c>
      <c r="T246" s="9" t="s">
        <v>9321</v>
      </c>
      <c r="U246" s="9"/>
      <c r="V246" s="9"/>
      <c r="W246" s="9"/>
      <c r="X246" s="9"/>
      <c r="Y246" s="9"/>
      <c r="Z246" s="9"/>
      <c r="AA246" s="9"/>
      <c r="AB246" s="9"/>
      <c r="AC246" s="9"/>
      <c r="AD246" s="9"/>
    </row>
    <row r="247" spans="1:30" ht="43.5">
      <c r="A247" s="3" t="s">
        <v>1066</v>
      </c>
      <c r="B247" s="3" t="s">
        <v>5983</v>
      </c>
      <c r="C247" s="3" t="s">
        <v>5984</v>
      </c>
      <c r="F247" t="s">
        <v>3884</v>
      </c>
      <c r="G247" s="9" t="s">
        <v>3889</v>
      </c>
      <c r="H247" s="9"/>
      <c r="I247" s="9">
        <v>1</v>
      </c>
      <c r="J247" s="9">
        <v>3</v>
      </c>
      <c r="K247" s="9" t="s">
        <v>8689</v>
      </c>
      <c r="L247" s="9" t="s">
        <v>8690</v>
      </c>
      <c r="M247" s="9"/>
      <c r="N247" s="10"/>
      <c r="O247" s="9"/>
      <c r="P247" s="9">
        <v>10929</v>
      </c>
      <c r="Q247" s="9">
        <v>1406.0027530843549</v>
      </c>
      <c r="R247" s="9"/>
      <c r="S247" s="9" t="s">
        <v>9321</v>
      </c>
      <c r="T247" s="9" t="s">
        <v>9321</v>
      </c>
      <c r="U247" s="9"/>
      <c r="V247" s="9"/>
      <c r="W247" s="9"/>
      <c r="X247" s="9"/>
      <c r="Y247" s="9"/>
      <c r="Z247" s="9"/>
      <c r="AA247" s="9"/>
      <c r="AB247" s="9"/>
      <c r="AC247" s="9"/>
      <c r="AD247" s="9"/>
    </row>
    <row r="248" spans="1:30" ht="29">
      <c r="A248" s="3" t="s">
        <v>1069</v>
      </c>
      <c r="B248" s="3" t="s">
        <v>5986</v>
      </c>
      <c r="C248" s="3" t="s">
        <v>5985</v>
      </c>
      <c r="G248" s="9" t="s">
        <v>3885</v>
      </c>
      <c r="H248" s="9"/>
      <c r="I248" s="9">
        <v>1</v>
      </c>
      <c r="J248" s="9">
        <v>2</v>
      </c>
      <c r="K248" s="9" t="s">
        <v>8689</v>
      </c>
      <c r="L248" s="9" t="s">
        <v>8730</v>
      </c>
      <c r="M248" s="9"/>
      <c r="N248" s="10"/>
      <c r="O248" s="9"/>
      <c r="P248" s="9">
        <v>10929</v>
      </c>
      <c r="Q248" s="9">
        <v>1406.0027530843549</v>
      </c>
      <c r="R248" s="9"/>
      <c r="S248" s="9" t="s">
        <v>9321</v>
      </c>
      <c r="T248" s="9" t="s">
        <v>9321</v>
      </c>
      <c r="U248" s="9"/>
      <c r="V248" s="9"/>
      <c r="W248" s="9"/>
      <c r="X248" s="9"/>
      <c r="Y248" s="9"/>
      <c r="Z248" s="9"/>
      <c r="AA248" s="9"/>
      <c r="AB248" s="9"/>
      <c r="AC248" s="9"/>
      <c r="AD248" s="9"/>
    </row>
    <row r="249" spans="1:30" ht="58">
      <c r="A249" s="3" t="s">
        <v>1073</v>
      </c>
      <c r="B249" s="3" t="s">
        <v>6002</v>
      </c>
      <c r="C249" s="3" t="s">
        <v>6003</v>
      </c>
      <c r="G249" s="9" t="s">
        <v>3889</v>
      </c>
      <c r="H249" s="9"/>
      <c r="I249" s="9">
        <v>1</v>
      </c>
      <c r="J249" s="9">
        <v>3</v>
      </c>
      <c r="K249" s="9" t="s">
        <v>8689</v>
      </c>
      <c r="L249" s="9" t="s">
        <v>8684</v>
      </c>
      <c r="M249" s="9" t="s">
        <v>8771</v>
      </c>
      <c r="N249" s="10" t="s">
        <v>8778</v>
      </c>
      <c r="O249" s="9"/>
      <c r="P249" s="9">
        <v>10929</v>
      </c>
      <c r="Q249" s="9">
        <v>1406.0027530843549</v>
      </c>
      <c r="R249" s="9"/>
      <c r="S249" s="9" t="s">
        <v>9321</v>
      </c>
      <c r="T249" s="9" t="s">
        <v>9321</v>
      </c>
      <c r="U249" s="9"/>
      <c r="V249" s="9"/>
      <c r="W249" s="9"/>
      <c r="X249" s="9"/>
      <c r="Y249" s="9"/>
      <c r="Z249" s="9"/>
      <c r="AA249" s="9"/>
      <c r="AB249" s="9"/>
      <c r="AC249" s="9"/>
      <c r="AD249" s="9"/>
    </row>
    <row r="250" spans="1:30" ht="43.5">
      <c r="A250" s="3" t="s">
        <v>1086</v>
      </c>
      <c r="B250" s="3" t="s">
        <v>5475</v>
      </c>
      <c r="C250" s="3" t="s">
        <v>5476</v>
      </c>
      <c r="F250" t="s">
        <v>3884</v>
      </c>
      <c r="G250" s="9" t="s">
        <v>3885</v>
      </c>
      <c r="H250" s="9"/>
      <c r="I250" s="9">
        <v>1</v>
      </c>
      <c r="J250" s="9">
        <v>3</v>
      </c>
      <c r="K250" s="9" t="s">
        <v>8689</v>
      </c>
      <c r="L250" s="9" t="s">
        <v>8690</v>
      </c>
      <c r="M250" s="9"/>
      <c r="N250" s="10"/>
      <c r="O250" s="9"/>
      <c r="P250" s="9">
        <v>10929</v>
      </c>
      <c r="Q250" s="9">
        <v>1406.0027530843549</v>
      </c>
      <c r="R250" s="9"/>
      <c r="S250" s="9" t="s">
        <v>9321</v>
      </c>
      <c r="T250" s="9" t="s">
        <v>9321</v>
      </c>
      <c r="U250" s="9"/>
      <c r="V250" s="9"/>
      <c r="W250" s="9"/>
      <c r="X250" s="9"/>
      <c r="Y250" s="9"/>
      <c r="Z250" s="9"/>
      <c r="AA250" s="9"/>
      <c r="AB250" s="9"/>
      <c r="AC250" s="9"/>
      <c r="AD250" s="9"/>
    </row>
    <row r="251" spans="1:30" ht="43.5">
      <c r="A251" s="3" t="s">
        <v>1091</v>
      </c>
      <c r="B251" s="3" t="s">
        <v>6054</v>
      </c>
      <c r="C251" s="3" t="s">
        <v>6055</v>
      </c>
      <c r="F251" t="s">
        <v>3884</v>
      </c>
      <c r="G251" s="9" t="s">
        <v>3889</v>
      </c>
      <c r="H251" s="9"/>
      <c r="I251" s="9">
        <v>1</v>
      </c>
      <c r="J251" s="9">
        <v>3</v>
      </c>
      <c r="K251" s="9" t="s">
        <v>8698</v>
      </c>
      <c r="L251" s="9" t="s">
        <v>8690</v>
      </c>
      <c r="M251" s="9"/>
      <c r="N251" s="10"/>
      <c r="O251" s="9"/>
      <c r="P251" s="9">
        <v>9418</v>
      </c>
      <c r="Q251" s="9">
        <v>1211.6144138117354</v>
      </c>
      <c r="R251" s="9"/>
      <c r="S251" s="9" t="s">
        <v>9321</v>
      </c>
      <c r="T251" s="9" t="s">
        <v>9321</v>
      </c>
      <c r="U251" s="9"/>
      <c r="V251" s="9"/>
      <c r="W251" s="9"/>
      <c r="X251" s="9"/>
      <c r="Y251" s="9"/>
      <c r="Z251" s="9"/>
      <c r="AA251" s="9"/>
      <c r="AB251" s="9"/>
      <c r="AC251" s="9"/>
      <c r="AD251" s="9"/>
    </row>
    <row r="252" spans="1:30" ht="58">
      <c r="A252" s="3" t="s">
        <v>1093</v>
      </c>
      <c r="B252" s="3" t="s">
        <v>9510</v>
      </c>
      <c r="C252" s="3" t="s">
        <v>9512</v>
      </c>
      <c r="G252" s="9" t="s">
        <v>3885</v>
      </c>
      <c r="H252" s="9"/>
      <c r="I252" s="9">
        <v>1</v>
      </c>
      <c r="J252" s="9">
        <v>1</v>
      </c>
      <c r="K252" s="9" t="s">
        <v>8689</v>
      </c>
      <c r="L252" s="9" t="s">
        <v>8730</v>
      </c>
      <c r="M252" s="9"/>
      <c r="N252" s="10"/>
      <c r="O252" s="9"/>
      <c r="P252" s="9">
        <v>10929</v>
      </c>
      <c r="Q252" s="9">
        <v>1406.0027530843549</v>
      </c>
      <c r="R252" s="9"/>
      <c r="S252" s="9" t="s">
        <v>9321</v>
      </c>
      <c r="T252" s="9" t="s">
        <v>9321</v>
      </c>
      <c r="U252" s="9"/>
      <c r="V252" s="9"/>
      <c r="W252" s="9"/>
      <c r="X252" s="9"/>
      <c r="Y252" s="9"/>
      <c r="Z252" s="9"/>
      <c r="AA252" s="9"/>
      <c r="AB252" s="9"/>
      <c r="AC252" s="9"/>
      <c r="AD252" s="9"/>
    </row>
    <row r="253" spans="1:30" ht="58">
      <c r="A253" s="3" t="s">
        <v>1104</v>
      </c>
      <c r="B253" s="3" t="s">
        <v>6090</v>
      </c>
      <c r="C253" s="3" t="s">
        <v>6091</v>
      </c>
      <c r="F253" t="s">
        <v>3884</v>
      </c>
      <c r="G253" s="9" t="s">
        <v>3889</v>
      </c>
      <c r="H253" s="9"/>
      <c r="I253" s="9">
        <v>1</v>
      </c>
      <c r="J253" s="9">
        <v>3</v>
      </c>
      <c r="K253" s="9" t="s">
        <v>8698</v>
      </c>
      <c r="L253" s="9" t="s">
        <v>8690</v>
      </c>
      <c r="M253" s="9"/>
      <c r="N253" s="10"/>
      <c r="O253" s="9"/>
      <c r="P253" s="9">
        <v>9418</v>
      </c>
      <c r="Q253" s="9">
        <v>1211.6144138117354</v>
      </c>
      <c r="R253" s="9"/>
      <c r="S253" s="9" t="s">
        <v>9321</v>
      </c>
      <c r="T253" s="9" t="s">
        <v>9321</v>
      </c>
      <c r="U253" s="9"/>
      <c r="V253" s="9"/>
      <c r="W253" s="9"/>
      <c r="X253" s="9"/>
      <c r="Y253" s="9"/>
      <c r="Z253" s="9"/>
      <c r="AA253" s="9"/>
      <c r="AB253" s="9"/>
      <c r="AC253" s="9"/>
      <c r="AD253" s="9"/>
    </row>
    <row r="254" spans="1:30" ht="43.5">
      <c r="A254" s="3" t="s">
        <v>1106</v>
      </c>
      <c r="B254" s="3" t="s">
        <v>6097</v>
      </c>
      <c r="C254" s="3" t="s">
        <v>6098</v>
      </c>
      <c r="F254" t="s">
        <v>3884</v>
      </c>
      <c r="G254" s="9" t="s">
        <v>3885</v>
      </c>
      <c r="H254" s="9"/>
      <c r="I254" s="9">
        <v>1</v>
      </c>
      <c r="J254" s="9">
        <v>3</v>
      </c>
      <c r="K254" s="9" t="s">
        <v>8698</v>
      </c>
      <c r="L254" s="9" t="s">
        <v>8690</v>
      </c>
      <c r="M254" s="9"/>
      <c r="N254" s="10"/>
      <c r="O254" s="9"/>
      <c r="P254" s="9">
        <v>9418</v>
      </c>
      <c r="Q254" s="9">
        <v>1211.6144138117354</v>
      </c>
      <c r="R254" s="9"/>
      <c r="S254" s="9" t="s">
        <v>9321</v>
      </c>
      <c r="T254" s="9" t="s">
        <v>9321</v>
      </c>
      <c r="U254" s="9"/>
      <c r="V254" s="9"/>
      <c r="W254" s="9"/>
      <c r="X254" s="9"/>
      <c r="Y254" s="9"/>
      <c r="Z254" s="9"/>
      <c r="AA254" s="9"/>
      <c r="AB254" s="9"/>
      <c r="AC254" s="9"/>
      <c r="AD254" s="9"/>
    </row>
    <row r="255" spans="1:30" ht="58">
      <c r="A255" s="3" t="s">
        <v>1109</v>
      </c>
      <c r="B255" s="3" t="s">
        <v>9513</v>
      </c>
      <c r="C255" s="3" t="s">
        <v>9514</v>
      </c>
      <c r="G255" s="9" t="s">
        <v>3889</v>
      </c>
      <c r="H255" s="9"/>
      <c r="I255" s="9">
        <v>1</v>
      </c>
      <c r="J255" s="9">
        <v>1</v>
      </c>
      <c r="K255" s="9" t="s">
        <v>8689</v>
      </c>
      <c r="L255" s="9" t="s">
        <v>8730</v>
      </c>
      <c r="M255" s="9"/>
      <c r="N255" s="10"/>
      <c r="O255" s="9" t="s">
        <v>8685</v>
      </c>
      <c r="P255" s="9">
        <v>10929</v>
      </c>
      <c r="Q255" s="9">
        <v>1406.0027530843549</v>
      </c>
      <c r="R255" s="9"/>
      <c r="S255" s="9" t="s">
        <v>9321</v>
      </c>
      <c r="T255" s="9" t="s">
        <v>9321</v>
      </c>
      <c r="U255" s="9"/>
      <c r="V255" s="9"/>
      <c r="W255" s="9"/>
      <c r="X255" s="9"/>
      <c r="Y255" s="9"/>
      <c r="Z255" s="9"/>
      <c r="AA255" s="9"/>
      <c r="AB255" s="9"/>
      <c r="AC255" s="9"/>
      <c r="AD255" s="9"/>
    </row>
    <row r="256" spans="1:30" ht="43.5">
      <c r="A256" s="3" t="s">
        <v>1109</v>
      </c>
      <c r="B256" s="3" t="s">
        <v>6107</v>
      </c>
      <c r="C256" s="3" t="s">
        <v>6108</v>
      </c>
      <c r="F256" t="s">
        <v>3884</v>
      </c>
      <c r="G256" s="9" t="s">
        <v>3885</v>
      </c>
      <c r="H256" s="9"/>
      <c r="I256" s="9">
        <v>1</v>
      </c>
      <c r="J256" s="9">
        <v>3</v>
      </c>
      <c r="K256" s="9" t="s">
        <v>8698</v>
      </c>
      <c r="L256" s="9" t="s">
        <v>8690</v>
      </c>
      <c r="M256" s="9"/>
      <c r="N256" s="10"/>
      <c r="O256" s="9"/>
      <c r="P256" s="9">
        <v>9418</v>
      </c>
      <c r="Q256" s="9">
        <v>1211.6144138117354</v>
      </c>
      <c r="R256" s="9"/>
      <c r="S256" s="9" t="s">
        <v>9321</v>
      </c>
      <c r="T256" s="9" t="s">
        <v>9321</v>
      </c>
      <c r="U256" s="9"/>
      <c r="V256" s="9"/>
      <c r="W256" s="9"/>
      <c r="X256" s="9"/>
      <c r="Y256" s="9"/>
      <c r="Z256" s="9"/>
      <c r="AA256" s="9"/>
      <c r="AB256" s="9"/>
      <c r="AC256" s="9"/>
      <c r="AD256" s="9"/>
    </row>
    <row r="257" spans="1:30" ht="72.5">
      <c r="A257" s="3" t="s">
        <v>1126</v>
      </c>
      <c r="B257" s="3" t="s">
        <v>6139</v>
      </c>
      <c r="C257" s="3" t="s">
        <v>6140</v>
      </c>
      <c r="F257" t="s">
        <v>3884</v>
      </c>
      <c r="G257" s="9" t="s">
        <v>3885</v>
      </c>
      <c r="H257" s="9"/>
      <c r="I257" s="9">
        <v>1</v>
      </c>
      <c r="J257" s="9">
        <v>2</v>
      </c>
      <c r="K257" s="9" t="s">
        <v>8734</v>
      </c>
      <c r="L257" s="9" t="s">
        <v>8730</v>
      </c>
      <c r="M257" s="9"/>
      <c r="N257" s="10"/>
      <c r="O257" s="9"/>
      <c r="P257" s="9">
        <v>698</v>
      </c>
      <c r="Q257" s="9">
        <v>89.796863542216116</v>
      </c>
      <c r="R257" s="9"/>
      <c r="S257" s="9" t="s">
        <v>9321</v>
      </c>
      <c r="T257" s="9" t="s">
        <v>9321</v>
      </c>
      <c r="U257" s="9"/>
      <c r="V257" s="9"/>
      <c r="W257" s="9"/>
      <c r="X257" s="9"/>
      <c r="Y257" s="9"/>
      <c r="Z257" s="9"/>
      <c r="AA257" s="9"/>
      <c r="AB257" s="9"/>
      <c r="AC257" s="9"/>
      <c r="AD257" s="9"/>
    </row>
    <row r="258" spans="1:30" ht="43.5">
      <c r="A258" s="3" t="s">
        <v>1132</v>
      </c>
      <c r="B258" s="3" t="s">
        <v>6153</v>
      </c>
      <c r="C258" s="3" t="s">
        <v>6156</v>
      </c>
      <c r="F258" t="s">
        <v>3884</v>
      </c>
      <c r="G258" s="9" t="s">
        <v>3885</v>
      </c>
      <c r="H258" s="9"/>
      <c r="I258" s="9">
        <v>1</v>
      </c>
      <c r="J258" s="9">
        <v>1</v>
      </c>
      <c r="K258" s="9" t="s">
        <v>8689</v>
      </c>
      <c r="L258" s="9" t="s">
        <v>8730</v>
      </c>
      <c r="M258" s="9"/>
      <c r="N258" s="10"/>
      <c r="O258" s="9"/>
      <c r="P258" s="9">
        <v>10929</v>
      </c>
      <c r="Q258" s="9">
        <v>1406.0027530843549</v>
      </c>
      <c r="R258" s="9"/>
      <c r="S258" s="9" t="s">
        <v>9321</v>
      </c>
      <c r="T258" s="9" t="s">
        <v>9321</v>
      </c>
      <c r="U258" s="9"/>
      <c r="V258" s="9"/>
      <c r="W258" s="9"/>
      <c r="X258" s="9"/>
      <c r="Y258" s="9"/>
      <c r="Z258" s="9"/>
      <c r="AA258" s="9"/>
      <c r="AB258" s="9"/>
      <c r="AC258" s="9"/>
      <c r="AD258" s="9"/>
    </row>
    <row r="259" spans="1:30" ht="43.5">
      <c r="A259" s="3" t="s">
        <v>1133</v>
      </c>
      <c r="B259" s="3" t="s">
        <v>6160</v>
      </c>
      <c r="C259" s="3" t="s">
        <v>6161</v>
      </c>
      <c r="F259" t="s">
        <v>3884</v>
      </c>
      <c r="G259" s="9" t="s">
        <v>3889</v>
      </c>
      <c r="H259" s="9"/>
      <c r="I259" s="9">
        <v>1</v>
      </c>
      <c r="J259" s="9">
        <v>3</v>
      </c>
      <c r="K259" s="9" t="s">
        <v>8689</v>
      </c>
      <c r="L259" s="9" t="s">
        <v>8690</v>
      </c>
      <c r="M259" s="9"/>
      <c r="N259" s="10"/>
      <c r="O259" s="9"/>
      <c r="P259" s="9">
        <v>10929</v>
      </c>
      <c r="Q259" s="9">
        <v>1406.0027530843549</v>
      </c>
      <c r="R259" s="9"/>
      <c r="S259" s="9" t="s">
        <v>9321</v>
      </c>
      <c r="T259" s="9" t="s">
        <v>9321</v>
      </c>
      <c r="U259" s="9"/>
      <c r="V259" s="9"/>
      <c r="W259" s="9"/>
      <c r="X259" s="9"/>
      <c r="Y259" s="9"/>
      <c r="Z259" s="9"/>
      <c r="AA259" s="9"/>
      <c r="AB259" s="9"/>
      <c r="AC259" s="9"/>
      <c r="AD259" s="9"/>
    </row>
    <row r="260" spans="1:30" ht="43.5">
      <c r="A260" s="3" t="s">
        <v>1137</v>
      </c>
      <c r="B260" s="3" t="s">
        <v>6163</v>
      </c>
      <c r="C260" s="3" t="s">
        <v>6164</v>
      </c>
      <c r="G260" s="9" t="s">
        <v>3889</v>
      </c>
      <c r="H260" s="9"/>
      <c r="I260" s="9">
        <v>1</v>
      </c>
      <c r="J260" s="9">
        <v>2</v>
      </c>
      <c r="K260" s="9" t="s">
        <v>8689</v>
      </c>
      <c r="L260" s="9" t="s">
        <v>8730</v>
      </c>
      <c r="M260" s="9"/>
      <c r="N260" s="10"/>
      <c r="O260" s="9"/>
      <c r="P260" s="9">
        <v>10929</v>
      </c>
      <c r="Q260" s="9">
        <v>1406.0027530843549</v>
      </c>
      <c r="R260" s="9"/>
      <c r="S260" s="9" t="s">
        <v>9321</v>
      </c>
      <c r="T260" s="9" t="s">
        <v>9321</v>
      </c>
      <c r="U260" s="9" t="s">
        <v>8728</v>
      </c>
      <c r="V260" s="9"/>
      <c r="W260" s="9"/>
      <c r="X260" s="9"/>
      <c r="Y260" s="9"/>
      <c r="Z260" s="9"/>
      <c r="AA260" s="9"/>
      <c r="AB260" s="9"/>
      <c r="AC260" s="9"/>
      <c r="AD260" s="9"/>
    </row>
    <row r="261" spans="1:30" ht="58">
      <c r="A261" s="3" t="s">
        <v>1140</v>
      </c>
      <c r="B261" s="3" t="s">
        <v>6167</v>
      </c>
      <c r="C261" s="3" t="s">
        <v>6168</v>
      </c>
      <c r="G261" s="9" t="s">
        <v>3885</v>
      </c>
      <c r="H261" s="9"/>
      <c r="I261" s="9">
        <v>1</v>
      </c>
      <c r="J261" s="9">
        <v>3</v>
      </c>
      <c r="K261" s="9" t="s">
        <v>8689</v>
      </c>
      <c r="L261" s="9" t="s">
        <v>8684</v>
      </c>
      <c r="M261" s="9" t="s">
        <v>9080</v>
      </c>
      <c r="N261" s="10" t="s">
        <v>9081</v>
      </c>
      <c r="O261" s="9"/>
      <c r="P261" s="9">
        <v>10929</v>
      </c>
      <c r="Q261" s="9">
        <v>1406.0027530843549</v>
      </c>
      <c r="R261" s="9"/>
      <c r="S261" s="9" t="s">
        <v>9321</v>
      </c>
      <c r="T261" s="9" t="s">
        <v>9321</v>
      </c>
      <c r="U261" s="9"/>
      <c r="V261" s="9"/>
      <c r="W261" s="9"/>
      <c r="X261" s="9"/>
      <c r="Y261" s="9"/>
      <c r="Z261" s="9"/>
      <c r="AA261" s="9"/>
      <c r="AB261" s="9"/>
      <c r="AC261" s="9"/>
      <c r="AD261" s="9"/>
    </row>
    <row r="262" spans="1:30" ht="29">
      <c r="A262" s="3" t="s">
        <v>1151</v>
      </c>
      <c r="B262" s="3" t="s">
        <v>6183</v>
      </c>
      <c r="C262" s="3" t="s">
        <v>6184</v>
      </c>
      <c r="F262" t="s">
        <v>3884</v>
      </c>
      <c r="G262" s="9" t="s">
        <v>3889</v>
      </c>
      <c r="H262" s="9"/>
      <c r="I262" s="9">
        <v>1</v>
      </c>
      <c r="J262" s="9">
        <v>2</v>
      </c>
      <c r="K262" s="9" t="s">
        <v>8707</v>
      </c>
      <c r="L262" s="9" t="s">
        <v>8730</v>
      </c>
      <c r="M262" s="9"/>
      <c r="N262" s="10"/>
      <c r="O262" s="9"/>
      <c r="P262" s="9">
        <v>1942</v>
      </c>
      <c r="Q262" s="9">
        <v>249.83597277791355</v>
      </c>
      <c r="R262" s="9"/>
      <c r="S262" s="9" t="s">
        <v>9321</v>
      </c>
      <c r="T262" s="9" t="s">
        <v>9321</v>
      </c>
      <c r="U262" s="9"/>
      <c r="V262" s="9"/>
      <c r="W262" s="9"/>
      <c r="X262" s="9"/>
      <c r="Y262" s="9"/>
      <c r="Z262" s="9"/>
      <c r="AA262" s="9"/>
      <c r="AB262" s="9"/>
      <c r="AC262" s="9"/>
      <c r="AD262" s="9"/>
    </row>
    <row r="263" spans="1:30" ht="58">
      <c r="A263" s="3" t="s">
        <v>1165</v>
      </c>
      <c r="B263" s="3" t="s">
        <v>6207</v>
      </c>
      <c r="C263" s="3" t="s">
        <v>6210</v>
      </c>
      <c r="F263" t="s">
        <v>3884</v>
      </c>
      <c r="G263" s="9" t="s">
        <v>3885</v>
      </c>
      <c r="H263" s="9"/>
      <c r="I263" s="9">
        <v>1</v>
      </c>
      <c r="J263" s="9">
        <v>3</v>
      </c>
      <c r="K263" s="9" t="s">
        <v>8698</v>
      </c>
      <c r="L263" s="9" t="s">
        <v>8690</v>
      </c>
      <c r="M263" s="9"/>
      <c r="N263" s="10"/>
      <c r="O263" s="9"/>
      <c r="P263" s="9">
        <v>9418</v>
      </c>
      <c r="Q263" s="9">
        <v>1211.6144138117354</v>
      </c>
      <c r="R263" s="9"/>
      <c r="S263" s="9" t="s">
        <v>9321</v>
      </c>
      <c r="T263" s="9" t="s">
        <v>9321</v>
      </c>
      <c r="U263" s="9"/>
      <c r="V263" s="9"/>
      <c r="W263" s="9"/>
      <c r="X263" s="9"/>
      <c r="Y263" s="9"/>
      <c r="Z263" s="9"/>
      <c r="AA263" s="9"/>
      <c r="AB263" s="9"/>
      <c r="AC263" s="9"/>
      <c r="AD263" s="9"/>
    </row>
    <row r="264" spans="1:30" ht="72.5">
      <c r="A264" s="3" t="s">
        <v>1171</v>
      </c>
      <c r="B264" s="3" t="s">
        <v>6221</v>
      </c>
      <c r="C264" s="3" t="s">
        <v>6222</v>
      </c>
      <c r="F264" t="s">
        <v>3884</v>
      </c>
      <c r="G264" s="9" t="s">
        <v>3885</v>
      </c>
      <c r="H264" s="9"/>
      <c r="I264" s="9">
        <v>1</v>
      </c>
      <c r="J264" s="9">
        <v>5</v>
      </c>
      <c r="K264" s="9" t="s">
        <v>8705</v>
      </c>
      <c r="L264" s="9" t="s">
        <v>8690</v>
      </c>
      <c r="M264" s="9"/>
      <c r="N264" s="10"/>
      <c r="O264" s="9"/>
      <c r="P264" s="9">
        <v>3678</v>
      </c>
      <c r="Q264" s="9">
        <v>473.17029241872609</v>
      </c>
      <c r="R264" s="9"/>
      <c r="S264" s="9" t="s">
        <v>9321</v>
      </c>
      <c r="T264" s="9" t="s">
        <v>9321</v>
      </c>
      <c r="U264" s="9"/>
      <c r="V264" s="9"/>
      <c r="W264" s="9"/>
      <c r="X264" s="9"/>
      <c r="Y264" s="9"/>
      <c r="Z264" s="9"/>
      <c r="AA264" s="9"/>
      <c r="AB264" s="9"/>
      <c r="AC264" s="9"/>
      <c r="AD264" s="9"/>
    </row>
    <row r="265" spans="1:30" ht="43.5">
      <c r="A265" s="3" t="s">
        <v>1183</v>
      </c>
      <c r="B265" s="3" t="s">
        <v>6240</v>
      </c>
      <c r="C265" s="3" t="s">
        <v>6241</v>
      </c>
      <c r="F265" t="s">
        <v>3884</v>
      </c>
      <c r="G265" s="9" t="s">
        <v>3885</v>
      </c>
      <c r="H265" s="9"/>
      <c r="I265" s="9">
        <v>1</v>
      </c>
      <c r="J265" s="9">
        <v>2</v>
      </c>
      <c r="K265" s="9" t="s">
        <v>8698</v>
      </c>
      <c r="L265" s="9" t="s">
        <v>8730</v>
      </c>
      <c r="M265" s="9"/>
      <c r="N265" s="10"/>
      <c r="O265" s="9" t="s">
        <v>8685</v>
      </c>
      <c r="P265" s="9">
        <v>1</v>
      </c>
      <c r="Q265" s="9">
        <v>0.12864880163641276</v>
      </c>
      <c r="R265" s="9"/>
      <c r="S265" s="9" t="s">
        <v>9321</v>
      </c>
      <c r="T265" s="9" t="s">
        <v>9321</v>
      </c>
      <c r="U265" s="9"/>
      <c r="V265" s="9"/>
      <c r="W265" s="9"/>
      <c r="X265" s="9"/>
      <c r="Y265" s="9"/>
      <c r="Z265" s="9"/>
      <c r="AA265" s="9"/>
      <c r="AB265" s="9"/>
      <c r="AC265" s="9"/>
      <c r="AD265" s="9"/>
    </row>
    <row r="266" spans="1:30" ht="72.5">
      <c r="A266" s="3" t="s">
        <v>1185</v>
      </c>
      <c r="B266" s="3" t="s">
        <v>6247</v>
      </c>
      <c r="C266" s="3" t="s">
        <v>6248</v>
      </c>
      <c r="G266" s="9" t="s">
        <v>3885</v>
      </c>
      <c r="H266" s="9"/>
      <c r="I266" s="9">
        <v>1</v>
      </c>
      <c r="J266" s="9">
        <v>2</v>
      </c>
      <c r="K266" s="9" t="s">
        <v>8689</v>
      </c>
      <c r="L266" s="9" t="s">
        <v>8730</v>
      </c>
      <c r="M266" s="9"/>
      <c r="N266" s="10"/>
      <c r="O266" s="9"/>
      <c r="P266" s="9">
        <v>10929</v>
      </c>
      <c r="Q266" s="9">
        <v>1406.0027530843549</v>
      </c>
      <c r="R266" s="9"/>
      <c r="S266" s="9" t="s">
        <v>9321</v>
      </c>
      <c r="T266" s="9" t="s">
        <v>9321</v>
      </c>
      <c r="U266" s="9"/>
      <c r="V266" s="9"/>
      <c r="W266" s="9"/>
      <c r="X266" s="9"/>
      <c r="Y266" s="9"/>
      <c r="Z266" s="9"/>
      <c r="AA266" s="9"/>
      <c r="AB266" s="9"/>
      <c r="AC266" s="9"/>
      <c r="AD266" s="9"/>
    </row>
    <row r="267" spans="1:30" ht="29">
      <c r="A267" s="3" t="s">
        <v>1187</v>
      </c>
      <c r="B267" s="3" t="s">
        <v>6251</v>
      </c>
      <c r="C267" s="3" t="s">
        <v>6252</v>
      </c>
      <c r="F267" t="s">
        <v>3884</v>
      </c>
      <c r="G267" s="9" t="s">
        <v>3889</v>
      </c>
      <c r="H267" s="9"/>
      <c r="I267" s="9">
        <v>1</v>
      </c>
      <c r="J267" s="9">
        <v>2</v>
      </c>
      <c r="K267" s="9" t="s">
        <v>8689</v>
      </c>
      <c r="L267" s="9" t="s">
        <v>8730</v>
      </c>
      <c r="M267" s="9"/>
      <c r="N267" s="10"/>
      <c r="O267" s="9"/>
      <c r="P267" s="9">
        <v>10929</v>
      </c>
      <c r="Q267" s="9">
        <v>1406.0027530843549</v>
      </c>
      <c r="R267" s="9"/>
      <c r="S267" s="9" t="s">
        <v>9321</v>
      </c>
      <c r="T267" s="9" t="s">
        <v>9321</v>
      </c>
      <c r="U267" s="9"/>
      <c r="V267" s="9"/>
      <c r="W267" s="9"/>
      <c r="X267" s="9"/>
      <c r="Y267" s="9"/>
      <c r="Z267" s="9"/>
      <c r="AA267" s="9"/>
      <c r="AB267" s="9"/>
      <c r="AC267" s="9"/>
      <c r="AD267" s="9"/>
    </row>
    <row r="268" spans="1:30" ht="43.5">
      <c r="A268" s="3" t="s">
        <v>1195</v>
      </c>
      <c r="B268" s="3" t="s">
        <v>6267</v>
      </c>
      <c r="C268" s="3" t="s">
        <v>6268</v>
      </c>
      <c r="G268" s="9" t="s">
        <v>3885</v>
      </c>
      <c r="H268" s="9"/>
      <c r="I268" s="9">
        <v>1</v>
      </c>
      <c r="J268" s="9">
        <v>1</v>
      </c>
      <c r="K268" s="9" t="s">
        <v>8698</v>
      </c>
      <c r="L268" s="9" t="s">
        <v>8730</v>
      </c>
      <c r="M268" s="9"/>
      <c r="N268" s="10"/>
      <c r="O268" s="9" t="s">
        <v>8685</v>
      </c>
      <c r="P268" s="9">
        <v>1</v>
      </c>
      <c r="Q268" s="9">
        <v>0.12864880163641276</v>
      </c>
      <c r="R268" s="9"/>
      <c r="S268" s="9" t="s">
        <v>9321</v>
      </c>
      <c r="T268" s="9" t="s">
        <v>9321</v>
      </c>
      <c r="U268" s="9"/>
      <c r="V268" s="9"/>
      <c r="W268" s="9"/>
      <c r="X268" s="9"/>
      <c r="Y268" s="9"/>
      <c r="Z268" s="9"/>
      <c r="AA268" s="9"/>
      <c r="AB268" s="9"/>
      <c r="AC268" s="9"/>
      <c r="AD268" s="9"/>
    </row>
    <row r="269" spans="1:30" ht="87">
      <c r="A269" s="3" t="s">
        <v>1197</v>
      </c>
      <c r="B269" s="3" t="s">
        <v>6283</v>
      </c>
      <c r="C269" s="3" t="s">
        <v>6284</v>
      </c>
      <c r="F269" t="s">
        <v>3884</v>
      </c>
      <c r="G269" s="9" t="s">
        <v>3885</v>
      </c>
      <c r="H269" s="9"/>
      <c r="I269" s="9">
        <v>1</v>
      </c>
      <c r="J269" s="9">
        <v>3</v>
      </c>
      <c r="K269" s="9" t="s">
        <v>8689</v>
      </c>
      <c r="L269" s="9" t="s">
        <v>8690</v>
      </c>
      <c r="M269" s="9"/>
      <c r="N269" s="10"/>
      <c r="O269" s="9"/>
      <c r="P269" s="9">
        <v>10929</v>
      </c>
      <c r="Q269" s="9">
        <v>1406.0027530843549</v>
      </c>
      <c r="R269" s="9"/>
      <c r="S269" s="9" t="s">
        <v>9321</v>
      </c>
      <c r="T269" s="9" t="s">
        <v>9321</v>
      </c>
      <c r="U269" s="9"/>
      <c r="V269" s="9"/>
      <c r="W269" s="9"/>
      <c r="X269" s="9"/>
      <c r="Y269" s="9"/>
      <c r="Z269" s="9"/>
      <c r="AA269" s="9"/>
      <c r="AB269" s="9"/>
      <c r="AC269" s="9"/>
      <c r="AD269" s="9"/>
    </row>
    <row r="270" spans="1:30" ht="72.5">
      <c r="A270" s="3" t="s">
        <v>1198</v>
      </c>
      <c r="B270" s="3" t="s">
        <v>6287</v>
      </c>
      <c r="C270" s="3" t="s">
        <v>6288</v>
      </c>
      <c r="F270" t="s">
        <v>3884</v>
      </c>
      <c r="G270" s="9" t="s">
        <v>3885</v>
      </c>
      <c r="H270" s="9"/>
      <c r="I270" s="9">
        <v>1</v>
      </c>
      <c r="J270" s="9">
        <v>2</v>
      </c>
      <c r="K270" s="9" t="s">
        <v>8707</v>
      </c>
      <c r="L270" s="9" t="s">
        <v>8730</v>
      </c>
      <c r="M270" s="9"/>
      <c r="N270" s="10"/>
      <c r="O270" s="9"/>
      <c r="P270" s="9">
        <v>1942</v>
      </c>
      <c r="Q270" s="9">
        <v>249.83597277791355</v>
      </c>
      <c r="R270" s="9"/>
      <c r="S270" s="9" t="s">
        <v>9321</v>
      </c>
      <c r="T270" s="9" t="s">
        <v>9321</v>
      </c>
      <c r="U270" s="9"/>
      <c r="V270" s="9"/>
      <c r="W270" s="9"/>
      <c r="X270" s="9"/>
      <c r="Y270" s="9"/>
      <c r="Z270" s="9"/>
      <c r="AA270" s="9"/>
      <c r="AB270" s="9"/>
      <c r="AC270" s="9"/>
      <c r="AD270" s="9"/>
    </row>
    <row r="271" spans="1:30" ht="58">
      <c r="A271" s="3" t="s">
        <v>1198</v>
      </c>
      <c r="B271" s="3" t="s">
        <v>6291</v>
      </c>
      <c r="C271" s="3" t="s">
        <v>6292</v>
      </c>
      <c r="F271" t="s">
        <v>3892</v>
      </c>
      <c r="G271" s="9" t="s">
        <v>3885</v>
      </c>
      <c r="H271" s="9"/>
      <c r="I271" s="9">
        <v>1</v>
      </c>
      <c r="J271" s="9">
        <v>1</v>
      </c>
      <c r="K271" s="9" t="s">
        <v>8689</v>
      </c>
      <c r="L271" s="9" t="s">
        <v>8730</v>
      </c>
      <c r="M271" s="9"/>
      <c r="N271" s="10"/>
      <c r="O271" s="9"/>
      <c r="P271" s="9">
        <v>10929</v>
      </c>
      <c r="Q271" s="9">
        <v>1406.0027530843549</v>
      </c>
      <c r="R271" s="9"/>
      <c r="S271" s="9" t="s">
        <v>9321</v>
      </c>
      <c r="T271" s="9" t="s">
        <v>9321</v>
      </c>
      <c r="U271" s="9"/>
      <c r="V271" s="9"/>
      <c r="W271" s="9"/>
      <c r="X271" s="9"/>
      <c r="Y271" s="9"/>
      <c r="Z271" s="9"/>
      <c r="AA271" s="9"/>
      <c r="AB271" s="9"/>
      <c r="AC271" s="9"/>
      <c r="AD271" s="9"/>
    </row>
    <row r="272" spans="1:30" ht="43.5">
      <c r="A272" s="3" t="s">
        <v>1203</v>
      </c>
      <c r="B272" s="3" t="s">
        <v>6305</v>
      </c>
      <c r="C272" s="3" t="s">
        <v>6306</v>
      </c>
      <c r="G272" s="9" t="s">
        <v>3885</v>
      </c>
      <c r="H272" s="9"/>
      <c r="I272" s="9">
        <v>1</v>
      </c>
      <c r="J272" s="9">
        <v>3</v>
      </c>
      <c r="K272" s="9" t="s">
        <v>8689</v>
      </c>
      <c r="L272" s="9" t="s">
        <v>8690</v>
      </c>
      <c r="M272" s="9"/>
      <c r="N272" s="10"/>
      <c r="O272" s="9"/>
      <c r="P272" s="9">
        <v>10929</v>
      </c>
      <c r="Q272" s="9">
        <v>1406.0027530843549</v>
      </c>
      <c r="R272" s="9"/>
      <c r="S272" s="9" t="s">
        <v>9321</v>
      </c>
      <c r="T272" s="9" t="s">
        <v>9321</v>
      </c>
      <c r="U272" s="9"/>
      <c r="V272" s="9"/>
      <c r="W272" s="9"/>
      <c r="X272" s="9"/>
      <c r="Y272" s="9"/>
      <c r="Z272" s="9"/>
      <c r="AA272" s="9"/>
      <c r="AB272" s="9"/>
      <c r="AC272" s="9"/>
      <c r="AD272" s="9"/>
    </row>
    <row r="273" spans="1:30" ht="43.5">
      <c r="A273" s="3" t="s">
        <v>1210</v>
      </c>
      <c r="B273" s="3" t="s">
        <v>6316</v>
      </c>
      <c r="C273" s="3" t="s">
        <v>6317</v>
      </c>
      <c r="F273" t="s">
        <v>3884</v>
      </c>
      <c r="G273" s="9" t="s">
        <v>3889</v>
      </c>
      <c r="H273" s="9"/>
      <c r="I273" s="9">
        <v>1</v>
      </c>
      <c r="J273" s="9">
        <v>3</v>
      </c>
      <c r="K273" s="9" t="s">
        <v>8689</v>
      </c>
      <c r="L273" s="9" t="s">
        <v>8690</v>
      </c>
      <c r="M273" s="9"/>
      <c r="N273" s="10"/>
      <c r="O273" s="9"/>
      <c r="P273" s="9">
        <v>10929</v>
      </c>
      <c r="Q273" s="9">
        <v>1406.0027530843549</v>
      </c>
      <c r="R273" s="9"/>
      <c r="S273" s="9" t="s">
        <v>9321</v>
      </c>
      <c r="T273" s="9" t="s">
        <v>9321</v>
      </c>
      <c r="U273" s="9"/>
      <c r="V273" s="9"/>
      <c r="W273" s="9"/>
      <c r="X273" s="9"/>
      <c r="Y273" s="9"/>
      <c r="Z273" s="9"/>
      <c r="AA273" s="9"/>
      <c r="AB273" s="9"/>
      <c r="AC273" s="9"/>
      <c r="AD273" s="9"/>
    </row>
    <row r="274" spans="1:30" ht="58">
      <c r="A274" s="3" t="s">
        <v>1215</v>
      </c>
      <c r="B274" s="3" t="s">
        <v>6329</v>
      </c>
      <c r="C274" s="3" t="s">
        <v>6330</v>
      </c>
      <c r="G274" s="9" t="s">
        <v>3885</v>
      </c>
      <c r="H274" s="9"/>
      <c r="I274" s="9">
        <v>1</v>
      </c>
      <c r="J274" s="9">
        <v>1</v>
      </c>
      <c r="K274" s="9" t="s">
        <v>8689</v>
      </c>
      <c r="L274" s="9" t="s">
        <v>8730</v>
      </c>
      <c r="M274" s="9"/>
      <c r="N274" s="10"/>
      <c r="O274" s="9" t="s">
        <v>8685</v>
      </c>
      <c r="P274" s="9">
        <v>10929</v>
      </c>
      <c r="Q274" s="9">
        <v>1406.0027530843549</v>
      </c>
      <c r="R274" s="9"/>
      <c r="S274" s="9" t="s">
        <v>9321</v>
      </c>
      <c r="T274" s="9" t="s">
        <v>9321</v>
      </c>
      <c r="U274" s="9"/>
      <c r="V274" s="9"/>
      <c r="W274" s="9"/>
      <c r="X274" s="9"/>
      <c r="Y274" s="9"/>
      <c r="Z274" s="9"/>
      <c r="AA274" s="9"/>
      <c r="AB274" s="9"/>
      <c r="AC274" s="9"/>
      <c r="AD274" s="9"/>
    </row>
    <row r="275" spans="1:30" ht="58">
      <c r="A275" s="3" t="s">
        <v>1218</v>
      </c>
      <c r="B275" s="3" t="s">
        <v>6334</v>
      </c>
      <c r="C275" s="3" t="s">
        <v>6335</v>
      </c>
      <c r="F275" t="s">
        <v>3884</v>
      </c>
      <c r="G275" s="9" t="s">
        <v>3885</v>
      </c>
      <c r="H275" s="9"/>
      <c r="I275" s="9">
        <v>1</v>
      </c>
      <c r="J275" s="9">
        <v>1</v>
      </c>
      <c r="K275" s="9" t="s">
        <v>8698</v>
      </c>
      <c r="L275" s="9" t="s">
        <v>8730</v>
      </c>
      <c r="M275" s="9"/>
      <c r="N275" s="10"/>
      <c r="O275" s="9"/>
      <c r="P275" s="9">
        <v>55</v>
      </c>
      <c r="Q275" s="9">
        <v>7.075684090002702</v>
      </c>
      <c r="R275" s="9"/>
      <c r="S275" s="9" t="s">
        <v>9321</v>
      </c>
      <c r="T275" s="9" t="s">
        <v>9321</v>
      </c>
      <c r="U275" s="9"/>
      <c r="V275" s="9"/>
      <c r="W275" s="9"/>
      <c r="X275" s="9"/>
      <c r="Y275" s="9"/>
      <c r="Z275" s="9"/>
      <c r="AA275" s="9"/>
      <c r="AB275" s="9"/>
      <c r="AC275" s="9"/>
      <c r="AD275" s="9"/>
    </row>
    <row r="276" spans="1:30" ht="58">
      <c r="A276" s="3" t="s">
        <v>1223</v>
      </c>
      <c r="B276" s="3" t="s">
        <v>6349</v>
      </c>
      <c r="C276" s="3" t="s">
        <v>6348</v>
      </c>
      <c r="G276" s="9" t="s">
        <v>3889</v>
      </c>
      <c r="H276" s="9"/>
      <c r="I276" s="9">
        <v>1</v>
      </c>
      <c r="J276" s="9">
        <v>5</v>
      </c>
      <c r="K276" s="9" t="s">
        <v>8705</v>
      </c>
      <c r="L276" s="9" t="s">
        <v>8684</v>
      </c>
      <c r="M276" s="9" t="s">
        <v>8777</v>
      </c>
      <c r="N276" s="10" t="s">
        <v>8772</v>
      </c>
      <c r="O276" s="9"/>
      <c r="P276" s="9">
        <v>3678</v>
      </c>
      <c r="Q276" s="9">
        <v>473.17029241872609</v>
      </c>
      <c r="R276" s="9"/>
      <c r="S276" s="9" t="s">
        <v>9321</v>
      </c>
      <c r="T276" s="9" t="s">
        <v>9321</v>
      </c>
      <c r="U276" s="9"/>
      <c r="V276" s="9"/>
      <c r="W276" s="9"/>
      <c r="X276" s="9"/>
      <c r="Y276" s="9"/>
      <c r="Z276" s="9"/>
      <c r="AA276" s="9"/>
      <c r="AB276" s="9"/>
      <c r="AC276" s="9"/>
      <c r="AD276" s="9"/>
    </row>
    <row r="277" spans="1:30" ht="58">
      <c r="A277" s="3" t="s">
        <v>1227</v>
      </c>
      <c r="B277" s="3" t="s">
        <v>6358</v>
      </c>
      <c r="C277" s="3" t="s">
        <v>6359</v>
      </c>
      <c r="G277" s="9" t="s">
        <v>3885</v>
      </c>
      <c r="H277" s="9"/>
      <c r="I277" s="9">
        <v>1</v>
      </c>
      <c r="J277" s="9">
        <v>3</v>
      </c>
      <c r="K277" s="9" t="s">
        <v>8689</v>
      </c>
      <c r="L277" s="9" t="s">
        <v>8684</v>
      </c>
      <c r="M277" s="9" t="s">
        <v>8777</v>
      </c>
      <c r="N277" s="10" t="s">
        <v>8778</v>
      </c>
      <c r="O277" s="9" t="s">
        <v>8685</v>
      </c>
      <c r="P277" s="9">
        <v>10929</v>
      </c>
      <c r="Q277" s="9">
        <v>1406.0027530843549</v>
      </c>
      <c r="R277" s="9"/>
      <c r="S277" s="9" t="s">
        <v>9321</v>
      </c>
      <c r="T277" s="9" t="s">
        <v>9321</v>
      </c>
      <c r="U277" s="9"/>
      <c r="V277" s="9"/>
      <c r="W277" s="9"/>
      <c r="X277" s="9"/>
      <c r="Y277" s="9"/>
      <c r="Z277" s="9"/>
      <c r="AA277" s="9"/>
      <c r="AB277" s="9"/>
      <c r="AC277" s="9"/>
      <c r="AD277" s="9"/>
    </row>
    <row r="278" spans="1:30" ht="58">
      <c r="A278" s="3" t="s">
        <v>1228</v>
      </c>
      <c r="B278" s="3" t="s">
        <v>6362</v>
      </c>
      <c r="C278" s="3" t="s">
        <v>6361</v>
      </c>
      <c r="F278" t="s">
        <v>3884</v>
      </c>
      <c r="G278" s="9" t="s">
        <v>3889</v>
      </c>
      <c r="H278" s="9"/>
      <c r="I278" s="9">
        <v>1</v>
      </c>
      <c r="J278" s="9">
        <v>3</v>
      </c>
      <c r="K278" s="9" t="s">
        <v>8689</v>
      </c>
      <c r="L278" s="9" t="s">
        <v>8690</v>
      </c>
      <c r="M278" s="9"/>
      <c r="N278" s="10"/>
      <c r="O278" s="9"/>
      <c r="P278" s="9">
        <v>10929</v>
      </c>
      <c r="Q278" s="9">
        <v>1406.0027530843549</v>
      </c>
      <c r="R278" s="9"/>
      <c r="S278" s="9" t="s">
        <v>9321</v>
      </c>
      <c r="T278" s="9" t="s">
        <v>9321</v>
      </c>
      <c r="U278" s="9"/>
      <c r="V278" s="9"/>
      <c r="W278" s="9"/>
      <c r="X278" s="9"/>
      <c r="Y278" s="9"/>
      <c r="Z278" s="9"/>
      <c r="AA278" s="9"/>
      <c r="AB278" s="9"/>
      <c r="AC278" s="9"/>
      <c r="AD278" s="9"/>
    </row>
    <row r="279" spans="1:30" ht="58">
      <c r="A279" s="3" t="s">
        <v>1228</v>
      </c>
      <c r="B279" s="3" t="s">
        <v>6360</v>
      </c>
      <c r="C279" s="3" t="s">
        <v>6363</v>
      </c>
      <c r="G279" s="9" t="s">
        <v>3885</v>
      </c>
      <c r="H279" s="9"/>
      <c r="I279" s="9">
        <v>1</v>
      </c>
      <c r="J279" s="9">
        <v>2</v>
      </c>
      <c r="K279" s="9" t="s">
        <v>8705</v>
      </c>
      <c r="L279" s="9" t="s">
        <v>8730</v>
      </c>
      <c r="M279" s="9"/>
      <c r="N279" s="10"/>
      <c r="O279" s="9" t="s">
        <v>8685</v>
      </c>
      <c r="P279" s="9">
        <v>615</v>
      </c>
      <c r="Q279" s="9">
        <v>79.119013006393843</v>
      </c>
      <c r="R279" s="9"/>
      <c r="S279" s="9" t="s">
        <v>9321</v>
      </c>
      <c r="T279" s="9" t="s">
        <v>9321</v>
      </c>
      <c r="U279" s="9"/>
      <c r="V279" s="9"/>
      <c r="W279" s="9"/>
      <c r="X279" s="9"/>
      <c r="Y279" s="9"/>
      <c r="Z279" s="9"/>
      <c r="AA279" s="9"/>
      <c r="AB279" s="9"/>
      <c r="AC279" s="9"/>
      <c r="AD279" s="9"/>
    </row>
    <row r="280" spans="1:30" ht="58">
      <c r="A280" s="3" t="s">
        <v>1229</v>
      </c>
      <c r="B280" s="3" t="s">
        <v>6364</v>
      </c>
      <c r="C280" s="3" t="s">
        <v>6367</v>
      </c>
      <c r="G280" s="9" t="s">
        <v>3885</v>
      </c>
      <c r="H280" s="9"/>
      <c r="I280" s="9">
        <v>1</v>
      </c>
      <c r="J280" s="9">
        <v>3</v>
      </c>
      <c r="K280" s="9" t="s">
        <v>8689</v>
      </c>
      <c r="L280" s="9" t="s">
        <v>8690</v>
      </c>
      <c r="M280" s="9"/>
      <c r="N280" s="10"/>
      <c r="O280" s="9"/>
      <c r="P280" s="9">
        <v>10929</v>
      </c>
      <c r="Q280" s="9">
        <v>1406.0027530843549</v>
      </c>
      <c r="R280" s="9"/>
      <c r="S280" s="9" t="s">
        <v>9321</v>
      </c>
      <c r="T280" s="9" t="s">
        <v>9321</v>
      </c>
      <c r="U280" s="9"/>
      <c r="V280" s="9"/>
      <c r="W280" s="9"/>
      <c r="X280" s="9"/>
      <c r="Y280" s="9"/>
      <c r="Z280" s="9"/>
      <c r="AA280" s="9"/>
      <c r="AB280" s="9"/>
      <c r="AC280" s="9"/>
      <c r="AD280" s="9"/>
    </row>
    <row r="281" spans="1:30" ht="43.5">
      <c r="A281" s="3" t="s">
        <v>1234</v>
      </c>
      <c r="B281" s="3" t="s">
        <v>6382</v>
      </c>
      <c r="C281" s="3" t="s">
        <v>6383</v>
      </c>
      <c r="G281" s="9" t="s">
        <v>3885</v>
      </c>
      <c r="H281" s="9"/>
      <c r="I281" s="9">
        <v>1</v>
      </c>
      <c r="J281" s="9">
        <v>2</v>
      </c>
      <c r="K281" s="9" t="s">
        <v>8689</v>
      </c>
      <c r="L281" s="9" t="s">
        <v>8730</v>
      </c>
      <c r="M281" s="9"/>
      <c r="N281" s="10"/>
      <c r="O281" s="9"/>
      <c r="P281" s="9">
        <v>10929</v>
      </c>
      <c r="Q281" s="9">
        <v>1406.0027530843549</v>
      </c>
      <c r="R281" s="9"/>
      <c r="S281" s="9" t="s">
        <v>9321</v>
      </c>
      <c r="T281" s="9" t="s">
        <v>9321</v>
      </c>
      <c r="U281" s="9"/>
      <c r="V281" s="9"/>
      <c r="W281" s="9"/>
      <c r="X281" s="9"/>
      <c r="Y281" s="9"/>
      <c r="Z281" s="9"/>
      <c r="AA281" s="9"/>
      <c r="AB281" s="9"/>
      <c r="AC281" s="9"/>
      <c r="AD281" s="9"/>
    </row>
    <row r="282" spans="1:30" ht="43.5">
      <c r="A282" s="3" t="s">
        <v>1236</v>
      </c>
      <c r="B282" s="3" t="s">
        <v>6387</v>
      </c>
      <c r="C282" s="3" t="s">
        <v>6388</v>
      </c>
      <c r="G282" s="9" t="s">
        <v>3885</v>
      </c>
      <c r="H282" s="9"/>
      <c r="I282" s="9">
        <v>1</v>
      </c>
      <c r="J282" s="9">
        <v>3</v>
      </c>
      <c r="K282" s="9" t="s">
        <v>8689</v>
      </c>
      <c r="L282" s="9" t="s">
        <v>8690</v>
      </c>
      <c r="M282" s="9"/>
      <c r="N282" s="10"/>
      <c r="O282" s="9"/>
      <c r="P282" s="9">
        <v>10929</v>
      </c>
      <c r="Q282" s="9">
        <v>1406.0027530843549</v>
      </c>
      <c r="R282" s="9"/>
      <c r="S282" s="9" t="s">
        <v>9321</v>
      </c>
      <c r="T282" s="9" t="s">
        <v>9321</v>
      </c>
      <c r="U282" s="9"/>
      <c r="V282" s="9"/>
      <c r="W282" s="9"/>
      <c r="X282" s="9"/>
      <c r="Y282" s="9"/>
      <c r="Z282" s="9"/>
      <c r="AA282" s="9"/>
      <c r="AB282" s="9"/>
      <c r="AC282" s="9"/>
      <c r="AD282" s="9"/>
    </row>
    <row r="283" spans="1:30" ht="43.5">
      <c r="A283" s="3" t="s">
        <v>1243</v>
      </c>
      <c r="B283" s="3" t="s">
        <v>6402</v>
      </c>
      <c r="C283" s="3" t="s">
        <v>9098</v>
      </c>
      <c r="G283" s="9" t="s">
        <v>3889</v>
      </c>
      <c r="H283" s="9"/>
      <c r="I283" s="9">
        <v>1</v>
      </c>
      <c r="J283" s="9">
        <v>1</v>
      </c>
      <c r="K283" s="9" t="s">
        <v>8689</v>
      </c>
      <c r="L283" s="9" t="s">
        <v>8730</v>
      </c>
      <c r="M283" s="9"/>
      <c r="N283" s="10"/>
      <c r="O283" s="9" t="s">
        <v>8685</v>
      </c>
      <c r="P283" s="9">
        <v>10929</v>
      </c>
      <c r="Q283" s="9">
        <v>1406.0027530843549</v>
      </c>
      <c r="R283" s="9"/>
      <c r="S283" s="9" t="s">
        <v>9321</v>
      </c>
      <c r="T283" s="9" t="s">
        <v>9321</v>
      </c>
      <c r="U283" s="9"/>
      <c r="V283" s="9"/>
      <c r="W283" s="9"/>
      <c r="X283" s="9"/>
      <c r="Y283" s="9"/>
      <c r="Z283" s="9"/>
      <c r="AA283" s="9"/>
      <c r="AB283" s="9"/>
      <c r="AC283" s="9"/>
      <c r="AD283" s="9"/>
    </row>
    <row r="284" spans="1:30" ht="43.5">
      <c r="A284" s="3" t="s">
        <v>1250</v>
      </c>
      <c r="B284" s="3" t="s">
        <v>6423</v>
      </c>
      <c r="C284" s="3" t="s">
        <v>6424</v>
      </c>
      <c r="F284" t="s">
        <v>3884</v>
      </c>
      <c r="G284" s="9" t="s">
        <v>3885</v>
      </c>
      <c r="H284" s="9"/>
      <c r="I284" s="9">
        <v>1</v>
      </c>
      <c r="J284" s="9">
        <v>3</v>
      </c>
      <c r="K284" s="9" t="s">
        <v>8705</v>
      </c>
      <c r="L284" s="9" t="s">
        <v>8690</v>
      </c>
      <c r="M284" s="9"/>
      <c r="N284" s="10"/>
      <c r="O284" s="9"/>
      <c r="P284" s="9">
        <v>1485</v>
      </c>
      <c r="Q284" s="9">
        <v>191.04347043007292</v>
      </c>
      <c r="R284" s="9"/>
      <c r="S284" s="9" t="s">
        <v>9321</v>
      </c>
      <c r="T284" s="9" t="s">
        <v>9321</v>
      </c>
      <c r="U284" s="9"/>
      <c r="V284" s="9"/>
      <c r="W284" s="9"/>
      <c r="X284" s="9"/>
      <c r="Y284" s="9"/>
      <c r="Z284" s="9"/>
      <c r="AA284" s="9"/>
      <c r="AB284" s="9"/>
      <c r="AC284" s="9"/>
      <c r="AD284" s="9"/>
    </row>
    <row r="285" spans="1:30" ht="43.5">
      <c r="A285" s="3" t="s">
        <v>1256</v>
      </c>
      <c r="B285" s="3" t="s">
        <v>6445</v>
      </c>
      <c r="C285" s="3" t="s">
        <v>6446</v>
      </c>
      <c r="F285" t="s">
        <v>3884</v>
      </c>
      <c r="G285" s="9" t="s">
        <v>3889</v>
      </c>
      <c r="H285" s="9"/>
      <c r="I285" s="9">
        <v>1</v>
      </c>
      <c r="J285" s="9">
        <v>3</v>
      </c>
      <c r="K285" s="9" t="s">
        <v>8689</v>
      </c>
      <c r="L285" s="9" t="s">
        <v>8690</v>
      </c>
      <c r="M285" s="9"/>
      <c r="N285" s="10"/>
      <c r="O285" s="9"/>
      <c r="P285" s="9">
        <v>10929</v>
      </c>
      <c r="Q285" s="9">
        <v>1406.0027530843549</v>
      </c>
      <c r="R285" s="9"/>
      <c r="S285" s="9" t="s">
        <v>9321</v>
      </c>
      <c r="T285" s="9" t="s">
        <v>9321</v>
      </c>
      <c r="U285" s="9"/>
      <c r="V285" s="9"/>
      <c r="W285" s="9"/>
      <c r="X285" s="9"/>
      <c r="Y285" s="9"/>
      <c r="Z285" s="9"/>
      <c r="AA285" s="9"/>
      <c r="AB285" s="9"/>
      <c r="AC285" s="9"/>
      <c r="AD285" s="9"/>
    </row>
    <row r="286" spans="1:30" ht="29">
      <c r="A286" s="3" t="s">
        <v>1260</v>
      </c>
      <c r="B286" s="3" t="s">
        <v>6460</v>
      </c>
      <c r="C286" s="3" t="s">
        <v>6461</v>
      </c>
      <c r="F286" t="s">
        <v>3884</v>
      </c>
      <c r="G286" s="9" t="s">
        <v>3889</v>
      </c>
      <c r="H286" s="9"/>
      <c r="I286" s="9">
        <v>1</v>
      </c>
      <c r="J286" s="9">
        <v>2</v>
      </c>
      <c r="K286" s="9" t="s">
        <v>8689</v>
      </c>
      <c r="L286" s="9" t="s">
        <v>8730</v>
      </c>
      <c r="M286" s="9"/>
      <c r="N286" s="10"/>
      <c r="O286" s="9"/>
      <c r="P286" s="9">
        <v>10929</v>
      </c>
      <c r="Q286" s="9">
        <v>1406.0027530843549</v>
      </c>
      <c r="R286" s="9"/>
      <c r="S286" s="9" t="s">
        <v>9321</v>
      </c>
      <c r="T286" s="9" t="s">
        <v>9321</v>
      </c>
      <c r="U286" s="9"/>
      <c r="V286" s="9"/>
      <c r="W286" s="9"/>
      <c r="X286" s="9"/>
      <c r="Y286" s="9"/>
      <c r="Z286" s="9"/>
      <c r="AA286" s="9"/>
      <c r="AB286" s="9"/>
      <c r="AC286" s="9"/>
      <c r="AD286" s="9"/>
    </row>
    <row r="287" spans="1:30" ht="58">
      <c r="A287" s="3" t="s">
        <v>1261</v>
      </c>
      <c r="B287" s="3" t="s">
        <v>6463</v>
      </c>
      <c r="C287" s="3" t="s">
        <v>6462</v>
      </c>
      <c r="F287" t="s">
        <v>3884</v>
      </c>
      <c r="G287" s="9" t="s">
        <v>3889</v>
      </c>
      <c r="H287" s="9"/>
      <c r="I287" s="9">
        <v>1</v>
      </c>
      <c r="J287" s="9">
        <v>3</v>
      </c>
      <c r="K287" s="9" t="s">
        <v>8689</v>
      </c>
      <c r="L287" s="9" t="s">
        <v>8690</v>
      </c>
      <c r="M287" s="9"/>
      <c r="N287" s="10"/>
      <c r="O287" s="9"/>
      <c r="P287" s="9">
        <v>10929</v>
      </c>
      <c r="Q287" s="9">
        <v>1406.0027530843549</v>
      </c>
      <c r="R287" s="9"/>
      <c r="S287" s="9" t="s">
        <v>9321</v>
      </c>
      <c r="T287" s="9" t="s">
        <v>9321</v>
      </c>
      <c r="U287" s="9"/>
      <c r="V287" s="9"/>
      <c r="W287" s="9"/>
      <c r="X287" s="9"/>
      <c r="Y287" s="9"/>
      <c r="Z287" s="9"/>
      <c r="AA287" s="9"/>
      <c r="AB287" s="9"/>
      <c r="AC287" s="9"/>
      <c r="AD287" s="9"/>
    </row>
    <row r="288" spans="1:30" ht="43.5">
      <c r="A288" s="3" t="s">
        <v>1286</v>
      </c>
      <c r="B288" s="3" t="s">
        <v>6538</v>
      </c>
      <c r="C288" s="3" t="s">
        <v>9106</v>
      </c>
      <c r="F288" t="s">
        <v>3884</v>
      </c>
      <c r="G288" s="9" t="s">
        <v>3889</v>
      </c>
      <c r="H288" s="9"/>
      <c r="I288" s="9">
        <v>1</v>
      </c>
      <c r="J288" s="9">
        <v>3</v>
      </c>
      <c r="K288" s="9" t="s">
        <v>8689</v>
      </c>
      <c r="L288" s="9" t="s">
        <v>8684</v>
      </c>
      <c r="M288" s="9" t="s">
        <v>8771</v>
      </c>
      <c r="N288" s="10" t="s">
        <v>8778</v>
      </c>
      <c r="O288" s="9"/>
      <c r="P288" s="9">
        <v>10929</v>
      </c>
      <c r="Q288" s="9">
        <v>1406.0027530843549</v>
      </c>
      <c r="R288" s="9"/>
      <c r="S288" s="9" t="s">
        <v>9321</v>
      </c>
      <c r="T288" s="9" t="s">
        <v>9321</v>
      </c>
      <c r="U288" s="9"/>
      <c r="V288" s="9"/>
      <c r="W288" s="9"/>
      <c r="X288" s="9"/>
      <c r="Y288" s="9"/>
      <c r="Z288" s="9"/>
      <c r="AA288" s="9"/>
      <c r="AB288" s="9"/>
      <c r="AC288" s="9"/>
      <c r="AD288" s="9"/>
    </row>
    <row r="289" spans="1:30" ht="87">
      <c r="A289" s="3" t="s">
        <v>1291</v>
      </c>
      <c r="B289" s="3" t="s">
        <v>6548</v>
      </c>
      <c r="C289" s="3" t="s">
        <v>6551</v>
      </c>
      <c r="F289" t="s">
        <v>3884</v>
      </c>
      <c r="G289" s="9" t="s">
        <v>3885</v>
      </c>
      <c r="H289" s="9"/>
      <c r="I289" s="9">
        <v>1</v>
      </c>
      <c r="J289" s="9">
        <v>3</v>
      </c>
      <c r="K289" s="9" t="s">
        <v>8689</v>
      </c>
      <c r="L289" s="9" t="s">
        <v>8690</v>
      </c>
      <c r="M289" s="9"/>
      <c r="N289" s="10"/>
      <c r="O289" s="9"/>
      <c r="P289" s="9">
        <v>10929</v>
      </c>
      <c r="Q289" s="9">
        <v>1406.0027530843549</v>
      </c>
      <c r="R289" s="9"/>
      <c r="S289" s="9" t="s">
        <v>9321</v>
      </c>
      <c r="T289" s="9" t="s">
        <v>9321</v>
      </c>
      <c r="U289" s="9"/>
      <c r="V289" s="9"/>
      <c r="W289" s="9"/>
      <c r="X289" s="9"/>
      <c r="Y289" s="9"/>
      <c r="Z289" s="9"/>
      <c r="AA289" s="9"/>
      <c r="AB289" s="9"/>
      <c r="AC289" s="9"/>
      <c r="AD289" s="9"/>
    </row>
    <row r="290" spans="1:30" ht="58">
      <c r="A290" s="3" t="s">
        <v>1292</v>
      </c>
      <c r="B290" s="3" t="s">
        <v>6554</v>
      </c>
      <c r="C290" s="3" t="s">
        <v>6555</v>
      </c>
      <c r="G290" s="9" t="s">
        <v>3889</v>
      </c>
      <c r="H290" s="9"/>
      <c r="I290" s="9">
        <v>1</v>
      </c>
      <c r="J290" s="9">
        <v>3</v>
      </c>
      <c r="K290" s="9" t="s">
        <v>8689</v>
      </c>
      <c r="L290" s="9" t="s">
        <v>8690</v>
      </c>
      <c r="M290" s="9"/>
      <c r="N290" s="10"/>
      <c r="O290" s="9"/>
      <c r="P290" s="9">
        <v>10929</v>
      </c>
      <c r="Q290" s="9">
        <v>1406.0027530843549</v>
      </c>
      <c r="R290" s="9"/>
      <c r="S290" s="9" t="s">
        <v>9321</v>
      </c>
      <c r="T290" s="9" t="s">
        <v>9321</v>
      </c>
      <c r="U290" s="9"/>
      <c r="V290" s="9"/>
      <c r="W290" s="9"/>
      <c r="X290" s="9"/>
      <c r="Y290" s="9"/>
      <c r="Z290" s="9"/>
      <c r="AA290" s="9"/>
      <c r="AB290" s="9"/>
      <c r="AC290" s="9"/>
      <c r="AD290" s="9"/>
    </row>
    <row r="291" spans="1:30" ht="29">
      <c r="A291" s="3" t="s">
        <v>1300</v>
      </c>
      <c r="B291" s="3" t="s">
        <v>6573</v>
      </c>
      <c r="C291" s="3" t="s">
        <v>6574</v>
      </c>
      <c r="F291" t="s">
        <v>3884</v>
      </c>
      <c r="G291" s="9" t="s">
        <v>3885</v>
      </c>
      <c r="H291" s="9"/>
      <c r="I291" s="9">
        <v>1</v>
      </c>
      <c r="J291" s="9">
        <v>1</v>
      </c>
      <c r="K291" s="9" t="s">
        <v>8698</v>
      </c>
      <c r="L291" s="9" t="s">
        <v>8730</v>
      </c>
      <c r="M291" s="9"/>
      <c r="N291" s="10"/>
      <c r="O291" s="9"/>
      <c r="P291" s="9">
        <v>1</v>
      </c>
      <c r="Q291" s="9">
        <v>0.12864880163641276</v>
      </c>
      <c r="R291" s="9"/>
      <c r="S291" s="9" t="s">
        <v>9321</v>
      </c>
      <c r="T291" s="9" t="s">
        <v>9321</v>
      </c>
      <c r="U291" s="9" t="s">
        <v>8728</v>
      </c>
      <c r="V291" s="9"/>
      <c r="W291" s="9"/>
      <c r="X291" s="9"/>
      <c r="Y291" s="9"/>
      <c r="Z291" s="9"/>
      <c r="AA291" s="9"/>
      <c r="AB291" s="9"/>
      <c r="AC291" s="9"/>
      <c r="AD291" s="9"/>
    </row>
    <row r="292" spans="1:30" ht="43.5">
      <c r="A292" s="3" t="s">
        <v>1302</v>
      </c>
      <c r="B292" s="3" t="s">
        <v>6577</v>
      </c>
      <c r="C292" s="3" t="s">
        <v>6578</v>
      </c>
      <c r="F292" t="s">
        <v>3884</v>
      </c>
      <c r="G292" s="9" t="s">
        <v>3885</v>
      </c>
      <c r="H292" s="9"/>
      <c r="I292" s="9">
        <v>1</v>
      </c>
      <c r="J292" s="9">
        <v>3</v>
      </c>
      <c r="K292" s="9" t="s">
        <v>8698</v>
      </c>
      <c r="L292" s="9" t="s">
        <v>8690</v>
      </c>
      <c r="M292" s="9"/>
      <c r="N292" s="10"/>
      <c r="O292" s="9"/>
      <c r="P292" s="9">
        <v>9418</v>
      </c>
      <c r="Q292" s="9">
        <v>1211.6144138117354</v>
      </c>
      <c r="R292" s="9"/>
      <c r="S292" s="9" t="s">
        <v>9321</v>
      </c>
      <c r="T292" s="9" t="s">
        <v>9321</v>
      </c>
      <c r="U292" s="9"/>
      <c r="V292" s="9"/>
      <c r="W292" s="9"/>
      <c r="X292" s="9"/>
      <c r="Y292" s="9"/>
      <c r="Z292" s="9"/>
      <c r="AA292" s="9"/>
      <c r="AB292" s="9"/>
      <c r="AC292" s="9"/>
      <c r="AD292" s="9"/>
    </row>
    <row r="293" spans="1:30" ht="29">
      <c r="A293" s="3" t="s">
        <v>1306</v>
      </c>
      <c r="B293" s="3" t="s">
        <v>9107</v>
      </c>
      <c r="C293" s="3" t="s">
        <v>9645</v>
      </c>
      <c r="G293" s="9" t="s">
        <v>3889</v>
      </c>
      <c r="H293" s="9"/>
      <c r="I293" s="9">
        <v>1</v>
      </c>
      <c r="J293" s="9">
        <v>1</v>
      </c>
      <c r="K293" s="9" t="s">
        <v>8689</v>
      </c>
      <c r="L293" s="9" t="s">
        <v>8730</v>
      </c>
      <c r="M293" s="9"/>
      <c r="N293" s="10"/>
      <c r="O293" s="9"/>
      <c r="P293" s="9">
        <v>10929</v>
      </c>
      <c r="Q293" s="9">
        <v>1406.0027530843549</v>
      </c>
      <c r="R293" s="9"/>
      <c r="S293" s="9" t="s">
        <v>9321</v>
      </c>
      <c r="T293" s="9" t="s">
        <v>9321</v>
      </c>
      <c r="U293" s="9"/>
      <c r="V293" s="9"/>
      <c r="W293" s="9"/>
      <c r="X293" s="9"/>
      <c r="Y293" s="9"/>
      <c r="Z293" s="9"/>
      <c r="AA293" s="9"/>
      <c r="AB293" s="9"/>
      <c r="AC293" s="9"/>
      <c r="AD293" s="9"/>
    </row>
    <row r="294" spans="1:30" ht="58">
      <c r="A294" s="3" t="s">
        <v>1316</v>
      </c>
      <c r="B294" s="3" t="s">
        <v>6607</v>
      </c>
      <c r="C294" s="3" t="s">
        <v>6608</v>
      </c>
      <c r="F294" t="s">
        <v>3884</v>
      </c>
      <c r="G294" s="9" t="s">
        <v>3885</v>
      </c>
      <c r="H294" s="9"/>
      <c r="I294" s="9">
        <v>1</v>
      </c>
      <c r="J294" s="9">
        <v>1</v>
      </c>
      <c r="K294" s="9" t="s">
        <v>8698</v>
      </c>
      <c r="L294" s="9" t="s">
        <v>8730</v>
      </c>
      <c r="M294" s="9"/>
      <c r="N294" s="10"/>
      <c r="O294" s="9"/>
      <c r="P294" s="9">
        <v>55</v>
      </c>
      <c r="Q294" s="9">
        <v>7.075684090002702</v>
      </c>
      <c r="R294" s="9"/>
      <c r="S294" s="9" t="s">
        <v>9321</v>
      </c>
      <c r="T294" s="9" t="s">
        <v>9321</v>
      </c>
      <c r="U294" s="9"/>
      <c r="V294" s="9"/>
      <c r="W294" s="9"/>
      <c r="X294" s="9"/>
      <c r="Y294" s="9"/>
      <c r="Z294" s="9"/>
      <c r="AA294" s="9"/>
      <c r="AB294" s="9"/>
      <c r="AC294" s="9"/>
      <c r="AD294" s="9"/>
    </row>
    <row r="295" spans="1:30" ht="43.5">
      <c r="A295" s="3" t="s">
        <v>1317</v>
      </c>
      <c r="B295" s="3" t="s">
        <v>6619</v>
      </c>
      <c r="C295" s="3" t="s">
        <v>6620</v>
      </c>
      <c r="F295" t="s">
        <v>3884</v>
      </c>
      <c r="G295" s="9" t="s">
        <v>3885</v>
      </c>
      <c r="H295" s="9"/>
      <c r="I295" s="9">
        <v>1</v>
      </c>
      <c r="J295" s="9">
        <v>3</v>
      </c>
      <c r="K295" s="9" t="s">
        <v>8689</v>
      </c>
      <c r="L295" s="9" t="s">
        <v>8684</v>
      </c>
      <c r="M295" s="9" t="s">
        <v>8771</v>
      </c>
      <c r="N295" s="10" t="s">
        <v>8778</v>
      </c>
      <c r="O295" s="9"/>
      <c r="P295" s="9">
        <v>10929</v>
      </c>
      <c r="Q295" s="9">
        <v>1406.0027530843549</v>
      </c>
      <c r="R295" s="9"/>
      <c r="S295" s="9" t="s">
        <v>9321</v>
      </c>
      <c r="T295" s="9" t="s">
        <v>9321</v>
      </c>
      <c r="U295" s="9"/>
      <c r="V295" s="9"/>
      <c r="W295" s="9"/>
      <c r="X295" s="9"/>
      <c r="Y295" s="9"/>
      <c r="Z295" s="9"/>
      <c r="AA295" s="9"/>
      <c r="AB295" s="9"/>
      <c r="AC295" s="9"/>
      <c r="AD295" s="9"/>
    </row>
    <row r="296" spans="1:30" ht="101.5">
      <c r="A296" s="3" t="s">
        <v>1322</v>
      </c>
      <c r="B296" s="3" t="s">
        <v>6628</v>
      </c>
      <c r="C296" s="3" t="s">
        <v>6629</v>
      </c>
      <c r="F296" t="s">
        <v>3884</v>
      </c>
      <c r="G296" s="9" t="s">
        <v>3889</v>
      </c>
      <c r="H296" s="9"/>
      <c r="I296" s="9">
        <v>1</v>
      </c>
      <c r="J296" s="9">
        <v>2</v>
      </c>
      <c r="K296" s="9" t="s">
        <v>8689</v>
      </c>
      <c r="L296" s="9" t="s">
        <v>8730</v>
      </c>
      <c r="M296" s="9"/>
      <c r="N296" s="10"/>
      <c r="O296" s="9"/>
      <c r="P296" s="9">
        <v>10929</v>
      </c>
      <c r="Q296" s="9">
        <v>1406.0027530843549</v>
      </c>
      <c r="R296" s="9"/>
      <c r="S296" s="9" t="s">
        <v>9321</v>
      </c>
      <c r="T296" s="9" t="s">
        <v>9321</v>
      </c>
      <c r="U296" s="9"/>
      <c r="V296" s="9"/>
      <c r="W296" s="9"/>
      <c r="X296" s="9"/>
      <c r="Y296" s="9"/>
      <c r="Z296" s="9"/>
      <c r="AA296" s="9"/>
      <c r="AB296" s="9"/>
      <c r="AC296" s="9"/>
      <c r="AD296" s="9"/>
    </row>
    <row r="297" spans="1:30" ht="43.5">
      <c r="A297" s="3" t="s">
        <v>1331</v>
      </c>
      <c r="B297" s="3" t="s">
        <v>6655</v>
      </c>
      <c r="C297" s="3" t="s">
        <v>6656</v>
      </c>
      <c r="G297" s="9" t="s">
        <v>3889</v>
      </c>
      <c r="H297" s="9"/>
      <c r="I297" s="9">
        <v>1</v>
      </c>
      <c r="J297" s="9">
        <v>2</v>
      </c>
      <c r="K297" s="9" t="s">
        <v>8705</v>
      </c>
      <c r="L297" s="9" t="s">
        <v>8730</v>
      </c>
      <c r="M297" s="9"/>
      <c r="N297" s="10"/>
      <c r="O297" s="9"/>
      <c r="P297" s="9">
        <v>231</v>
      </c>
      <c r="Q297" s="9">
        <v>29.717873178011349</v>
      </c>
      <c r="R297" s="9"/>
      <c r="S297" s="9" t="s">
        <v>9321</v>
      </c>
      <c r="T297" s="9" t="s">
        <v>9321</v>
      </c>
      <c r="U297" s="9" t="s">
        <v>4</v>
      </c>
      <c r="V297" s="9"/>
      <c r="W297" s="9"/>
      <c r="X297" s="9"/>
      <c r="Y297" s="9"/>
      <c r="Z297" s="9"/>
      <c r="AA297" s="9"/>
      <c r="AB297" s="9"/>
      <c r="AC297" s="9"/>
      <c r="AD297" s="9"/>
    </row>
    <row r="298" spans="1:30" ht="29">
      <c r="A298" s="3" t="s">
        <v>1335</v>
      </c>
      <c r="B298" s="3" t="s">
        <v>6666</v>
      </c>
      <c r="C298" s="3" t="s">
        <v>6667</v>
      </c>
      <c r="G298" s="9" t="s">
        <v>3889</v>
      </c>
      <c r="H298" s="9"/>
      <c r="I298" s="9">
        <v>1</v>
      </c>
      <c r="J298" s="9">
        <v>3</v>
      </c>
      <c r="K298" s="9" t="s">
        <v>8734</v>
      </c>
      <c r="L298" s="9" t="s">
        <v>8690</v>
      </c>
      <c r="M298" s="9"/>
      <c r="N298" s="10"/>
      <c r="O298" s="9"/>
      <c r="P298" s="9">
        <v>698</v>
      </c>
      <c r="Q298" s="9">
        <v>89.796863542216116</v>
      </c>
      <c r="R298" s="9"/>
      <c r="S298" s="9" t="s">
        <v>9321</v>
      </c>
      <c r="T298" s="9" t="s">
        <v>9321</v>
      </c>
      <c r="U298" s="9"/>
      <c r="V298" s="9"/>
      <c r="W298" s="9"/>
      <c r="X298" s="9"/>
      <c r="Y298" s="9"/>
      <c r="Z298" s="9"/>
      <c r="AA298" s="9"/>
      <c r="AB298" s="9"/>
      <c r="AC298" s="9"/>
      <c r="AD298" s="9"/>
    </row>
    <row r="299" spans="1:30" ht="43.5">
      <c r="A299" s="3" t="s">
        <v>1345</v>
      </c>
      <c r="B299" s="3" t="s">
        <v>6696</v>
      </c>
      <c r="C299" s="3" t="s">
        <v>6697</v>
      </c>
      <c r="G299" s="9" t="s">
        <v>3889</v>
      </c>
      <c r="H299" s="9"/>
      <c r="I299" s="9">
        <v>1</v>
      </c>
      <c r="J299" s="9">
        <v>3</v>
      </c>
      <c r="K299" s="9" t="s">
        <v>8707</v>
      </c>
      <c r="L299" s="9" t="s">
        <v>8690</v>
      </c>
      <c r="M299" s="9"/>
      <c r="N299" s="10"/>
      <c r="O299" s="9"/>
      <c r="P299" s="9">
        <v>872</v>
      </c>
      <c r="Q299" s="9">
        <v>112.18175502695193</v>
      </c>
      <c r="R299" s="9"/>
      <c r="S299" s="9" t="s">
        <v>9321</v>
      </c>
      <c r="T299" s="9" t="s">
        <v>9321</v>
      </c>
      <c r="U299" s="9"/>
      <c r="V299" s="9"/>
      <c r="W299" s="9"/>
      <c r="X299" s="9"/>
      <c r="Y299" s="9"/>
      <c r="Z299" s="9"/>
      <c r="AA299" s="9"/>
      <c r="AB299" s="9"/>
      <c r="AC299" s="9"/>
      <c r="AD299" s="9"/>
    </row>
    <row r="300" spans="1:30" ht="87">
      <c r="A300" s="3" t="s">
        <v>1352</v>
      </c>
      <c r="B300" s="3" t="s">
        <v>6719</v>
      </c>
      <c r="C300" s="3" t="s">
        <v>6720</v>
      </c>
      <c r="G300" s="9" t="s">
        <v>3885</v>
      </c>
      <c r="H300" s="9"/>
      <c r="I300" s="9">
        <v>1</v>
      </c>
      <c r="J300" s="9">
        <v>1</v>
      </c>
      <c r="K300" s="9" t="s">
        <v>8705</v>
      </c>
      <c r="L300" s="9" t="s">
        <v>8730</v>
      </c>
      <c r="M300" s="9"/>
      <c r="N300" s="10"/>
      <c r="O300" s="9"/>
      <c r="P300" s="9">
        <v>615</v>
      </c>
      <c r="Q300" s="9">
        <v>79.119013006393843</v>
      </c>
      <c r="R300" s="9"/>
      <c r="S300" s="9" t="s">
        <v>9321</v>
      </c>
      <c r="T300" s="9" t="s">
        <v>9321</v>
      </c>
      <c r="U300" s="9"/>
      <c r="V300" s="9"/>
      <c r="W300" s="9"/>
      <c r="X300" s="9"/>
      <c r="Y300" s="9"/>
      <c r="Z300" s="9"/>
      <c r="AA300" s="9"/>
      <c r="AB300" s="9"/>
      <c r="AC300" s="9"/>
      <c r="AD300" s="9"/>
    </row>
    <row r="301" spans="1:30" ht="29">
      <c r="A301" s="3" t="s">
        <v>1356</v>
      </c>
      <c r="B301" s="3" t="s">
        <v>6733</v>
      </c>
      <c r="C301" s="3" t="s">
        <v>6734</v>
      </c>
      <c r="G301" s="9" t="s">
        <v>3885</v>
      </c>
      <c r="H301" s="9"/>
      <c r="I301" s="9">
        <v>1</v>
      </c>
      <c r="J301" s="9">
        <v>3</v>
      </c>
      <c r="K301" s="9" t="s">
        <v>8689</v>
      </c>
      <c r="L301" s="9" t="s">
        <v>8730</v>
      </c>
      <c r="M301" s="9"/>
      <c r="N301" s="10"/>
      <c r="O301" s="9"/>
      <c r="P301" s="9">
        <v>10929</v>
      </c>
      <c r="Q301" s="9">
        <v>1406.0027530843549</v>
      </c>
      <c r="R301" s="9"/>
      <c r="S301" s="9" t="s">
        <v>9321</v>
      </c>
      <c r="T301" s="9" t="s">
        <v>9321</v>
      </c>
      <c r="U301" s="9"/>
      <c r="V301" s="9"/>
      <c r="W301" s="9"/>
      <c r="X301" s="9"/>
      <c r="Y301" s="9"/>
      <c r="Z301" s="9"/>
      <c r="AA301" s="9"/>
      <c r="AB301" s="9"/>
      <c r="AC301" s="9"/>
      <c r="AD301" s="9"/>
    </row>
    <row r="302" spans="1:30" ht="29">
      <c r="A302" s="3" t="s">
        <v>1364</v>
      </c>
      <c r="B302" s="3" t="s">
        <v>6768</v>
      </c>
      <c r="C302" s="3" t="s">
        <v>6769</v>
      </c>
      <c r="G302" s="9" t="s">
        <v>3885</v>
      </c>
      <c r="H302" s="9"/>
      <c r="I302" s="9">
        <v>1</v>
      </c>
      <c r="J302" s="9">
        <v>1</v>
      </c>
      <c r="K302" s="9" t="s">
        <v>8689</v>
      </c>
      <c r="L302" s="9" t="s">
        <v>8730</v>
      </c>
      <c r="M302" s="9"/>
      <c r="N302" s="10"/>
      <c r="O302" s="9" t="s">
        <v>8685</v>
      </c>
      <c r="P302" s="9">
        <v>10929</v>
      </c>
      <c r="Q302" s="9">
        <v>1406.0027530843549</v>
      </c>
      <c r="R302" s="9"/>
      <c r="S302" s="9" t="s">
        <v>9321</v>
      </c>
      <c r="T302" s="9" t="s">
        <v>9321</v>
      </c>
      <c r="U302" s="9"/>
      <c r="V302" s="9"/>
      <c r="W302" s="9"/>
      <c r="X302" s="9"/>
      <c r="Y302" s="9"/>
      <c r="Z302" s="9"/>
      <c r="AA302" s="9"/>
      <c r="AB302" s="9"/>
      <c r="AC302" s="9"/>
      <c r="AD302" s="9"/>
    </row>
    <row r="303" spans="1:30" ht="58">
      <c r="A303" s="3" t="s">
        <v>1365</v>
      </c>
      <c r="B303" s="3" t="s">
        <v>6770</v>
      </c>
      <c r="C303" s="3" t="s">
        <v>6773</v>
      </c>
      <c r="F303" t="s">
        <v>3884</v>
      </c>
      <c r="G303" s="9" t="s">
        <v>3885</v>
      </c>
      <c r="H303" s="9"/>
      <c r="I303" s="9">
        <v>1</v>
      </c>
      <c r="J303" s="9">
        <v>3</v>
      </c>
      <c r="K303" s="9" t="s">
        <v>8705</v>
      </c>
      <c r="L303" s="9" t="s">
        <v>8690</v>
      </c>
      <c r="M303" s="9"/>
      <c r="N303" s="10"/>
      <c r="O303" s="9"/>
      <c r="P303" s="9">
        <v>1485</v>
      </c>
      <c r="Q303" s="9">
        <v>191.04347043007292</v>
      </c>
      <c r="R303" s="9"/>
      <c r="S303" s="9" t="s">
        <v>9321</v>
      </c>
      <c r="T303" s="9" t="s">
        <v>9321</v>
      </c>
      <c r="U303" s="9"/>
      <c r="V303" s="9"/>
      <c r="W303" s="9"/>
      <c r="X303" s="9"/>
      <c r="Y303" s="9"/>
      <c r="Z303" s="9"/>
      <c r="AA303" s="9"/>
      <c r="AB303" s="9"/>
      <c r="AC303" s="9"/>
      <c r="AD303" s="9"/>
    </row>
    <row r="304" spans="1:30" ht="87">
      <c r="A304" s="3" t="s">
        <v>1366</v>
      </c>
      <c r="B304" s="3" t="s">
        <v>6780</v>
      </c>
      <c r="C304" s="3" t="s">
        <v>6781</v>
      </c>
      <c r="F304" t="s">
        <v>3892</v>
      </c>
      <c r="G304" s="9" t="s">
        <v>3885</v>
      </c>
      <c r="H304" s="9"/>
      <c r="I304" s="9">
        <v>1</v>
      </c>
      <c r="J304" s="9">
        <v>4</v>
      </c>
      <c r="K304" s="9" t="s">
        <v>8705</v>
      </c>
      <c r="L304" s="9" t="s">
        <v>8690</v>
      </c>
      <c r="M304" s="9"/>
      <c r="N304" s="10"/>
      <c r="O304" s="9"/>
      <c r="P304" s="9">
        <v>3678</v>
      </c>
      <c r="Q304" s="9">
        <v>473.17029241872609</v>
      </c>
      <c r="R304" s="9"/>
      <c r="S304" s="9" t="s">
        <v>9321</v>
      </c>
      <c r="T304" s="9" t="s">
        <v>9321</v>
      </c>
      <c r="U304" s="9"/>
      <c r="V304" s="9"/>
      <c r="W304" s="9"/>
      <c r="X304" s="9"/>
      <c r="Y304" s="9"/>
      <c r="Z304" s="9"/>
      <c r="AA304" s="9"/>
      <c r="AB304" s="9"/>
      <c r="AC304" s="9"/>
      <c r="AD304" s="9"/>
    </row>
    <row r="305" spans="1:30" ht="29">
      <c r="A305" s="3" t="s">
        <v>1374</v>
      </c>
      <c r="B305" s="3" t="s">
        <v>6806</v>
      </c>
      <c r="C305" s="3" t="s">
        <v>6807</v>
      </c>
      <c r="G305" s="9" t="s">
        <v>3889</v>
      </c>
      <c r="H305" s="9"/>
      <c r="I305" s="9">
        <v>1</v>
      </c>
      <c r="J305" s="9">
        <v>1</v>
      </c>
      <c r="K305" s="9" t="s">
        <v>8689</v>
      </c>
      <c r="L305" s="9" t="s">
        <v>8730</v>
      </c>
      <c r="M305" s="9"/>
      <c r="N305" s="10"/>
      <c r="O305" s="9"/>
      <c r="P305" s="9">
        <v>10929</v>
      </c>
      <c r="Q305" s="9">
        <v>1406.0027530843549</v>
      </c>
      <c r="R305" s="9"/>
      <c r="S305" s="9" t="s">
        <v>9321</v>
      </c>
      <c r="T305" s="9" t="s">
        <v>9321</v>
      </c>
      <c r="U305" s="9"/>
      <c r="V305" s="9"/>
      <c r="W305" s="9"/>
      <c r="X305" s="9"/>
      <c r="Y305" s="9"/>
      <c r="Z305" s="9"/>
      <c r="AA305" s="9"/>
      <c r="AB305" s="9"/>
      <c r="AC305" s="9"/>
      <c r="AD305" s="9"/>
    </row>
    <row r="306" spans="1:30" ht="43.5">
      <c r="A306" s="3" t="s">
        <v>1374</v>
      </c>
      <c r="B306" s="3" t="s">
        <v>6810</v>
      </c>
      <c r="C306" s="3" t="s">
        <v>6811</v>
      </c>
      <c r="G306" s="9" t="s">
        <v>3889</v>
      </c>
      <c r="H306" s="9"/>
      <c r="I306" s="9">
        <v>1</v>
      </c>
      <c r="J306" s="9">
        <v>3</v>
      </c>
      <c r="K306" s="9" t="s">
        <v>8689</v>
      </c>
      <c r="L306" s="9" t="s">
        <v>8690</v>
      </c>
      <c r="M306" s="9"/>
      <c r="N306" s="10"/>
      <c r="O306" s="9"/>
      <c r="P306" s="9">
        <v>10929</v>
      </c>
      <c r="Q306" s="9">
        <v>1406.0027530843549</v>
      </c>
      <c r="R306" s="9"/>
      <c r="S306" s="9" t="s">
        <v>9321</v>
      </c>
      <c r="T306" s="9" t="s">
        <v>9321</v>
      </c>
      <c r="U306" s="9"/>
      <c r="V306" s="9"/>
      <c r="W306" s="9"/>
      <c r="X306" s="9"/>
      <c r="Y306" s="9"/>
      <c r="Z306" s="9"/>
      <c r="AA306" s="9"/>
      <c r="AB306" s="9"/>
      <c r="AC306" s="9"/>
      <c r="AD306" s="9"/>
    </row>
    <row r="307" spans="1:30" ht="29">
      <c r="A307" s="3" t="s">
        <v>1377</v>
      </c>
      <c r="B307" s="3" t="s">
        <v>6817</v>
      </c>
      <c r="C307" s="3" t="s">
        <v>6818</v>
      </c>
      <c r="G307" s="9" t="s">
        <v>3889</v>
      </c>
      <c r="H307" s="9"/>
      <c r="I307" s="9">
        <v>1</v>
      </c>
      <c r="J307" s="9">
        <v>3</v>
      </c>
      <c r="K307" s="9" t="s">
        <v>8689</v>
      </c>
      <c r="L307" s="9" t="s">
        <v>8690</v>
      </c>
      <c r="M307" s="9"/>
      <c r="N307" s="10"/>
      <c r="O307" s="9"/>
      <c r="P307" s="9">
        <v>10929</v>
      </c>
      <c r="Q307" s="9">
        <v>1406.0027530843549</v>
      </c>
      <c r="R307" s="9"/>
      <c r="S307" s="9" t="s">
        <v>9321</v>
      </c>
      <c r="T307" s="9" t="s">
        <v>9321</v>
      </c>
      <c r="U307" s="9"/>
      <c r="V307" s="9"/>
      <c r="W307" s="9"/>
      <c r="X307" s="9"/>
      <c r="Y307" s="9"/>
      <c r="Z307" s="9"/>
      <c r="AA307" s="9"/>
      <c r="AB307" s="9"/>
      <c r="AC307" s="9"/>
      <c r="AD307" s="9"/>
    </row>
    <row r="308" spans="1:30" ht="87">
      <c r="A308" s="3" t="s">
        <v>1379</v>
      </c>
      <c r="B308" s="3" t="s">
        <v>6827</v>
      </c>
      <c r="C308" s="3" t="s">
        <v>6825</v>
      </c>
      <c r="G308" s="9" t="s">
        <v>3889</v>
      </c>
      <c r="H308" s="9"/>
      <c r="I308" s="9">
        <v>1</v>
      </c>
      <c r="J308" s="9">
        <v>3</v>
      </c>
      <c r="K308" s="9" t="s">
        <v>8689</v>
      </c>
      <c r="L308" s="9" t="s">
        <v>8690</v>
      </c>
      <c r="M308" s="9"/>
      <c r="N308" s="10"/>
      <c r="O308" s="9"/>
      <c r="P308" s="9">
        <v>10929</v>
      </c>
      <c r="Q308" s="9">
        <v>1406.0027530843549</v>
      </c>
      <c r="R308" s="9"/>
      <c r="S308" s="9" t="s">
        <v>9321</v>
      </c>
      <c r="T308" s="9" t="s">
        <v>9321</v>
      </c>
      <c r="U308" s="9"/>
      <c r="V308" s="9"/>
      <c r="W308" s="9"/>
      <c r="X308" s="9"/>
      <c r="Y308" s="9"/>
      <c r="Z308" s="9"/>
      <c r="AA308" s="9"/>
      <c r="AB308" s="9"/>
      <c r="AC308" s="9"/>
      <c r="AD308" s="9"/>
    </row>
    <row r="309" spans="1:30" ht="43.5">
      <c r="A309" s="3" t="s">
        <v>1388</v>
      </c>
      <c r="B309" s="3" t="s">
        <v>6858</v>
      </c>
      <c r="C309" s="3" t="s">
        <v>6859</v>
      </c>
      <c r="F309" t="s">
        <v>3884</v>
      </c>
      <c r="G309" s="9" t="s">
        <v>3885</v>
      </c>
      <c r="H309" s="9"/>
      <c r="I309" s="9">
        <v>1</v>
      </c>
      <c r="J309" s="9">
        <v>3</v>
      </c>
      <c r="K309" s="9" t="s">
        <v>8689</v>
      </c>
      <c r="L309" s="9" t="s">
        <v>8690</v>
      </c>
      <c r="M309" s="9"/>
      <c r="N309" s="10"/>
      <c r="O309" s="9"/>
      <c r="P309" s="9">
        <v>10929</v>
      </c>
      <c r="Q309" s="9">
        <v>1406.0027530843549</v>
      </c>
      <c r="R309" s="9"/>
      <c r="S309" s="9" t="s">
        <v>9321</v>
      </c>
      <c r="T309" s="9" t="s">
        <v>9321</v>
      </c>
      <c r="U309" s="9"/>
      <c r="V309" s="9"/>
      <c r="W309" s="9"/>
      <c r="X309" s="9"/>
      <c r="Y309" s="9"/>
      <c r="Z309" s="9"/>
      <c r="AA309" s="9"/>
      <c r="AB309" s="9"/>
      <c r="AC309" s="9"/>
      <c r="AD309" s="9"/>
    </row>
    <row r="310" spans="1:30" ht="29">
      <c r="A310" s="3" t="s">
        <v>1398</v>
      </c>
      <c r="B310" s="3" t="s">
        <v>6890</v>
      </c>
      <c r="C310" s="3" t="s">
        <v>6891</v>
      </c>
      <c r="F310" t="s">
        <v>3884</v>
      </c>
      <c r="G310" s="9" t="s">
        <v>3889</v>
      </c>
      <c r="H310" s="9"/>
      <c r="I310" s="9">
        <v>1</v>
      </c>
      <c r="J310" s="9">
        <v>2</v>
      </c>
      <c r="K310" s="9" t="s">
        <v>8689</v>
      </c>
      <c r="L310" s="9" t="s">
        <v>8730</v>
      </c>
      <c r="M310" s="9"/>
      <c r="N310" s="10"/>
      <c r="O310" s="9"/>
      <c r="P310" s="9">
        <v>10929</v>
      </c>
      <c r="Q310" s="9">
        <v>1406.0027530843549</v>
      </c>
      <c r="R310" s="9"/>
      <c r="S310" s="9" t="s">
        <v>9321</v>
      </c>
      <c r="T310" s="9" t="s">
        <v>9321</v>
      </c>
      <c r="U310" s="9" t="s">
        <v>8728</v>
      </c>
      <c r="V310" s="9"/>
      <c r="W310" s="9"/>
      <c r="X310" s="9"/>
      <c r="Y310" s="9"/>
      <c r="Z310" s="9"/>
      <c r="AA310" s="9"/>
      <c r="AB310" s="9"/>
      <c r="AC310" s="9"/>
      <c r="AD310" s="9"/>
    </row>
    <row r="311" spans="1:30" ht="43.5">
      <c r="A311" s="3" t="s">
        <v>1400</v>
      </c>
      <c r="B311" s="3" t="s">
        <v>6896</v>
      </c>
      <c r="C311" s="3" t="s">
        <v>6897</v>
      </c>
      <c r="G311" s="9" t="s">
        <v>3889</v>
      </c>
      <c r="H311" s="9"/>
      <c r="I311" s="9">
        <v>1</v>
      </c>
      <c r="J311" s="9">
        <v>3</v>
      </c>
      <c r="K311" s="9" t="s">
        <v>8689</v>
      </c>
      <c r="L311" s="9" t="s">
        <v>8690</v>
      </c>
      <c r="M311" s="9"/>
      <c r="N311" s="10"/>
      <c r="O311" s="9"/>
      <c r="P311" s="9">
        <v>10929</v>
      </c>
      <c r="Q311" s="9">
        <v>1406.0027530843549</v>
      </c>
      <c r="R311" s="9"/>
      <c r="S311" s="9" t="s">
        <v>9321</v>
      </c>
      <c r="T311" s="9" t="s">
        <v>9321</v>
      </c>
      <c r="U311" s="9"/>
      <c r="V311" s="9"/>
      <c r="W311" s="9"/>
      <c r="X311" s="9"/>
      <c r="Y311" s="9"/>
      <c r="Z311" s="9"/>
      <c r="AA311" s="9"/>
      <c r="AB311" s="9"/>
      <c r="AC311" s="9"/>
      <c r="AD311" s="9"/>
    </row>
    <row r="312" spans="1:30" ht="43.5">
      <c r="A312" s="3" t="s">
        <v>1405</v>
      </c>
      <c r="B312" s="3" t="s">
        <v>6910</v>
      </c>
      <c r="C312" s="3" t="s">
        <v>6907</v>
      </c>
      <c r="F312" t="s">
        <v>3884</v>
      </c>
      <c r="G312" s="9" t="s">
        <v>3889</v>
      </c>
      <c r="H312" s="9"/>
      <c r="I312" s="9">
        <v>1</v>
      </c>
      <c r="J312" s="9">
        <v>3</v>
      </c>
      <c r="K312" s="9" t="s">
        <v>8689</v>
      </c>
      <c r="L312" s="9" t="s">
        <v>8690</v>
      </c>
      <c r="M312" s="9"/>
      <c r="N312" s="10"/>
      <c r="O312" s="9"/>
      <c r="P312" s="9">
        <v>10929</v>
      </c>
      <c r="Q312" s="9">
        <v>1406.0027530843549</v>
      </c>
      <c r="R312" s="9"/>
      <c r="S312" s="9" t="s">
        <v>9321</v>
      </c>
      <c r="T312" s="9" t="s">
        <v>9321</v>
      </c>
      <c r="U312" s="9"/>
      <c r="V312" s="9"/>
      <c r="W312" s="9"/>
      <c r="X312" s="9"/>
      <c r="Y312" s="9"/>
      <c r="Z312" s="9"/>
      <c r="AA312" s="9"/>
      <c r="AB312" s="9"/>
      <c r="AC312" s="9"/>
      <c r="AD312" s="9"/>
    </row>
    <row r="313" spans="1:30" ht="58">
      <c r="A313" s="3" t="s">
        <v>1408</v>
      </c>
      <c r="B313" s="3" t="s">
        <v>6921</v>
      </c>
      <c r="C313" s="3" t="s">
        <v>6922</v>
      </c>
      <c r="F313" t="s">
        <v>3884</v>
      </c>
      <c r="G313" s="9" t="s">
        <v>3885</v>
      </c>
      <c r="H313" s="9"/>
      <c r="I313" s="9">
        <v>1</v>
      </c>
      <c r="J313" s="9">
        <v>5</v>
      </c>
      <c r="K313" s="9" t="s">
        <v>8705</v>
      </c>
      <c r="L313" s="9" t="s">
        <v>8690</v>
      </c>
      <c r="M313" s="9"/>
      <c r="N313" s="10"/>
      <c r="O313" s="9"/>
      <c r="P313" s="9">
        <v>3678</v>
      </c>
      <c r="Q313" s="9">
        <v>473.17029241872609</v>
      </c>
      <c r="R313" s="9"/>
      <c r="S313" s="9" t="s">
        <v>9321</v>
      </c>
      <c r="T313" s="9" t="s">
        <v>9321</v>
      </c>
      <c r="U313" s="9"/>
      <c r="V313" s="9"/>
      <c r="W313" s="9"/>
      <c r="X313" s="9"/>
      <c r="Y313" s="9"/>
      <c r="Z313" s="9"/>
      <c r="AA313" s="9"/>
      <c r="AB313" s="9"/>
      <c r="AC313" s="9"/>
      <c r="AD313" s="9"/>
    </row>
    <row r="314" spans="1:30" ht="72.5">
      <c r="A314" s="3" t="s">
        <v>1409</v>
      </c>
      <c r="B314" s="3" t="s">
        <v>6928</v>
      </c>
      <c r="C314" s="3" t="s">
        <v>6929</v>
      </c>
      <c r="F314" t="s">
        <v>3884</v>
      </c>
      <c r="G314" s="9" t="s">
        <v>3885</v>
      </c>
      <c r="H314" s="9"/>
      <c r="I314" s="9">
        <v>1</v>
      </c>
      <c r="J314" s="9">
        <v>2</v>
      </c>
      <c r="K314" s="9" t="s">
        <v>8734</v>
      </c>
      <c r="L314" s="9" t="s">
        <v>8730</v>
      </c>
      <c r="M314" s="9"/>
      <c r="N314" s="10"/>
      <c r="O314" s="9" t="s">
        <v>8685</v>
      </c>
      <c r="P314" s="9">
        <v>49</v>
      </c>
      <c r="Q314" s="9">
        <v>6.3037912801842246</v>
      </c>
      <c r="R314" s="9"/>
      <c r="S314" s="9" t="s">
        <v>9321</v>
      </c>
      <c r="T314" s="9" t="s">
        <v>9321</v>
      </c>
      <c r="U314" s="9"/>
      <c r="V314" s="9"/>
      <c r="W314" s="9"/>
      <c r="X314" s="9"/>
      <c r="Y314" s="9"/>
      <c r="Z314" s="9"/>
      <c r="AA314" s="9"/>
      <c r="AB314" s="9"/>
      <c r="AC314" s="9"/>
      <c r="AD314" s="9"/>
    </row>
    <row r="315" spans="1:30" ht="72.5">
      <c r="A315" s="3" t="s">
        <v>1411</v>
      </c>
      <c r="B315" s="3" t="s">
        <v>6944</v>
      </c>
      <c r="C315" s="3" t="s">
        <v>6941</v>
      </c>
      <c r="G315" s="9" t="s">
        <v>3889</v>
      </c>
      <c r="H315" s="9"/>
      <c r="I315" s="9">
        <v>1</v>
      </c>
      <c r="J315" s="9">
        <v>3</v>
      </c>
      <c r="K315" s="9" t="s">
        <v>8689</v>
      </c>
      <c r="L315" s="9" t="s">
        <v>8690</v>
      </c>
      <c r="M315" s="9"/>
      <c r="N315" s="10"/>
      <c r="O315" s="9"/>
      <c r="P315" s="9">
        <v>10929</v>
      </c>
      <c r="Q315" s="9">
        <v>1406.0027530843549</v>
      </c>
      <c r="R315" s="9"/>
      <c r="S315" s="9" t="s">
        <v>9321</v>
      </c>
      <c r="T315" s="9" t="s">
        <v>9321</v>
      </c>
      <c r="U315" s="9"/>
      <c r="V315" s="9"/>
      <c r="W315" s="9"/>
      <c r="X315" s="9"/>
      <c r="Y315" s="9"/>
      <c r="Z315" s="9"/>
      <c r="AA315" s="9"/>
      <c r="AB315" s="9"/>
      <c r="AC315" s="9"/>
      <c r="AD315" s="9"/>
    </row>
    <row r="316" spans="1:30" ht="72.5">
      <c r="A316" s="3" t="s">
        <v>1412</v>
      </c>
      <c r="B316" s="3" t="s">
        <v>6945</v>
      </c>
      <c r="C316" s="3" t="s">
        <v>6946</v>
      </c>
      <c r="F316" t="s">
        <v>3884</v>
      </c>
      <c r="G316" s="9" t="s">
        <v>3885</v>
      </c>
      <c r="H316" s="9"/>
      <c r="I316" s="9">
        <v>1</v>
      </c>
      <c r="J316" s="9">
        <v>4</v>
      </c>
      <c r="K316" s="9" t="s">
        <v>8710</v>
      </c>
      <c r="L316" s="9" t="s">
        <v>8690</v>
      </c>
      <c r="M316" s="9"/>
      <c r="N316" s="10"/>
      <c r="O316" s="9"/>
      <c r="P316" s="9">
        <v>266</v>
      </c>
      <c r="Q316" s="9">
        <v>34.220581235285792</v>
      </c>
      <c r="R316" s="9"/>
      <c r="S316" s="9" t="s">
        <v>9321</v>
      </c>
      <c r="T316" s="9" t="s">
        <v>9321</v>
      </c>
      <c r="U316" s="9"/>
      <c r="V316" s="9"/>
      <c r="W316" s="9"/>
      <c r="X316" s="9"/>
      <c r="Y316" s="9"/>
      <c r="Z316" s="9"/>
      <c r="AA316" s="9"/>
      <c r="AB316" s="9"/>
      <c r="AC316" s="9"/>
      <c r="AD316" s="9"/>
    </row>
    <row r="317" spans="1:30" ht="72.5">
      <c r="A317" s="3" t="s">
        <v>1433</v>
      </c>
      <c r="B317" s="3" t="s">
        <v>7023</v>
      </c>
      <c r="C317" s="3" t="s">
        <v>7024</v>
      </c>
      <c r="G317" s="9" t="s">
        <v>3885</v>
      </c>
      <c r="H317" s="9"/>
      <c r="I317" s="9">
        <v>1</v>
      </c>
      <c r="J317" s="9">
        <v>1</v>
      </c>
      <c r="K317" s="9" t="s">
        <v>8689</v>
      </c>
      <c r="L317" s="9" t="s">
        <v>8730</v>
      </c>
      <c r="M317" s="9"/>
      <c r="N317" s="10"/>
      <c r="O317" s="9"/>
      <c r="P317" s="9">
        <v>10929</v>
      </c>
      <c r="Q317" s="9">
        <v>1406.0027530843549</v>
      </c>
      <c r="R317" s="9"/>
      <c r="S317" s="9" t="s">
        <v>9321</v>
      </c>
      <c r="T317" s="9" t="s">
        <v>9321</v>
      </c>
      <c r="U317" s="9"/>
      <c r="V317" s="9"/>
      <c r="W317" s="9"/>
      <c r="X317" s="9"/>
      <c r="Y317" s="9"/>
      <c r="Z317" s="9"/>
      <c r="AA317" s="9"/>
      <c r="AB317" s="9"/>
      <c r="AC317" s="9"/>
      <c r="AD317" s="9"/>
    </row>
    <row r="318" spans="1:30" ht="43.5">
      <c r="A318" s="3" t="s">
        <v>1440</v>
      </c>
      <c r="B318" s="3" t="s">
        <v>9524</v>
      </c>
      <c r="C318" s="3" t="s">
        <v>9650</v>
      </c>
      <c r="G318" s="9" t="s">
        <v>3885</v>
      </c>
      <c r="H318" s="9"/>
      <c r="I318" s="9">
        <v>1</v>
      </c>
      <c r="J318" s="9">
        <v>1</v>
      </c>
      <c r="K318" s="9" t="s">
        <v>8689</v>
      </c>
      <c r="L318" s="9" t="s">
        <v>8730</v>
      </c>
      <c r="M318" s="9"/>
      <c r="N318" s="10"/>
      <c r="O318" s="9"/>
      <c r="P318" s="9">
        <v>10929</v>
      </c>
      <c r="Q318" s="9">
        <v>1406.0027530843549</v>
      </c>
      <c r="R318" s="9"/>
      <c r="S318" s="9" t="s">
        <v>9321</v>
      </c>
      <c r="T318" s="9" t="s">
        <v>9321</v>
      </c>
      <c r="U318" s="9"/>
      <c r="V318" s="9"/>
      <c r="W318" s="9"/>
      <c r="X318" s="9"/>
      <c r="Y318" s="9"/>
      <c r="Z318" s="9"/>
      <c r="AA318" s="9"/>
      <c r="AB318" s="9"/>
      <c r="AC318" s="9"/>
      <c r="AD318" s="9"/>
    </row>
    <row r="319" spans="1:30" ht="29">
      <c r="A319" s="3" t="s">
        <v>1443</v>
      </c>
      <c r="B319" s="3" t="s">
        <v>7060</v>
      </c>
      <c r="C319" s="3" t="s">
        <v>7061</v>
      </c>
      <c r="G319" s="9" t="s">
        <v>3889</v>
      </c>
      <c r="H319" s="9"/>
      <c r="I319" s="9">
        <v>1</v>
      </c>
      <c r="J319" s="9">
        <v>3</v>
      </c>
      <c r="K319" s="9" t="s">
        <v>8689</v>
      </c>
      <c r="L319" s="9" t="s">
        <v>8690</v>
      </c>
      <c r="M319" s="9"/>
      <c r="N319" s="10"/>
      <c r="O319" s="9"/>
      <c r="P319" s="9">
        <v>10929</v>
      </c>
      <c r="Q319" s="9">
        <v>1406.0027530843549</v>
      </c>
      <c r="R319" s="9"/>
      <c r="S319" s="9" t="s">
        <v>9321</v>
      </c>
      <c r="T319" s="9" t="s">
        <v>9321</v>
      </c>
      <c r="U319" s="9" t="s">
        <v>8728</v>
      </c>
      <c r="V319" s="9"/>
      <c r="W319" s="9"/>
      <c r="X319" s="9"/>
      <c r="Y319" s="9"/>
      <c r="Z319" s="9"/>
      <c r="AA319" s="9"/>
      <c r="AB319" s="9"/>
      <c r="AC319" s="9"/>
      <c r="AD319" s="9"/>
    </row>
    <row r="320" spans="1:30" ht="58">
      <c r="A320" s="3" t="s">
        <v>1464</v>
      </c>
      <c r="B320" s="3" t="s">
        <v>7122</v>
      </c>
      <c r="C320" s="3" t="s">
        <v>7123</v>
      </c>
      <c r="G320" s="9" t="s">
        <v>3889</v>
      </c>
      <c r="H320" s="9"/>
      <c r="I320" s="9">
        <v>1</v>
      </c>
      <c r="J320" s="9">
        <v>3</v>
      </c>
      <c r="K320" s="9" t="s">
        <v>8698</v>
      </c>
      <c r="L320" s="9" t="s">
        <v>8690</v>
      </c>
      <c r="M320" s="9"/>
      <c r="N320" s="10"/>
      <c r="O320" s="9"/>
      <c r="P320" s="9">
        <v>9418</v>
      </c>
      <c r="Q320" s="9">
        <v>1211.6144138117354</v>
      </c>
      <c r="R320" s="9"/>
      <c r="S320" s="9" t="s">
        <v>9321</v>
      </c>
      <c r="T320" s="9" t="s">
        <v>9321</v>
      </c>
      <c r="U320" s="9"/>
      <c r="V320" s="9"/>
      <c r="W320" s="9"/>
      <c r="X320" s="9"/>
      <c r="Y320" s="9"/>
      <c r="Z320" s="9"/>
      <c r="AA320" s="9"/>
      <c r="AB320" s="9"/>
      <c r="AC320" s="9"/>
      <c r="AD320" s="9"/>
    </row>
    <row r="321" spans="1:30" ht="72.5">
      <c r="A321" s="3" t="s">
        <v>1489</v>
      </c>
      <c r="B321" s="3" t="s">
        <v>9123</v>
      </c>
      <c r="C321" s="3" t="s">
        <v>7214</v>
      </c>
      <c r="G321" s="9" t="s">
        <v>3889</v>
      </c>
      <c r="H321" s="9"/>
      <c r="I321" s="9">
        <v>1</v>
      </c>
      <c r="J321" s="9">
        <v>3</v>
      </c>
      <c r="K321" s="9" t="s">
        <v>8689</v>
      </c>
      <c r="L321" s="9" t="s">
        <v>8690</v>
      </c>
      <c r="M321" s="9"/>
      <c r="N321" s="10"/>
      <c r="O321" s="9"/>
      <c r="P321" s="9">
        <v>10929</v>
      </c>
      <c r="Q321" s="9">
        <v>1406.0027530843549</v>
      </c>
      <c r="R321" s="9"/>
      <c r="S321" s="9" t="s">
        <v>9321</v>
      </c>
      <c r="T321" s="9" t="s">
        <v>9321</v>
      </c>
      <c r="U321" s="9"/>
      <c r="V321" s="9"/>
      <c r="W321" s="9"/>
      <c r="X321" s="9"/>
      <c r="Y321" s="9"/>
      <c r="Z321" s="9"/>
      <c r="AA321" s="9"/>
      <c r="AB321" s="9"/>
      <c r="AC321" s="9"/>
      <c r="AD321" s="9"/>
    </row>
    <row r="322" spans="1:30" ht="58">
      <c r="A322" s="3" t="s">
        <v>1506</v>
      </c>
      <c r="B322" s="3" t="s">
        <v>7261</v>
      </c>
      <c r="C322" s="3" t="s">
        <v>9128</v>
      </c>
      <c r="G322" s="9" t="s">
        <v>3885</v>
      </c>
      <c r="H322" s="9"/>
      <c r="I322" s="9">
        <v>1</v>
      </c>
      <c r="J322" s="9">
        <v>3</v>
      </c>
      <c r="K322" s="9" t="s">
        <v>8707</v>
      </c>
      <c r="L322" s="9" t="s">
        <v>8684</v>
      </c>
      <c r="M322" s="9" t="s">
        <v>8777</v>
      </c>
      <c r="N322" s="10" t="s">
        <v>8778</v>
      </c>
      <c r="O322" s="9" t="s">
        <v>8685</v>
      </c>
      <c r="P322" s="9">
        <v>991</v>
      </c>
      <c r="Q322" s="9">
        <v>127.49096242168504</v>
      </c>
      <c r="R322" s="9"/>
      <c r="S322" s="9" t="s">
        <v>9321</v>
      </c>
      <c r="T322" s="9" t="s">
        <v>9321</v>
      </c>
      <c r="U322" s="9"/>
      <c r="V322" s="9"/>
      <c r="W322" s="9"/>
      <c r="X322" s="9"/>
      <c r="Y322" s="9"/>
      <c r="Z322" s="9"/>
      <c r="AA322" s="9"/>
      <c r="AB322" s="9"/>
      <c r="AC322" s="9"/>
      <c r="AD322" s="9"/>
    </row>
    <row r="323" spans="1:30" ht="101.5">
      <c r="A323" s="3" t="s">
        <v>1515</v>
      </c>
      <c r="B323" s="3" t="s">
        <v>7294</v>
      </c>
      <c r="C323" s="3" t="s">
        <v>7297</v>
      </c>
      <c r="F323" t="s">
        <v>3884</v>
      </c>
      <c r="G323" s="9" t="s">
        <v>3885</v>
      </c>
      <c r="H323" s="9"/>
      <c r="I323" s="9">
        <v>1</v>
      </c>
      <c r="J323" s="9">
        <v>3</v>
      </c>
      <c r="K323" s="9" t="s">
        <v>8689</v>
      </c>
      <c r="L323" s="9" t="s">
        <v>8690</v>
      </c>
      <c r="M323" s="9"/>
      <c r="N323" s="10"/>
      <c r="O323" s="9"/>
      <c r="P323" s="9">
        <v>10929</v>
      </c>
      <c r="Q323" s="9">
        <v>1406.0027530843549</v>
      </c>
      <c r="R323" s="9"/>
      <c r="S323" s="9" t="s">
        <v>9321</v>
      </c>
      <c r="T323" s="9" t="s">
        <v>9321</v>
      </c>
      <c r="U323" s="9"/>
      <c r="V323" s="9"/>
      <c r="W323" s="9"/>
      <c r="X323" s="9"/>
      <c r="Y323" s="9"/>
      <c r="Z323" s="9"/>
      <c r="AA323" s="9"/>
      <c r="AB323" s="9"/>
      <c r="AC323" s="9"/>
      <c r="AD323" s="9"/>
    </row>
    <row r="324" spans="1:30" ht="72.5">
      <c r="A324" s="3" t="s">
        <v>1515</v>
      </c>
      <c r="B324" s="3" t="s">
        <v>7301</v>
      </c>
      <c r="C324" s="3" t="s">
        <v>7300</v>
      </c>
      <c r="F324" t="s">
        <v>3884</v>
      </c>
      <c r="G324" s="9" t="s">
        <v>3889</v>
      </c>
      <c r="H324" s="9"/>
      <c r="I324" s="9">
        <v>1</v>
      </c>
      <c r="J324" s="9">
        <v>3</v>
      </c>
      <c r="K324" s="9" t="s">
        <v>8698</v>
      </c>
      <c r="L324" s="9" t="s">
        <v>8690</v>
      </c>
      <c r="M324" s="9"/>
      <c r="N324" s="10"/>
      <c r="O324" s="9"/>
      <c r="P324" s="9">
        <v>9418</v>
      </c>
      <c r="Q324" s="9">
        <v>1211.6144138117354</v>
      </c>
      <c r="R324" s="9"/>
      <c r="S324" s="9" t="s">
        <v>9321</v>
      </c>
      <c r="T324" s="9" t="s">
        <v>9321</v>
      </c>
      <c r="U324" s="9"/>
      <c r="V324" s="9"/>
      <c r="W324" s="9"/>
      <c r="X324" s="9"/>
      <c r="Y324" s="9"/>
      <c r="Z324" s="9"/>
      <c r="AA324" s="9"/>
      <c r="AB324" s="9"/>
      <c r="AC324" s="9"/>
      <c r="AD324" s="9"/>
    </row>
    <row r="325" spans="1:30" ht="43.5">
      <c r="A325" s="3" t="s">
        <v>1519</v>
      </c>
      <c r="B325" s="3" t="s">
        <v>7316</v>
      </c>
      <c r="C325" s="3" t="s">
        <v>7317</v>
      </c>
      <c r="G325" s="9" t="s">
        <v>3885</v>
      </c>
      <c r="H325" s="9"/>
      <c r="I325" s="9">
        <v>1</v>
      </c>
      <c r="J325" s="9">
        <v>1</v>
      </c>
      <c r="K325" s="9" t="s">
        <v>8689</v>
      </c>
      <c r="L325" s="9" t="s">
        <v>8730</v>
      </c>
      <c r="M325" s="9"/>
      <c r="N325" s="10"/>
      <c r="O325" s="9"/>
      <c r="P325" s="9">
        <v>10929</v>
      </c>
      <c r="Q325" s="9">
        <v>1406.0027530843549</v>
      </c>
      <c r="R325" s="9"/>
      <c r="S325" s="9" t="s">
        <v>9321</v>
      </c>
      <c r="T325" s="9" t="s">
        <v>9321</v>
      </c>
      <c r="U325" s="9" t="s">
        <v>4</v>
      </c>
      <c r="V325" s="9"/>
      <c r="W325" s="9"/>
      <c r="X325" s="9"/>
      <c r="Y325" s="9"/>
      <c r="Z325" s="9"/>
      <c r="AA325" s="9"/>
      <c r="AB325" s="9"/>
      <c r="AC325" s="9"/>
      <c r="AD325" s="9"/>
    </row>
    <row r="326" spans="1:30" ht="58">
      <c r="A326" s="3" t="s">
        <v>1520</v>
      </c>
      <c r="B326" s="3" t="s">
        <v>7318</v>
      </c>
      <c r="C326" s="3" t="s">
        <v>7319</v>
      </c>
      <c r="G326" s="9" t="s">
        <v>3889</v>
      </c>
      <c r="H326" s="9"/>
      <c r="I326" s="9">
        <v>1</v>
      </c>
      <c r="J326" s="9">
        <v>3</v>
      </c>
      <c r="K326" s="9" t="s">
        <v>8698</v>
      </c>
      <c r="L326" s="9" t="s">
        <v>8690</v>
      </c>
      <c r="M326" s="9"/>
      <c r="N326" s="10"/>
      <c r="O326" s="9"/>
      <c r="P326" s="9">
        <v>9418</v>
      </c>
      <c r="Q326" s="9">
        <v>1211.6144138117354</v>
      </c>
      <c r="R326" s="9"/>
      <c r="S326" s="9" t="s">
        <v>9321</v>
      </c>
      <c r="T326" s="9" t="s">
        <v>9321</v>
      </c>
      <c r="U326" s="9"/>
      <c r="V326" s="9"/>
      <c r="W326" s="9"/>
      <c r="X326" s="9"/>
      <c r="Y326" s="9"/>
      <c r="Z326" s="9"/>
      <c r="AA326" s="9"/>
      <c r="AB326" s="9"/>
      <c r="AC326" s="9"/>
      <c r="AD326" s="9"/>
    </row>
    <row r="327" spans="1:30" ht="58">
      <c r="A327" s="3" t="s">
        <v>1523</v>
      </c>
      <c r="B327" s="3" t="s">
        <v>7284</v>
      </c>
      <c r="C327" s="3" t="s">
        <v>7282</v>
      </c>
      <c r="G327" s="9" t="s">
        <v>3889</v>
      </c>
      <c r="H327" s="9"/>
      <c r="I327" s="9">
        <v>1</v>
      </c>
      <c r="J327" s="9">
        <v>3</v>
      </c>
      <c r="K327" s="9" t="s">
        <v>8698</v>
      </c>
      <c r="L327" s="9" t="s">
        <v>8690</v>
      </c>
      <c r="M327" s="9"/>
      <c r="N327" s="10"/>
      <c r="O327" s="9"/>
      <c r="P327" s="9">
        <v>9418</v>
      </c>
      <c r="Q327" s="9">
        <v>1211.6144138117354</v>
      </c>
      <c r="R327" s="9"/>
      <c r="S327" s="9" t="s">
        <v>9321</v>
      </c>
      <c r="T327" s="9" t="s">
        <v>9321</v>
      </c>
      <c r="U327" s="9"/>
      <c r="V327" s="9"/>
      <c r="W327" s="9"/>
      <c r="X327" s="9"/>
      <c r="Y327" s="9"/>
      <c r="Z327" s="9"/>
      <c r="AA327" s="9"/>
      <c r="AB327" s="9"/>
      <c r="AC327" s="9"/>
      <c r="AD327" s="9"/>
    </row>
    <row r="328" spans="1:30" ht="58">
      <c r="A328" s="3" t="s">
        <v>1524</v>
      </c>
      <c r="B328" s="3" t="s">
        <v>7326</v>
      </c>
      <c r="C328" s="3" t="s">
        <v>7327</v>
      </c>
      <c r="F328" t="s">
        <v>3884</v>
      </c>
      <c r="G328" s="9" t="s">
        <v>3885</v>
      </c>
      <c r="H328" s="9"/>
      <c r="I328" s="9">
        <v>1</v>
      </c>
      <c r="J328" s="9">
        <v>3</v>
      </c>
      <c r="K328" s="9" t="s">
        <v>8689</v>
      </c>
      <c r="L328" s="9" t="s">
        <v>8684</v>
      </c>
      <c r="M328" s="9" t="s">
        <v>8771</v>
      </c>
      <c r="N328" s="10" t="s">
        <v>8778</v>
      </c>
      <c r="O328" s="9"/>
      <c r="P328" s="9">
        <v>10929</v>
      </c>
      <c r="Q328" s="9">
        <v>1406.0027530843549</v>
      </c>
      <c r="R328" s="9"/>
      <c r="S328" s="9" t="s">
        <v>9321</v>
      </c>
      <c r="T328" s="9" t="s">
        <v>9321</v>
      </c>
      <c r="U328" s="9"/>
      <c r="V328" s="9"/>
      <c r="W328" s="9"/>
      <c r="X328" s="9"/>
      <c r="Y328" s="9"/>
      <c r="Z328" s="9"/>
      <c r="AA328" s="9"/>
      <c r="AB328" s="9"/>
      <c r="AC328" s="9"/>
      <c r="AD328" s="9"/>
    </row>
    <row r="329" spans="1:30" ht="58">
      <c r="A329" s="3" t="s">
        <v>1535</v>
      </c>
      <c r="B329" s="3" t="s">
        <v>7365</v>
      </c>
      <c r="C329" s="3" t="s">
        <v>7366</v>
      </c>
      <c r="F329" t="s">
        <v>3884</v>
      </c>
      <c r="G329" s="9" t="s">
        <v>3885</v>
      </c>
      <c r="H329" s="9"/>
      <c r="I329" s="9">
        <v>1</v>
      </c>
      <c r="J329" s="9">
        <v>3</v>
      </c>
      <c r="K329" s="9" t="s">
        <v>8698</v>
      </c>
      <c r="L329" s="9" t="s">
        <v>8690</v>
      </c>
      <c r="M329" s="9"/>
      <c r="N329" s="10"/>
      <c r="O329" s="9"/>
      <c r="P329" s="9">
        <v>9418</v>
      </c>
      <c r="Q329" s="9">
        <v>1211.6144138117354</v>
      </c>
      <c r="R329" s="9"/>
      <c r="S329" s="9" t="s">
        <v>9321</v>
      </c>
      <c r="T329" s="9" t="s">
        <v>9321</v>
      </c>
      <c r="U329" s="9"/>
      <c r="V329" s="9"/>
      <c r="W329" s="9"/>
      <c r="X329" s="9"/>
      <c r="Y329" s="9"/>
      <c r="Z329" s="9"/>
      <c r="AA329" s="9"/>
      <c r="AB329" s="9"/>
      <c r="AC329" s="9"/>
      <c r="AD329" s="9"/>
    </row>
    <row r="330" spans="1:30" ht="43.5">
      <c r="A330" s="3" t="s">
        <v>1535</v>
      </c>
      <c r="B330" s="3" t="s">
        <v>7367</v>
      </c>
      <c r="C330" s="3" t="s">
        <v>7368</v>
      </c>
      <c r="F330" t="s">
        <v>3884</v>
      </c>
      <c r="G330" s="9" t="s">
        <v>3885</v>
      </c>
      <c r="H330" s="9"/>
      <c r="I330" s="9">
        <v>1</v>
      </c>
      <c r="J330" s="9">
        <v>3</v>
      </c>
      <c r="K330" s="9" t="s">
        <v>8698</v>
      </c>
      <c r="L330" s="9" t="s">
        <v>8690</v>
      </c>
      <c r="M330" s="9"/>
      <c r="N330" s="10"/>
      <c r="O330" s="9"/>
      <c r="P330" s="9">
        <v>9418</v>
      </c>
      <c r="Q330" s="9">
        <v>1211.6144138117354</v>
      </c>
      <c r="R330" s="9"/>
      <c r="S330" s="9" t="s">
        <v>9321</v>
      </c>
      <c r="T330" s="9" t="s">
        <v>9321</v>
      </c>
      <c r="U330" s="9"/>
      <c r="V330" s="9"/>
      <c r="W330" s="9"/>
      <c r="X330" s="9"/>
      <c r="Y330" s="9"/>
      <c r="Z330" s="9"/>
      <c r="AA330" s="9"/>
      <c r="AB330" s="9"/>
      <c r="AC330" s="9"/>
      <c r="AD330" s="9"/>
    </row>
    <row r="331" spans="1:30" ht="29">
      <c r="A331" s="3" t="s">
        <v>1537</v>
      </c>
      <c r="B331" s="3" t="s">
        <v>7376</v>
      </c>
      <c r="C331" s="3" t="s">
        <v>7377</v>
      </c>
      <c r="G331" s="9" t="s">
        <v>3889</v>
      </c>
      <c r="H331" s="9"/>
      <c r="I331" s="9">
        <v>1</v>
      </c>
      <c r="J331" s="9">
        <v>2</v>
      </c>
      <c r="K331" s="9" t="s">
        <v>8698</v>
      </c>
      <c r="L331" s="9" t="s">
        <v>8730</v>
      </c>
      <c r="M331" s="9"/>
      <c r="N331" s="10"/>
      <c r="O331" s="9"/>
      <c r="P331" s="9">
        <v>159</v>
      </c>
      <c r="Q331" s="9">
        <v>20.455159460189627</v>
      </c>
      <c r="R331" s="9"/>
      <c r="S331" s="9" t="s">
        <v>9321</v>
      </c>
      <c r="T331" s="9" t="s">
        <v>9321</v>
      </c>
      <c r="U331" s="9"/>
      <c r="V331" s="9"/>
      <c r="W331" s="9"/>
      <c r="X331" s="9"/>
      <c r="Y331" s="9"/>
      <c r="Z331" s="9"/>
      <c r="AA331" s="9"/>
      <c r="AB331" s="9"/>
      <c r="AC331" s="9"/>
      <c r="AD331" s="9"/>
    </row>
    <row r="332" spans="1:30" ht="29">
      <c r="A332" s="3" t="s">
        <v>1544</v>
      </c>
      <c r="B332" s="3" t="s">
        <v>7395</v>
      </c>
      <c r="C332" s="3" t="s">
        <v>7396</v>
      </c>
      <c r="F332" t="s">
        <v>3884</v>
      </c>
      <c r="G332" s="9" t="s">
        <v>3885</v>
      </c>
      <c r="H332" s="9"/>
      <c r="I332" s="9">
        <v>1</v>
      </c>
      <c r="J332" s="9">
        <v>2</v>
      </c>
      <c r="K332" s="9" t="s">
        <v>8707</v>
      </c>
      <c r="L332" s="9" t="s">
        <v>8730</v>
      </c>
      <c r="M332" s="9"/>
      <c r="N332" s="10"/>
      <c r="O332" s="9" t="s">
        <v>8685</v>
      </c>
      <c r="P332" s="9">
        <v>329</v>
      </c>
      <c r="Q332" s="9">
        <v>42.325455738379794</v>
      </c>
      <c r="R332" s="9"/>
      <c r="S332" s="9" t="s">
        <v>9321</v>
      </c>
      <c r="T332" s="9" t="s">
        <v>9321</v>
      </c>
      <c r="U332" s="9"/>
      <c r="V332" s="9"/>
      <c r="W332" s="9"/>
      <c r="X332" s="9"/>
      <c r="Y332" s="9"/>
      <c r="Z332" s="9"/>
      <c r="AA332" s="9"/>
      <c r="AB332" s="9"/>
      <c r="AC332" s="9"/>
      <c r="AD332" s="9"/>
    </row>
    <row r="333" spans="1:30" ht="72.5">
      <c r="A333" s="3" t="s">
        <v>1555</v>
      </c>
      <c r="B333" s="3" t="s">
        <v>7433</v>
      </c>
      <c r="C333" s="3" t="s">
        <v>7434</v>
      </c>
      <c r="G333" s="9" t="s">
        <v>3889</v>
      </c>
      <c r="H333" s="9"/>
      <c r="I333" s="9">
        <v>1</v>
      </c>
      <c r="J333" s="9">
        <v>2</v>
      </c>
      <c r="K333" s="9" t="s">
        <v>8689</v>
      </c>
      <c r="L333" s="9" t="s">
        <v>8730</v>
      </c>
      <c r="M333" s="9"/>
      <c r="N333" s="10"/>
      <c r="O333" s="9" t="s">
        <v>8685</v>
      </c>
      <c r="P333" s="9">
        <v>10929</v>
      </c>
      <c r="Q333" s="9">
        <v>1406.0027530843549</v>
      </c>
      <c r="R333" s="9"/>
      <c r="S333" s="9" t="s">
        <v>9321</v>
      </c>
      <c r="T333" s="9" t="s">
        <v>9321</v>
      </c>
      <c r="U333" s="9"/>
      <c r="V333" s="9"/>
      <c r="W333" s="9"/>
      <c r="X333" s="9"/>
      <c r="Y333" s="9"/>
      <c r="Z333" s="9"/>
      <c r="AA333" s="9"/>
      <c r="AB333" s="9"/>
      <c r="AC333" s="9"/>
      <c r="AD333" s="9"/>
    </row>
    <row r="334" spans="1:30" ht="101.5">
      <c r="A334" s="3" t="s">
        <v>1556</v>
      </c>
      <c r="B334" s="3" t="s">
        <v>7440</v>
      </c>
      <c r="C334" s="3" t="s">
        <v>7435</v>
      </c>
      <c r="F334" t="s">
        <v>3884</v>
      </c>
      <c r="G334" s="9" t="s">
        <v>3889</v>
      </c>
      <c r="H334" s="9"/>
      <c r="I334" s="9">
        <v>1</v>
      </c>
      <c r="J334" s="9">
        <v>3</v>
      </c>
      <c r="K334" s="9" t="s">
        <v>8689</v>
      </c>
      <c r="L334" s="9" t="s">
        <v>8690</v>
      </c>
      <c r="M334" s="9"/>
      <c r="N334" s="10"/>
      <c r="O334" s="9"/>
      <c r="P334" s="9">
        <v>10929</v>
      </c>
      <c r="Q334" s="9">
        <v>1406.0027530843549</v>
      </c>
      <c r="R334" s="9"/>
      <c r="S334" s="9" t="s">
        <v>9321</v>
      </c>
      <c r="T334" s="9" t="s">
        <v>9321</v>
      </c>
      <c r="U334" s="9"/>
      <c r="V334" s="9"/>
      <c r="W334" s="9"/>
      <c r="X334" s="9"/>
      <c r="Y334" s="9"/>
      <c r="Z334" s="9"/>
      <c r="AA334" s="9"/>
      <c r="AB334" s="9"/>
      <c r="AC334" s="9"/>
      <c r="AD334" s="9"/>
    </row>
    <row r="335" spans="1:30" ht="29">
      <c r="A335" s="3" t="s">
        <v>1557</v>
      </c>
      <c r="B335" s="3" t="s">
        <v>7442</v>
      </c>
      <c r="C335" s="3" t="s">
        <v>7443</v>
      </c>
      <c r="G335" s="9" t="s">
        <v>3889</v>
      </c>
      <c r="H335" s="9"/>
      <c r="I335" s="9">
        <v>1</v>
      </c>
      <c r="J335" s="9">
        <v>2</v>
      </c>
      <c r="K335" s="9" t="s">
        <v>8689</v>
      </c>
      <c r="L335" s="9" t="s">
        <v>8730</v>
      </c>
      <c r="M335" s="9"/>
      <c r="N335" s="10"/>
      <c r="O335" s="9"/>
      <c r="P335" s="9">
        <v>10929</v>
      </c>
      <c r="Q335" s="9">
        <v>1406.0027530843549</v>
      </c>
      <c r="R335" s="9"/>
      <c r="S335" s="9" t="s">
        <v>9321</v>
      </c>
      <c r="T335" s="9" t="s">
        <v>9321</v>
      </c>
      <c r="U335" s="9"/>
      <c r="V335" s="9"/>
      <c r="W335" s="9"/>
      <c r="X335" s="9"/>
      <c r="Y335" s="9"/>
      <c r="Z335" s="9"/>
      <c r="AA335" s="9"/>
      <c r="AB335" s="9"/>
      <c r="AC335" s="9"/>
      <c r="AD335" s="9"/>
    </row>
    <row r="336" spans="1:30" ht="43.5">
      <c r="A336" s="3" t="s">
        <v>1562</v>
      </c>
      <c r="B336" s="3" t="s">
        <v>7456</v>
      </c>
      <c r="C336" s="3" t="s">
        <v>7457</v>
      </c>
      <c r="F336" t="s">
        <v>3884</v>
      </c>
      <c r="G336" s="9" t="s">
        <v>3889</v>
      </c>
      <c r="H336" s="9"/>
      <c r="I336" s="9">
        <v>1</v>
      </c>
      <c r="J336" s="9">
        <v>2</v>
      </c>
      <c r="K336" s="9" t="s">
        <v>8698</v>
      </c>
      <c r="L336" s="9" t="s">
        <v>8730</v>
      </c>
      <c r="M336" s="9"/>
      <c r="N336" s="10"/>
      <c r="O336" s="9"/>
      <c r="P336" s="9">
        <v>203</v>
      </c>
      <c r="Q336" s="9">
        <v>26.115706732191789</v>
      </c>
      <c r="R336" s="9"/>
      <c r="S336" s="9" t="s">
        <v>9321</v>
      </c>
      <c r="T336" s="9" t="s">
        <v>9321</v>
      </c>
      <c r="U336" s="9"/>
      <c r="V336" s="9"/>
      <c r="W336" s="9"/>
      <c r="X336" s="9"/>
      <c r="Y336" s="9"/>
      <c r="Z336" s="9"/>
      <c r="AA336" s="9"/>
      <c r="AB336" s="9"/>
      <c r="AC336" s="9"/>
      <c r="AD336" s="9"/>
    </row>
    <row r="337" spans="1:30" ht="29">
      <c r="A337" s="3" t="s">
        <v>1568</v>
      </c>
      <c r="B337" s="3" t="s">
        <v>7473</v>
      </c>
      <c r="C337" s="3" t="s">
        <v>7474</v>
      </c>
      <c r="G337" s="9" t="s">
        <v>3889</v>
      </c>
      <c r="H337" s="9"/>
      <c r="I337" s="9">
        <v>1</v>
      </c>
      <c r="J337" s="9">
        <v>3</v>
      </c>
      <c r="K337" s="9" t="s">
        <v>8689</v>
      </c>
      <c r="L337" s="9" t="s">
        <v>8690</v>
      </c>
      <c r="M337" s="9"/>
      <c r="N337" s="10"/>
      <c r="O337" s="9"/>
      <c r="P337" s="9">
        <v>10929</v>
      </c>
      <c r="Q337" s="9">
        <v>1406.0027530843549</v>
      </c>
      <c r="R337" s="9"/>
      <c r="S337" s="9" t="s">
        <v>9321</v>
      </c>
      <c r="T337" s="9" t="s">
        <v>9321</v>
      </c>
      <c r="U337" s="9"/>
      <c r="V337" s="9"/>
      <c r="W337" s="9"/>
      <c r="X337" s="9"/>
      <c r="Y337" s="9"/>
      <c r="Z337" s="9"/>
      <c r="AA337" s="9"/>
      <c r="AB337" s="9"/>
      <c r="AC337" s="9"/>
      <c r="AD337" s="9"/>
    </row>
    <row r="338" spans="1:30" ht="29">
      <c r="A338" s="3" t="s">
        <v>1587</v>
      </c>
      <c r="B338" s="3" t="s">
        <v>7537</v>
      </c>
      <c r="C338" s="3" t="s">
        <v>7534</v>
      </c>
      <c r="G338" s="9" t="s">
        <v>3889</v>
      </c>
      <c r="H338" s="9"/>
      <c r="I338" s="9">
        <v>1</v>
      </c>
      <c r="J338" s="9">
        <v>2</v>
      </c>
      <c r="K338" s="9" t="s">
        <v>8707</v>
      </c>
      <c r="L338" s="9" t="s">
        <v>8730</v>
      </c>
      <c r="M338" s="9"/>
      <c r="N338" s="10"/>
      <c r="O338" s="9"/>
      <c r="P338" s="9">
        <v>1942</v>
      </c>
      <c r="Q338" s="9">
        <v>249.83597277791355</v>
      </c>
      <c r="R338" s="9"/>
      <c r="S338" s="9" t="s">
        <v>9321</v>
      </c>
      <c r="T338" s="9" t="s">
        <v>9321</v>
      </c>
      <c r="U338" s="9"/>
      <c r="V338" s="9"/>
      <c r="W338" s="9"/>
      <c r="X338" s="9"/>
      <c r="Y338" s="9"/>
      <c r="Z338" s="9"/>
      <c r="AA338" s="9"/>
      <c r="AB338" s="9"/>
      <c r="AC338" s="9"/>
      <c r="AD338" s="9"/>
    </row>
    <row r="339" spans="1:30" ht="43.5">
      <c r="A339" s="3" t="s">
        <v>1595</v>
      </c>
      <c r="B339" s="3" t="s">
        <v>7554</v>
      </c>
      <c r="C339" s="3" t="s">
        <v>7555</v>
      </c>
      <c r="G339" s="9" t="s">
        <v>3889</v>
      </c>
      <c r="H339" s="9"/>
      <c r="I339" s="9">
        <v>1</v>
      </c>
      <c r="J339" s="9">
        <v>3</v>
      </c>
      <c r="K339" s="9" t="s">
        <v>8689</v>
      </c>
      <c r="L339" s="9" t="s">
        <v>8690</v>
      </c>
      <c r="M339" s="9"/>
      <c r="N339" s="10"/>
      <c r="O339" s="9"/>
      <c r="P339" s="9">
        <v>10929</v>
      </c>
      <c r="Q339" s="9">
        <v>1406.0027530843549</v>
      </c>
      <c r="R339" s="9"/>
      <c r="S339" s="9" t="s">
        <v>9321</v>
      </c>
      <c r="T339" s="9" t="s">
        <v>9321</v>
      </c>
      <c r="U339" s="9"/>
      <c r="V339" s="9"/>
      <c r="W339" s="9"/>
      <c r="X339" s="9"/>
      <c r="Y339" s="9"/>
      <c r="Z339" s="9"/>
      <c r="AA339" s="9"/>
      <c r="AB339" s="9"/>
      <c r="AC339" s="9"/>
      <c r="AD339" s="9"/>
    </row>
    <row r="340" spans="1:30" ht="43.5">
      <c r="A340" s="3" t="s">
        <v>1599</v>
      </c>
      <c r="B340" s="3" t="s">
        <v>7566</v>
      </c>
      <c r="C340" s="3" t="s">
        <v>7567</v>
      </c>
      <c r="G340" s="9" t="s">
        <v>3889</v>
      </c>
      <c r="H340" s="9"/>
      <c r="I340" s="9">
        <v>1</v>
      </c>
      <c r="J340" s="9">
        <v>3</v>
      </c>
      <c r="K340" s="9" t="s">
        <v>8689</v>
      </c>
      <c r="L340" s="9" t="s">
        <v>8690</v>
      </c>
      <c r="M340" s="9"/>
      <c r="N340" s="10"/>
      <c r="O340" s="9"/>
      <c r="P340" s="9">
        <v>10929</v>
      </c>
      <c r="Q340" s="9">
        <v>1406.0027530843549</v>
      </c>
      <c r="R340" s="9"/>
      <c r="S340" s="9" t="s">
        <v>9321</v>
      </c>
      <c r="T340" s="9" t="s">
        <v>9321</v>
      </c>
      <c r="U340" s="9" t="s">
        <v>8728</v>
      </c>
      <c r="V340" s="9"/>
      <c r="W340" s="9"/>
      <c r="X340" s="9"/>
      <c r="Y340" s="9"/>
      <c r="Z340" s="9"/>
      <c r="AA340" s="9"/>
      <c r="AB340" s="9"/>
      <c r="AC340" s="9"/>
      <c r="AD340" s="9"/>
    </row>
    <row r="341" spans="1:30" ht="72.5">
      <c r="A341" s="3" t="s">
        <v>1614</v>
      </c>
      <c r="B341" s="3" t="s">
        <v>7604</v>
      </c>
      <c r="C341" s="3" t="s">
        <v>7605</v>
      </c>
      <c r="G341" s="9" t="s">
        <v>3885</v>
      </c>
      <c r="H341" s="9"/>
      <c r="I341" s="9">
        <v>1</v>
      </c>
      <c r="J341" s="9">
        <v>3</v>
      </c>
      <c r="K341" s="9" t="s">
        <v>8689</v>
      </c>
      <c r="L341" s="9" t="s">
        <v>8690</v>
      </c>
      <c r="M341" s="9"/>
      <c r="N341" s="10"/>
      <c r="O341" s="9"/>
      <c r="P341" s="9">
        <v>10929</v>
      </c>
      <c r="Q341" s="9">
        <v>1406.0027530843549</v>
      </c>
      <c r="R341" s="9"/>
      <c r="S341" s="9" t="s">
        <v>9321</v>
      </c>
      <c r="T341" s="9" t="s">
        <v>9321</v>
      </c>
      <c r="U341" s="9" t="s">
        <v>8728</v>
      </c>
      <c r="V341" s="9"/>
      <c r="W341" s="9"/>
      <c r="X341" s="9"/>
      <c r="Y341" s="9"/>
      <c r="Z341" s="9"/>
      <c r="AA341" s="9"/>
      <c r="AB341" s="9"/>
      <c r="AC341" s="9"/>
      <c r="AD341" s="9"/>
    </row>
    <row r="342" spans="1:30" ht="101.5">
      <c r="A342" s="3" t="s">
        <v>1615</v>
      </c>
      <c r="B342" s="3" t="s">
        <v>7615</v>
      </c>
      <c r="C342" s="3" t="s">
        <v>9655</v>
      </c>
      <c r="F342" t="s">
        <v>3884</v>
      </c>
      <c r="G342" s="9" t="s">
        <v>3885</v>
      </c>
      <c r="H342" s="9"/>
      <c r="I342" s="9">
        <v>1</v>
      </c>
      <c r="J342" s="9">
        <v>2</v>
      </c>
      <c r="K342" s="9" t="s">
        <v>8698</v>
      </c>
      <c r="L342" s="9" t="s">
        <v>8730</v>
      </c>
      <c r="M342" s="9"/>
      <c r="N342" s="10"/>
      <c r="O342" s="9"/>
      <c r="P342" s="9">
        <v>159</v>
      </c>
      <c r="Q342" s="9">
        <v>20.455159460189627</v>
      </c>
      <c r="R342" s="9"/>
      <c r="S342" s="9" t="s">
        <v>9321</v>
      </c>
      <c r="T342" s="9" t="s">
        <v>9321</v>
      </c>
      <c r="U342" s="9"/>
      <c r="V342" s="9"/>
      <c r="W342" s="9"/>
      <c r="X342" s="9"/>
      <c r="Y342" s="9"/>
      <c r="Z342" s="9"/>
      <c r="AA342" s="9"/>
      <c r="AB342" s="9"/>
      <c r="AC342" s="9"/>
      <c r="AD342" s="9"/>
    </row>
    <row r="343" spans="1:30" ht="43.5">
      <c r="A343" s="3" t="s">
        <v>1617</v>
      </c>
      <c r="B343" s="3" t="s">
        <v>7618</v>
      </c>
      <c r="C343" s="3" t="s">
        <v>7619</v>
      </c>
      <c r="F343" t="s">
        <v>3884</v>
      </c>
      <c r="G343" s="9" t="s">
        <v>3885</v>
      </c>
      <c r="H343" s="9"/>
      <c r="I343" s="9">
        <v>1</v>
      </c>
      <c r="J343" s="9">
        <v>1</v>
      </c>
      <c r="K343" s="9" t="s">
        <v>8698</v>
      </c>
      <c r="L343" s="9" t="s">
        <v>8730</v>
      </c>
      <c r="M343" s="9"/>
      <c r="N343" s="10"/>
      <c r="O343" s="9"/>
      <c r="P343" s="9">
        <v>1</v>
      </c>
      <c r="Q343" s="9">
        <v>0.12864880163641276</v>
      </c>
      <c r="R343" s="9"/>
      <c r="S343" s="9" t="s">
        <v>9321</v>
      </c>
      <c r="T343" s="9" t="s">
        <v>9321</v>
      </c>
      <c r="U343" s="9" t="s">
        <v>8728</v>
      </c>
      <c r="V343" s="9"/>
      <c r="W343" s="9"/>
      <c r="X343" s="9"/>
      <c r="Y343" s="9"/>
      <c r="Z343" s="9"/>
      <c r="AA343" s="9"/>
      <c r="AB343" s="9"/>
      <c r="AC343" s="9"/>
      <c r="AD343" s="9"/>
    </row>
    <row r="344" spans="1:30" ht="43.5">
      <c r="A344" s="3" t="s">
        <v>1619</v>
      </c>
      <c r="B344" s="3" t="s">
        <v>7624</v>
      </c>
      <c r="C344" s="3" t="s">
        <v>7625</v>
      </c>
      <c r="F344" t="s">
        <v>3884</v>
      </c>
      <c r="G344" s="9" t="s">
        <v>3885</v>
      </c>
      <c r="H344" s="9"/>
      <c r="I344" s="9">
        <v>1</v>
      </c>
      <c r="J344" s="9">
        <v>5</v>
      </c>
      <c r="K344" s="9" t="s">
        <v>8705</v>
      </c>
      <c r="L344" s="9" t="s">
        <v>8690</v>
      </c>
      <c r="M344" s="9"/>
      <c r="N344" s="10"/>
      <c r="O344" s="9"/>
      <c r="P344" s="9">
        <v>3678</v>
      </c>
      <c r="Q344" s="9">
        <v>473.17029241872609</v>
      </c>
      <c r="R344" s="9"/>
      <c r="S344" s="9" t="s">
        <v>9321</v>
      </c>
      <c r="T344" s="9" t="s">
        <v>9321</v>
      </c>
      <c r="U344" s="9"/>
      <c r="V344" s="9"/>
      <c r="W344" s="9"/>
      <c r="X344" s="9"/>
      <c r="Y344" s="9"/>
      <c r="Z344" s="9"/>
      <c r="AA344" s="9"/>
      <c r="AB344" s="9"/>
      <c r="AC344" s="9"/>
      <c r="AD344" s="9"/>
    </row>
    <row r="345" spans="1:30" ht="43.5">
      <c r="A345" s="3" t="s">
        <v>1636</v>
      </c>
      <c r="B345" s="3" t="s">
        <v>7671</v>
      </c>
      <c r="C345" s="3" t="s">
        <v>7672</v>
      </c>
      <c r="G345" s="9" t="s">
        <v>3889</v>
      </c>
      <c r="H345" s="9"/>
      <c r="I345" s="9">
        <v>1</v>
      </c>
      <c r="J345" s="9">
        <v>2</v>
      </c>
      <c r="K345" s="9" t="s">
        <v>8689</v>
      </c>
      <c r="L345" s="9" t="s">
        <v>8730</v>
      </c>
      <c r="M345" s="9"/>
      <c r="N345" s="10"/>
      <c r="O345" s="9"/>
      <c r="P345" s="9">
        <v>10929</v>
      </c>
      <c r="Q345" s="9">
        <v>1406.0027530843549</v>
      </c>
      <c r="R345" s="9"/>
      <c r="S345" s="9" t="s">
        <v>9321</v>
      </c>
      <c r="T345" s="9" t="s">
        <v>9321</v>
      </c>
      <c r="U345" s="9"/>
      <c r="V345" s="9"/>
      <c r="W345" s="9"/>
      <c r="X345" s="9"/>
      <c r="Y345" s="9"/>
      <c r="Z345" s="9"/>
      <c r="AA345" s="9"/>
      <c r="AB345" s="9"/>
      <c r="AC345" s="9"/>
      <c r="AD345" s="9"/>
    </row>
    <row r="346" spans="1:30" ht="43.5">
      <c r="A346" s="3" t="s">
        <v>1636</v>
      </c>
      <c r="B346" s="3" t="s">
        <v>7673</v>
      </c>
      <c r="C346" s="3" t="s">
        <v>7674</v>
      </c>
      <c r="F346" t="s">
        <v>3884</v>
      </c>
      <c r="G346" s="9" t="s">
        <v>3889</v>
      </c>
      <c r="H346" s="9"/>
      <c r="I346" s="9">
        <v>1</v>
      </c>
      <c r="J346" s="9">
        <v>3</v>
      </c>
      <c r="K346" s="9" t="s">
        <v>8689</v>
      </c>
      <c r="L346" s="9" t="s">
        <v>8690</v>
      </c>
      <c r="M346" s="9"/>
      <c r="N346" s="10"/>
      <c r="O346" s="9"/>
      <c r="P346" s="9">
        <v>10929</v>
      </c>
      <c r="Q346" s="9">
        <v>1406.0027530843549</v>
      </c>
      <c r="R346" s="9"/>
      <c r="S346" s="9" t="s">
        <v>9321</v>
      </c>
      <c r="T346" s="9" t="s">
        <v>9321</v>
      </c>
      <c r="U346" s="9"/>
      <c r="V346" s="9"/>
      <c r="W346" s="9"/>
      <c r="X346" s="9"/>
      <c r="Y346" s="9"/>
      <c r="Z346" s="9"/>
      <c r="AA346" s="9"/>
      <c r="AB346" s="9"/>
      <c r="AC346" s="9"/>
      <c r="AD346" s="9"/>
    </row>
    <row r="347" spans="1:30" ht="43.5">
      <c r="A347" s="3" t="s">
        <v>1673</v>
      </c>
      <c r="B347" s="3" t="s">
        <v>7758</v>
      </c>
      <c r="C347" s="3" t="s">
        <v>7759</v>
      </c>
      <c r="G347" s="9" t="s">
        <v>3885</v>
      </c>
      <c r="H347" s="9"/>
      <c r="I347" s="9">
        <v>1</v>
      </c>
      <c r="J347" s="9">
        <v>4</v>
      </c>
      <c r="K347" s="9" t="s">
        <v>8707</v>
      </c>
      <c r="L347" s="9" t="s">
        <v>8690</v>
      </c>
      <c r="M347" s="9"/>
      <c r="N347" s="10"/>
      <c r="O347" s="9"/>
      <c r="P347" s="9">
        <v>866</v>
      </c>
      <c r="Q347" s="9">
        <v>111.40986221713344</v>
      </c>
      <c r="R347" s="9"/>
      <c r="S347" s="9" t="s">
        <v>9321</v>
      </c>
      <c r="T347" s="9" t="s">
        <v>9321</v>
      </c>
      <c r="U347" s="9"/>
      <c r="V347" s="9"/>
      <c r="W347" s="9"/>
      <c r="X347" s="9"/>
      <c r="Y347" s="9"/>
      <c r="Z347" s="9"/>
      <c r="AA347" s="9"/>
      <c r="AB347" s="9"/>
      <c r="AC347" s="9"/>
      <c r="AD347" s="9"/>
    </row>
    <row r="348" spans="1:30" ht="43.5">
      <c r="A348" s="3" t="s">
        <v>1680</v>
      </c>
      <c r="B348" s="3" t="s">
        <v>7774</v>
      </c>
      <c r="C348" s="3" t="s">
        <v>9153</v>
      </c>
      <c r="G348" s="9" t="s">
        <v>3889</v>
      </c>
      <c r="H348" s="9"/>
      <c r="I348" s="9">
        <v>1</v>
      </c>
      <c r="J348" s="9">
        <v>1</v>
      </c>
      <c r="K348" s="9" t="s">
        <v>8689</v>
      </c>
      <c r="L348" s="9" t="s">
        <v>8730</v>
      </c>
      <c r="M348" s="9"/>
      <c r="N348" s="10"/>
      <c r="O348" s="9"/>
      <c r="P348" s="9">
        <v>10929</v>
      </c>
      <c r="Q348" s="9">
        <v>1406.0027530843549</v>
      </c>
      <c r="R348" s="9"/>
      <c r="S348" s="9" t="s">
        <v>9321</v>
      </c>
      <c r="T348" s="9" t="s">
        <v>9321</v>
      </c>
      <c r="U348" s="9"/>
      <c r="V348" s="9"/>
      <c r="W348" s="9"/>
      <c r="X348" s="9"/>
      <c r="Y348" s="9"/>
      <c r="Z348" s="9"/>
      <c r="AA348" s="9"/>
      <c r="AB348" s="9"/>
      <c r="AC348" s="9"/>
      <c r="AD348" s="9"/>
    </row>
    <row r="349" spans="1:30" ht="58">
      <c r="A349" s="3" t="s">
        <v>1681</v>
      </c>
      <c r="B349" s="3" t="s">
        <v>7779</v>
      </c>
      <c r="C349" s="3" t="s">
        <v>7780</v>
      </c>
      <c r="G349" s="9" t="s">
        <v>3885</v>
      </c>
      <c r="H349" s="9"/>
      <c r="I349" s="9">
        <v>1</v>
      </c>
      <c r="J349" s="9">
        <v>3</v>
      </c>
      <c r="K349" s="9" t="s">
        <v>8698</v>
      </c>
      <c r="L349" s="9" t="s">
        <v>8690</v>
      </c>
      <c r="M349" s="9"/>
      <c r="N349" s="10"/>
      <c r="O349" s="9"/>
      <c r="P349" s="9">
        <v>9418</v>
      </c>
      <c r="Q349" s="9">
        <v>1211.6144138117354</v>
      </c>
      <c r="R349" s="9"/>
      <c r="S349" s="9" t="s">
        <v>9321</v>
      </c>
      <c r="T349" s="9" t="s">
        <v>9321</v>
      </c>
      <c r="U349" s="9"/>
      <c r="V349" s="9"/>
      <c r="W349" s="9"/>
      <c r="X349" s="9"/>
      <c r="Y349" s="9"/>
      <c r="Z349" s="9"/>
      <c r="AA349" s="9"/>
      <c r="AB349" s="9"/>
      <c r="AC349" s="9"/>
      <c r="AD349" s="9"/>
    </row>
    <row r="350" spans="1:30" ht="43.5">
      <c r="A350" s="3" t="s">
        <v>1681</v>
      </c>
      <c r="B350" s="3" t="s">
        <v>7783</v>
      </c>
      <c r="C350" s="3" t="s">
        <v>7784</v>
      </c>
      <c r="G350" s="9" t="s">
        <v>3885</v>
      </c>
      <c r="H350" s="9"/>
      <c r="I350" s="9">
        <v>1</v>
      </c>
      <c r="J350" s="9">
        <v>3</v>
      </c>
      <c r="K350" s="9" t="s">
        <v>8698</v>
      </c>
      <c r="L350" s="9" t="s">
        <v>8690</v>
      </c>
      <c r="M350" s="9"/>
      <c r="N350" s="10"/>
      <c r="O350" s="9"/>
      <c r="P350" s="9">
        <v>9418</v>
      </c>
      <c r="Q350" s="9">
        <v>1211.6144138117354</v>
      </c>
      <c r="R350" s="9"/>
      <c r="S350" s="9" t="s">
        <v>9321</v>
      </c>
      <c r="T350" s="9" t="s">
        <v>9321</v>
      </c>
      <c r="U350" s="9"/>
      <c r="V350" s="9"/>
      <c r="W350" s="9"/>
      <c r="X350" s="9"/>
      <c r="Y350" s="9"/>
      <c r="Z350" s="9"/>
      <c r="AA350" s="9"/>
      <c r="AB350" s="9"/>
      <c r="AC350" s="9"/>
      <c r="AD350" s="9"/>
    </row>
    <row r="351" spans="1:30" ht="29">
      <c r="A351" s="3" t="s">
        <v>1692</v>
      </c>
      <c r="B351" s="3" t="s">
        <v>7804</v>
      </c>
      <c r="C351" s="3" t="s">
        <v>7805</v>
      </c>
      <c r="G351" s="9" t="s">
        <v>3889</v>
      </c>
      <c r="H351" s="9"/>
      <c r="I351" s="9">
        <v>1</v>
      </c>
      <c r="J351" s="9">
        <v>1</v>
      </c>
      <c r="K351" s="9" t="s">
        <v>8689</v>
      </c>
      <c r="L351" s="9" t="s">
        <v>8730</v>
      </c>
      <c r="M351" s="9"/>
      <c r="N351" s="10"/>
      <c r="O351" s="9"/>
      <c r="P351" s="9">
        <v>10929</v>
      </c>
      <c r="Q351" s="9">
        <v>1406.0027530843549</v>
      </c>
      <c r="R351" s="9"/>
      <c r="S351" s="9" t="s">
        <v>9321</v>
      </c>
      <c r="T351" s="9" t="s">
        <v>9321</v>
      </c>
      <c r="U351" s="9"/>
      <c r="V351" s="9"/>
      <c r="W351" s="9"/>
      <c r="X351" s="9"/>
      <c r="Y351" s="9"/>
      <c r="Z351" s="9"/>
      <c r="AA351" s="9"/>
      <c r="AB351" s="9"/>
      <c r="AC351" s="9"/>
      <c r="AD351" s="9"/>
    </row>
    <row r="352" spans="1:30" ht="58">
      <c r="A352" s="3" t="s">
        <v>1708</v>
      </c>
      <c r="B352" s="3" t="s">
        <v>7855</v>
      </c>
      <c r="C352" s="3" t="s">
        <v>7856</v>
      </c>
      <c r="F352" t="s">
        <v>3884</v>
      </c>
      <c r="G352" s="9" t="s">
        <v>3889</v>
      </c>
      <c r="H352" s="9"/>
      <c r="I352" s="9">
        <v>1</v>
      </c>
      <c r="J352" s="9">
        <v>1</v>
      </c>
      <c r="K352" s="9" t="s">
        <v>8689</v>
      </c>
      <c r="L352" s="9" t="s">
        <v>8730</v>
      </c>
      <c r="M352" s="9"/>
      <c r="N352" s="10"/>
      <c r="O352" s="9"/>
      <c r="P352" s="9">
        <v>10929</v>
      </c>
      <c r="Q352" s="9">
        <v>1406.0027530843549</v>
      </c>
      <c r="R352" s="9"/>
      <c r="S352" s="9" t="s">
        <v>9321</v>
      </c>
      <c r="T352" s="9" t="s">
        <v>9321</v>
      </c>
      <c r="U352" s="9"/>
      <c r="V352" s="9"/>
      <c r="W352" s="9"/>
      <c r="X352" s="9"/>
      <c r="Y352" s="9"/>
      <c r="Z352" s="9"/>
      <c r="AA352" s="9"/>
      <c r="AB352" s="9"/>
      <c r="AC352" s="9"/>
      <c r="AD352" s="9"/>
    </row>
    <row r="353" spans="1:30" ht="43.5">
      <c r="A353" s="3" t="s">
        <v>1711</v>
      </c>
      <c r="B353" s="3" t="s">
        <v>7868</v>
      </c>
      <c r="C353" s="3" t="s">
        <v>7869</v>
      </c>
      <c r="F353" t="s">
        <v>3884</v>
      </c>
      <c r="G353" s="9" t="s">
        <v>3885</v>
      </c>
      <c r="H353" s="9"/>
      <c r="I353" s="9">
        <v>1</v>
      </c>
      <c r="J353" s="9">
        <v>3</v>
      </c>
      <c r="K353" s="9" t="s">
        <v>8705</v>
      </c>
      <c r="L353" s="9" t="s">
        <v>8690</v>
      </c>
      <c r="M353" s="9"/>
      <c r="N353" s="10"/>
      <c r="O353" s="9"/>
      <c r="P353" s="9">
        <v>1443</v>
      </c>
      <c r="Q353" s="9">
        <v>185.64022076134361</v>
      </c>
      <c r="R353" s="9"/>
      <c r="S353" s="9" t="s">
        <v>9321</v>
      </c>
      <c r="T353" s="9" t="s">
        <v>9321</v>
      </c>
      <c r="U353" s="9"/>
      <c r="V353" s="9"/>
      <c r="W353" s="9"/>
      <c r="X353" s="9"/>
      <c r="Y353" s="9"/>
      <c r="Z353" s="9"/>
      <c r="AA353" s="9"/>
      <c r="AB353" s="9"/>
      <c r="AC353" s="9"/>
      <c r="AD353" s="9"/>
    </row>
    <row r="354" spans="1:30" ht="29">
      <c r="A354" s="3" t="s">
        <v>1714</v>
      </c>
      <c r="B354" s="3" t="s">
        <v>7873</v>
      </c>
      <c r="C354" s="3" t="s">
        <v>7874</v>
      </c>
      <c r="F354" t="s">
        <v>3892</v>
      </c>
      <c r="G354" s="9" t="s">
        <v>3885</v>
      </c>
      <c r="H354" s="9"/>
      <c r="I354" s="9">
        <v>1</v>
      </c>
      <c r="J354" s="9">
        <v>3</v>
      </c>
      <c r="K354" s="9" t="s">
        <v>8689</v>
      </c>
      <c r="L354" s="9" t="s">
        <v>8690</v>
      </c>
      <c r="M354" s="9"/>
      <c r="N354" s="10"/>
      <c r="O354" s="9"/>
      <c r="P354" s="9">
        <v>10929</v>
      </c>
      <c r="Q354" s="9">
        <v>1406.0027530843549</v>
      </c>
      <c r="R354" s="9"/>
      <c r="S354" s="9" t="s">
        <v>9321</v>
      </c>
      <c r="T354" s="9" t="s">
        <v>9321</v>
      </c>
      <c r="U354" s="9"/>
      <c r="V354" s="9"/>
      <c r="W354" s="9"/>
      <c r="X354" s="9"/>
      <c r="Y354" s="9"/>
      <c r="Z354" s="9"/>
      <c r="AA354" s="9"/>
      <c r="AB354" s="9"/>
      <c r="AC354" s="9"/>
      <c r="AD354" s="9"/>
    </row>
    <row r="355" spans="1:30" ht="58">
      <c r="A355" s="3" t="s">
        <v>1718</v>
      </c>
      <c r="B355" s="3" t="s">
        <v>7889</v>
      </c>
      <c r="C355" s="3" t="s">
        <v>7890</v>
      </c>
      <c r="G355" s="9" t="s">
        <v>3889</v>
      </c>
      <c r="H355" s="9"/>
      <c r="I355" s="9">
        <v>1</v>
      </c>
      <c r="J355" s="9">
        <v>4</v>
      </c>
      <c r="K355" s="9" t="s">
        <v>8689</v>
      </c>
      <c r="L355" s="9" t="s">
        <v>8690</v>
      </c>
      <c r="M355" s="9"/>
      <c r="N355" s="10"/>
      <c r="O355" s="9"/>
      <c r="P355" s="9">
        <v>10929</v>
      </c>
      <c r="Q355" s="9">
        <v>1406.0027530843549</v>
      </c>
      <c r="R355" s="9"/>
      <c r="S355" s="9" t="s">
        <v>9321</v>
      </c>
      <c r="T355" s="9" t="s">
        <v>9321</v>
      </c>
      <c r="U355" s="9"/>
      <c r="V355" s="9"/>
      <c r="W355" s="9"/>
      <c r="X355" s="9"/>
      <c r="Y355" s="9"/>
      <c r="Z355" s="9"/>
      <c r="AA355" s="9"/>
      <c r="AB355" s="9"/>
      <c r="AC355" s="9"/>
      <c r="AD355" s="9"/>
    </row>
    <row r="356" spans="1:30" ht="43.5">
      <c r="A356" s="3" t="s">
        <v>1719</v>
      </c>
      <c r="B356" s="3" t="s">
        <v>7891</v>
      </c>
      <c r="C356" s="3" t="s">
        <v>7892</v>
      </c>
      <c r="G356" s="9" t="s">
        <v>3889</v>
      </c>
      <c r="H356" s="9"/>
      <c r="I356" s="9">
        <v>1</v>
      </c>
      <c r="J356" s="9">
        <v>1</v>
      </c>
      <c r="K356" s="9" t="s">
        <v>8689</v>
      </c>
      <c r="L356" s="9" t="s">
        <v>8730</v>
      </c>
      <c r="M356" s="9"/>
      <c r="N356" s="10"/>
      <c r="O356" s="9"/>
      <c r="P356" s="9">
        <v>10929</v>
      </c>
      <c r="Q356" s="9">
        <v>1406.0027530843549</v>
      </c>
      <c r="R356" s="9"/>
      <c r="S356" s="9" t="s">
        <v>9321</v>
      </c>
      <c r="T356" s="9" t="s">
        <v>9321</v>
      </c>
      <c r="U356" s="9"/>
      <c r="V356" s="9"/>
      <c r="W356" s="9"/>
      <c r="X356" s="9"/>
      <c r="Y356" s="9"/>
      <c r="Z356" s="9"/>
      <c r="AA356" s="9"/>
      <c r="AB356" s="9"/>
      <c r="AC356" s="9"/>
      <c r="AD356" s="9"/>
    </row>
    <row r="357" spans="1:30" ht="29">
      <c r="A357" s="3" t="s">
        <v>1720</v>
      </c>
      <c r="B357" s="3" t="s">
        <v>7893</v>
      </c>
      <c r="C357" s="3" t="s">
        <v>7894</v>
      </c>
      <c r="F357" t="s">
        <v>3884</v>
      </c>
      <c r="G357" s="9" t="s">
        <v>3885</v>
      </c>
      <c r="H357" s="9"/>
      <c r="I357" s="9">
        <v>1</v>
      </c>
      <c r="J357" s="9">
        <v>3</v>
      </c>
      <c r="K357" s="9" t="s">
        <v>8698</v>
      </c>
      <c r="L357" s="9" t="s">
        <v>8690</v>
      </c>
      <c r="M357" s="9"/>
      <c r="N357" s="10"/>
      <c r="O357" s="9"/>
      <c r="P357" s="9">
        <v>57</v>
      </c>
      <c r="Q357" s="9">
        <v>7.332981693275527</v>
      </c>
      <c r="R357" s="9"/>
      <c r="S357" s="9" t="s">
        <v>9321</v>
      </c>
      <c r="T357" s="9" t="s">
        <v>9321</v>
      </c>
      <c r="U357" s="9"/>
      <c r="V357" s="9"/>
      <c r="W357" s="9"/>
      <c r="X357" s="9"/>
      <c r="Y357" s="9"/>
      <c r="Z357" s="9"/>
      <c r="AA357" s="9"/>
      <c r="AB357" s="9"/>
      <c r="AC357" s="9"/>
      <c r="AD357" s="9"/>
    </row>
    <row r="358" spans="1:30" ht="43.5">
      <c r="A358" s="3" t="s">
        <v>1720</v>
      </c>
      <c r="B358" s="3" t="s">
        <v>7899</v>
      </c>
      <c r="C358" s="3" t="s">
        <v>7900</v>
      </c>
      <c r="G358" s="9" t="s">
        <v>3889</v>
      </c>
      <c r="H358" s="9"/>
      <c r="I358" s="9">
        <v>1</v>
      </c>
      <c r="J358" s="9">
        <v>3</v>
      </c>
      <c r="K358" s="9" t="s">
        <v>8698</v>
      </c>
      <c r="L358" s="9" t="s">
        <v>8690</v>
      </c>
      <c r="M358" s="9"/>
      <c r="N358" s="10"/>
      <c r="O358" s="9"/>
      <c r="P358" s="9">
        <v>9418</v>
      </c>
      <c r="Q358" s="9">
        <v>1211.6144138117354</v>
      </c>
      <c r="R358" s="9"/>
      <c r="S358" s="9" t="s">
        <v>9321</v>
      </c>
      <c r="T358" s="9" t="s">
        <v>9321</v>
      </c>
      <c r="U358" s="9"/>
      <c r="V358" s="9"/>
      <c r="W358" s="9"/>
      <c r="X358" s="9"/>
      <c r="Y358" s="9"/>
      <c r="Z358" s="9"/>
      <c r="AA358" s="9"/>
      <c r="AB358" s="9"/>
      <c r="AC358" s="9"/>
      <c r="AD358" s="9"/>
    </row>
    <row r="359" spans="1:30" ht="29">
      <c r="A359" s="3" t="s">
        <v>1737</v>
      </c>
      <c r="B359" s="3" t="s">
        <v>7954</v>
      </c>
      <c r="C359" s="3" t="s">
        <v>7955</v>
      </c>
      <c r="G359" s="9" t="s">
        <v>3889</v>
      </c>
      <c r="H359" s="9"/>
      <c r="I359" s="9">
        <v>1</v>
      </c>
      <c r="J359" s="9">
        <v>1</v>
      </c>
      <c r="K359" s="9" t="s">
        <v>8689</v>
      </c>
      <c r="L359" s="9" t="s">
        <v>8730</v>
      </c>
      <c r="M359" s="9"/>
      <c r="N359" s="10"/>
      <c r="O359" s="9"/>
      <c r="P359" s="9">
        <v>10929</v>
      </c>
      <c r="Q359" s="9">
        <v>1406.0027530843549</v>
      </c>
      <c r="R359" s="9"/>
      <c r="S359" s="9" t="s">
        <v>9321</v>
      </c>
      <c r="T359" s="9" t="s">
        <v>9321</v>
      </c>
      <c r="U359" s="9"/>
      <c r="V359" s="9"/>
      <c r="W359" s="9"/>
      <c r="X359" s="9"/>
      <c r="Y359" s="9"/>
      <c r="Z359" s="9"/>
      <c r="AA359" s="9"/>
      <c r="AB359" s="9"/>
      <c r="AC359" s="9"/>
      <c r="AD359" s="9"/>
    </row>
    <row r="360" spans="1:30" ht="58">
      <c r="A360" s="3" t="s">
        <v>1740</v>
      </c>
      <c r="B360" s="3" t="s">
        <v>7967</v>
      </c>
      <c r="C360" s="3" t="s">
        <v>7968</v>
      </c>
      <c r="F360" t="s">
        <v>3884</v>
      </c>
      <c r="G360" s="9" t="s">
        <v>3885</v>
      </c>
      <c r="H360" s="9"/>
      <c r="I360" s="9">
        <v>1</v>
      </c>
      <c r="J360" s="9">
        <v>1</v>
      </c>
      <c r="K360" s="9" t="s">
        <v>8698</v>
      </c>
      <c r="L360" s="9" t="s">
        <v>8730</v>
      </c>
      <c r="M360" s="9"/>
      <c r="N360" s="10"/>
      <c r="O360" s="9"/>
      <c r="P360" s="9">
        <v>55</v>
      </c>
      <c r="Q360" s="9">
        <v>7.075684090002702</v>
      </c>
      <c r="R360" s="9"/>
      <c r="S360" s="9" t="s">
        <v>9321</v>
      </c>
      <c r="T360" s="9" t="s">
        <v>9321</v>
      </c>
      <c r="U360" s="9"/>
      <c r="V360" s="9"/>
      <c r="W360" s="9"/>
      <c r="X360" s="9"/>
      <c r="Y360" s="9"/>
      <c r="Z360" s="9"/>
      <c r="AA360" s="9"/>
      <c r="AB360" s="9"/>
      <c r="AC360" s="9"/>
      <c r="AD360" s="9"/>
    </row>
    <row r="361" spans="1:30" ht="29">
      <c r="A361" s="3" t="s">
        <v>1751</v>
      </c>
      <c r="B361" s="3" t="s">
        <v>8007</v>
      </c>
      <c r="C361" s="3" t="s">
        <v>8008</v>
      </c>
      <c r="G361" s="9" t="s">
        <v>3889</v>
      </c>
      <c r="H361" s="9"/>
      <c r="I361" s="9">
        <v>1</v>
      </c>
      <c r="J361" s="9">
        <v>1</v>
      </c>
      <c r="K361" s="9" t="s">
        <v>8689</v>
      </c>
      <c r="L361" s="9" t="s">
        <v>8730</v>
      </c>
      <c r="M361" s="9"/>
      <c r="N361" s="10"/>
      <c r="O361" s="9" t="s">
        <v>8685</v>
      </c>
      <c r="P361" s="9">
        <v>10929</v>
      </c>
      <c r="Q361" s="9">
        <v>1406.0027530843549</v>
      </c>
      <c r="R361" s="9"/>
      <c r="S361" s="9" t="s">
        <v>9321</v>
      </c>
      <c r="T361" s="9" t="s">
        <v>9321</v>
      </c>
      <c r="U361" s="9"/>
      <c r="V361" s="9"/>
      <c r="W361" s="9"/>
      <c r="X361" s="9"/>
      <c r="Y361" s="9"/>
      <c r="Z361" s="9"/>
      <c r="AA361" s="9"/>
      <c r="AB361" s="9"/>
      <c r="AC361" s="9"/>
      <c r="AD361" s="9"/>
    </row>
    <row r="362" spans="1:30" ht="29">
      <c r="A362" s="3" t="s">
        <v>1756</v>
      </c>
      <c r="B362" s="3" t="s">
        <v>8019</v>
      </c>
      <c r="C362" s="3" t="s">
        <v>8020</v>
      </c>
      <c r="F362" t="s">
        <v>3884</v>
      </c>
      <c r="G362" s="9" t="s">
        <v>3889</v>
      </c>
      <c r="H362" s="9"/>
      <c r="I362" s="9">
        <v>1</v>
      </c>
      <c r="J362" s="9">
        <v>2</v>
      </c>
      <c r="K362" s="9" t="s">
        <v>8689</v>
      </c>
      <c r="L362" s="9" t="s">
        <v>8730</v>
      </c>
      <c r="M362" s="9"/>
      <c r="N362" s="10"/>
      <c r="O362" s="9"/>
      <c r="P362" s="9">
        <v>10929</v>
      </c>
      <c r="Q362" s="9">
        <v>1406.0027530843549</v>
      </c>
      <c r="R362" s="9"/>
      <c r="S362" s="9" t="s">
        <v>9321</v>
      </c>
      <c r="T362" s="9" t="s">
        <v>9321</v>
      </c>
      <c r="U362" s="9"/>
      <c r="V362" s="9"/>
      <c r="W362" s="9"/>
      <c r="X362" s="9"/>
      <c r="Y362" s="9"/>
      <c r="Z362" s="9"/>
      <c r="AA362" s="9"/>
      <c r="AB362" s="9"/>
      <c r="AC362" s="9"/>
      <c r="AD362" s="9"/>
    </row>
    <row r="363" spans="1:30" ht="29">
      <c r="A363" s="3" t="s">
        <v>1760</v>
      </c>
      <c r="B363" s="3" t="s">
        <v>8041</v>
      </c>
      <c r="C363" s="3" t="s">
        <v>8042</v>
      </c>
      <c r="F363" t="s">
        <v>3884</v>
      </c>
      <c r="G363" s="9" t="s">
        <v>3885</v>
      </c>
      <c r="H363" s="9"/>
      <c r="I363" s="9">
        <v>1</v>
      </c>
      <c r="J363" s="9">
        <v>3</v>
      </c>
      <c r="K363" s="9" t="s">
        <v>8698</v>
      </c>
      <c r="L363" s="9" t="s">
        <v>8684</v>
      </c>
      <c r="M363" s="9" t="s">
        <v>8771</v>
      </c>
      <c r="N363" s="10" t="s">
        <v>8778</v>
      </c>
      <c r="O363" s="9" t="s">
        <v>8685</v>
      </c>
      <c r="P363" s="9">
        <v>9418</v>
      </c>
      <c r="Q363" s="9">
        <v>1211.6144138117354</v>
      </c>
      <c r="R363" s="9"/>
      <c r="S363" s="9" t="s">
        <v>9321</v>
      </c>
      <c r="T363" s="9" t="s">
        <v>9321</v>
      </c>
      <c r="U363" s="9"/>
      <c r="V363" s="9"/>
      <c r="W363" s="9"/>
      <c r="X363" s="9"/>
      <c r="Y363" s="9"/>
      <c r="Z363" s="9"/>
      <c r="AA363" s="9"/>
      <c r="AB363" s="9"/>
      <c r="AC363" s="9"/>
      <c r="AD363" s="9"/>
    </row>
    <row r="364" spans="1:30" ht="29">
      <c r="A364" s="3" t="s">
        <v>1762</v>
      </c>
      <c r="B364" s="3" t="s">
        <v>8043</v>
      </c>
      <c r="C364" s="3" t="s">
        <v>8044</v>
      </c>
      <c r="F364" t="s">
        <v>3884</v>
      </c>
      <c r="G364" s="9" t="s">
        <v>3889</v>
      </c>
      <c r="H364" s="9"/>
      <c r="I364" s="9">
        <v>1</v>
      </c>
      <c r="J364" s="9">
        <v>3</v>
      </c>
      <c r="K364" s="9" t="s">
        <v>8689</v>
      </c>
      <c r="L364" s="9" t="s">
        <v>8690</v>
      </c>
      <c r="M364" s="9"/>
      <c r="N364" s="10"/>
      <c r="O364" s="9"/>
      <c r="P364" s="9">
        <v>10929</v>
      </c>
      <c r="Q364" s="9">
        <v>1406.0027530843549</v>
      </c>
      <c r="R364" s="9"/>
      <c r="S364" s="9" t="s">
        <v>9321</v>
      </c>
      <c r="T364" s="9" t="s">
        <v>9321</v>
      </c>
      <c r="U364" s="9"/>
      <c r="V364" s="9"/>
      <c r="W364" s="9"/>
      <c r="X364" s="9"/>
      <c r="Y364" s="9"/>
      <c r="Z364" s="9"/>
      <c r="AA364" s="9"/>
      <c r="AB364" s="9"/>
      <c r="AC364" s="9"/>
      <c r="AD364" s="9"/>
    </row>
    <row r="365" spans="1:30" ht="43.5">
      <c r="A365" s="3" t="s">
        <v>1763</v>
      </c>
      <c r="B365" s="3" t="s">
        <v>8053</v>
      </c>
      <c r="C365" s="3" t="s">
        <v>8054</v>
      </c>
      <c r="G365" s="9" t="s">
        <v>3885</v>
      </c>
      <c r="H365" s="9"/>
      <c r="I365" s="9">
        <v>1</v>
      </c>
      <c r="J365" s="9">
        <v>1</v>
      </c>
      <c r="K365" s="9" t="s">
        <v>8705</v>
      </c>
      <c r="L365" s="9" t="s">
        <v>8730</v>
      </c>
      <c r="M365" s="9"/>
      <c r="N365" s="10"/>
      <c r="O365" s="9" t="s">
        <v>8685</v>
      </c>
      <c r="P365" s="9">
        <v>615</v>
      </c>
      <c r="Q365" s="9">
        <v>79.119013006393843</v>
      </c>
      <c r="R365" s="9"/>
      <c r="S365" s="9" t="s">
        <v>9321</v>
      </c>
      <c r="T365" s="9" t="s">
        <v>9321</v>
      </c>
      <c r="U365" s="9"/>
      <c r="V365" s="9"/>
      <c r="W365" s="9"/>
      <c r="X365" s="9"/>
      <c r="Y365" s="9"/>
      <c r="Z365" s="9"/>
      <c r="AA365" s="9"/>
      <c r="AB365" s="9"/>
      <c r="AC365" s="9"/>
      <c r="AD365" s="9"/>
    </row>
    <row r="366" spans="1:30" ht="43.5">
      <c r="A366" s="3" t="s">
        <v>1767</v>
      </c>
      <c r="B366" s="3" t="s">
        <v>8069</v>
      </c>
      <c r="C366" s="3" t="s">
        <v>8070</v>
      </c>
      <c r="F366" t="s">
        <v>3884</v>
      </c>
      <c r="G366" s="9" t="s">
        <v>3885</v>
      </c>
      <c r="H366" s="9"/>
      <c r="I366" s="9">
        <v>1</v>
      </c>
      <c r="J366" s="9">
        <v>1</v>
      </c>
      <c r="K366" s="9" t="s">
        <v>8689</v>
      </c>
      <c r="L366" s="9" t="s">
        <v>8730</v>
      </c>
      <c r="M366" s="9"/>
      <c r="N366" s="10"/>
      <c r="O366" s="9"/>
      <c r="P366" s="9">
        <v>10929</v>
      </c>
      <c r="Q366" s="9">
        <v>1406.0027530843549</v>
      </c>
      <c r="R366" s="9"/>
      <c r="S366" s="9" t="s">
        <v>9321</v>
      </c>
      <c r="T366" s="9" t="s">
        <v>9321</v>
      </c>
      <c r="U366" s="9"/>
      <c r="V366" s="9"/>
      <c r="W366" s="9"/>
      <c r="X366" s="9"/>
      <c r="Y366" s="9"/>
      <c r="Z366" s="9"/>
      <c r="AA366" s="9"/>
      <c r="AB366" s="9"/>
      <c r="AC366" s="9"/>
      <c r="AD366" s="9"/>
    </row>
    <row r="367" spans="1:30" ht="43.5">
      <c r="A367" s="3" t="s">
        <v>1794</v>
      </c>
      <c r="B367" s="3" t="s">
        <v>9166</v>
      </c>
      <c r="C367" s="3" t="s">
        <v>8156</v>
      </c>
      <c r="G367" s="9" t="s">
        <v>3889</v>
      </c>
      <c r="H367" s="9"/>
      <c r="I367" s="9">
        <v>1</v>
      </c>
      <c r="J367" s="9">
        <v>3</v>
      </c>
      <c r="K367" s="9" t="s">
        <v>8689</v>
      </c>
      <c r="L367" s="9" t="s">
        <v>8690</v>
      </c>
      <c r="M367" s="9"/>
      <c r="N367" s="10"/>
      <c r="O367" s="9"/>
      <c r="P367" s="9">
        <v>10929</v>
      </c>
      <c r="Q367" s="9">
        <v>1406.0027530843549</v>
      </c>
      <c r="R367" s="9"/>
      <c r="S367" s="9" t="s">
        <v>9321</v>
      </c>
      <c r="T367" s="9" t="s">
        <v>9321</v>
      </c>
      <c r="U367" s="9"/>
      <c r="V367" s="9"/>
      <c r="W367" s="9"/>
      <c r="X367" s="9"/>
      <c r="Y367" s="9"/>
      <c r="Z367" s="9"/>
      <c r="AA367" s="9"/>
      <c r="AB367" s="9"/>
      <c r="AC367" s="9"/>
      <c r="AD367" s="9"/>
    </row>
    <row r="368" spans="1:30" ht="43.5">
      <c r="A368" s="3" t="s">
        <v>1800</v>
      </c>
      <c r="B368" s="3" t="s">
        <v>8136</v>
      </c>
      <c r="C368" s="3" t="s">
        <v>8179</v>
      </c>
      <c r="G368" s="9" t="s">
        <v>3885</v>
      </c>
      <c r="H368" s="9"/>
      <c r="I368" s="9">
        <v>1</v>
      </c>
      <c r="J368" s="9">
        <v>1</v>
      </c>
      <c r="K368" s="9" t="s">
        <v>8689</v>
      </c>
      <c r="L368" s="9" t="s">
        <v>8730</v>
      </c>
      <c r="M368" s="9"/>
      <c r="N368" s="10"/>
      <c r="O368" s="9"/>
      <c r="P368" s="9">
        <v>10929</v>
      </c>
      <c r="Q368" s="9">
        <v>1406.0027530843549</v>
      </c>
      <c r="R368" s="9"/>
      <c r="S368" s="9" t="s">
        <v>9321</v>
      </c>
      <c r="T368" s="9" t="s">
        <v>9321</v>
      </c>
      <c r="U368" s="9"/>
      <c r="V368" s="9"/>
      <c r="W368" s="9"/>
      <c r="X368" s="9"/>
      <c r="Y368" s="9"/>
      <c r="Z368" s="9"/>
      <c r="AA368" s="9"/>
      <c r="AB368" s="9"/>
      <c r="AC368" s="9"/>
      <c r="AD368" s="9"/>
    </row>
    <row r="369" spans="1:30" ht="43.5">
      <c r="A369" s="3" t="s">
        <v>1822</v>
      </c>
      <c r="B369" s="3" t="s">
        <v>9274</v>
      </c>
      <c r="C369" s="3" t="s">
        <v>9275</v>
      </c>
      <c r="F369" t="s">
        <v>3884</v>
      </c>
      <c r="G369" s="9" t="s">
        <v>3889</v>
      </c>
      <c r="H369" s="9"/>
      <c r="I369" s="9">
        <v>1</v>
      </c>
      <c r="J369" s="9">
        <v>2</v>
      </c>
      <c r="K369" s="9" t="s">
        <v>8707</v>
      </c>
      <c r="L369" s="9" t="s">
        <v>8730</v>
      </c>
      <c r="M369" s="9"/>
      <c r="N369" s="10"/>
      <c r="O369" s="9" t="s">
        <v>8685</v>
      </c>
      <c r="P369" s="9">
        <v>1942</v>
      </c>
      <c r="Q369" s="9">
        <v>249.83597277791355</v>
      </c>
      <c r="R369" s="9"/>
      <c r="S369" s="9" t="s">
        <v>9321</v>
      </c>
      <c r="T369" s="9" t="s">
        <v>9321</v>
      </c>
      <c r="U369" s="9"/>
      <c r="V369" s="9"/>
      <c r="W369" s="9"/>
      <c r="X369" s="9"/>
      <c r="Y369" s="9"/>
      <c r="Z369" s="9"/>
      <c r="AA369" s="9"/>
      <c r="AB369" s="9"/>
      <c r="AC369" s="9"/>
      <c r="AD369" s="9"/>
    </row>
    <row r="370" spans="1:30" ht="116">
      <c r="A370" s="3" t="s">
        <v>1822</v>
      </c>
      <c r="B370" s="3" t="s">
        <v>8273</v>
      </c>
      <c r="C370" s="3" t="s">
        <v>8272</v>
      </c>
      <c r="F370" t="s">
        <v>3884</v>
      </c>
      <c r="G370" s="9" t="s">
        <v>3889</v>
      </c>
      <c r="H370" s="9"/>
      <c r="I370" s="9">
        <v>1</v>
      </c>
      <c r="J370" s="9">
        <v>3</v>
      </c>
      <c r="K370" s="9" t="s">
        <v>8698</v>
      </c>
      <c r="L370" s="9" t="s">
        <v>8690</v>
      </c>
      <c r="M370" s="9"/>
      <c r="N370" s="10"/>
      <c r="O370" s="9"/>
      <c r="P370" s="9">
        <v>9418</v>
      </c>
      <c r="Q370" s="9">
        <v>1211.6144138117354</v>
      </c>
      <c r="R370" s="9"/>
      <c r="S370" s="9" t="s">
        <v>9321</v>
      </c>
      <c r="T370" s="9" t="s">
        <v>9321</v>
      </c>
      <c r="U370" s="9" t="s">
        <v>8728</v>
      </c>
      <c r="V370" s="9"/>
      <c r="W370" s="9"/>
      <c r="X370" s="9"/>
      <c r="Y370" s="9"/>
      <c r="Z370" s="9"/>
      <c r="AA370" s="9"/>
      <c r="AB370" s="9"/>
      <c r="AC370" s="9"/>
      <c r="AD370" s="9"/>
    </row>
    <row r="371" spans="1:30" ht="29">
      <c r="A371" s="3" t="s">
        <v>1831</v>
      </c>
      <c r="B371" s="3" t="s">
        <v>8310</v>
      </c>
      <c r="C371" s="3" t="s">
        <v>8311</v>
      </c>
      <c r="F371" t="s">
        <v>3884</v>
      </c>
      <c r="G371" s="9" t="s">
        <v>3889</v>
      </c>
      <c r="H371" s="9"/>
      <c r="I371" s="9">
        <v>1</v>
      </c>
      <c r="J371" s="9">
        <v>2</v>
      </c>
      <c r="K371" s="9" t="s">
        <v>8689</v>
      </c>
      <c r="L371" s="9" t="s">
        <v>8730</v>
      </c>
      <c r="M371" s="9"/>
      <c r="N371" s="10"/>
      <c r="O371" s="9"/>
      <c r="P371" s="9">
        <v>10929</v>
      </c>
      <c r="Q371" s="9">
        <v>1406.0027530843549</v>
      </c>
      <c r="R371" s="9"/>
      <c r="S371" s="9" t="s">
        <v>9321</v>
      </c>
      <c r="T371" s="9" t="s">
        <v>9321</v>
      </c>
      <c r="U371" s="9"/>
      <c r="V371" s="9"/>
      <c r="W371" s="9"/>
      <c r="X371" s="9"/>
      <c r="Y371" s="9"/>
      <c r="Z371" s="9"/>
      <c r="AA371" s="9"/>
      <c r="AB371" s="9"/>
      <c r="AC371" s="9"/>
      <c r="AD371" s="9"/>
    </row>
    <row r="372" spans="1:30" ht="58">
      <c r="A372" s="3" t="s">
        <v>1831</v>
      </c>
      <c r="B372" s="3" t="s">
        <v>8312</v>
      </c>
      <c r="C372" s="3" t="s">
        <v>8313</v>
      </c>
      <c r="F372" t="s">
        <v>3884</v>
      </c>
      <c r="G372" s="9" t="s">
        <v>3889</v>
      </c>
      <c r="H372" s="9"/>
      <c r="I372" s="9">
        <v>1</v>
      </c>
      <c r="J372" s="9">
        <v>2</v>
      </c>
      <c r="K372" s="9" t="s">
        <v>8707</v>
      </c>
      <c r="L372" s="9" t="s">
        <v>8730</v>
      </c>
      <c r="M372" s="9"/>
      <c r="N372" s="10"/>
      <c r="O372" s="9"/>
      <c r="P372" s="9">
        <v>1942</v>
      </c>
      <c r="Q372" s="9">
        <v>249.83597277791355</v>
      </c>
      <c r="R372" s="9"/>
      <c r="S372" s="9" t="s">
        <v>9321</v>
      </c>
      <c r="T372" s="9" t="s">
        <v>9321</v>
      </c>
      <c r="U372" s="9"/>
      <c r="V372" s="9"/>
      <c r="W372" s="9"/>
      <c r="X372" s="9"/>
      <c r="Y372" s="9"/>
      <c r="Z372" s="9"/>
      <c r="AA372" s="9"/>
      <c r="AB372" s="9"/>
      <c r="AC372" s="9"/>
      <c r="AD372" s="9"/>
    </row>
    <row r="373" spans="1:30" ht="43.5">
      <c r="A373" s="3" t="s">
        <v>1839</v>
      </c>
      <c r="B373" s="3" t="s">
        <v>8335</v>
      </c>
      <c r="C373" s="3" t="s">
        <v>8336</v>
      </c>
      <c r="F373" t="s">
        <v>3884</v>
      </c>
      <c r="G373" s="9" t="s">
        <v>3885</v>
      </c>
      <c r="H373" s="9"/>
      <c r="I373" s="9">
        <v>1</v>
      </c>
      <c r="J373" s="9">
        <v>4</v>
      </c>
      <c r="K373" s="9" t="s">
        <v>8689</v>
      </c>
      <c r="L373" s="9" t="s">
        <v>8690</v>
      </c>
      <c r="M373" s="9"/>
      <c r="N373" s="10"/>
      <c r="O373" s="9"/>
      <c r="P373" s="9">
        <v>10929</v>
      </c>
      <c r="Q373" s="9">
        <v>1406.0027530843549</v>
      </c>
      <c r="R373" s="9"/>
      <c r="S373" s="9" t="s">
        <v>9321</v>
      </c>
      <c r="T373" s="9" t="s">
        <v>9321</v>
      </c>
      <c r="U373" s="9"/>
      <c r="V373" s="9"/>
      <c r="W373" s="9"/>
      <c r="X373" s="9"/>
      <c r="Y373" s="9"/>
      <c r="Z373" s="9"/>
      <c r="AA373" s="9"/>
      <c r="AB373" s="9"/>
      <c r="AC373" s="9"/>
      <c r="AD373" s="9"/>
    </row>
    <row r="374" spans="1:30" ht="72.5">
      <c r="A374" s="3" t="s">
        <v>1841</v>
      </c>
      <c r="B374" s="3" t="s">
        <v>8341</v>
      </c>
      <c r="C374" s="3" t="s">
        <v>8342</v>
      </c>
      <c r="G374" s="9" t="s">
        <v>3885</v>
      </c>
      <c r="H374" s="9"/>
      <c r="I374" s="9">
        <v>1</v>
      </c>
      <c r="J374" s="9">
        <v>3</v>
      </c>
      <c r="K374" s="9" t="s">
        <v>8689</v>
      </c>
      <c r="L374" s="9" t="s">
        <v>8690</v>
      </c>
      <c r="M374" s="9"/>
      <c r="N374" s="10"/>
      <c r="O374" s="9"/>
      <c r="P374" s="9">
        <v>10929</v>
      </c>
      <c r="Q374" s="9">
        <v>1406.0027530843549</v>
      </c>
      <c r="R374" s="9"/>
      <c r="S374" s="9" t="s">
        <v>9321</v>
      </c>
      <c r="T374" s="9" t="s">
        <v>9321</v>
      </c>
      <c r="U374" s="9"/>
      <c r="V374" s="9"/>
      <c r="W374" s="9"/>
      <c r="X374" s="9"/>
      <c r="Y374" s="9"/>
      <c r="Z374" s="9"/>
      <c r="AA374" s="9"/>
      <c r="AB374" s="9"/>
      <c r="AC374" s="9"/>
      <c r="AD374" s="9"/>
    </row>
    <row r="375" spans="1:30" ht="58">
      <c r="A375" s="3" t="s">
        <v>1842</v>
      </c>
      <c r="B375" s="3" t="s">
        <v>8345</v>
      </c>
      <c r="C375" s="3" t="s">
        <v>8348</v>
      </c>
      <c r="F375" t="s">
        <v>3884</v>
      </c>
      <c r="G375" s="9" t="s">
        <v>3885</v>
      </c>
      <c r="H375" s="9"/>
      <c r="I375" s="9">
        <v>1</v>
      </c>
      <c r="J375" s="9">
        <v>3</v>
      </c>
      <c r="K375" s="9" t="s">
        <v>8689</v>
      </c>
      <c r="L375" s="9" t="s">
        <v>8690</v>
      </c>
      <c r="M375" s="9"/>
      <c r="N375" s="10"/>
      <c r="O375" s="9"/>
      <c r="P375" s="9">
        <v>10929</v>
      </c>
      <c r="Q375" s="9">
        <v>1406.0027530843549</v>
      </c>
      <c r="R375" s="9"/>
      <c r="S375" s="9" t="s">
        <v>9321</v>
      </c>
      <c r="T375" s="9" t="s">
        <v>9321</v>
      </c>
      <c r="U375" s="9"/>
      <c r="V375" s="9"/>
      <c r="W375" s="9"/>
      <c r="X375" s="9"/>
      <c r="Y375" s="9"/>
      <c r="Z375" s="9"/>
      <c r="AA375" s="9"/>
      <c r="AB375" s="9"/>
      <c r="AC375" s="9"/>
      <c r="AD375" s="9"/>
    </row>
    <row r="376" spans="1:30" ht="29">
      <c r="A376" s="3" t="s">
        <v>1843</v>
      </c>
      <c r="B376" s="3" t="s">
        <v>8350</v>
      </c>
      <c r="C376" s="3" t="s">
        <v>8351</v>
      </c>
      <c r="F376" t="s">
        <v>3884</v>
      </c>
      <c r="G376" s="9" t="s">
        <v>3889</v>
      </c>
      <c r="H376" s="9"/>
      <c r="I376" s="9">
        <v>1</v>
      </c>
      <c r="J376" s="9">
        <v>3</v>
      </c>
      <c r="K376" s="9" t="s">
        <v>8689</v>
      </c>
      <c r="L376" s="9" t="s">
        <v>8690</v>
      </c>
      <c r="M376" s="9"/>
      <c r="N376" s="10"/>
      <c r="O376" s="9"/>
      <c r="P376" s="9">
        <v>10929</v>
      </c>
      <c r="Q376" s="9">
        <v>1406.0027530843549</v>
      </c>
      <c r="R376" s="9"/>
      <c r="S376" s="9" t="s">
        <v>9321</v>
      </c>
      <c r="T376" s="9" t="s">
        <v>9321</v>
      </c>
      <c r="U376" s="9"/>
      <c r="V376" s="9"/>
      <c r="W376" s="9"/>
      <c r="X376" s="9"/>
      <c r="Y376" s="9"/>
      <c r="Z376" s="9"/>
      <c r="AA376" s="9"/>
      <c r="AB376" s="9"/>
      <c r="AC376" s="9"/>
      <c r="AD376" s="9"/>
    </row>
    <row r="377" spans="1:30" ht="29">
      <c r="A377" s="3" t="s">
        <v>1854</v>
      </c>
      <c r="B377" s="3" t="s">
        <v>8408</v>
      </c>
      <c r="C377" s="3" t="s">
        <v>8409</v>
      </c>
      <c r="G377" s="9" t="s">
        <v>3889</v>
      </c>
      <c r="H377" s="9"/>
      <c r="I377" s="9">
        <v>1</v>
      </c>
      <c r="J377" s="9">
        <v>3</v>
      </c>
      <c r="K377" s="9" t="s">
        <v>8689</v>
      </c>
      <c r="L377" s="9" t="s">
        <v>8690</v>
      </c>
      <c r="M377" s="9"/>
      <c r="N377" s="10"/>
      <c r="O377" s="9"/>
      <c r="P377" s="9">
        <v>10929</v>
      </c>
      <c r="Q377" s="9">
        <v>1406.0027530843549</v>
      </c>
      <c r="R377" s="9"/>
      <c r="S377" s="9" t="s">
        <v>9321</v>
      </c>
      <c r="T377" s="9" t="s">
        <v>9321</v>
      </c>
      <c r="U377" s="9"/>
      <c r="V377" s="9"/>
      <c r="W377" s="9"/>
      <c r="X377" s="9"/>
      <c r="Y377" s="9"/>
      <c r="Z377" s="9"/>
      <c r="AA377" s="9"/>
      <c r="AB377" s="9"/>
      <c r="AC377" s="9"/>
      <c r="AD377" s="9"/>
    </row>
    <row r="378" spans="1:30" ht="29">
      <c r="A378" s="3" t="s">
        <v>1869</v>
      </c>
      <c r="B378" s="3" t="s">
        <v>8456</v>
      </c>
      <c r="C378" s="3" t="s">
        <v>8457</v>
      </c>
      <c r="F378" t="s">
        <v>3884</v>
      </c>
      <c r="G378" s="9" t="s">
        <v>3885</v>
      </c>
      <c r="H378" s="9"/>
      <c r="I378" s="9">
        <v>1</v>
      </c>
      <c r="J378" s="9">
        <v>2</v>
      </c>
      <c r="K378" s="9" t="s">
        <v>8734</v>
      </c>
      <c r="L378" s="9" t="s">
        <v>8730</v>
      </c>
      <c r="M378" s="9"/>
      <c r="N378" s="10"/>
      <c r="O378" s="9" t="s">
        <v>8685</v>
      </c>
      <c r="P378" s="9">
        <v>36</v>
      </c>
      <c r="Q378" s="9">
        <v>4.6313568589108591</v>
      </c>
      <c r="R378" s="9"/>
      <c r="S378" s="9" t="s">
        <v>9321</v>
      </c>
      <c r="T378" s="9" t="s">
        <v>9321</v>
      </c>
      <c r="U378" s="9"/>
      <c r="V378" s="9"/>
      <c r="W378" s="9"/>
      <c r="X378" s="9"/>
      <c r="Y378" s="9"/>
      <c r="Z378" s="9"/>
      <c r="AA378" s="9"/>
      <c r="AB378" s="9"/>
      <c r="AC378" s="9"/>
      <c r="AD378" s="9"/>
    </row>
    <row r="379" spans="1:30" ht="72.5">
      <c r="A379" s="3" t="s">
        <v>1870</v>
      </c>
      <c r="B379" s="3" t="s">
        <v>8465</v>
      </c>
      <c r="C379" s="3" t="s">
        <v>8464</v>
      </c>
      <c r="G379" s="9" t="s">
        <v>3889</v>
      </c>
      <c r="H379" s="9"/>
      <c r="I379" s="9">
        <v>1</v>
      </c>
      <c r="J379" s="9">
        <v>2</v>
      </c>
      <c r="K379" s="9" t="s">
        <v>8734</v>
      </c>
      <c r="L379" s="9" t="s">
        <v>8730</v>
      </c>
      <c r="M379" s="9"/>
      <c r="N379" s="10"/>
      <c r="O379" s="9" t="s">
        <v>8685</v>
      </c>
      <c r="P379" s="9">
        <v>698</v>
      </c>
      <c r="Q379" s="9">
        <v>89.796863542216116</v>
      </c>
      <c r="R379" s="9"/>
      <c r="S379" s="9" t="s">
        <v>9321</v>
      </c>
      <c r="T379" s="9" t="s">
        <v>9321</v>
      </c>
      <c r="U379" s="9"/>
      <c r="V379" s="9"/>
      <c r="W379" s="9"/>
      <c r="X379" s="9"/>
      <c r="Y379" s="9"/>
      <c r="Z379" s="9"/>
      <c r="AA379" s="9"/>
      <c r="AB379" s="9"/>
      <c r="AC379" s="9"/>
      <c r="AD379" s="9"/>
    </row>
    <row r="380" spans="1:30" ht="58">
      <c r="A380" s="3" t="s">
        <v>1880</v>
      </c>
      <c r="B380" s="3" t="s">
        <v>8515</v>
      </c>
      <c r="C380" s="3" t="s">
        <v>8516</v>
      </c>
      <c r="G380" s="9" t="s">
        <v>3885</v>
      </c>
      <c r="H380" s="9"/>
      <c r="I380" s="9">
        <v>1</v>
      </c>
      <c r="J380" s="9">
        <v>3</v>
      </c>
      <c r="K380" s="9" t="s">
        <v>8689</v>
      </c>
      <c r="L380" s="9" t="s">
        <v>8690</v>
      </c>
      <c r="M380" s="9"/>
      <c r="N380" s="10"/>
      <c r="O380" s="9"/>
      <c r="P380" s="9">
        <v>10929</v>
      </c>
      <c r="Q380" s="9">
        <v>1406.0027530843549</v>
      </c>
      <c r="R380" s="9"/>
      <c r="S380" s="9" t="s">
        <v>9321</v>
      </c>
      <c r="T380" s="9" t="s">
        <v>9321</v>
      </c>
      <c r="U380" s="9"/>
      <c r="V380" s="9"/>
      <c r="W380" s="9"/>
      <c r="X380" s="9"/>
      <c r="Y380" s="9"/>
      <c r="Z380" s="9"/>
      <c r="AA380" s="9"/>
      <c r="AB380" s="9"/>
      <c r="AC380" s="9"/>
      <c r="AD380" s="9"/>
    </row>
    <row r="381" spans="1:30" ht="72.5">
      <c r="A381" s="3" t="s">
        <v>1898</v>
      </c>
      <c r="B381" s="3" t="s">
        <v>8572</v>
      </c>
      <c r="C381" s="3" t="s">
        <v>9666</v>
      </c>
      <c r="G381" s="9" t="s">
        <v>3889</v>
      </c>
      <c r="H381" s="9"/>
      <c r="I381" s="9">
        <v>1</v>
      </c>
      <c r="J381" s="9">
        <v>3</v>
      </c>
      <c r="K381" s="9" t="s">
        <v>8689</v>
      </c>
      <c r="L381" s="9" t="s">
        <v>8690</v>
      </c>
      <c r="M381" s="9"/>
      <c r="N381" s="10"/>
      <c r="O381" s="9"/>
      <c r="P381" s="9">
        <v>10929</v>
      </c>
      <c r="Q381" s="9">
        <v>1406.0027530843549</v>
      </c>
      <c r="R381" s="9"/>
      <c r="S381" s="9" t="s">
        <v>9321</v>
      </c>
      <c r="T381" s="9" t="s">
        <v>9321</v>
      </c>
      <c r="U381" s="9"/>
      <c r="V381" s="9"/>
      <c r="W381" s="9"/>
      <c r="X381" s="9"/>
      <c r="Y381" s="9"/>
      <c r="Z381" s="9"/>
      <c r="AA381" s="9"/>
      <c r="AB381" s="9"/>
      <c r="AC381" s="9"/>
      <c r="AD381" s="9"/>
    </row>
    <row r="382" spans="1:30" ht="29">
      <c r="A382" s="3" t="s">
        <v>1899</v>
      </c>
      <c r="B382" s="3" t="s">
        <v>8573</v>
      </c>
      <c r="C382" s="3" t="s">
        <v>6784</v>
      </c>
      <c r="G382" s="9" t="s">
        <v>3889</v>
      </c>
      <c r="H382" s="9"/>
      <c r="I382" s="9">
        <v>1</v>
      </c>
      <c r="J382" s="9">
        <v>4</v>
      </c>
      <c r="K382" s="9" t="s">
        <v>8710</v>
      </c>
      <c r="L382" s="9" t="s">
        <v>8684</v>
      </c>
      <c r="M382" s="9" t="s">
        <v>8771</v>
      </c>
      <c r="N382" s="10" t="s">
        <v>8778</v>
      </c>
      <c r="O382" s="9"/>
      <c r="P382" s="9">
        <v>266</v>
      </c>
      <c r="Q382" s="9">
        <v>34.220581235285792</v>
      </c>
      <c r="R382" s="9"/>
      <c r="S382" s="9" t="s">
        <v>9321</v>
      </c>
      <c r="T382" s="9" t="s">
        <v>9321</v>
      </c>
      <c r="U382" s="9"/>
      <c r="V382" s="9"/>
      <c r="W382" s="9"/>
      <c r="X382" s="9"/>
      <c r="Y382" s="9"/>
      <c r="Z382" s="9"/>
      <c r="AA382" s="9"/>
      <c r="AB382" s="9"/>
      <c r="AC382" s="9"/>
      <c r="AD382" s="9"/>
    </row>
    <row r="383" spans="1:30" ht="58">
      <c r="A383" s="3" t="s">
        <v>1910</v>
      </c>
      <c r="B383" s="3" t="s">
        <v>9182</v>
      </c>
      <c r="C383" s="3" t="s">
        <v>8610</v>
      </c>
      <c r="F383" t="s">
        <v>3884</v>
      </c>
      <c r="G383" s="9" t="s">
        <v>3889</v>
      </c>
      <c r="H383" s="9"/>
      <c r="I383" s="9">
        <v>1</v>
      </c>
      <c r="J383" s="9">
        <v>1</v>
      </c>
      <c r="K383" s="9" t="s">
        <v>8689</v>
      </c>
      <c r="L383" s="9" t="s">
        <v>8730</v>
      </c>
      <c r="M383" s="9"/>
      <c r="N383" s="10"/>
      <c r="O383" s="9"/>
      <c r="P383" s="9">
        <v>10929</v>
      </c>
      <c r="Q383" s="9">
        <v>1406.0027530843549</v>
      </c>
      <c r="R383" s="9"/>
      <c r="S383" s="9" t="s">
        <v>9321</v>
      </c>
      <c r="T383" s="9" t="s">
        <v>9321</v>
      </c>
      <c r="U383" s="9"/>
      <c r="V383" s="9"/>
      <c r="W383" s="9"/>
      <c r="X383" s="9"/>
      <c r="Y383" s="9"/>
      <c r="Z383" s="9"/>
      <c r="AA383" s="9"/>
      <c r="AB383" s="9"/>
      <c r="AC383" s="9"/>
      <c r="AD383" s="9"/>
    </row>
    <row r="384" spans="1:30" ht="72.5">
      <c r="A384" s="3" t="s">
        <v>1922</v>
      </c>
      <c r="B384" s="3" t="s">
        <v>8645</v>
      </c>
      <c r="C384" s="3" t="s">
        <v>8646</v>
      </c>
      <c r="G384" s="9" t="s">
        <v>3889</v>
      </c>
      <c r="H384" s="9"/>
      <c r="I384" s="9">
        <v>1</v>
      </c>
      <c r="J384" s="9">
        <v>3</v>
      </c>
      <c r="K384" s="9" t="s">
        <v>8689</v>
      </c>
      <c r="L384" s="9" t="s">
        <v>8690</v>
      </c>
      <c r="M384" s="9"/>
      <c r="N384" s="10"/>
      <c r="O384" s="9"/>
      <c r="P384" s="9">
        <v>10929</v>
      </c>
      <c r="Q384" s="9">
        <v>1406.0027530843549</v>
      </c>
      <c r="R384" s="9"/>
      <c r="S384" s="9" t="s">
        <v>9321</v>
      </c>
      <c r="T384" s="9" t="s">
        <v>9321</v>
      </c>
      <c r="U384" s="9"/>
      <c r="V384" s="9"/>
      <c r="W384" s="9"/>
      <c r="X384" s="9"/>
      <c r="Y384" s="9"/>
      <c r="Z384" s="9"/>
      <c r="AA384" s="9"/>
      <c r="AB384" s="9"/>
      <c r="AC384" s="9"/>
      <c r="AD384" s="9"/>
    </row>
    <row r="385" spans="1:30" ht="29">
      <c r="A385" s="3" t="s">
        <v>1927</v>
      </c>
      <c r="B385" s="3" t="s">
        <v>8659</v>
      </c>
      <c r="C385" s="3" t="s">
        <v>8660</v>
      </c>
      <c r="F385" t="s">
        <v>3884</v>
      </c>
      <c r="G385" s="9" t="s">
        <v>3889</v>
      </c>
      <c r="H385" s="9"/>
      <c r="I385" s="9">
        <v>1</v>
      </c>
      <c r="J385" s="9">
        <v>2</v>
      </c>
      <c r="K385" s="9" t="s">
        <v>8689</v>
      </c>
      <c r="L385" s="9" t="s">
        <v>8730</v>
      </c>
      <c r="M385" s="9"/>
      <c r="N385" s="10"/>
      <c r="O385" s="9"/>
      <c r="P385" s="9">
        <v>10929</v>
      </c>
      <c r="Q385" s="9">
        <v>1406.0027530843549</v>
      </c>
      <c r="R385" s="9"/>
      <c r="S385" s="9" t="s">
        <v>9321</v>
      </c>
      <c r="T385" s="9" t="s">
        <v>9321</v>
      </c>
      <c r="U385" s="9"/>
      <c r="V385" s="9"/>
      <c r="W385" s="9"/>
      <c r="X385" s="9"/>
      <c r="Y385" s="9"/>
      <c r="Z385" s="9"/>
      <c r="AA385" s="9"/>
      <c r="AB385" s="9"/>
      <c r="AC385" s="9"/>
      <c r="AD385" s="9"/>
    </row>
    <row r="386" spans="1:30" ht="29">
      <c r="A386" s="3" t="s">
        <v>1928</v>
      </c>
      <c r="B386" s="3" t="s">
        <v>8661</v>
      </c>
      <c r="C386" s="3" t="s">
        <v>8662</v>
      </c>
      <c r="G386" s="9" t="s">
        <v>3885</v>
      </c>
      <c r="H386" s="9"/>
      <c r="I386" s="9">
        <v>1</v>
      </c>
      <c r="J386" s="9">
        <v>2</v>
      </c>
      <c r="K386" s="9" t="s">
        <v>8689</v>
      </c>
      <c r="L386" s="9" t="s">
        <v>8730</v>
      </c>
      <c r="M386" s="9"/>
      <c r="N386" s="10"/>
      <c r="O386" s="9"/>
      <c r="P386" s="9">
        <v>10929</v>
      </c>
      <c r="Q386" s="9">
        <v>1406.0027530843549</v>
      </c>
      <c r="R386" s="9"/>
      <c r="S386" s="9" t="s">
        <v>9321</v>
      </c>
      <c r="T386" s="9" t="s">
        <v>9321</v>
      </c>
      <c r="U386" s="9"/>
      <c r="V386" s="9"/>
      <c r="W386" s="9"/>
      <c r="X386" s="9"/>
      <c r="Y386" s="9"/>
      <c r="Z386" s="9"/>
      <c r="AA386" s="9"/>
      <c r="AB386" s="9"/>
      <c r="AC386" s="9"/>
      <c r="AD386" s="9"/>
    </row>
    <row r="389" spans="1:30">
      <c r="D389" t="s">
        <v>9318</v>
      </c>
      <c r="E389">
        <v>77731</v>
      </c>
    </row>
    <row r="390" spans="1:30">
      <c r="D390" t="s">
        <v>9323</v>
      </c>
      <c r="E390">
        <f>MEDIAN(Q:Q)</f>
        <v>1406.0027530843549</v>
      </c>
    </row>
    <row r="393" spans="1:30">
      <c r="D393" t="s">
        <v>9324</v>
      </c>
      <c r="E393">
        <f>COUNTIFS(G:G, "Addition", Q:Q, "&gt;=" &amp; $E$390)</f>
        <v>107</v>
      </c>
    </row>
    <row r="394" spans="1:30">
      <c r="D394" t="s">
        <v>9325</v>
      </c>
      <c r="E394">
        <f>COUNTIFS(G:G, "Omission", Q:Q, "&gt;=" &amp; $E$390)</f>
        <v>136</v>
      </c>
    </row>
    <row r="395" spans="1:30">
      <c r="D395" t="s">
        <v>9326</v>
      </c>
      <c r="E395">
        <f>E393/(E393+E394)</f>
        <v>0.44032921810699588</v>
      </c>
    </row>
    <row r="396" spans="1:30">
      <c r="D396" t="s">
        <v>9327</v>
      </c>
      <c r="E396">
        <f>COUNTIFS(G:G, "Addition", Q:Q, "&lt;" &amp; $E$390)</f>
        <v>84</v>
      </c>
    </row>
    <row r="397" spans="1:30">
      <c r="D397" t="s">
        <v>9328</v>
      </c>
      <c r="E397">
        <f>COUNTIFS(G:G, "Omission", Q:Q, "&lt;" &amp; $E$390)</f>
        <v>58</v>
      </c>
    </row>
    <row r="398" spans="1:30">
      <c r="D398" t="s">
        <v>9329</v>
      </c>
      <c r="E398">
        <f>E396/(E396+E397)</f>
        <v>0.59154929577464788</v>
      </c>
    </row>
    <row r="401" spans="4:5">
      <c r="D401" t="s">
        <v>9330</v>
      </c>
      <c r="E401">
        <f>COUNTIFS(G:G, "Addition", K:K, "Article")</f>
        <v>107</v>
      </c>
    </row>
    <row r="402" spans="4:5">
      <c r="D402" t="s">
        <v>9331</v>
      </c>
      <c r="E402">
        <f>COUNTIFS(G:G, "Omission", K:K, "Article")</f>
        <v>136</v>
      </c>
    </row>
    <row r="403" spans="4:5">
      <c r="D403" t="s">
        <v>9332</v>
      </c>
      <c r="E403">
        <f>COUNTIFS(G:G, "Addition", K:K, "Article")/(COUNTIFS(G:G, "Addition", K:K, "Article") + COUNTIFS(G:G, "Omission", K:K, "Article"))</f>
        <v>0.44032921810699588</v>
      </c>
    </row>
  </sheetData>
  <conditionalFormatting sqref="G2:G386">
    <cfRule type="expression" dxfId="97" priority="7">
      <formula>$I2&lt;&gt;""</formula>
    </cfRule>
    <cfRule type="expression" dxfId="96" priority="8">
      <formula>$I2=""</formula>
    </cfRule>
  </conditionalFormatting>
  <conditionalFormatting sqref="H2:L386 O2:P386">
    <cfRule type="expression" dxfId="95" priority="16">
      <formula>AND(OR($I2="Addition",$I2="Omission"), H2="")</formula>
    </cfRule>
    <cfRule type="expression" dxfId="94" priority="17">
      <formula>AND($I2&lt;&gt;"Addition",$I2&lt;&gt;"Omission",$I2&lt;&gt;"Substitution - Word")</formula>
    </cfRule>
  </conditionalFormatting>
  <conditionalFormatting sqref="H2:P386">
    <cfRule type="expression" dxfId="93" priority="15">
      <formula>AND(OR($I2="Addition",$I2="Omission"), H2&lt;&gt;"")</formula>
    </cfRule>
  </conditionalFormatting>
  <conditionalFormatting sqref="K2:K386">
    <cfRule type="expression" dxfId="92" priority="13">
      <formula>AND($K2&lt;&gt;"",$K2&gt;1)</formula>
    </cfRule>
  </conditionalFormatting>
  <conditionalFormatting sqref="M2:N386">
    <cfRule type="expression" dxfId="91" priority="9">
      <formula>$N2="Absent"</formula>
    </cfRule>
    <cfRule type="expression" dxfId="90" priority="10">
      <formula>$N2="NA"</formula>
    </cfRule>
    <cfRule type="expression" dxfId="89" priority="11">
      <formula>AND(OR($I2="Addition",$I2="Omission"), M2="")</formula>
    </cfRule>
    <cfRule type="expression" dxfId="88" priority="12">
      <formula>AND($I2&lt;&gt;"Addition",$I2&lt;&gt;"Omission")</formula>
    </cfRule>
  </conditionalFormatting>
  <conditionalFormatting sqref="O2:O386">
    <cfRule type="expression" dxfId="87" priority="14">
      <formula>OR($I2="Addition",$I2="Omission",$I2 = "Substitution - Word")</formula>
    </cfRule>
  </conditionalFormatting>
  <conditionalFormatting sqref="Q2:Q386">
    <cfRule type="expression" dxfId="86" priority="1">
      <formula>AND(OR($I2="Addition",$I2="Omission"), Q2&lt;&gt;"")</formula>
    </cfRule>
    <cfRule type="expression" dxfId="85" priority="2">
      <formula>AND(OR($I2="Addition",$I2="Omission"), Q2="")</formula>
    </cfRule>
    <cfRule type="expression" dxfId="84" priority="3">
      <formula>AND($I2&lt;&gt;"Addition",$I2&lt;&gt;"Omission",$I2&lt;&gt;"Substitution - Word")</formula>
    </cfRule>
  </conditionalFormatting>
  <conditionalFormatting sqref="R2:T386">
    <cfRule type="expression" dxfId="83" priority="4">
      <formula>AND(AND(LEFT($I2,3)="Sub", RIGHT($I2,4)&lt;&gt;"Form"),$T2&lt;&gt;"")</formula>
    </cfRule>
    <cfRule type="expression" dxfId="82" priority="5">
      <formula>AND(AND(LEFT($I2,3)="Sub", RIGHT($I2,4)&lt;&gt;"Form"),$T2="")</formula>
    </cfRule>
    <cfRule type="expression" dxfId="81" priority="6">
      <formula>"&lt;&gt;AND(LEFT($J2,3)=""Sub"", RIGHT($J2,4)&lt;&gt;""Form"")"</formula>
    </cfRule>
  </conditionalFormatting>
  <conditionalFormatting sqref="U2:U386">
    <cfRule type="expression" dxfId="80" priority="19">
      <formula>AND($W2&lt;&gt;"",OR($AD2="Yes",$AE2&lt;&gt;""))</formula>
    </cfRule>
    <cfRule type="expression" dxfId="79" priority="20">
      <formula>OR($AD2="Yes",$AE2&lt;&gt;"")</formula>
    </cfRule>
    <cfRule type="expression" dxfId="78" priority="26">
      <formula>AND($AD2&lt;&gt;"Yes",$AE2="")</formula>
    </cfRule>
  </conditionalFormatting>
  <conditionalFormatting sqref="U2:AD386">
    <cfRule type="expression" dxfId="77" priority="24">
      <formula>AND($I2&lt;&gt;"",$I2&lt;&gt;"Unclear due to correction")</formula>
    </cfRule>
    <cfRule type="expression" dxfId="76" priority="25">
      <formula>OR($I2="",$I2="Unclear due to correction")</formula>
    </cfRule>
  </conditionalFormatting>
  <conditionalFormatting sqref="V2:V386">
    <cfRule type="expression" dxfId="75" priority="18">
      <formula>AND($I2&lt;&gt;"",$I2&lt;&gt;"Unclear due to correction",$X2="")</formula>
    </cfRule>
  </conditionalFormatting>
  <conditionalFormatting sqref="W2:W386">
    <cfRule type="expression" dxfId="74" priority="21">
      <formula>AND($X2="Yes",$Y2="")</formula>
    </cfRule>
    <cfRule type="expression" dxfId="73" priority="22">
      <formula>$X2=""</formula>
    </cfRule>
  </conditionalFormatting>
  <conditionalFormatting sqref="AB2:AB386">
    <cfRule type="expression" dxfId="72" priority="23">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xr:uid="{63F942D0-03C0-419F-A7CA-09BE7C74715B}">
          <x14:formula1>
            <xm:f>'Data Regularization'!$A$2:$A$1048576</xm:f>
          </x14:formula1>
          <xm:sqref>D2:D386</xm:sqref>
        </x14:dataValidation>
        <x14:dataValidation type="list" allowBlank="1" showInputMessage="1" showErrorMessage="1" xr:uid="{A7C99866-8066-4EFA-A693-CAB67EE120EA}">
          <x14:formula1>
            <xm:f>'Data Regularization'!$C$2:$C$1048576</xm:f>
          </x14:formula1>
          <xm:sqref>F2:F386</xm:sqref>
        </x14:dataValidation>
        <x14:dataValidation type="list" allowBlank="1" showInputMessage="1" showErrorMessage="1" xr:uid="{1CFD9607-A52C-4BF3-A512-CB87358C0A00}">
          <x14:formula1>
            <xm:f>'Data Regularization'!$B$2:$B$1048576</xm:f>
          </x14:formula1>
          <xm:sqref>E2:E386</xm:sqref>
        </x14:dataValidation>
        <x14:dataValidation type="list" allowBlank="1" showInputMessage="1" showErrorMessage="1" xr:uid="{66F36610-84F7-4F86-AEB8-FEAEBFBAA830}">
          <x14:formula1>
            <xm:f>'Data Regularization'!$D$2:$D$1048576</xm:f>
          </x14:formula1>
          <xm:sqref>G2:G386</xm:sqref>
        </x14:dataValidation>
        <x14:dataValidation type="list" allowBlank="1" showInputMessage="1" showErrorMessage="1" xr:uid="{BFD4BA15-5F75-480B-93F6-B5072CA9F6AD}">
          <x14:formula1>
            <xm:f>'Data Regularization'!$E$2:$E$1048576</xm:f>
          </x14:formula1>
          <xm:sqref>K2:K386</xm:sqref>
        </x14:dataValidation>
        <x14:dataValidation type="list" allowBlank="1" showInputMessage="1" showErrorMessage="1" xr:uid="{0AE5D7AB-AB7B-41AF-8990-FD01C5A998D2}">
          <x14:formula1>
            <xm:f>'Data Regularization'!$F$2:$F$1048576</xm:f>
          </x14:formula1>
          <xm:sqref>L2:L386</xm:sqref>
        </x14:dataValidation>
        <x14:dataValidation type="list" allowBlank="1" showInputMessage="1" showErrorMessage="1" xr:uid="{EB44950D-FB7D-4DBD-8377-97FE91A950D2}">
          <x14:formula1>
            <xm:f>'Data Regularization'!$G$2:$G$1048576</xm:f>
          </x14:formula1>
          <xm:sqref>O2:O386</xm:sqref>
        </x14:dataValidation>
        <x14:dataValidation type="list" allowBlank="1" showInputMessage="1" showErrorMessage="1" xr:uid="{C3AC35E4-3C89-4F30-8E66-5199C1F03AC5}">
          <x14:formula1>
            <xm:f>'Data Regularization'!$J$2:$J$1048576</xm:f>
          </x14:formula1>
          <xm:sqref>W2:W386</xm:sqref>
        </x14:dataValidation>
        <x14:dataValidation type="list" allowBlank="1" showInputMessage="1" showErrorMessage="1" xr:uid="{E86CD468-61C5-4869-A15C-D3CCE113F526}">
          <x14:formula1>
            <xm:f>'Data Regularization'!$K$2:$K$1048576</xm:f>
          </x14:formula1>
          <xm:sqref>X2:X386</xm:sqref>
        </x14:dataValidation>
        <x14:dataValidation type="list" allowBlank="1" showInputMessage="1" showErrorMessage="1" xr:uid="{D5235BFC-D202-4E54-AA24-0A9AD5CE2C53}">
          <x14:formula1>
            <xm:f>'Data Regularization'!$L$2:$L$1048576</xm:f>
          </x14:formula1>
          <xm:sqref>Y2:Y386</xm:sqref>
        </x14:dataValidation>
        <x14:dataValidation type="list" allowBlank="1" showInputMessage="1" showErrorMessage="1" xr:uid="{0653F6A3-A412-4ECC-A52D-5F03A5193525}">
          <x14:formula1>
            <xm:f>'Data Regularization'!$M$2:$M$1048576</xm:f>
          </x14:formula1>
          <xm:sqref>Z2:Z386</xm:sqref>
        </x14:dataValidation>
        <x14:dataValidation type="list" allowBlank="1" showInputMessage="1" showErrorMessage="1" xr:uid="{E9A73DC6-B20F-4E0D-B50F-0D5C8022116D}">
          <x14:formula1>
            <xm:f>'Data Regularization'!$N$2:$N$1048576</xm:f>
          </x14:formula1>
          <xm:sqref>AB2:AB386</xm:sqref>
        </x14:dataValidation>
        <x14:dataValidation type="list" allowBlank="1" showInputMessage="1" showErrorMessage="1" xr:uid="{A5827C5A-47BF-43AE-AACC-908115ED5978}">
          <x14:formula1>
            <xm:f>'Data Regularization'!$O$2:$O$1048576</xm:f>
          </x14:formula1>
          <xm:sqref>AC2:AC386</xm:sqref>
        </x14:dataValidation>
        <x14:dataValidation type="list" allowBlank="1" showInputMessage="1" showErrorMessage="1" xr:uid="{4821B775-70C5-40C3-95A3-655DB2EC59F6}">
          <x14:formula1>
            <xm:f>'Data Regularization'!$H$2:$H$1048576</xm:f>
          </x14:formula1>
          <xm:sqref>U2:U386</xm:sqref>
        </x14:dataValidation>
        <x14:dataValidation type="list" allowBlank="1" showInputMessage="1" xr:uid="{813C849A-0F23-4476-99DD-59FB7E60516C}">
          <x14:formula1>
            <xm:f>'Data Regularization'!$I$2:$I$1048576</xm:f>
          </x14:formula1>
          <xm:sqref>V2:V386</xm:sqref>
        </x14:dataValidation>
        <x14:dataValidation type="list" allowBlank="1" showInputMessage="1" showErrorMessage="1" xr:uid="{0EF61C65-A140-446A-B17F-4A024A505603}">
          <x14:formula1>
            <xm:f>'Data Regularization'!$P$2:$P$1048576</xm:f>
          </x14:formula1>
          <xm:sqref>AD2:AD386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66AE4-1753-42B3-883C-B44FAFBDE16C}">
  <dimension ref="A1:AD105"/>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0" s="1" customFormat="1">
      <c r="A1" s="1" t="s">
        <v>0</v>
      </c>
      <c r="B1" s="1" t="s">
        <v>5</v>
      </c>
      <c r="C1" s="1" t="s">
        <v>6</v>
      </c>
      <c r="D1" s="1" t="s">
        <v>8711</v>
      </c>
      <c r="E1" s="1" t="s">
        <v>8712</v>
      </c>
      <c r="F1" s="1" t="s">
        <v>8713</v>
      </c>
      <c r="G1" s="1" t="s">
        <v>3</v>
      </c>
      <c r="H1" s="1" t="s">
        <v>8714</v>
      </c>
      <c r="I1" s="1" t="s">
        <v>8715</v>
      </c>
      <c r="J1" s="1" t="s">
        <v>8716</v>
      </c>
      <c r="K1" s="1" t="s">
        <v>8717</v>
      </c>
      <c r="L1" s="1" t="s">
        <v>8677</v>
      </c>
      <c r="M1" s="1" t="s">
        <v>8718</v>
      </c>
      <c r="N1" s="8" t="s">
        <v>8719</v>
      </c>
      <c r="O1" s="1" t="s">
        <v>8678</v>
      </c>
      <c r="P1" s="1" t="s">
        <v>8720</v>
      </c>
      <c r="Q1" s="1" t="s">
        <v>9322</v>
      </c>
      <c r="R1" s="1" t="s">
        <v>8721</v>
      </c>
      <c r="S1" s="1" t="s">
        <v>9319</v>
      </c>
      <c r="T1" s="1" t="s">
        <v>9320</v>
      </c>
      <c r="U1" s="1" t="s">
        <v>8723</v>
      </c>
      <c r="V1" s="1" t="s">
        <v>8724</v>
      </c>
      <c r="W1" s="1" t="s">
        <v>8725</v>
      </c>
      <c r="X1" s="1" t="s">
        <v>8679</v>
      </c>
      <c r="Y1" s="1" t="s">
        <v>8680</v>
      </c>
      <c r="Z1" s="1" t="s">
        <v>8681</v>
      </c>
      <c r="AA1" s="1" t="s">
        <v>8722</v>
      </c>
      <c r="AB1" s="1" t="s">
        <v>8726</v>
      </c>
      <c r="AC1" s="1" t="s">
        <v>8682</v>
      </c>
      <c r="AD1" s="1" t="s">
        <v>8727</v>
      </c>
    </row>
    <row r="2" spans="1:30" ht="87">
      <c r="A2" s="3" t="s">
        <v>25</v>
      </c>
      <c r="B2" s="3" t="s">
        <v>8750</v>
      </c>
      <c r="C2" s="3" t="s">
        <v>8751</v>
      </c>
      <c r="F2" t="s">
        <v>3891</v>
      </c>
      <c r="G2" s="9" t="s">
        <v>3889</v>
      </c>
      <c r="H2" s="9"/>
      <c r="I2" s="9">
        <v>1</v>
      </c>
      <c r="J2" s="9">
        <v>3</v>
      </c>
      <c r="K2" s="9" t="s">
        <v>8695</v>
      </c>
      <c r="L2" s="9" t="s">
        <v>8690</v>
      </c>
      <c r="M2" s="9"/>
      <c r="N2" s="10"/>
      <c r="O2" s="9"/>
      <c r="P2" s="9">
        <v>78</v>
      </c>
      <c r="Q2" s="9">
        <v>10.034606527640195</v>
      </c>
      <c r="R2" s="9"/>
      <c r="S2" s="9" t="s">
        <v>9321</v>
      </c>
      <c r="T2" s="9" t="s">
        <v>9321</v>
      </c>
      <c r="U2" s="9"/>
      <c r="V2" s="9"/>
      <c r="W2" s="9"/>
      <c r="X2" s="9"/>
      <c r="Y2" s="9"/>
      <c r="Z2" s="9"/>
      <c r="AA2" s="9"/>
      <c r="AB2" s="9"/>
      <c r="AC2" s="9"/>
      <c r="AD2" s="9"/>
    </row>
    <row r="3" spans="1:30" ht="29">
      <c r="A3" s="3" t="s">
        <v>47</v>
      </c>
      <c r="B3" s="3" t="s">
        <v>3922</v>
      </c>
      <c r="C3" s="3" t="s">
        <v>3923</v>
      </c>
      <c r="F3" t="s">
        <v>3884</v>
      </c>
      <c r="G3" s="9" t="s">
        <v>3889</v>
      </c>
      <c r="H3" s="9"/>
      <c r="I3" s="9">
        <v>1</v>
      </c>
      <c r="J3" s="9">
        <v>2</v>
      </c>
      <c r="K3" s="9" t="s">
        <v>8703</v>
      </c>
      <c r="L3" s="9" t="s">
        <v>8730</v>
      </c>
      <c r="M3" s="9"/>
      <c r="N3" s="10"/>
      <c r="O3" s="9"/>
      <c r="P3" s="9">
        <v>1225</v>
      </c>
      <c r="Q3" s="9">
        <v>157.59478200460561</v>
      </c>
      <c r="R3" s="9"/>
      <c r="S3" s="9" t="s">
        <v>9321</v>
      </c>
      <c r="T3" s="9" t="s">
        <v>9321</v>
      </c>
      <c r="U3" s="9"/>
      <c r="V3" s="9"/>
      <c r="W3" s="9"/>
      <c r="X3" s="9"/>
      <c r="Y3" s="9"/>
      <c r="Z3" s="9"/>
      <c r="AA3" s="9"/>
      <c r="AB3" s="9"/>
      <c r="AC3" s="9"/>
      <c r="AD3" s="9"/>
    </row>
    <row r="4" spans="1:30" ht="87">
      <c r="A4" s="3" t="s">
        <v>76</v>
      </c>
      <c r="B4" s="3" t="s">
        <v>8801</v>
      </c>
      <c r="C4" s="3" t="s">
        <v>8802</v>
      </c>
      <c r="F4" t="s">
        <v>3884</v>
      </c>
      <c r="G4" s="9" t="s">
        <v>3885</v>
      </c>
      <c r="H4" s="9"/>
      <c r="I4" s="9">
        <v>1</v>
      </c>
      <c r="J4" s="9">
        <v>1</v>
      </c>
      <c r="K4" s="9" t="s">
        <v>8683</v>
      </c>
      <c r="L4" s="9" t="s">
        <v>8730</v>
      </c>
      <c r="M4" s="9"/>
      <c r="N4" s="10"/>
      <c r="O4" s="9"/>
      <c r="P4" s="9">
        <v>10</v>
      </c>
      <c r="Q4" s="9">
        <v>1.2864880163641275</v>
      </c>
      <c r="R4" s="9"/>
      <c r="S4" s="9" t="s">
        <v>9321</v>
      </c>
      <c r="T4" s="9" t="s">
        <v>9321</v>
      </c>
      <c r="U4" s="9"/>
      <c r="V4" s="9"/>
      <c r="W4" s="9"/>
      <c r="X4" s="9"/>
      <c r="Y4" s="9"/>
      <c r="Z4" s="9"/>
      <c r="AA4" s="9"/>
      <c r="AB4" s="9"/>
      <c r="AC4" s="9"/>
      <c r="AD4" s="9"/>
    </row>
    <row r="5" spans="1:30" ht="29">
      <c r="A5" s="3" t="s">
        <v>96</v>
      </c>
      <c r="B5" s="3" t="s">
        <v>3990</v>
      </c>
      <c r="C5" s="3" t="s">
        <v>3991</v>
      </c>
      <c r="F5" t="s">
        <v>3884</v>
      </c>
      <c r="G5" s="9" t="s">
        <v>3889</v>
      </c>
      <c r="H5" s="9"/>
      <c r="I5" s="9">
        <v>1</v>
      </c>
      <c r="J5" s="9">
        <v>2</v>
      </c>
      <c r="K5" s="9" t="s">
        <v>8703</v>
      </c>
      <c r="L5" s="9" t="s">
        <v>8730</v>
      </c>
      <c r="M5" s="9"/>
      <c r="N5" s="10"/>
      <c r="O5" s="9"/>
      <c r="P5" s="9">
        <v>335</v>
      </c>
      <c r="Q5" s="9">
        <v>43.097348548198276</v>
      </c>
      <c r="R5" s="9"/>
      <c r="S5" s="9" t="s">
        <v>9321</v>
      </c>
      <c r="T5" s="9" t="s">
        <v>9321</v>
      </c>
      <c r="U5" s="9"/>
      <c r="V5" s="9"/>
      <c r="W5" s="9"/>
      <c r="X5" s="9"/>
      <c r="Y5" s="9"/>
      <c r="Z5" s="9"/>
      <c r="AA5" s="9"/>
      <c r="AB5" s="9"/>
      <c r="AC5" s="9"/>
      <c r="AD5" s="9"/>
    </row>
    <row r="6" spans="1:30" ht="43.5">
      <c r="A6" s="3" t="s">
        <v>152</v>
      </c>
      <c r="B6" s="3" t="s">
        <v>4072</v>
      </c>
      <c r="C6" s="3" t="s">
        <v>4073</v>
      </c>
      <c r="F6" t="s">
        <v>3884</v>
      </c>
      <c r="G6" s="9" t="s">
        <v>3889</v>
      </c>
      <c r="H6" s="9"/>
      <c r="I6" s="9">
        <v>1</v>
      </c>
      <c r="J6" s="9">
        <v>6</v>
      </c>
      <c r="K6" s="9" t="s">
        <v>8703</v>
      </c>
      <c r="L6" s="9" t="s">
        <v>8684</v>
      </c>
      <c r="M6" s="9" t="s">
        <v>8777</v>
      </c>
      <c r="N6" s="10" t="s">
        <v>8813</v>
      </c>
      <c r="O6" s="9"/>
      <c r="P6" s="9">
        <v>50</v>
      </c>
      <c r="Q6" s="9">
        <v>6.432440081820638</v>
      </c>
      <c r="R6" s="9"/>
      <c r="S6" s="9" t="s">
        <v>9321</v>
      </c>
      <c r="T6" s="9" t="s">
        <v>9321</v>
      </c>
      <c r="U6" s="9"/>
      <c r="V6" s="9"/>
      <c r="W6" s="9"/>
      <c r="X6" s="9"/>
      <c r="Y6" s="9"/>
      <c r="Z6" s="9"/>
      <c r="AA6" s="9"/>
      <c r="AB6" s="9"/>
      <c r="AC6" s="9"/>
      <c r="AD6" s="9"/>
    </row>
    <row r="7" spans="1:30" ht="43.5">
      <c r="A7" s="3" t="s">
        <v>163</v>
      </c>
      <c r="B7" s="3" t="s">
        <v>4098</v>
      </c>
      <c r="C7" s="3" t="s">
        <v>4099</v>
      </c>
      <c r="F7" t="s">
        <v>3884</v>
      </c>
      <c r="G7" s="9" t="s">
        <v>3885</v>
      </c>
      <c r="H7" s="9"/>
      <c r="I7" s="9">
        <v>1</v>
      </c>
      <c r="J7" s="9">
        <v>5</v>
      </c>
      <c r="K7" s="9" t="s">
        <v>8736</v>
      </c>
      <c r="L7" s="9" t="s">
        <v>8690</v>
      </c>
      <c r="M7" s="9"/>
      <c r="N7" s="10"/>
      <c r="O7" s="9"/>
      <c r="P7" s="9">
        <v>340</v>
      </c>
      <c r="Q7" s="9">
        <v>43.740592556380335</v>
      </c>
      <c r="R7" s="9"/>
      <c r="S7" s="9" t="s">
        <v>9321</v>
      </c>
      <c r="T7" s="9" t="s">
        <v>9321</v>
      </c>
      <c r="U7" s="9"/>
      <c r="V7" s="9"/>
      <c r="W7" s="9"/>
      <c r="X7" s="9"/>
      <c r="Y7" s="9"/>
      <c r="Z7" s="9"/>
      <c r="AA7" s="9"/>
      <c r="AB7" s="9"/>
      <c r="AC7" s="9"/>
      <c r="AD7" s="9"/>
    </row>
    <row r="8" spans="1:30" ht="29">
      <c r="A8" s="3" t="s">
        <v>169</v>
      </c>
      <c r="B8" s="3" t="s">
        <v>4107</v>
      </c>
      <c r="C8" s="3" t="s">
        <v>4108</v>
      </c>
      <c r="F8" t="s">
        <v>3884</v>
      </c>
      <c r="G8" s="9" t="s">
        <v>3889</v>
      </c>
      <c r="H8" s="9"/>
      <c r="I8" s="9">
        <v>1</v>
      </c>
      <c r="J8" s="9">
        <v>3</v>
      </c>
      <c r="K8" s="9" t="s">
        <v>8709</v>
      </c>
      <c r="L8" s="9" t="s">
        <v>8690</v>
      </c>
      <c r="M8" s="9"/>
      <c r="N8" s="10"/>
      <c r="O8" s="9"/>
      <c r="P8" s="9">
        <v>698</v>
      </c>
      <c r="Q8" s="9">
        <v>89.796863542216116</v>
      </c>
      <c r="R8" s="9"/>
      <c r="S8" s="9" t="s">
        <v>9321</v>
      </c>
      <c r="T8" s="9" t="s">
        <v>9321</v>
      </c>
      <c r="U8" s="9"/>
      <c r="V8" s="9"/>
      <c r="W8" s="9"/>
      <c r="X8" s="9"/>
      <c r="Y8" s="9"/>
      <c r="Z8" s="9"/>
      <c r="AA8" s="9"/>
      <c r="AB8" s="9"/>
      <c r="AC8" s="9"/>
      <c r="AD8" s="9"/>
    </row>
    <row r="9" spans="1:30" ht="72.5">
      <c r="A9" s="3" t="s">
        <v>185</v>
      </c>
      <c r="B9" s="3" t="s">
        <v>4124</v>
      </c>
      <c r="C9" s="3" t="s">
        <v>4125</v>
      </c>
      <c r="G9" s="9" t="s">
        <v>3889</v>
      </c>
      <c r="H9" s="9"/>
      <c r="I9" s="9">
        <v>1</v>
      </c>
      <c r="J9" s="9">
        <v>7</v>
      </c>
      <c r="K9" s="9" t="s">
        <v>8703</v>
      </c>
      <c r="L9" s="9" t="s">
        <v>8684</v>
      </c>
      <c r="M9" s="9" t="s">
        <v>8771</v>
      </c>
      <c r="N9" s="10" t="s">
        <v>8778</v>
      </c>
      <c r="O9" s="9"/>
      <c r="P9" s="9">
        <v>16</v>
      </c>
      <c r="Q9" s="9">
        <v>2.0583808261826042</v>
      </c>
      <c r="R9" s="9"/>
      <c r="S9" s="9" t="s">
        <v>9321</v>
      </c>
      <c r="T9" s="9" t="s">
        <v>9321</v>
      </c>
      <c r="U9" s="9"/>
      <c r="V9" s="9"/>
      <c r="W9" s="9"/>
      <c r="X9" s="9"/>
      <c r="Y9" s="9"/>
      <c r="Z9" s="9"/>
      <c r="AA9" s="9"/>
      <c r="AB9" s="9"/>
      <c r="AC9" s="9"/>
      <c r="AD9" s="9"/>
    </row>
    <row r="10" spans="1:30" ht="43.5">
      <c r="A10" s="3" t="s">
        <v>199</v>
      </c>
      <c r="B10" s="3" t="s">
        <v>4139</v>
      </c>
      <c r="C10" s="3" t="s">
        <v>4140</v>
      </c>
      <c r="G10" s="9" t="s">
        <v>3889</v>
      </c>
      <c r="H10" s="9"/>
      <c r="I10" s="9">
        <v>1</v>
      </c>
      <c r="J10" s="9">
        <v>7</v>
      </c>
      <c r="K10" s="9" t="s">
        <v>8736</v>
      </c>
      <c r="L10" s="9" t="s">
        <v>8690</v>
      </c>
      <c r="M10" s="9"/>
      <c r="N10" s="10"/>
      <c r="O10" s="9"/>
      <c r="P10" s="9">
        <v>319</v>
      </c>
      <c r="Q10" s="9">
        <v>41.03896772201567</v>
      </c>
      <c r="R10" s="9"/>
      <c r="S10" s="9" t="s">
        <v>9321</v>
      </c>
      <c r="T10" s="9" t="s">
        <v>9321</v>
      </c>
      <c r="U10" s="9"/>
      <c r="V10" s="9"/>
      <c r="W10" s="9"/>
      <c r="X10" s="9"/>
      <c r="Y10" s="9"/>
      <c r="Z10" s="9"/>
      <c r="AA10" s="9"/>
      <c r="AB10" s="9"/>
      <c r="AC10" s="9"/>
      <c r="AD10" s="9"/>
    </row>
    <row r="11" spans="1:30" ht="72.5">
      <c r="A11" s="3" t="s">
        <v>207</v>
      </c>
      <c r="B11" s="3" t="s">
        <v>8879</v>
      </c>
      <c r="C11" s="3" t="s">
        <v>8880</v>
      </c>
      <c r="G11" s="9" t="s">
        <v>3889</v>
      </c>
      <c r="H11" s="9"/>
      <c r="I11" s="9">
        <v>1</v>
      </c>
      <c r="J11" s="9">
        <v>6</v>
      </c>
      <c r="K11" s="9" t="s">
        <v>8683</v>
      </c>
      <c r="L11" s="9" t="s">
        <v>8690</v>
      </c>
      <c r="M11" s="9"/>
      <c r="N11" s="10"/>
      <c r="O11" s="9"/>
      <c r="P11" s="9">
        <v>520</v>
      </c>
      <c r="Q11" s="9">
        <v>66.897376850934634</v>
      </c>
      <c r="R11" s="9"/>
      <c r="S11" s="9" t="s">
        <v>9321</v>
      </c>
      <c r="T11" s="9" t="s">
        <v>9321</v>
      </c>
      <c r="U11" s="9"/>
      <c r="V11" s="9"/>
      <c r="W11" s="9"/>
      <c r="X11" s="9"/>
      <c r="Y11" s="9"/>
      <c r="Z11" s="9"/>
      <c r="AA11" s="9"/>
      <c r="AB11" s="9"/>
      <c r="AC11" s="9"/>
      <c r="AD11" s="9"/>
    </row>
    <row r="12" spans="1:30" ht="58">
      <c r="A12" s="3" t="s">
        <v>209</v>
      </c>
      <c r="B12" s="3" t="s">
        <v>8881</v>
      </c>
      <c r="C12" s="3" t="s">
        <v>8882</v>
      </c>
      <c r="G12" s="9" t="s">
        <v>3889</v>
      </c>
      <c r="H12" s="9"/>
      <c r="I12" s="9">
        <v>1</v>
      </c>
      <c r="J12" s="9">
        <v>7</v>
      </c>
      <c r="K12" s="9" t="s">
        <v>8695</v>
      </c>
      <c r="L12" s="9" t="s">
        <v>8690</v>
      </c>
      <c r="M12" s="9"/>
      <c r="N12" s="10"/>
      <c r="O12" s="9"/>
      <c r="P12" s="9">
        <v>17</v>
      </c>
      <c r="Q12" s="9">
        <v>2.1870296278190167</v>
      </c>
      <c r="R12" s="9"/>
      <c r="S12" s="9" t="s">
        <v>9321</v>
      </c>
      <c r="T12" s="9" t="s">
        <v>9321</v>
      </c>
      <c r="U12" s="9"/>
      <c r="V12" s="9"/>
      <c r="W12" s="9"/>
      <c r="X12" s="9"/>
      <c r="Y12" s="9"/>
      <c r="Z12" s="9"/>
      <c r="AA12" s="9"/>
      <c r="AB12" s="9"/>
      <c r="AC12" s="9"/>
      <c r="AD12" s="9"/>
    </row>
    <row r="13" spans="1:30" ht="72.5">
      <c r="A13" s="3" t="s">
        <v>235</v>
      </c>
      <c r="B13" s="3" t="s">
        <v>4171</v>
      </c>
      <c r="C13" s="3" t="s">
        <v>4172</v>
      </c>
      <c r="G13" s="9" t="s">
        <v>3889</v>
      </c>
      <c r="H13" s="9"/>
      <c r="I13" s="9">
        <v>1</v>
      </c>
      <c r="J13" s="9">
        <v>5</v>
      </c>
      <c r="K13" s="9" t="s">
        <v>8703</v>
      </c>
      <c r="L13" s="9" t="s">
        <v>8690</v>
      </c>
      <c r="M13" s="9"/>
      <c r="N13" s="10"/>
      <c r="O13" s="9"/>
      <c r="P13" s="9">
        <v>336</v>
      </c>
      <c r="Q13" s="9">
        <v>43.225997349834692</v>
      </c>
      <c r="R13" s="9"/>
      <c r="S13" s="9" t="s">
        <v>9321</v>
      </c>
      <c r="T13" s="9" t="s">
        <v>9321</v>
      </c>
      <c r="U13" s="9"/>
      <c r="V13" s="9"/>
      <c r="W13" s="9"/>
      <c r="X13" s="9"/>
      <c r="Y13" s="9"/>
      <c r="Z13" s="9"/>
      <c r="AA13" s="9"/>
      <c r="AB13" s="9"/>
      <c r="AC13" s="9"/>
      <c r="AD13" s="9"/>
    </row>
    <row r="14" spans="1:30" ht="72.5">
      <c r="A14" s="3" t="s">
        <v>237</v>
      </c>
      <c r="B14" s="3" t="s">
        <v>8899</v>
      </c>
      <c r="C14" s="3" t="s">
        <v>9582</v>
      </c>
      <c r="G14" s="9" t="s">
        <v>3889</v>
      </c>
      <c r="H14" s="9"/>
      <c r="I14" s="9">
        <v>1</v>
      </c>
      <c r="J14" s="9">
        <v>5</v>
      </c>
      <c r="K14" s="9" t="s">
        <v>8736</v>
      </c>
      <c r="L14" s="9" t="s">
        <v>8690</v>
      </c>
      <c r="M14" s="9"/>
      <c r="N14" s="10"/>
      <c r="O14" s="9"/>
      <c r="P14" s="9">
        <v>645</v>
      </c>
      <c r="Q14" s="9">
        <v>82.978477055486238</v>
      </c>
      <c r="R14" s="9"/>
      <c r="S14" s="9" t="s">
        <v>9321</v>
      </c>
      <c r="T14" s="9" t="s">
        <v>9321</v>
      </c>
      <c r="U14" s="9"/>
      <c r="V14" s="9"/>
      <c r="W14" s="9"/>
      <c r="X14" s="9"/>
      <c r="Y14" s="9"/>
      <c r="Z14" s="9"/>
      <c r="AA14" s="9"/>
      <c r="AB14" s="9"/>
      <c r="AC14" s="9"/>
      <c r="AD14" s="9"/>
    </row>
    <row r="15" spans="1:30" ht="29">
      <c r="A15" s="3" t="s">
        <v>267</v>
      </c>
      <c r="B15" s="3" t="s">
        <v>4237</v>
      </c>
      <c r="C15" s="3" t="s">
        <v>3909</v>
      </c>
      <c r="G15" s="9" t="s">
        <v>3889</v>
      </c>
      <c r="H15" s="9"/>
      <c r="I15" s="9">
        <v>1</v>
      </c>
      <c r="J15" s="9">
        <v>5</v>
      </c>
      <c r="K15" s="9" t="s">
        <v>8683</v>
      </c>
      <c r="L15" s="9" t="s">
        <v>8690</v>
      </c>
      <c r="M15" s="9"/>
      <c r="N15" s="10"/>
      <c r="O15" s="9"/>
      <c r="P15" s="9">
        <v>68</v>
      </c>
      <c r="Q15" s="9">
        <v>8.7481185112760667</v>
      </c>
      <c r="R15" s="9"/>
      <c r="S15" s="9" t="s">
        <v>9321</v>
      </c>
      <c r="T15" s="9" t="s">
        <v>9321</v>
      </c>
      <c r="U15" s="9"/>
      <c r="V15" s="9"/>
      <c r="W15" s="9"/>
      <c r="X15" s="9"/>
      <c r="Y15" s="9"/>
      <c r="Z15" s="9"/>
      <c r="AA15" s="9"/>
      <c r="AB15" s="9"/>
      <c r="AC15" s="9"/>
      <c r="AD15" s="9"/>
    </row>
    <row r="16" spans="1:30" ht="72.5">
      <c r="A16" s="3" t="s">
        <v>276</v>
      </c>
      <c r="B16" s="3" t="s">
        <v>8911</v>
      </c>
      <c r="C16" s="3" t="s">
        <v>8910</v>
      </c>
      <c r="G16" s="9" t="s">
        <v>3889</v>
      </c>
      <c r="H16" s="9"/>
      <c r="I16" s="9">
        <v>1</v>
      </c>
      <c r="J16" s="9">
        <v>7</v>
      </c>
      <c r="K16" s="9" t="s">
        <v>8683</v>
      </c>
      <c r="L16" s="9" t="s">
        <v>8690</v>
      </c>
      <c r="M16" s="9"/>
      <c r="N16" s="10"/>
      <c r="O16" s="9"/>
      <c r="P16" s="9">
        <v>89</v>
      </c>
      <c r="Q16" s="9">
        <v>11.449743345640735</v>
      </c>
      <c r="R16" s="9"/>
      <c r="S16" s="9" t="s">
        <v>9321</v>
      </c>
      <c r="T16" s="9" t="s">
        <v>9321</v>
      </c>
      <c r="U16" s="9"/>
      <c r="V16" s="9"/>
      <c r="W16" s="9"/>
      <c r="X16" s="9"/>
      <c r="Y16" s="9"/>
      <c r="Z16" s="9"/>
      <c r="AA16" s="9"/>
      <c r="AB16" s="9"/>
      <c r="AC16" s="9"/>
      <c r="AD16" s="9"/>
    </row>
    <row r="17" spans="1:30" ht="43.5">
      <c r="A17" s="3" t="s">
        <v>294</v>
      </c>
      <c r="B17" s="3" t="s">
        <v>4288</v>
      </c>
      <c r="C17" s="3" t="s">
        <v>4289</v>
      </c>
      <c r="F17" t="s">
        <v>3884</v>
      </c>
      <c r="G17" s="9" t="s">
        <v>3889</v>
      </c>
      <c r="H17" s="9"/>
      <c r="I17" s="9">
        <v>1</v>
      </c>
      <c r="J17" s="9">
        <v>3</v>
      </c>
      <c r="K17" s="9" t="s">
        <v>8703</v>
      </c>
      <c r="L17" s="9" t="s">
        <v>8690</v>
      </c>
      <c r="M17" s="9"/>
      <c r="N17" s="10"/>
      <c r="O17" s="9"/>
      <c r="P17" s="9">
        <v>655</v>
      </c>
      <c r="Q17" s="9">
        <v>84.264965071850355</v>
      </c>
      <c r="R17" s="9"/>
      <c r="S17" s="9" t="s">
        <v>9321</v>
      </c>
      <c r="T17" s="9" t="s">
        <v>9321</v>
      </c>
      <c r="U17" s="9"/>
      <c r="V17" s="9"/>
      <c r="W17" s="9"/>
      <c r="X17" s="9"/>
      <c r="Y17" s="9"/>
      <c r="Z17" s="9"/>
      <c r="AA17" s="9"/>
      <c r="AB17" s="9"/>
      <c r="AC17" s="9"/>
      <c r="AD17" s="9"/>
    </row>
    <row r="18" spans="1:30" ht="58">
      <c r="A18" s="3" t="s">
        <v>319</v>
      </c>
      <c r="B18" s="3" t="s">
        <v>4340</v>
      </c>
      <c r="C18" s="3" t="s">
        <v>4341</v>
      </c>
      <c r="F18" t="s">
        <v>3884</v>
      </c>
      <c r="G18" s="9" t="s">
        <v>3889</v>
      </c>
      <c r="H18" s="9"/>
      <c r="I18" s="9">
        <v>1</v>
      </c>
      <c r="J18" s="9">
        <v>7</v>
      </c>
      <c r="K18" s="9" t="s">
        <v>8703</v>
      </c>
      <c r="L18" s="9" t="s">
        <v>8690</v>
      </c>
      <c r="M18" s="9"/>
      <c r="N18" s="10"/>
      <c r="O18" s="9"/>
      <c r="P18" s="9">
        <v>99</v>
      </c>
      <c r="Q18" s="9">
        <v>12.736231362004862</v>
      </c>
      <c r="R18" s="9"/>
      <c r="S18" s="9" t="s">
        <v>9321</v>
      </c>
      <c r="T18" s="9" t="s">
        <v>9321</v>
      </c>
      <c r="U18" s="9"/>
      <c r="V18" s="9"/>
      <c r="W18" s="9"/>
      <c r="X18" s="9"/>
      <c r="Y18" s="9"/>
      <c r="Z18" s="9"/>
      <c r="AA18" s="9"/>
      <c r="AB18" s="9"/>
      <c r="AC18" s="9"/>
      <c r="AD18" s="9"/>
    </row>
    <row r="19" spans="1:30" ht="43.5">
      <c r="A19" s="3" t="s">
        <v>340</v>
      </c>
      <c r="B19" s="3" t="s">
        <v>9592</v>
      </c>
      <c r="C19" s="3" t="s">
        <v>9593</v>
      </c>
      <c r="D19" t="s">
        <v>4197</v>
      </c>
      <c r="F19" t="s">
        <v>3884</v>
      </c>
      <c r="G19" s="9" t="s">
        <v>3885</v>
      </c>
      <c r="H19" s="9"/>
      <c r="I19" s="9">
        <v>1</v>
      </c>
      <c r="J19" s="9">
        <v>6</v>
      </c>
      <c r="K19" s="9" t="s">
        <v>8695</v>
      </c>
      <c r="L19" s="9" t="s">
        <v>8690</v>
      </c>
      <c r="M19" s="9"/>
      <c r="N19" s="10"/>
      <c r="O19" s="9" t="s">
        <v>8691</v>
      </c>
      <c r="P19" s="9">
        <v>17</v>
      </c>
      <c r="Q19" s="9">
        <v>2.1870296278190167</v>
      </c>
      <c r="R19" s="9"/>
      <c r="S19" s="9"/>
      <c r="T19" s="9"/>
      <c r="U19" s="9"/>
      <c r="V19" s="9"/>
      <c r="W19" s="9"/>
      <c r="X19" s="9"/>
      <c r="Y19" s="9"/>
      <c r="Z19" s="9"/>
      <c r="AA19" s="9"/>
      <c r="AB19" s="9"/>
      <c r="AC19" s="9"/>
      <c r="AD19" s="9"/>
    </row>
    <row r="20" spans="1:30" ht="43.5">
      <c r="A20" s="3" t="s">
        <v>350</v>
      </c>
      <c r="B20" s="3" t="s">
        <v>4403</v>
      </c>
      <c r="C20" s="3" t="s">
        <v>8932</v>
      </c>
      <c r="G20" s="9" t="s">
        <v>3889</v>
      </c>
      <c r="H20" s="9"/>
      <c r="I20" s="9">
        <v>1</v>
      </c>
      <c r="J20" s="9">
        <v>6</v>
      </c>
      <c r="K20" s="9" t="s">
        <v>8703</v>
      </c>
      <c r="L20" s="9" t="s">
        <v>8684</v>
      </c>
      <c r="M20" s="9" t="s">
        <v>8777</v>
      </c>
      <c r="N20" s="10" t="s">
        <v>8778</v>
      </c>
      <c r="O20" s="9"/>
      <c r="P20" s="9">
        <v>50</v>
      </c>
      <c r="Q20" s="9">
        <v>6.432440081820638</v>
      </c>
      <c r="R20" s="9"/>
      <c r="S20" s="9" t="s">
        <v>9321</v>
      </c>
      <c r="T20" s="9" t="s">
        <v>9321</v>
      </c>
      <c r="U20" s="9"/>
      <c r="V20" s="9"/>
      <c r="W20" s="9"/>
      <c r="X20" s="9"/>
      <c r="Y20" s="9"/>
      <c r="Z20" s="9"/>
      <c r="AA20" s="9"/>
      <c r="AB20" s="9"/>
      <c r="AC20" s="9"/>
      <c r="AD20" s="9"/>
    </row>
    <row r="21" spans="1:30" ht="58">
      <c r="A21" s="3" t="s">
        <v>355</v>
      </c>
      <c r="B21" s="3" t="s">
        <v>4410</v>
      </c>
      <c r="C21" s="3" t="s">
        <v>4411</v>
      </c>
      <c r="F21" t="s">
        <v>3884</v>
      </c>
      <c r="G21" s="9" t="s">
        <v>3889</v>
      </c>
      <c r="H21" s="9"/>
      <c r="I21" s="9">
        <v>1</v>
      </c>
      <c r="J21" s="9">
        <v>6</v>
      </c>
      <c r="K21" s="9" t="s">
        <v>8703</v>
      </c>
      <c r="L21" s="9" t="s">
        <v>8690</v>
      </c>
      <c r="M21" s="9"/>
      <c r="N21" s="10"/>
      <c r="O21" s="9"/>
      <c r="P21" s="9">
        <v>7</v>
      </c>
      <c r="Q21" s="9">
        <v>0.90054161145488931</v>
      </c>
      <c r="R21" s="9"/>
      <c r="S21" s="9" t="s">
        <v>9321</v>
      </c>
      <c r="T21" s="9" t="s">
        <v>9321</v>
      </c>
      <c r="U21" s="9" t="s">
        <v>8728</v>
      </c>
      <c r="V21" s="9"/>
      <c r="W21" s="9"/>
      <c r="X21" s="9"/>
      <c r="Y21" s="9"/>
      <c r="Z21" s="9"/>
      <c r="AA21" s="9"/>
      <c r="AB21" s="9"/>
      <c r="AC21" s="9"/>
      <c r="AD21" s="9"/>
    </row>
    <row r="22" spans="1:30" ht="43.5">
      <c r="A22" s="3" t="s">
        <v>363</v>
      </c>
      <c r="B22" s="3" t="s">
        <v>4440</v>
      </c>
      <c r="C22" s="3" t="s">
        <v>4441</v>
      </c>
      <c r="G22" s="9" t="s">
        <v>3889</v>
      </c>
      <c r="H22" s="9"/>
      <c r="I22" s="9">
        <v>1</v>
      </c>
      <c r="J22" s="9">
        <v>7</v>
      </c>
      <c r="K22" s="9" t="s">
        <v>8703</v>
      </c>
      <c r="L22" s="9" t="s">
        <v>8690</v>
      </c>
      <c r="M22" s="9"/>
      <c r="N22" s="10"/>
      <c r="O22" s="9"/>
      <c r="P22" s="9">
        <v>99</v>
      </c>
      <c r="Q22" s="9">
        <v>12.736231362004862</v>
      </c>
      <c r="R22" s="9"/>
      <c r="S22" s="9" t="s">
        <v>9321</v>
      </c>
      <c r="T22" s="9" t="s">
        <v>9321</v>
      </c>
      <c r="U22" s="9" t="s">
        <v>8728</v>
      </c>
      <c r="V22" s="9"/>
      <c r="W22" s="9"/>
      <c r="X22" s="9"/>
      <c r="Y22" s="9"/>
      <c r="Z22" s="9"/>
      <c r="AA22" s="9"/>
      <c r="AB22" s="9"/>
      <c r="AC22" s="9"/>
      <c r="AD22" s="9"/>
    </row>
    <row r="23" spans="1:30" ht="58">
      <c r="A23" s="3" t="s">
        <v>386</v>
      </c>
      <c r="B23" s="3" t="s">
        <v>4490</v>
      </c>
      <c r="C23" s="3" t="s">
        <v>4491</v>
      </c>
      <c r="F23" t="s">
        <v>3884</v>
      </c>
      <c r="G23" s="9" t="s">
        <v>3885</v>
      </c>
      <c r="H23" s="9"/>
      <c r="I23" s="9">
        <v>1</v>
      </c>
      <c r="J23" s="9">
        <v>5</v>
      </c>
      <c r="K23" s="9" t="s">
        <v>8703</v>
      </c>
      <c r="L23" s="9" t="s">
        <v>8684</v>
      </c>
      <c r="M23" s="9" t="s">
        <v>8777</v>
      </c>
      <c r="N23" s="10" t="s">
        <v>8941</v>
      </c>
      <c r="O23" s="9" t="s">
        <v>8685</v>
      </c>
      <c r="P23" s="9">
        <v>9</v>
      </c>
      <c r="Q23" s="9">
        <v>1.1578392147277148</v>
      </c>
      <c r="R23" s="9"/>
      <c r="S23" s="9" t="s">
        <v>9321</v>
      </c>
      <c r="T23" s="9" t="s">
        <v>9321</v>
      </c>
      <c r="U23" s="9"/>
      <c r="V23" s="9"/>
      <c r="W23" s="9"/>
      <c r="X23" s="9"/>
      <c r="Y23" s="9"/>
      <c r="Z23" s="9"/>
      <c r="AA23" s="9"/>
      <c r="AB23" s="9"/>
      <c r="AC23" s="9"/>
      <c r="AD23" s="9"/>
    </row>
    <row r="24" spans="1:30" ht="29">
      <c r="A24" s="3" t="s">
        <v>452</v>
      </c>
      <c r="B24" s="3" t="s">
        <v>4616</v>
      </c>
      <c r="C24" s="3" t="s">
        <v>4617</v>
      </c>
      <c r="F24" t="s">
        <v>3884</v>
      </c>
      <c r="G24" s="9" t="s">
        <v>3889</v>
      </c>
      <c r="H24" s="9"/>
      <c r="I24" s="9">
        <v>1</v>
      </c>
      <c r="J24" s="9">
        <v>5</v>
      </c>
      <c r="K24" s="9" t="s">
        <v>8736</v>
      </c>
      <c r="L24" s="9" t="s">
        <v>8690</v>
      </c>
      <c r="M24" s="9"/>
      <c r="N24" s="10"/>
      <c r="O24" s="9"/>
      <c r="P24" s="9">
        <v>645</v>
      </c>
      <c r="Q24" s="9">
        <v>82.978477055486238</v>
      </c>
      <c r="R24" s="9"/>
      <c r="S24" s="9" t="s">
        <v>9321</v>
      </c>
      <c r="T24" s="9" t="s">
        <v>9321</v>
      </c>
      <c r="U24" s="9"/>
      <c r="V24" s="9"/>
      <c r="W24" s="9"/>
      <c r="X24" s="9"/>
      <c r="Y24" s="9"/>
      <c r="Z24" s="9"/>
      <c r="AA24" s="9"/>
      <c r="AB24" s="9"/>
      <c r="AC24" s="9"/>
      <c r="AD24" s="9"/>
    </row>
    <row r="25" spans="1:30" ht="43.5">
      <c r="A25" s="3" t="s">
        <v>460</v>
      </c>
      <c r="B25" s="3" t="s">
        <v>4629</v>
      </c>
      <c r="C25" s="3" t="s">
        <v>4626</v>
      </c>
      <c r="G25" s="9" t="s">
        <v>3889</v>
      </c>
      <c r="H25" s="9"/>
      <c r="I25" s="9">
        <v>1</v>
      </c>
      <c r="J25" s="9">
        <v>2</v>
      </c>
      <c r="K25" s="9" t="s">
        <v>8703</v>
      </c>
      <c r="L25" s="9" t="s">
        <v>8730</v>
      </c>
      <c r="M25" s="9"/>
      <c r="N25" s="10"/>
      <c r="O25" s="9"/>
      <c r="P25" s="9">
        <v>1225</v>
      </c>
      <c r="Q25" s="9">
        <v>157.59478200460561</v>
      </c>
      <c r="R25" s="9"/>
      <c r="S25" s="9" t="s">
        <v>9321</v>
      </c>
      <c r="T25" s="9" t="s">
        <v>9321</v>
      </c>
      <c r="U25" s="9"/>
      <c r="V25" s="9"/>
      <c r="W25" s="9"/>
      <c r="X25" s="9"/>
      <c r="Y25" s="9"/>
      <c r="Z25" s="9"/>
      <c r="AA25" s="9"/>
      <c r="AB25" s="9"/>
      <c r="AC25" s="9"/>
      <c r="AD25" s="9"/>
    </row>
    <row r="26" spans="1:30" ht="58">
      <c r="A26" s="3" t="s">
        <v>504</v>
      </c>
      <c r="B26" s="3" t="s">
        <v>4695</v>
      </c>
      <c r="C26" s="3" t="s">
        <v>4696</v>
      </c>
      <c r="G26" s="9" t="s">
        <v>3885</v>
      </c>
      <c r="H26" s="9"/>
      <c r="I26" s="9">
        <v>1</v>
      </c>
      <c r="J26" s="9">
        <v>5</v>
      </c>
      <c r="K26" s="9" t="s">
        <v>8736</v>
      </c>
      <c r="L26" s="9" t="s">
        <v>8690</v>
      </c>
      <c r="M26" s="9"/>
      <c r="N26" s="10"/>
      <c r="O26" s="9"/>
      <c r="P26" s="9">
        <v>645</v>
      </c>
      <c r="Q26" s="9">
        <v>82.978477055486238</v>
      </c>
      <c r="R26" s="9"/>
      <c r="S26" s="9" t="s">
        <v>9321</v>
      </c>
      <c r="T26" s="9" t="s">
        <v>9321</v>
      </c>
      <c r="U26" s="9"/>
      <c r="V26" s="9"/>
      <c r="W26" s="9"/>
      <c r="X26" s="9"/>
      <c r="Y26" s="9"/>
      <c r="Z26" s="9"/>
      <c r="AA26" s="9"/>
      <c r="AB26" s="9"/>
      <c r="AC26" s="9"/>
      <c r="AD26" s="9"/>
    </row>
    <row r="27" spans="1:30">
      <c r="A27" s="3" t="s">
        <v>574</v>
      </c>
      <c r="B27" t="s">
        <v>4845</v>
      </c>
      <c r="C27" t="s">
        <v>4846</v>
      </c>
      <c r="F27" t="s">
        <v>3884</v>
      </c>
      <c r="G27" s="9" t="s">
        <v>3885</v>
      </c>
      <c r="H27" s="9"/>
      <c r="I27" s="9">
        <v>1</v>
      </c>
      <c r="J27" s="9">
        <v>5</v>
      </c>
      <c r="K27" s="9" t="s">
        <v>8703</v>
      </c>
      <c r="L27" s="9" t="s">
        <v>8690</v>
      </c>
      <c r="M27" s="9"/>
      <c r="N27" s="10"/>
      <c r="O27" s="9"/>
      <c r="P27" s="9">
        <v>655</v>
      </c>
      <c r="Q27" s="9">
        <v>84.264965071850355</v>
      </c>
      <c r="R27" s="9"/>
      <c r="S27" s="9" t="s">
        <v>9321</v>
      </c>
      <c r="T27" s="9" t="s">
        <v>9321</v>
      </c>
      <c r="U27" s="9"/>
      <c r="V27" s="9"/>
      <c r="W27" s="9"/>
      <c r="X27" s="9"/>
      <c r="Y27" s="9"/>
      <c r="Z27" s="9"/>
      <c r="AA27" s="9"/>
      <c r="AB27" s="9"/>
      <c r="AC27" s="9"/>
      <c r="AD27" s="9"/>
    </row>
    <row r="28" spans="1:30" ht="58">
      <c r="A28" s="3" t="s">
        <v>621</v>
      </c>
      <c r="B28" s="3" t="s">
        <v>4922</v>
      </c>
      <c r="C28" s="3" t="s">
        <v>4923</v>
      </c>
      <c r="G28" s="9" t="s">
        <v>3889</v>
      </c>
      <c r="H28" s="9"/>
      <c r="I28" s="9">
        <v>1</v>
      </c>
      <c r="J28" s="9">
        <v>3</v>
      </c>
      <c r="K28" s="9" t="s">
        <v>8703</v>
      </c>
      <c r="L28" s="9" t="s">
        <v>8690</v>
      </c>
      <c r="M28" s="9"/>
      <c r="N28" s="10"/>
      <c r="O28" s="9"/>
      <c r="P28" s="9">
        <v>627</v>
      </c>
      <c r="Q28" s="9">
        <v>80.662798626030806</v>
      </c>
      <c r="R28" s="9"/>
      <c r="S28" s="9" t="s">
        <v>9321</v>
      </c>
      <c r="T28" s="9" t="s">
        <v>9321</v>
      </c>
      <c r="U28" s="9"/>
      <c r="V28" s="9"/>
      <c r="W28" s="9"/>
      <c r="X28" s="9"/>
      <c r="Y28" s="9"/>
      <c r="Z28" s="9"/>
      <c r="AA28" s="9"/>
      <c r="AB28" s="9"/>
      <c r="AC28" s="9"/>
      <c r="AD28" s="9"/>
    </row>
    <row r="29" spans="1:30" ht="29">
      <c r="A29" s="3" t="s">
        <v>626</v>
      </c>
      <c r="B29" s="3" t="s">
        <v>4927</v>
      </c>
      <c r="C29" s="3" t="s">
        <v>4928</v>
      </c>
      <c r="D29" t="s">
        <v>4397</v>
      </c>
      <c r="F29" t="s">
        <v>3884</v>
      </c>
      <c r="G29" s="9" t="s">
        <v>3885</v>
      </c>
      <c r="H29" s="9"/>
      <c r="I29" s="9">
        <v>1</v>
      </c>
      <c r="J29" s="9">
        <v>3</v>
      </c>
      <c r="K29" s="9" t="s">
        <v>8695</v>
      </c>
      <c r="L29" s="9" t="s">
        <v>8684</v>
      </c>
      <c r="M29" s="9" t="s">
        <v>8777</v>
      </c>
      <c r="N29" s="10" t="s">
        <v>8778</v>
      </c>
      <c r="O29" s="9"/>
      <c r="P29" s="9">
        <v>78</v>
      </c>
      <c r="Q29" s="9">
        <v>10.034606527640195</v>
      </c>
      <c r="R29" s="9"/>
      <c r="S29" s="9" t="s">
        <v>9321</v>
      </c>
      <c r="T29" s="9" t="s">
        <v>9321</v>
      </c>
      <c r="U29" s="9"/>
      <c r="V29" s="9"/>
      <c r="W29" s="9"/>
      <c r="X29" s="9"/>
      <c r="Y29" s="9"/>
      <c r="Z29" s="9"/>
      <c r="AA29" s="9"/>
      <c r="AB29" s="9"/>
      <c r="AC29" s="9"/>
      <c r="AD29" s="9"/>
    </row>
    <row r="30" spans="1:30" ht="43.5">
      <c r="A30" s="3" t="s">
        <v>626</v>
      </c>
      <c r="B30" s="3" t="s">
        <v>4929</v>
      </c>
      <c r="C30" s="3" t="s">
        <v>4930</v>
      </c>
      <c r="F30" t="s">
        <v>3884</v>
      </c>
      <c r="G30" s="9" t="s">
        <v>3889</v>
      </c>
      <c r="H30" s="9"/>
      <c r="I30" s="9">
        <v>1</v>
      </c>
      <c r="J30" s="9">
        <v>5</v>
      </c>
      <c r="K30" s="9" t="s">
        <v>8736</v>
      </c>
      <c r="L30" s="9" t="s">
        <v>8690</v>
      </c>
      <c r="M30" s="9"/>
      <c r="N30" s="10"/>
      <c r="O30" s="9"/>
      <c r="P30" s="9">
        <v>206</v>
      </c>
      <c r="Q30" s="9">
        <v>26.50165313710103</v>
      </c>
      <c r="R30" s="9"/>
      <c r="S30" s="9" t="s">
        <v>9321</v>
      </c>
      <c r="T30" s="9" t="s">
        <v>9321</v>
      </c>
      <c r="U30" s="9"/>
      <c r="V30" s="9"/>
      <c r="W30" s="9"/>
      <c r="X30" s="9"/>
      <c r="Y30" s="9"/>
      <c r="Z30" s="9"/>
      <c r="AA30" s="9"/>
      <c r="AB30" s="9"/>
      <c r="AC30" s="9"/>
      <c r="AD30" s="9"/>
    </row>
    <row r="31" spans="1:30" ht="43.5">
      <c r="A31" s="3" t="s">
        <v>627</v>
      </c>
      <c r="B31" s="3" t="s">
        <v>4931</v>
      </c>
      <c r="C31" t="s">
        <v>4932</v>
      </c>
      <c r="G31" s="9" t="s">
        <v>3889</v>
      </c>
      <c r="H31" s="9"/>
      <c r="I31" s="9">
        <v>1</v>
      </c>
      <c r="J31" s="9">
        <v>6</v>
      </c>
      <c r="K31" s="9" t="s">
        <v>8683</v>
      </c>
      <c r="L31" s="9" t="s">
        <v>8690</v>
      </c>
      <c r="M31" s="9"/>
      <c r="N31" s="10"/>
      <c r="O31" s="9"/>
      <c r="P31" s="9">
        <v>4</v>
      </c>
      <c r="Q31" s="9">
        <v>0.51459520654565105</v>
      </c>
      <c r="R31" s="9"/>
      <c r="S31" s="9" t="s">
        <v>9321</v>
      </c>
      <c r="T31" s="9" t="s">
        <v>9321</v>
      </c>
      <c r="U31" s="9"/>
      <c r="V31" s="9"/>
      <c r="W31" s="9"/>
      <c r="X31" s="9"/>
      <c r="Y31" s="9"/>
      <c r="Z31" s="9"/>
      <c r="AA31" s="9"/>
      <c r="AB31" s="9"/>
      <c r="AC31" s="9"/>
      <c r="AD31" s="9"/>
    </row>
    <row r="32" spans="1:30" ht="101.5">
      <c r="A32" s="3" t="s">
        <v>700</v>
      </c>
      <c r="B32" s="3" t="s">
        <v>9008</v>
      </c>
      <c r="C32" s="3" t="s">
        <v>9009</v>
      </c>
      <c r="F32" t="s">
        <v>3884</v>
      </c>
      <c r="G32" s="9" t="s">
        <v>3885</v>
      </c>
      <c r="H32" s="9"/>
      <c r="I32" s="9">
        <v>1</v>
      </c>
      <c r="J32" s="9">
        <v>6</v>
      </c>
      <c r="K32" s="9" t="s">
        <v>8703</v>
      </c>
      <c r="L32" s="9" t="s">
        <v>8684</v>
      </c>
      <c r="M32" s="9" t="s">
        <v>8771</v>
      </c>
      <c r="N32" s="10" t="s">
        <v>8772</v>
      </c>
      <c r="O32" s="9" t="s">
        <v>8691</v>
      </c>
      <c r="P32" s="9">
        <v>221</v>
      </c>
      <c r="Q32" s="9">
        <v>28.431385161647221</v>
      </c>
      <c r="R32" s="9"/>
      <c r="S32" s="9" t="s">
        <v>9321</v>
      </c>
      <c r="T32" s="9" t="s">
        <v>9321</v>
      </c>
      <c r="U32" s="9"/>
      <c r="V32" s="9"/>
      <c r="W32" s="9"/>
      <c r="X32" s="9"/>
      <c r="Y32" s="9"/>
      <c r="Z32" s="9"/>
      <c r="AA32" s="9"/>
      <c r="AB32" s="9"/>
      <c r="AC32" s="9"/>
      <c r="AD32" s="9"/>
    </row>
    <row r="33" spans="1:30" ht="72.5">
      <c r="A33" s="3" t="s">
        <v>713</v>
      </c>
      <c r="B33" s="3" t="s">
        <v>5127</v>
      </c>
      <c r="C33" s="3" t="s">
        <v>5131</v>
      </c>
      <c r="F33" t="s">
        <v>3884</v>
      </c>
      <c r="G33" s="9" t="s">
        <v>3885</v>
      </c>
      <c r="H33" s="9"/>
      <c r="I33" s="9">
        <v>1</v>
      </c>
      <c r="J33" s="9">
        <v>1</v>
      </c>
      <c r="K33" s="9" t="s">
        <v>8683</v>
      </c>
      <c r="L33" s="9" t="s">
        <v>8730</v>
      </c>
      <c r="M33" s="9"/>
      <c r="N33" s="10"/>
      <c r="O33" s="9"/>
      <c r="P33" s="9">
        <v>36</v>
      </c>
      <c r="Q33" s="9">
        <v>4.6313568589108591</v>
      </c>
      <c r="R33" s="9"/>
      <c r="S33" s="9" t="s">
        <v>9321</v>
      </c>
      <c r="T33" s="9" t="s">
        <v>9321</v>
      </c>
      <c r="U33" s="9"/>
      <c r="V33" s="9"/>
      <c r="W33" s="9"/>
      <c r="X33" s="9"/>
      <c r="Y33" s="9"/>
      <c r="Z33" s="9"/>
      <c r="AA33" s="9"/>
      <c r="AB33" s="9"/>
      <c r="AC33" s="9"/>
      <c r="AD33" s="9"/>
    </row>
    <row r="34" spans="1:30" ht="58">
      <c r="A34" s="3" t="s">
        <v>742</v>
      </c>
      <c r="B34" s="3" t="s">
        <v>5197</v>
      </c>
      <c r="C34" s="3" t="s">
        <v>5198</v>
      </c>
      <c r="F34" t="s">
        <v>3884</v>
      </c>
      <c r="G34" s="9" t="s">
        <v>3885</v>
      </c>
      <c r="H34" s="9"/>
      <c r="I34" s="9">
        <v>1</v>
      </c>
      <c r="J34" s="9">
        <v>5</v>
      </c>
      <c r="K34" s="9" t="s">
        <v>8736</v>
      </c>
      <c r="L34" s="9" t="s">
        <v>8684</v>
      </c>
      <c r="M34" s="9" t="s">
        <v>8771</v>
      </c>
      <c r="N34" s="10" t="s">
        <v>8941</v>
      </c>
      <c r="O34" s="9"/>
      <c r="P34" s="9">
        <v>340</v>
      </c>
      <c r="Q34" s="9">
        <v>43.740592556380335</v>
      </c>
      <c r="R34" s="9"/>
      <c r="S34" s="9" t="s">
        <v>9321</v>
      </c>
      <c r="T34" s="9" t="s">
        <v>9321</v>
      </c>
      <c r="U34" s="9"/>
      <c r="V34" s="9"/>
      <c r="W34" s="9"/>
      <c r="X34" s="9"/>
      <c r="Y34" s="9"/>
      <c r="Z34" s="9"/>
      <c r="AA34" s="9"/>
      <c r="AB34" s="9"/>
      <c r="AC34" s="9"/>
      <c r="AD34" s="9"/>
    </row>
    <row r="35" spans="1:30" ht="43.5">
      <c r="A35" s="3" t="s">
        <v>796</v>
      </c>
      <c r="B35" s="3" t="s">
        <v>5350</v>
      </c>
      <c r="C35" s="3" t="s">
        <v>5351</v>
      </c>
      <c r="G35" s="9" t="s">
        <v>3889</v>
      </c>
      <c r="H35" s="9"/>
      <c r="I35" s="9">
        <v>1</v>
      </c>
      <c r="J35" s="9">
        <v>3</v>
      </c>
      <c r="K35" s="9" t="s">
        <v>8683</v>
      </c>
      <c r="L35" s="9" t="s">
        <v>8690</v>
      </c>
      <c r="M35" s="9"/>
      <c r="N35" s="10"/>
      <c r="O35" s="9"/>
      <c r="P35" s="9">
        <v>162</v>
      </c>
      <c r="Q35" s="9">
        <v>20.841105865098868</v>
      </c>
      <c r="R35" s="9"/>
      <c r="S35" s="9" t="s">
        <v>9321</v>
      </c>
      <c r="T35" s="9" t="s">
        <v>9321</v>
      </c>
      <c r="U35" s="9"/>
      <c r="V35" s="9"/>
      <c r="W35" s="9"/>
      <c r="X35" s="9"/>
      <c r="Y35" s="9"/>
      <c r="Z35" s="9"/>
      <c r="AA35" s="9"/>
      <c r="AB35" s="9"/>
      <c r="AC35" s="9"/>
      <c r="AD35" s="9"/>
    </row>
    <row r="36" spans="1:30" ht="58">
      <c r="A36" s="3" t="s">
        <v>871</v>
      </c>
      <c r="B36" s="3" t="s">
        <v>5563</v>
      </c>
      <c r="C36" s="3" t="s">
        <v>5564</v>
      </c>
      <c r="G36" s="9" t="s">
        <v>3889</v>
      </c>
      <c r="H36" s="9"/>
      <c r="I36" s="9">
        <v>1</v>
      </c>
      <c r="J36" s="9">
        <v>2</v>
      </c>
      <c r="K36" s="9" t="s">
        <v>8703</v>
      </c>
      <c r="L36" s="9" t="s">
        <v>8730</v>
      </c>
      <c r="M36" s="9"/>
      <c r="N36" s="10"/>
      <c r="O36" s="9"/>
      <c r="P36" s="9">
        <v>1225</v>
      </c>
      <c r="Q36" s="9">
        <v>157.59478200460561</v>
      </c>
      <c r="R36" s="9"/>
      <c r="S36" s="9" t="s">
        <v>9321</v>
      </c>
      <c r="T36" s="9" t="s">
        <v>9321</v>
      </c>
      <c r="U36" s="9"/>
      <c r="V36" s="9"/>
      <c r="W36" s="9"/>
      <c r="X36" s="9"/>
      <c r="Y36" s="9"/>
      <c r="Z36" s="9"/>
      <c r="AA36" s="9"/>
      <c r="AB36" s="9"/>
      <c r="AC36" s="9"/>
      <c r="AD36" s="9"/>
    </row>
    <row r="37" spans="1:30" ht="58">
      <c r="A37" s="3" t="s">
        <v>891</v>
      </c>
      <c r="B37" s="3" t="s">
        <v>5598</v>
      </c>
      <c r="C37" s="3" t="s">
        <v>5599</v>
      </c>
      <c r="F37" t="s">
        <v>3884</v>
      </c>
      <c r="G37" s="9" t="s">
        <v>3885</v>
      </c>
      <c r="H37" s="9"/>
      <c r="I37" s="9">
        <v>1</v>
      </c>
      <c r="J37" s="9">
        <v>9</v>
      </c>
      <c r="K37" s="9" t="s">
        <v>8703</v>
      </c>
      <c r="L37" s="9" t="s">
        <v>8690</v>
      </c>
      <c r="M37" s="9"/>
      <c r="N37" s="10"/>
      <c r="O37" s="9"/>
      <c r="P37" s="9">
        <v>109</v>
      </c>
      <c r="Q37" s="9">
        <v>14.022719378368992</v>
      </c>
      <c r="R37" s="9"/>
      <c r="S37" s="9" t="s">
        <v>9321</v>
      </c>
      <c r="T37" s="9" t="s">
        <v>9321</v>
      </c>
      <c r="U37" s="9"/>
      <c r="V37" s="9"/>
      <c r="W37" s="9"/>
      <c r="X37" s="9"/>
      <c r="Y37" s="9"/>
      <c r="Z37" s="9"/>
      <c r="AA37" s="9"/>
      <c r="AB37" s="9"/>
      <c r="AC37" s="9"/>
      <c r="AD37" s="9"/>
    </row>
    <row r="38" spans="1:30" ht="43.5">
      <c r="A38" s="3" t="s">
        <v>892</v>
      </c>
      <c r="B38" s="3" t="s">
        <v>5602</v>
      </c>
      <c r="C38" s="3" t="s">
        <v>5603</v>
      </c>
      <c r="G38" s="9" t="s">
        <v>3889</v>
      </c>
      <c r="H38" s="9"/>
      <c r="I38" s="9">
        <v>1</v>
      </c>
      <c r="J38" s="9">
        <v>2</v>
      </c>
      <c r="K38" s="9" t="s">
        <v>8695</v>
      </c>
      <c r="L38" s="9" t="s">
        <v>8730</v>
      </c>
      <c r="M38" s="9"/>
      <c r="N38" s="10"/>
      <c r="O38" s="9"/>
      <c r="P38" s="9">
        <v>203</v>
      </c>
      <c r="Q38" s="9">
        <v>26.115706732191789</v>
      </c>
      <c r="R38" s="9"/>
      <c r="S38" s="9" t="s">
        <v>9321</v>
      </c>
      <c r="T38" s="9" t="s">
        <v>9321</v>
      </c>
      <c r="U38" s="9"/>
      <c r="V38" s="9"/>
      <c r="W38" s="9"/>
      <c r="X38" s="9"/>
      <c r="Y38" s="9"/>
      <c r="Z38" s="9"/>
      <c r="AA38" s="9"/>
      <c r="AB38" s="9"/>
      <c r="AC38" s="9"/>
      <c r="AD38" s="9"/>
    </row>
    <row r="39" spans="1:30" ht="101.5">
      <c r="A39" s="3" t="s">
        <v>899</v>
      </c>
      <c r="B39" s="3" t="s">
        <v>5609</v>
      </c>
      <c r="C39" s="3" t="s">
        <v>5610</v>
      </c>
      <c r="F39" t="s">
        <v>3884</v>
      </c>
      <c r="G39" s="9" t="s">
        <v>3889</v>
      </c>
      <c r="H39" s="9"/>
      <c r="I39" s="9">
        <v>1</v>
      </c>
      <c r="J39" s="9">
        <v>10</v>
      </c>
      <c r="K39" s="9" t="s">
        <v>8736</v>
      </c>
      <c r="L39" s="9" t="s">
        <v>8730</v>
      </c>
      <c r="M39" s="9"/>
      <c r="N39" s="10"/>
      <c r="O39" s="9"/>
      <c r="P39" s="9">
        <v>128</v>
      </c>
      <c r="Q39" s="9">
        <v>16.467046609460834</v>
      </c>
      <c r="R39" s="9"/>
      <c r="S39" s="9" t="s">
        <v>9321</v>
      </c>
      <c r="T39" s="9" t="s">
        <v>9321</v>
      </c>
      <c r="U39" s="9"/>
      <c r="V39" s="9"/>
      <c r="W39" s="9"/>
      <c r="X39" s="9"/>
      <c r="Y39" s="9"/>
      <c r="Z39" s="9"/>
      <c r="AA39" s="9"/>
      <c r="AB39" s="9"/>
      <c r="AC39" s="9"/>
      <c r="AD39" s="9"/>
    </row>
    <row r="40" spans="1:30" ht="58">
      <c r="A40" s="3" t="s">
        <v>941</v>
      </c>
      <c r="B40" s="3" t="s">
        <v>5692</v>
      </c>
      <c r="C40" s="3" t="s">
        <v>5693</v>
      </c>
      <c r="G40" s="9" t="s">
        <v>3889</v>
      </c>
      <c r="H40" s="9"/>
      <c r="I40" s="9">
        <v>1</v>
      </c>
      <c r="J40" s="9">
        <v>7</v>
      </c>
      <c r="K40" s="9" t="s">
        <v>8703</v>
      </c>
      <c r="L40" s="9" t="s">
        <v>8690</v>
      </c>
      <c r="M40" s="9"/>
      <c r="N40" s="10"/>
      <c r="O40" s="9"/>
      <c r="P40" s="9">
        <v>20</v>
      </c>
      <c r="Q40" s="9">
        <v>2.5729760327282549</v>
      </c>
      <c r="R40" s="9"/>
      <c r="S40" s="9" t="s">
        <v>9321</v>
      </c>
      <c r="T40" s="9" t="s">
        <v>9321</v>
      </c>
      <c r="U40" s="9"/>
      <c r="V40" s="9"/>
      <c r="W40" s="9"/>
      <c r="X40" s="9"/>
      <c r="Y40" s="9"/>
      <c r="Z40" s="9"/>
      <c r="AA40" s="9"/>
      <c r="AB40" s="9"/>
      <c r="AC40" s="9"/>
      <c r="AD40" s="9"/>
    </row>
    <row r="41" spans="1:30" ht="87">
      <c r="A41" s="3" t="s">
        <v>984</v>
      </c>
      <c r="B41" s="3" t="s">
        <v>5785</v>
      </c>
      <c r="C41" s="3" t="s">
        <v>5782</v>
      </c>
      <c r="G41" s="9" t="s">
        <v>3889</v>
      </c>
      <c r="H41" s="9"/>
      <c r="I41" s="9">
        <v>1</v>
      </c>
      <c r="J41" s="9">
        <v>2</v>
      </c>
      <c r="K41" s="9" t="s">
        <v>8703</v>
      </c>
      <c r="L41" s="9" t="s">
        <v>8730</v>
      </c>
      <c r="M41" s="9"/>
      <c r="N41" s="10"/>
      <c r="O41" s="9"/>
      <c r="P41" s="9">
        <v>1225</v>
      </c>
      <c r="Q41" s="9">
        <v>157.59478200460561</v>
      </c>
      <c r="R41" s="9"/>
      <c r="S41" s="9" t="s">
        <v>9321</v>
      </c>
      <c r="T41" s="9" t="s">
        <v>9321</v>
      </c>
      <c r="U41" s="9"/>
      <c r="V41" s="9"/>
      <c r="W41" s="9"/>
      <c r="X41" s="9"/>
      <c r="Y41" s="9"/>
      <c r="Z41" s="9"/>
      <c r="AA41" s="9"/>
      <c r="AB41" s="9"/>
      <c r="AC41" s="9"/>
      <c r="AD41" s="9"/>
    </row>
    <row r="42" spans="1:30" ht="43.5">
      <c r="A42" s="3" t="s">
        <v>994</v>
      </c>
      <c r="B42" s="3" t="s">
        <v>5802</v>
      </c>
      <c r="C42" s="3" t="s">
        <v>5803</v>
      </c>
      <c r="D42" t="s">
        <v>4397</v>
      </c>
      <c r="F42" t="s">
        <v>3884</v>
      </c>
      <c r="G42" s="9" t="s">
        <v>3885</v>
      </c>
      <c r="H42" s="9"/>
      <c r="I42" s="9">
        <v>1</v>
      </c>
      <c r="J42" s="9">
        <v>2</v>
      </c>
      <c r="K42" s="9" t="s">
        <v>8695</v>
      </c>
      <c r="L42" s="9" t="s">
        <v>8730</v>
      </c>
      <c r="M42" s="9"/>
      <c r="N42" s="10"/>
      <c r="O42" s="9"/>
      <c r="P42" s="9">
        <v>0</v>
      </c>
      <c r="Q42" s="9">
        <v>0</v>
      </c>
      <c r="R42" s="9"/>
      <c r="S42" s="9" t="s">
        <v>9321</v>
      </c>
      <c r="T42" s="9" t="s">
        <v>9321</v>
      </c>
      <c r="U42" s="9"/>
      <c r="V42" s="9"/>
      <c r="W42" s="9"/>
      <c r="X42" s="9"/>
      <c r="Y42" s="9"/>
      <c r="Z42" s="9"/>
      <c r="AA42" s="9"/>
      <c r="AB42" s="9"/>
      <c r="AC42" s="9"/>
      <c r="AD42" s="9"/>
    </row>
    <row r="43" spans="1:30" ht="72.5">
      <c r="A43" s="3" t="s">
        <v>996</v>
      </c>
      <c r="B43" s="3" t="s">
        <v>5810</v>
      </c>
      <c r="C43" s="3" t="s">
        <v>5811</v>
      </c>
      <c r="F43" t="s">
        <v>3884</v>
      </c>
      <c r="G43" s="9" t="s">
        <v>3885</v>
      </c>
      <c r="H43" s="9"/>
      <c r="I43" s="9">
        <v>1</v>
      </c>
      <c r="J43" s="9">
        <v>6</v>
      </c>
      <c r="K43" s="9" t="s">
        <v>8703</v>
      </c>
      <c r="L43" s="9" t="s">
        <v>8690</v>
      </c>
      <c r="M43" s="9"/>
      <c r="N43" s="10"/>
      <c r="O43" s="9"/>
      <c r="P43" s="9">
        <v>627</v>
      </c>
      <c r="Q43" s="9">
        <v>80.662798626030806</v>
      </c>
      <c r="R43" s="9"/>
      <c r="S43" s="9" t="s">
        <v>9321</v>
      </c>
      <c r="T43" s="9" t="s">
        <v>9321</v>
      </c>
      <c r="U43" s="9"/>
      <c r="V43" s="9"/>
      <c r="W43" s="9"/>
      <c r="X43" s="9"/>
      <c r="Y43" s="9"/>
      <c r="Z43" s="9"/>
      <c r="AA43" s="9"/>
      <c r="AB43" s="9"/>
      <c r="AC43" s="9"/>
      <c r="AD43" s="9"/>
    </row>
    <row r="44" spans="1:30" ht="58">
      <c r="A44" s="3" t="s">
        <v>1012</v>
      </c>
      <c r="B44" s="3" t="s">
        <v>5845</v>
      </c>
      <c r="C44" s="3" t="s">
        <v>5844</v>
      </c>
      <c r="G44" s="9" t="s">
        <v>3889</v>
      </c>
      <c r="H44" s="9"/>
      <c r="I44" s="9">
        <v>1</v>
      </c>
      <c r="J44" s="9">
        <v>8</v>
      </c>
      <c r="K44" s="9" t="s">
        <v>8703</v>
      </c>
      <c r="L44" s="9" t="s">
        <v>8684</v>
      </c>
      <c r="M44" s="9" t="s">
        <v>8771</v>
      </c>
      <c r="N44" s="10" t="s">
        <v>8778</v>
      </c>
      <c r="O44" s="9"/>
      <c r="P44" s="9">
        <v>1056</v>
      </c>
      <c r="Q44" s="9">
        <v>135.85313452805187</v>
      </c>
      <c r="R44" s="9"/>
      <c r="S44" s="9" t="s">
        <v>9321</v>
      </c>
      <c r="T44" s="9" t="s">
        <v>9321</v>
      </c>
      <c r="U44" s="9" t="s">
        <v>4</v>
      </c>
      <c r="V44" s="9"/>
      <c r="W44" s="9"/>
      <c r="X44" s="9"/>
      <c r="Y44" s="9"/>
      <c r="Z44" s="9"/>
      <c r="AA44" s="9"/>
      <c r="AB44" s="9"/>
      <c r="AC44" s="9"/>
      <c r="AD44" s="9"/>
    </row>
    <row r="45" spans="1:30" ht="29">
      <c r="A45" s="3" t="s">
        <v>1012</v>
      </c>
      <c r="B45" s="3" t="s">
        <v>5846</v>
      </c>
      <c r="C45" s="3" t="s">
        <v>5847</v>
      </c>
      <c r="F45" t="s">
        <v>3884</v>
      </c>
      <c r="G45" s="9" t="s">
        <v>3885</v>
      </c>
      <c r="H45" s="9"/>
      <c r="I45" s="9">
        <v>1</v>
      </c>
      <c r="J45" s="9">
        <v>1</v>
      </c>
      <c r="K45" s="9" t="s">
        <v>8683</v>
      </c>
      <c r="L45" s="9" t="s">
        <v>8730</v>
      </c>
      <c r="M45" s="9"/>
      <c r="N45" s="10"/>
      <c r="O45" s="9" t="s">
        <v>8685</v>
      </c>
      <c r="P45" s="9">
        <v>6</v>
      </c>
      <c r="Q45" s="9">
        <v>0.77189280981847652</v>
      </c>
      <c r="R45" s="9"/>
      <c r="S45" s="9" t="s">
        <v>9321</v>
      </c>
      <c r="T45" s="9" t="s">
        <v>9321</v>
      </c>
      <c r="U45" s="9"/>
      <c r="V45" s="9"/>
      <c r="W45" s="9"/>
      <c r="X45" s="9"/>
      <c r="Y45" s="9"/>
      <c r="Z45" s="9"/>
      <c r="AA45" s="9"/>
      <c r="AB45" s="9"/>
      <c r="AC45" s="9"/>
      <c r="AD45" s="9"/>
    </row>
    <row r="46" spans="1:30" ht="72.5">
      <c r="A46" s="3" t="s">
        <v>1025</v>
      </c>
      <c r="B46" s="3" t="s">
        <v>5875</v>
      </c>
      <c r="C46" s="4" t="s">
        <v>9632</v>
      </c>
      <c r="D46" t="s">
        <v>4197</v>
      </c>
      <c r="G46" s="9" t="s">
        <v>3885</v>
      </c>
      <c r="H46" s="9"/>
      <c r="I46" s="9">
        <v>1</v>
      </c>
      <c r="J46" s="9">
        <v>3</v>
      </c>
      <c r="K46" s="9" t="s">
        <v>8703</v>
      </c>
      <c r="L46" s="9" t="s">
        <v>8690</v>
      </c>
      <c r="M46" s="9"/>
      <c r="N46" s="10"/>
      <c r="O46" s="9" t="s">
        <v>8691</v>
      </c>
      <c r="P46" s="9">
        <v>9</v>
      </c>
      <c r="Q46" s="9">
        <v>1.1578392147277148</v>
      </c>
      <c r="R46" s="9"/>
      <c r="S46" s="9" t="s">
        <v>9321</v>
      </c>
      <c r="T46" s="9" t="s">
        <v>9321</v>
      </c>
      <c r="U46" s="9"/>
      <c r="V46" s="9"/>
      <c r="W46" s="9"/>
      <c r="X46" s="9"/>
      <c r="Y46" s="9"/>
      <c r="Z46" s="9"/>
      <c r="AA46" s="9"/>
      <c r="AB46" s="9"/>
      <c r="AC46" s="9"/>
      <c r="AD46" s="9"/>
    </row>
    <row r="47" spans="1:30" ht="58">
      <c r="A47" s="3" t="s">
        <v>1029</v>
      </c>
      <c r="B47" s="3" t="s">
        <v>5886</v>
      </c>
      <c r="C47" s="3" t="s">
        <v>5884</v>
      </c>
      <c r="G47" s="9" t="s">
        <v>3889</v>
      </c>
      <c r="H47" s="9"/>
      <c r="I47" s="9">
        <v>1</v>
      </c>
      <c r="J47" s="9">
        <v>2</v>
      </c>
      <c r="K47" s="9" t="s">
        <v>8703</v>
      </c>
      <c r="L47" s="9" t="s">
        <v>8730</v>
      </c>
      <c r="M47" s="9"/>
      <c r="N47" s="10"/>
      <c r="O47" s="9"/>
      <c r="P47" s="9">
        <v>1225</v>
      </c>
      <c r="Q47" s="9">
        <v>157.59478200460561</v>
      </c>
      <c r="R47" s="9"/>
      <c r="S47" s="9" t="s">
        <v>9321</v>
      </c>
      <c r="T47" s="9" t="s">
        <v>9321</v>
      </c>
      <c r="U47" s="9"/>
      <c r="V47" s="9"/>
      <c r="W47" s="9"/>
      <c r="X47" s="9"/>
      <c r="Y47" s="9"/>
      <c r="Z47" s="9"/>
      <c r="AA47" s="9"/>
      <c r="AB47" s="9"/>
      <c r="AC47" s="9"/>
      <c r="AD47" s="9"/>
    </row>
    <row r="48" spans="1:30" ht="43.5">
      <c r="A48" s="3" t="s">
        <v>1030</v>
      </c>
      <c r="B48" s="3" t="s">
        <v>5887</v>
      </c>
      <c r="C48" s="3" t="s">
        <v>5888</v>
      </c>
      <c r="F48" t="s">
        <v>3884</v>
      </c>
      <c r="G48" s="9" t="s">
        <v>3885</v>
      </c>
      <c r="H48" s="9"/>
      <c r="I48" s="9">
        <v>1</v>
      </c>
      <c r="J48" s="9">
        <v>4</v>
      </c>
      <c r="K48" s="9" t="s">
        <v>8703</v>
      </c>
      <c r="L48" s="9" t="s">
        <v>8684</v>
      </c>
      <c r="M48" s="9" t="s">
        <v>8771</v>
      </c>
      <c r="N48" s="10" t="s">
        <v>8772</v>
      </c>
      <c r="O48" s="9"/>
      <c r="P48" s="9">
        <v>0</v>
      </c>
      <c r="Q48" s="9">
        <v>0</v>
      </c>
      <c r="R48" s="9"/>
      <c r="S48" s="9" t="s">
        <v>9321</v>
      </c>
      <c r="T48" s="9" t="s">
        <v>9321</v>
      </c>
      <c r="U48" s="9"/>
      <c r="V48" s="9"/>
      <c r="W48" s="9"/>
      <c r="X48" s="9"/>
      <c r="Y48" s="9"/>
      <c r="Z48" s="9"/>
      <c r="AA48" s="9"/>
      <c r="AB48" s="9"/>
      <c r="AC48" s="9"/>
      <c r="AD48" s="9"/>
    </row>
    <row r="49" spans="1:30" ht="58">
      <c r="A49" s="3" t="s">
        <v>1089</v>
      </c>
      <c r="B49" s="3" t="s">
        <v>6035</v>
      </c>
      <c r="C49" s="3" t="s">
        <v>6036</v>
      </c>
      <c r="F49" t="s">
        <v>3884</v>
      </c>
      <c r="G49" s="9" t="s">
        <v>3885</v>
      </c>
      <c r="H49" s="9"/>
      <c r="I49" s="9">
        <v>1</v>
      </c>
      <c r="J49" s="9">
        <v>5</v>
      </c>
      <c r="K49" s="9" t="s">
        <v>8703</v>
      </c>
      <c r="L49" s="9" t="s">
        <v>8690</v>
      </c>
      <c r="M49" s="9"/>
      <c r="N49" s="10"/>
      <c r="O49" s="9"/>
      <c r="P49" s="9">
        <v>655</v>
      </c>
      <c r="Q49" s="9">
        <v>84.264965071850355</v>
      </c>
      <c r="R49" s="9"/>
      <c r="S49" s="9" t="s">
        <v>9321</v>
      </c>
      <c r="T49" s="9" t="s">
        <v>9321</v>
      </c>
      <c r="U49" s="9"/>
      <c r="V49" s="9"/>
      <c r="W49" s="9"/>
      <c r="X49" s="9"/>
      <c r="Y49" s="9"/>
      <c r="Z49" s="9"/>
      <c r="AA49" s="9"/>
      <c r="AB49" s="9"/>
      <c r="AC49" s="9"/>
      <c r="AD49" s="9"/>
    </row>
    <row r="50" spans="1:30" ht="29">
      <c r="A50" s="3" t="s">
        <v>1114</v>
      </c>
      <c r="B50" s="3" t="s">
        <v>6118</v>
      </c>
      <c r="C50" s="3" t="s">
        <v>6119</v>
      </c>
      <c r="F50" t="s">
        <v>3884</v>
      </c>
      <c r="G50" s="9" t="s">
        <v>3889</v>
      </c>
      <c r="H50" s="9"/>
      <c r="I50" s="9">
        <v>1</v>
      </c>
      <c r="J50" s="9">
        <v>4</v>
      </c>
      <c r="K50" s="9" t="s">
        <v>8703</v>
      </c>
      <c r="L50" s="9" t="s">
        <v>8690</v>
      </c>
      <c r="M50" s="9"/>
      <c r="N50" s="10"/>
      <c r="O50" s="9"/>
      <c r="P50" s="9">
        <v>55</v>
      </c>
      <c r="Q50" s="9">
        <v>7.075684090002702</v>
      </c>
      <c r="R50" s="9"/>
      <c r="S50" s="9" t="s">
        <v>9321</v>
      </c>
      <c r="T50" s="9" t="s">
        <v>9321</v>
      </c>
      <c r="U50" s="9"/>
      <c r="V50" s="9"/>
      <c r="W50" s="9"/>
      <c r="X50" s="9"/>
      <c r="Y50" s="9"/>
      <c r="Z50" s="9"/>
      <c r="AA50" s="9"/>
      <c r="AB50" s="9"/>
      <c r="AC50" s="9"/>
      <c r="AD50" s="9"/>
    </row>
    <row r="51" spans="1:30" ht="72.5">
      <c r="A51" s="3" t="s">
        <v>1143</v>
      </c>
      <c r="B51" s="3" t="s">
        <v>6170</v>
      </c>
      <c r="C51" s="3" t="s">
        <v>6171</v>
      </c>
      <c r="F51" t="s">
        <v>3884</v>
      </c>
      <c r="G51" s="9" t="s">
        <v>3889</v>
      </c>
      <c r="H51" s="9"/>
      <c r="I51" s="9">
        <v>1</v>
      </c>
      <c r="J51" s="9">
        <v>7</v>
      </c>
      <c r="K51" s="9" t="s">
        <v>8703</v>
      </c>
      <c r="L51" s="9" t="s">
        <v>8690</v>
      </c>
      <c r="M51" s="9"/>
      <c r="N51" s="10"/>
      <c r="O51" s="9"/>
      <c r="P51" s="9">
        <v>186</v>
      </c>
      <c r="Q51" s="9">
        <v>23.92867710437277</v>
      </c>
      <c r="R51" s="9"/>
      <c r="S51" s="9" t="s">
        <v>9321</v>
      </c>
      <c r="T51" s="9" t="s">
        <v>9321</v>
      </c>
      <c r="U51" s="9"/>
      <c r="V51" s="9"/>
      <c r="W51" s="9"/>
      <c r="X51" s="9"/>
      <c r="Y51" s="9"/>
      <c r="Z51" s="9"/>
      <c r="AA51" s="9"/>
      <c r="AB51" s="9"/>
      <c r="AC51" s="9"/>
      <c r="AD51" s="9"/>
    </row>
    <row r="52" spans="1:30" ht="58">
      <c r="A52" s="3" t="s">
        <v>1164</v>
      </c>
      <c r="B52" s="3" t="s">
        <v>6203</v>
      </c>
      <c r="C52" s="3" t="s">
        <v>6204</v>
      </c>
      <c r="F52" t="s">
        <v>3884</v>
      </c>
      <c r="G52" s="9" t="s">
        <v>3885</v>
      </c>
      <c r="H52" s="9"/>
      <c r="I52" s="9">
        <v>1</v>
      </c>
      <c r="J52" s="9">
        <v>4</v>
      </c>
      <c r="K52" s="9" t="s">
        <v>8703</v>
      </c>
      <c r="L52" s="9" t="s">
        <v>8684</v>
      </c>
      <c r="M52" s="9" t="s">
        <v>8777</v>
      </c>
      <c r="N52" s="10" t="s">
        <v>8772</v>
      </c>
      <c r="O52" s="9" t="s">
        <v>8685</v>
      </c>
      <c r="P52" s="9">
        <v>0</v>
      </c>
      <c r="Q52" s="9">
        <v>0</v>
      </c>
      <c r="R52" s="9"/>
      <c r="S52" s="9" t="s">
        <v>9321</v>
      </c>
      <c r="T52" s="9" t="s">
        <v>9321</v>
      </c>
      <c r="U52" s="9"/>
      <c r="V52" s="9"/>
      <c r="W52" s="9"/>
      <c r="X52" s="9"/>
      <c r="Y52" s="9"/>
      <c r="Z52" s="9"/>
      <c r="AA52" s="9"/>
      <c r="AB52" s="9"/>
      <c r="AC52" s="9"/>
      <c r="AD52" s="9"/>
    </row>
    <row r="53" spans="1:30" ht="87">
      <c r="A53" s="3" t="s">
        <v>1221</v>
      </c>
      <c r="B53" s="3" t="s">
        <v>6345</v>
      </c>
      <c r="C53" s="3" t="s">
        <v>6344</v>
      </c>
      <c r="F53" t="s">
        <v>3884</v>
      </c>
      <c r="G53" s="9" t="s">
        <v>3889</v>
      </c>
      <c r="H53" s="9"/>
      <c r="I53" s="9">
        <v>1</v>
      </c>
      <c r="J53" s="9">
        <v>3</v>
      </c>
      <c r="K53" s="9" t="s">
        <v>8703</v>
      </c>
      <c r="L53" s="9" t="s">
        <v>8690</v>
      </c>
      <c r="M53" s="9"/>
      <c r="N53" s="10"/>
      <c r="O53" s="9"/>
      <c r="P53" s="9">
        <v>627</v>
      </c>
      <c r="Q53" s="9">
        <v>80.662798626030806</v>
      </c>
      <c r="R53" s="9"/>
      <c r="S53" s="9" t="s">
        <v>9321</v>
      </c>
      <c r="T53" s="9" t="s">
        <v>9321</v>
      </c>
      <c r="U53" s="9"/>
      <c r="V53" s="9"/>
      <c r="W53" s="9"/>
      <c r="X53" s="9"/>
      <c r="Y53" s="9"/>
      <c r="Z53" s="9"/>
      <c r="AA53" s="9"/>
      <c r="AB53" s="9"/>
      <c r="AC53" s="9"/>
      <c r="AD53" s="9"/>
    </row>
    <row r="54" spans="1:30" ht="43.5">
      <c r="A54" s="3" t="s">
        <v>1239</v>
      </c>
      <c r="B54" s="3" t="s">
        <v>6392</v>
      </c>
      <c r="C54" s="3" t="s">
        <v>6393</v>
      </c>
      <c r="G54" s="9" t="s">
        <v>3889</v>
      </c>
      <c r="H54" s="9"/>
      <c r="I54" s="9">
        <v>1</v>
      </c>
      <c r="J54" s="9">
        <v>2</v>
      </c>
      <c r="K54" s="9" t="s">
        <v>8703</v>
      </c>
      <c r="L54" s="9" t="s">
        <v>8730</v>
      </c>
      <c r="M54" s="9"/>
      <c r="N54" s="10"/>
      <c r="O54" s="9"/>
      <c r="P54" s="9">
        <v>1225</v>
      </c>
      <c r="Q54" s="9">
        <v>157.59478200460561</v>
      </c>
      <c r="R54" s="9"/>
      <c r="S54" s="9" t="s">
        <v>9321</v>
      </c>
      <c r="T54" s="9" t="s">
        <v>9321</v>
      </c>
      <c r="U54" s="9"/>
      <c r="V54" s="9"/>
      <c r="W54" s="9"/>
      <c r="X54" s="9"/>
      <c r="Y54" s="9"/>
      <c r="Z54" s="9"/>
      <c r="AA54" s="9"/>
      <c r="AB54" s="9"/>
      <c r="AC54" s="9"/>
      <c r="AD54" s="9"/>
    </row>
    <row r="55" spans="1:30" ht="58">
      <c r="A55" s="3" t="s">
        <v>1244</v>
      </c>
      <c r="B55" s="3" t="s">
        <v>6405</v>
      </c>
      <c r="C55" s="3" t="s">
        <v>6406</v>
      </c>
      <c r="F55" t="s">
        <v>3884</v>
      </c>
      <c r="G55" s="9" t="s">
        <v>3889</v>
      </c>
      <c r="H55" s="9"/>
      <c r="I55" s="9">
        <v>1</v>
      </c>
      <c r="J55" s="9">
        <v>6</v>
      </c>
      <c r="K55" s="9" t="s">
        <v>8683</v>
      </c>
      <c r="L55" s="9" t="s">
        <v>8684</v>
      </c>
      <c r="M55" s="9" t="s">
        <v>9080</v>
      </c>
      <c r="N55" s="10" t="s">
        <v>9081</v>
      </c>
      <c r="O55" s="9"/>
      <c r="P55" s="9">
        <v>24</v>
      </c>
      <c r="Q55" s="9">
        <v>3.0875712392739061</v>
      </c>
      <c r="R55" s="9"/>
      <c r="S55" s="9" t="s">
        <v>9321</v>
      </c>
      <c r="T55" s="9" t="s">
        <v>9321</v>
      </c>
      <c r="U55" s="9"/>
      <c r="V55" s="9"/>
      <c r="W55" s="9"/>
      <c r="X55" s="9"/>
      <c r="Y55" s="9"/>
      <c r="Z55" s="9"/>
      <c r="AA55" s="9"/>
      <c r="AB55" s="9"/>
      <c r="AC55" s="9"/>
      <c r="AD55" s="9"/>
    </row>
    <row r="56" spans="1:30" ht="58">
      <c r="A56" s="3" t="s">
        <v>1262</v>
      </c>
      <c r="B56" s="3" t="s">
        <v>6472</v>
      </c>
      <c r="C56" s="3" t="s">
        <v>6471</v>
      </c>
      <c r="G56" s="9" t="s">
        <v>3889</v>
      </c>
      <c r="H56" s="9"/>
      <c r="I56" s="9">
        <v>1</v>
      </c>
      <c r="J56" s="9">
        <v>3</v>
      </c>
      <c r="K56" s="9" t="s">
        <v>8683</v>
      </c>
      <c r="L56" s="9" t="s">
        <v>8690</v>
      </c>
      <c r="M56" s="9"/>
      <c r="N56" s="10"/>
      <c r="O56" s="9"/>
      <c r="P56" s="9">
        <v>99</v>
      </c>
      <c r="Q56" s="9">
        <v>12.736231362004862</v>
      </c>
      <c r="R56" s="9"/>
      <c r="S56" s="9" t="s">
        <v>9321</v>
      </c>
      <c r="T56" s="9" t="s">
        <v>9321</v>
      </c>
      <c r="U56" s="9"/>
      <c r="V56" s="9"/>
      <c r="W56" s="9"/>
      <c r="X56" s="9"/>
      <c r="Y56" s="9"/>
      <c r="Z56" s="9"/>
      <c r="AA56" s="9"/>
      <c r="AB56" s="9"/>
      <c r="AC56" s="9"/>
      <c r="AD56" s="9"/>
    </row>
    <row r="57" spans="1:30" ht="58">
      <c r="A57" s="3" t="s">
        <v>1318</v>
      </c>
      <c r="B57" s="3" t="s">
        <v>6621</v>
      </c>
      <c r="C57" s="3" t="s">
        <v>6622</v>
      </c>
      <c r="F57" t="s">
        <v>3884</v>
      </c>
      <c r="G57" s="9" t="s">
        <v>3885</v>
      </c>
      <c r="H57" s="9"/>
      <c r="I57" s="9">
        <v>1</v>
      </c>
      <c r="J57" s="9">
        <v>2</v>
      </c>
      <c r="K57" s="9" t="s">
        <v>8695</v>
      </c>
      <c r="L57" s="9" t="s">
        <v>8730</v>
      </c>
      <c r="M57" s="9"/>
      <c r="N57" s="10"/>
      <c r="O57" s="9"/>
      <c r="P57" s="9">
        <v>0</v>
      </c>
      <c r="Q57" s="9">
        <v>0</v>
      </c>
      <c r="R57" s="9"/>
      <c r="S57" s="9" t="s">
        <v>9321</v>
      </c>
      <c r="T57" s="9" t="s">
        <v>9321</v>
      </c>
      <c r="U57" s="9"/>
      <c r="V57" s="9"/>
      <c r="W57" s="9"/>
      <c r="X57" s="9"/>
      <c r="Y57" s="9"/>
      <c r="Z57" s="9"/>
      <c r="AA57" s="9"/>
      <c r="AB57" s="9"/>
      <c r="AC57" s="9"/>
      <c r="AD57" s="9"/>
    </row>
    <row r="58" spans="1:30" ht="87">
      <c r="A58" s="3" t="s">
        <v>1340</v>
      </c>
      <c r="B58" s="3" t="s">
        <v>6687</v>
      </c>
      <c r="C58" s="3" t="s">
        <v>6688</v>
      </c>
      <c r="F58" t="s">
        <v>3884</v>
      </c>
      <c r="G58" s="9" t="s">
        <v>3889</v>
      </c>
      <c r="H58" s="9"/>
      <c r="I58" s="9">
        <v>1</v>
      </c>
      <c r="J58" s="9">
        <v>5</v>
      </c>
      <c r="K58" s="9" t="s">
        <v>8703</v>
      </c>
      <c r="L58" s="9" t="s">
        <v>8690</v>
      </c>
      <c r="M58" s="9"/>
      <c r="N58" s="10"/>
      <c r="O58" s="9"/>
      <c r="P58" s="9">
        <v>494</v>
      </c>
      <c r="Q58" s="9">
        <v>63.552508008387903</v>
      </c>
      <c r="R58" s="9"/>
      <c r="S58" s="9" t="s">
        <v>9321</v>
      </c>
      <c r="T58" s="9" t="s">
        <v>9321</v>
      </c>
      <c r="U58" s="9"/>
      <c r="V58" s="9"/>
      <c r="W58" s="9"/>
      <c r="X58" s="9"/>
      <c r="Y58" s="9"/>
      <c r="Z58" s="9"/>
      <c r="AA58" s="9"/>
      <c r="AB58" s="9"/>
      <c r="AC58" s="9"/>
      <c r="AD58" s="9"/>
    </row>
    <row r="59" spans="1:30" ht="29">
      <c r="A59" s="3" t="s">
        <v>1349</v>
      </c>
      <c r="B59" s="3" t="s">
        <v>6708</v>
      </c>
      <c r="C59" s="3" t="s">
        <v>6709</v>
      </c>
      <c r="G59" s="9" t="s">
        <v>3889</v>
      </c>
      <c r="H59" s="9"/>
      <c r="I59" s="9">
        <v>1</v>
      </c>
      <c r="J59" s="9">
        <v>1</v>
      </c>
      <c r="K59" s="9" t="s">
        <v>8683</v>
      </c>
      <c r="L59" s="9" t="s">
        <v>8730</v>
      </c>
      <c r="M59" s="9"/>
      <c r="N59" s="10"/>
      <c r="O59" s="9"/>
      <c r="P59" s="9">
        <v>15</v>
      </c>
      <c r="Q59" s="9">
        <v>1.9297320245461913</v>
      </c>
      <c r="R59" s="9"/>
      <c r="S59" s="9" t="s">
        <v>9321</v>
      </c>
      <c r="T59" s="9" t="s">
        <v>9321</v>
      </c>
      <c r="U59" s="9"/>
      <c r="V59" s="9"/>
      <c r="W59" s="9"/>
      <c r="X59" s="9"/>
      <c r="Y59" s="9"/>
      <c r="Z59" s="9"/>
      <c r="AA59" s="9"/>
      <c r="AB59" s="9"/>
      <c r="AC59" s="9"/>
      <c r="AD59" s="9"/>
    </row>
    <row r="60" spans="1:30" ht="29">
      <c r="A60" s="3" t="s">
        <v>1384</v>
      </c>
      <c r="B60" s="3" t="s">
        <v>6846</v>
      </c>
      <c r="C60" s="3" t="s">
        <v>6847</v>
      </c>
      <c r="F60" t="s">
        <v>3892</v>
      </c>
      <c r="G60" s="9" t="s">
        <v>3889</v>
      </c>
      <c r="H60" s="9"/>
      <c r="I60" s="9">
        <v>1</v>
      </c>
      <c r="J60" s="9">
        <v>2</v>
      </c>
      <c r="K60" s="9" t="s">
        <v>8703</v>
      </c>
      <c r="L60" s="9" t="s">
        <v>8730</v>
      </c>
      <c r="M60" s="9"/>
      <c r="N60" s="10"/>
      <c r="O60" s="9"/>
      <c r="P60" s="9">
        <v>1225</v>
      </c>
      <c r="Q60" s="9">
        <v>157.59478200460561</v>
      </c>
      <c r="R60" s="9"/>
      <c r="S60" s="9" t="s">
        <v>9321</v>
      </c>
      <c r="T60" s="9" t="s">
        <v>9321</v>
      </c>
      <c r="U60" s="9"/>
      <c r="V60" s="9"/>
      <c r="W60" s="9"/>
      <c r="X60" s="9"/>
      <c r="Y60" s="9"/>
      <c r="Z60" s="9"/>
      <c r="AA60" s="9"/>
      <c r="AB60" s="9"/>
      <c r="AC60" s="9"/>
      <c r="AD60" s="9"/>
    </row>
    <row r="61" spans="1:30" ht="43.5">
      <c r="A61" s="3" t="s">
        <v>1391</v>
      </c>
      <c r="B61" s="3" t="s">
        <v>6869</v>
      </c>
      <c r="C61" s="3" t="s">
        <v>6870</v>
      </c>
      <c r="F61" t="s">
        <v>3884</v>
      </c>
      <c r="G61" s="9" t="s">
        <v>3885</v>
      </c>
      <c r="H61" s="9"/>
      <c r="I61" s="9">
        <v>1</v>
      </c>
      <c r="J61" s="9">
        <v>5</v>
      </c>
      <c r="K61" s="9" t="s">
        <v>8683</v>
      </c>
      <c r="L61" s="9" t="s">
        <v>8690</v>
      </c>
      <c r="M61" s="9"/>
      <c r="N61" s="10"/>
      <c r="O61" s="9"/>
      <c r="P61" s="9">
        <v>0</v>
      </c>
      <c r="Q61" s="9">
        <v>0</v>
      </c>
      <c r="R61" s="9"/>
      <c r="S61" s="9" t="s">
        <v>9321</v>
      </c>
      <c r="T61" s="9" t="s">
        <v>9321</v>
      </c>
      <c r="U61" s="9"/>
      <c r="V61" s="9"/>
      <c r="W61" s="9"/>
      <c r="X61" s="9"/>
      <c r="Y61" s="9"/>
      <c r="Z61" s="9"/>
      <c r="AA61" s="9"/>
      <c r="AB61" s="9"/>
      <c r="AC61" s="9"/>
      <c r="AD61" s="9"/>
    </row>
    <row r="62" spans="1:30" ht="87">
      <c r="A62" s="3" t="s">
        <v>1416</v>
      </c>
      <c r="B62" s="3" t="s">
        <v>6956</v>
      </c>
      <c r="C62" s="3" t="s">
        <v>6957</v>
      </c>
      <c r="G62" s="9" t="s">
        <v>3885</v>
      </c>
      <c r="H62" s="9"/>
      <c r="I62" s="9">
        <v>1</v>
      </c>
      <c r="J62" s="9">
        <v>6</v>
      </c>
      <c r="K62" s="9" t="s">
        <v>8703</v>
      </c>
      <c r="L62" s="9" t="s">
        <v>8690</v>
      </c>
      <c r="M62" s="9"/>
      <c r="N62" s="10"/>
      <c r="O62" s="9"/>
      <c r="P62" s="9">
        <v>627</v>
      </c>
      <c r="Q62" s="9">
        <v>80.662798626030806</v>
      </c>
      <c r="R62" s="9"/>
      <c r="S62" s="9" t="s">
        <v>9321</v>
      </c>
      <c r="T62" s="9" t="s">
        <v>9321</v>
      </c>
      <c r="U62" s="9"/>
      <c r="V62" s="9"/>
      <c r="W62" s="9"/>
      <c r="X62" s="9"/>
      <c r="Y62" s="9"/>
      <c r="Z62" s="9"/>
      <c r="AA62" s="9"/>
      <c r="AB62" s="9"/>
      <c r="AC62" s="9"/>
      <c r="AD62" s="9"/>
    </row>
    <row r="63" spans="1:30" ht="58">
      <c r="A63" s="3" t="s">
        <v>1418</v>
      </c>
      <c r="B63" s="3" t="s">
        <v>6958</v>
      </c>
      <c r="C63" s="3" t="s">
        <v>6961</v>
      </c>
      <c r="F63" t="s">
        <v>3884</v>
      </c>
      <c r="G63" s="9" t="s">
        <v>3885</v>
      </c>
      <c r="H63" s="9"/>
      <c r="I63" s="9">
        <v>1</v>
      </c>
      <c r="J63" s="9">
        <v>4</v>
      </c>
      <c r="K63" s="9" t="s">
        <v>8703</v>
      </c>
      <c r="L63" s="9" t="s">
        <v>8690</v>
      </c>
      <c r="M63" s="9"/>
      <c r="N63" s="10"/>
      <c r="O63" s="9"/>
      <c r="P63" s="9">
        <v>797</v>
      </c>
      <c r="Q63" s="9">
        <v>102.53309490422097</v>
      </c>
      <c r="R63" s="9"/>
      <c r="S63" s="9" t="s">
        <v>9321</v>
      </c>
      <c r="T63" s="9" t="s">
        <v>9321</v>
      </c>
      <c r="U63" s="9" t="s">
        <v>8728</v>
      </c>
      <c r="V63" s="9"/>
      <c r="W63" s="9"/>
      <c r="X63" s="9"/>
      <c r="Y63" s="9"/>
      <c r="Z63" s="9"/>
      <c r="AA63" s="9"/>
      <c r="AB63" s="9"/>
      <c r="AC63" s="9"/>
      <c r="AD63" s="9"/>
    </row>
    <row r="64" spans="1:30" ht="101.5">
      <c r="A64" s="3" t="s">
        <v>1436</v>
      </c>
      <c r="B64" s="3" t="s">
        <v>9363</v>
      </c>
      <c r="C64" s="3" t="s">
        <v>9364</v>
      </c>
      <c r="F64" t="s">
        <v>3884</v>
      </c>
      <c r="G64" s="9" t="s">
        <v>3885</v>
      </c>
      <c r="H64" s="9"/>
      <c r="I64" s="9">
        <v>1</v>
      </c>
      <c r="J64" s="9">
        <v>8</v>
      </c>
      <c r="K64" s="9" t="s">
        <v>8683</v>
      </c>
      <c r="L64" s="9" t="s">
        <v>8684</v>
      </c>
      <c r="M64" s="9" t="s">
        <v>8771</v>
      </c>
      <c r="N64" s="10" t="s">
        <v>8983</v>
      </c>
      <c r="O64" s="9" t="s">
        <v>8685</v>
      </c>
      <c r="P64" s="9">
        <v>59</v>
      </c>
      <c r="Q64" s="9">
        <v>7.5902792965483519</v>
      </c>
      <c r="R64" s="9"/>
      <c r="S64" s="9" t="s">
        <v>9321</v>
      </c>
      <c r="T64" s="9" t="s">
        <v>9321</v>
      </c>
      <c r="U64" s="9" t="s">
        <v>8728</v>
      </c>
      <c r="V64" s="9"/>
      <c r="W64" s="9"/>
      <c r="X64" s="9"/>
      <c r="Y64" s="9"/>
      <c r="Z64" s="9"/>
      <c r="AA64" s="9"/>
      <c r="AB64" s="9"/>
      <c r="AC64" s="9"/>
      <c r="AD64" s="9"/>
    </row>
    <row r="65" spans="1:30" ht="43.5">
      <c r="A65" s="3" t="s">
        <v>1445</v>
      </c>
      <c r="B65" s="3" t="s">
        <v>7062</v>
      </c>
      <c r="C65" s="3" t="s">
        <v>7063</v>
      </c>
      <c r="F65" t="s">
        <v>3884</v>
      </c>
      <c r="G65" s="9" t="s">
        <v>3885</v>
      </c>
      <c r="H65" s="9"/>
      <c r="I65" s="9">
        <v>1</v>
      </c>
      <c r="J65" s="9">
        <v>3</v>
      </c>
      <c r="K65" s="9" t="s">
        <v>8695</v>
      </c>
      <c r="L65" s="9" t="s">
        <v>8690</v>
      </c>
      <c r="M65" s="9"/>
      <c r="N65" s="10"/>
      <c r="O65" s="9"/>
      <c r="P65" s="9">
        <v>78</v>
      </c>
      <c r="Q65" s="9">
        <v>10.034606527640195</v>
      </c>
      <c r="R65" s="9"/>
      <c r="S65" s="9" t="s">
        <v>9321</v>
      </c>
      <c r="T65" s="9" t="s">
        <v>9321</v>
      </c>
      <c r="U65" s="9"/>
      <c r="V65" s="9"/>
      <c r="W65" s="9"/>
      <c r="X65" s="9"/>
      <c r="Y65" s="9"/>
      <c r="Z65" s="9"/>
      <c r="AA65" s="9"/>
      <c r="AB65" s="9"/>
      <c r="AC65" s="9"/>
      <c r="AD65" s="9"/>
    </row>
    <row r="66" spans="1:30" ht="72.5">
      <c r="A66" s="3" t="s">
        <v>1466</v>
      </c>
      <c r="B66" s="3" t="s">
        <v>7134</v>
      </c>
      <c r="C66" s="3" t="s">
        <v>9121</v>
      </c>
      <c r="F66" t="s">
        <v>3884</v>
      </c>
      <c r="G66" s="9" t="s">
        <v>3885</v>
      </c>
      <c r="H66" s="9"/>
      <c r="I66" s="9">
        <v>1</v>
      </c>
      <c r="J66" s="9">
        <v>2</v>
      </c>
      <c r="K66" s="9" t="s">
        <v>8736</v>
      </c>
      <c r="L66" s="9" t="s">
        <v>8730</v>
      </c>
      <c r="M66" s="9"/>
      <c r="N66" s="10"/>
      <c r="O66" s="9"/>
      <c r="P66" s="9">
        <v>645</v>
      </c>
      <c r="Q66" s="9">
        <v>82.978477055486238</v>
      </c>
      <c r="R66" s="9"/>
      <c r="S66" s="9" t="s">
        <v>9321</v>
      </c>
      <c r="T66" s="9" t="s">
        <v>9321</v>
      </c>
      <c r="U66" s="9"/>
      <c r="V66" s="9"/>
      <c r="W66" s="9"/>
      <c r="X66" s="9"/>
      <c r="Y66" s="9"/>
      <c r="Z66" s="9"/>
      <c r="AA66" s="9"/>
      <c r="AB66" s="9"/>
      <c r="AC66" s="9"/>
      <c r="AD66" s="9"/>
    </row>
    <row r="67" spans="1:30" ht="72.5">
      <c r="A67" s="3" t="s">
        <v>1513</v>
      </c>
      <c r="B67" s="3" t="s">
        <v>7285</v>
      </c>
      <c r="C67" s="3" t="s">
        <v>7286</v>
      </c>
      <c r="F67" t="s">
        <v>3884</v>
      </c>
      <c r="G67" s="9" t="s">
        <v>3885</v>
      </c>
      <c r="H67" s="9"/>
      <c r="I67" s="9">
        <v>1</v>
      </c>
      <c r="J67" s="9">
        <v>1</v>
      </c>
      <c r="K67" s="9" t="s">
        <v>8683</v>
      </c>
      <c r="L67" s="9" t="s">
        <v>8730</v>
      </c>
      <c r="M67" s="9"/>
      <c r="N67" s="10"/>
      <c r="O67" s="9"/>
      <c r="P67" s="9">
        <v>4</v>
      </c>
      <c r="Q67" s="9">
        <v>0.51459520654565105</v>
      </c>
      <c r="R67" s="9"/>
      <c r="S67" s="9" t="s">
        <v>9321</v>
      </c>
      <c r="T67" s="9" t="s">
        <v>9321</v>
      </c>
      <c r="U67" s="9"/>
      <c r="V67" s="9"/>
      <c r="W67" s="9"/>
      <c r="X67" s="9"/>
      <c r="Y67" s="9"/>
      <c r="Z67" s="9"/>
      <c r="AA67" s="9"/>
      <c r="AB67" s="9"/>
      <c r="AC67" s="9"/>
      <c r="AD67" s="9"/>
    </row>
    <row r="68" spans="1:30" ht="29">
      <c r="A68" s="3" t="s">
        <v>1536</v>
      </c>
      <c r="B68" s="3" t="s">
        <v>7371</v>
      </c>
      <c r="C68" s="3" t="s">
        <v>7372</v>
      </c>
      <c r="F68" t="s">
        <v>3884</v>
      </c>
      <c r="G68" s="9" t="s">
        <v>3889</v>
      </c>
      <c r="H68" s="9"/>
      <c r="I68" s="9">
        <v>1</v>
      </c>
      <c r="J68" s="9">
        <v>5</v>
      </c>
      <c r="K68" s="9" t="s">
        <v>8703</v>
      </c>
      <c r="L68" s="9" t="s">
        <v>8690</v>
      </c>
      <c r="M68" s="9"/>
      <c r="N68" s="10"/>
      <c r="O68" s="9"/>
      <c r="P68" s="9">
        <v>494</v>
      </c>
      <c r="Q68" s="9">
        <v>63.552508008387903</v>
      </c>
      <c r="R68" s="9"/>
      <c r="S68" s="9" t="s">
        <v>9321</v>
      </c>
      <c r="T68" s="9" t="s">
        <v>9321</v>
      </c>
      <c r="U68" s="9"/>
      <c r="V68" s="9"/>
      <c r="W68" s="9"/>
      <c r="X68" s="9"/>
      <c r="Y68" s="9"/>
      <c r="Z68" s="9"/>
      <c r="AA68" s="9"/>
      <c r="AB68" s="9"/>
      <c r="AC68" s="9"/>
      <c r="AD68" s="9"/>
    </row>
    <row r="69" spans="1:30" ht="58">
      <c r="A69" s="3" t="s">
        <v>1546</v>
      </c>
      <c r="B69" s="3" t="s">
        <v>7410</v>
      </c>
      <c r="C69" s="3" t="s">
        <v>7411</v>
      </c>
      <c r="F69" t="s">
        <v>3884</v>
      </c>
      <c r="G69" s="9" t="s">
        <v>3885</v>
      </c>
      <c r="H69" s="9"/>
      <c r="I69" s="9">
        <v>1</v>
      </c>
      <c r="J69" s="9">
        <v>6</v>
      </c>
      <c r="K69" s="9" t="s">
        <v>8703</v>
      </c>
      <c r="L69" s="9" t="s">
        <v>8684</v>
      </c>
      <c r="M69" s="9" t="s">
        <v>8771</v>
      </c>
      <c r="N69" s="10" t="s">
        <v>8982</v>
      </c>
      <c r="O69" s="9"/>
      <c r="P69" s="9">
        <v>0</v>
      </c>
      <c r="Q69" s="9">
        <v>0</v>
      </c>
      <c r="R69" s="9"/>
      <c r="S69" s="9" t="s">
        <v>9321</v>
      </c>
      <c r="T69" s="9" t="s">
        <v>9321</v>
      </c>
      <c r="U69" s="9"/>
      <c r="V69" s="9"/>
      <c r="W69" s="9"/>
      <c r="X69" s="9"/>
      <c r="Y69" s="9"/>
      <c r="Z69" s="9"/>
      <c r="AA69" s="9"/>
      <c r="AB69" s="9"/>
      <c r="AC69" s="9"/>
      <c r="AD69" s="9"/>
    </row>
    <row r="70" spans="1:30" ht="58">
      <c r="A70" s="3" t="s">
        <v>1571</v>
      </c>
      <c r="B70" s="3" t="s">
        <v>7479</v>
      </c>
      <c r="C70" s="3" t="s">
        <v>7480</v>
      </c>
      <c r="D70" t="s">
        <v>3886</v>
      </c>
      <c r="F70" t="s">
        <v>3892</v>
      </c>
      <c r="G70" s="9" t="s">
        <v>3889</v>
      </c>
      <c r="H70" s="9"/>
      <c r="I70" s="9">
        <v>1</v>
      </c>
      <c r="J70" s="9">
        <v>4</v>
      </c>
      <c r="K70" s="9" t="s">
        <v>8695</v>
      </c>
      <c r="L70" s="9" t="s">
        <v>8690</v>
      </c>
      <c r="M70" s="9"/>
      <c r="N70" s="10"/>
      <c r="O70" s="9"/>
      <c r="P70" s="9">
        <v>9</v>
      </c>
      <c r="Q70" s="9">
        <v>1.1578392147277148</v>
      </c>
      <c r="R70" s="9"/>
      <c r="S70" s="9" t="s">
        <v>9321</v>
      </c>
      <c r="T70" s="9" t="s">
        <v>9321</v>
      </c>
      <c r="U70" s="9"/>
      <c r="V70" s="9"/>
      <c r="W70" s="9"/>
      <c r="X70" s="9"/>
      <c r="Y70" s="9"/>
      <c r="Z70" s="9"/>
      <c r="AA70" s="9"/>
      <c r="AB70" s="9"/>
      <c r="AC70" s="9"/>
      <c r="AD70" s="9"/>
    </row>
    <row r="71" spans="1:30" ht="43.5">
      <c r="A71" s="3" t="s">
        <v>1585</v>
      </c>
      <c r="B71" s="3" t="s">
        <v>7526</v>
      </c>
      <c r="C71" s="3" t="s">
        <v>7527</v>
      </c>
      <c r="F71" t="s">
        <v>3884</v>
      </c>
      <c r="G71" s="9" t="s">
        <v>3885</v>
      </c>
      <c r="H71" s="9"/>
      <c r="I71" s="9">
        <v>1</v>
      </c>
      <c r="J71" s="9">
        <v>1</v>
      </c>
      <c r="K71" s="9" t="s">
        <v>8683</v>
      </c>
      <c r="L71" s="9" t="s">
        <v>8730</v>
      </c>
      <c r="M71" s="9"/>
      <c r="N71" s="10"/>
      <c r="O71" s="9"/>
      <c r="P71" s="9">
        <v>1</v>
      </c>
      <c r="Q71" s="9">
        <v>0.12864880163641276</v>
      </c>
      <c r="R71" s="9"/>
      <c r="S71" s="9" t="s">
        <v>9321</v>
      </c>
      <c r="T71" s="9" t="s">
        <v>9321</v>
      </c>
      <c r="U71" s="9" t="s">
        <v>8728</v>
      </c>
      <c r="V71" s="9"/>
      <c r="W71" s="9"/>
      <c r="X71" s="9"/>
      <c r="Y71" s="9"/>
      <c r="Z71" s="9"/>
      <c r="AA71" s="9"/>
      <c r="AB71" s="9"/>
      <c r="AC71" s="9"/>
      <c r="AD71" s="9"/>
    </row>
    <row r="72" spans="1:30" ht="29">
      <c r="A72" s="3" t="s">
        <v>1638</v>
      </c>
      <c r="B72" s="3" t="s">
        <v>7684</v>
      </c>
      <c r="C72" s="3" t="s">
        <v>7685</v>
      </c>
      <c r="F72" t="s">
        <v>3892</v>
      </c>
      <c r="G72" s="9" t="s">
        <v>3885</v>
      </c>
      <c r="H72" s="9"/>
      <c r="I72" s="9">
        <v>1</v>
      </c>
      <c r="J72" s="9">
        <v>1</v>
      </c>
      <c r="K72" s="9" t="s">
        <v>8695</v>
      </c>
      <c r="L72" s="9" t="s">
        <v>8730</v>
      </c>
      <c r="M72" s="9"/>
      <c r="N72" s="10"/>
      <c r="O72" s="9"/>
      <c r="P72" s="9">
        <v>10</v>
      </c>
      <c r="Q72" s="9">
        <v>1.2864880163641275</v>
      </c>
      <c r="R72" s="9"/>
      <c r="S72" s="9" t="s">
        <v>9321</v>
      </c>
      <c r="T72" s="9" t="s">
        <v>9321</v>
      </c>
      <c r="U72" s="9"/>
      <c r="V72" s="9"/>
      <c r="W72" s="9"/>
      <c r="X72" s="9"/>
      <c r="Y72" s="9"/>
      <c r="Z72" s="9"/>
      <c r="AA72" s="9"/>
      <c r="AB72" s="9"/>
      <c r="AC72" s="9"/>
      <c r="AD72" s="9"/>
    </row>
    <row r="73" spans="1:30" ht="43.5">
      <c r="A73" s="3" t="s">
        <v>1647</v>
      </c>
      <c r="B73" s="3" t="s">
        <v>7705</v>
      </c>
      <c r="C73" s="3" t="s">
        <v>7706</v>
      </c>
      <c r="F73" t="s">
        <v>3884</v>
      </c>
      <c r="G73" s="9" t="s">
        <v>3889</v>
      </c>
      <c r="H73" s="9"/>
      <c r="I73" s="9">
        <v>1</v>
      </c>
      <c r="J73" s="9">
        <v>2</v>
      </c>
      <c r="K73" s="9" t="s">
        <v>8703</v>
      </c>
      <c r="L73" s="9" t="s">
        <v>8730</v>
      </c>
      <c r="M73" s="9"/>
      <c r="N73" s="10"/>
      <c r="O73" s="9"/>
      <c r="P73" s="9">
        <v>1225</v>
      </c>
      <c r="Q73" s="9">
        <v>157.59478200460561</v>
      </c>
      <c r="R73" s="9"/>
      <c r="S73" s="9" t="s">
        <v>9321</v>
      </c>
      <c r="T73" s="9" t="s">
        <v>9321</v>
      </c>
      <c r="U73" s="9" t="s">
        <v>8728</v>
      </c>
      <c r="V73" s="9"/>
      <c r="W73" s="9"/>
      <c r="X73" s="9"/>
      <c r="Y73" s="9"/>
      <c r="Z73" s="9"/>
      <c r="AA73" s="9"/>
      <c r="AB73" s="9"/>
      <c r="AC73" s="9"/>
      <c r="AD73" s="9"/>
    </row>
    <row r="74" spans="1:30" ht="58">
      <c r="A74" s="3" t="s">
        <v>1681</v>
      </c>
      <c r="B74" s="3" t="s">
        <v>7777</v>
      </c>
      <c r="C74" s="3" t="s">
        <v>7778</v>
      </c>
      <c r="G74" s="9" t="s">
        <v>3889</v>
      </c>
      <c r="H74" s="9"/>
      <c r="I74" s="9">
        <v>1</v>
      </c>
      <c r="J74" s="9">
        <v>3</v>
      </c>
      <c r="K74" s="9" t="s">
        <v>8695</v>
      </c>
      <c r="L74" s="9" t="s">
        <v>8690</v>
      </c>
      <c r="M74" s="9"/>
      <c r="N74" s="10"/>
      <c r="O74" s="9"/>
      <c r="P74" s="9">
        <v>131</v>
      </c>
      <c r="Q74" s="9">
        <v>16.852993014370071</v>
      </c>
      <c r="R74" s="9"/>
      <c r="S74" s="9" t="s">
        <v>9321</v>
      </c>
      <c r="T74" s="9" t="s">
        <v>9321</v>
      </c>
      <c r="U74" s="9"/>
      <c r="V74" s="9"/>
      <c r="W74" s="9"/>
      <c r="X74" s="9"/>
      <c r="Y74" s="9"/>
      <c r="Z74" s="9"/>
      <c r="AA74" s="9"/>
      <c r="AB74" s="9"/>
      <c r="AC74" s="9"/>
      <c r="AD74" s="9"/>
    </row>
    <row r="75" spans="1:30" ht="72.5">
      <c r="A75" s="3" t="s">
        <v>1701</v>
      </c>
      <c r="B75" s="3" t="s">
        <v>7828</v>
      </c>
      <c r="C75" s="3" t="s">
        <v>7829</v>
      </c>
      <c r="F75" t="s">
        <v>3892</v>
      </c>
      <c r="G75" s="9" t="s">
        <v>3885</v>
      </c>
      <c r="H75" s="9"/>
      <c r="I75" s="9">
        <v>1</v>
      </c>
      <c r="J75" s="9">
        <v>5</v>
      </c>
      <c r="K75" s="9" t="s">
        <v>8695</v>
      </c>
      <c r="L75" s="9" t="s">
        <v>8690</v>
      </c>
      <c r="M75" s="9"/>
      <c r="N75" s="10"/>
      <c r="O75" s="9"/>
      <c r="P75" s="9">
        <v>99</v>
      </c>
      <c r="Q75" s="9">
        <v>12.736231362004862</v>
      </c>
      <c r="R75" s="9"/>
      <c r="S75" s="9" t="s">
        <v>9321</v>
      </c>
      <c r="T75" s="9" t="s">
        <v>9321</v>
      </c>
      <c r="U75" s="9"/>
      <c r="V75" s="9"/>
      <c r="W75" s="9"/>
      <c r="X75" s="9"/>
      <c r="Y75" s="9"/>
      <c r="Z75" s="9"/>
      <c r="AA75" s="9"/>
      <c r="AB75" s="9"/>
      <c r="AC75" s="9"/>
      <c r="AD75" s="9"/>
    </row>
    <row r="76" spans="1:30" ht="43.5">
      <c r="A76" s="3" t="s">
        <v>1704</v>
      </c>
      <c r="B76" s="3" t="s">
        <v>7838</v>
      </c>
      <c r="C76" s="3" t="s">
        <v>7839</v>
      </c>
      <c r="G76" s="9" t="s">
        <v>3889</v>
      </c>
      <c r="H76" s="9"/>
      <c r="I76" s="9">
        <v>1</v>
      </c>
      <c r="J76" s="9">
        <v>3</v>
      </c>
      <c r="K76" s="9" t="s">
        <v>8703</v>
      </c>
      <c r="L76" s="9" t="s">
        <v>8690</v>
      </c>
      <c r="M76" s="9"/>
      <c r="N76" s="10"/>
      <c r="O76" s="9"/>
      <c r="P76" s="9">
        <v>627</v>
      </c>
      <c r="Q76" s="9">
        <v>80.662798626030806</v>
      </c>
      <c r="R76" s="9"/>
      <c r="S76" s="9" t="s">
        <v>9321</v>
      </c>
      <c r="T76" s="9" t="s">
        <v>9321</v>
      </c>
      <c r="U76" s="9"/>
      <c r="V76" s="9"/>
      <c r="W76" s="9"/>
      <c r="X76" s="9"/>
      <c r="Y76" s="9"/>
      <c r="Z76" s="9"/>
      <c r="AA76" s="9"/>
      <c r="AB76" s="9"/>
      <c r="AC76" s="9"/>
      <c r="AD76" s="9"/>
    </row>
    <row r="77" spans="1:30" ht="43.5">
      <c r="A77" s="3" t="s">
        <v>1704</v>
      </c>
      <c r="B77" s="3" t="s">
        <v>7842</v>
      </c>
      <c r="C77" s="3" t="s">
        <v>7843</v>
      </c>
      <c r="G77" s="9" t="s">
        <v>3889</v>
      </c>
      <c r="H77" s="9"/>
      <c r="I77" s="9">
        <v>1</v>
      </c>
      <c r="J77" s="9">
        <v>6</v>
      </c>
      <c r="K77" s="9" t="s">
        <v>8703</v>
      </c>
      <c r="L77" s="9" t="s">
        <v>8690</v>
      </c>
      <c r="M77" s="9"/>
      <c r="N77" s="10"/>
      <c r="O77" s="9"/>
      <c r="P77" s="9">
        <v>15</v>
      </c>
      <c r="Q77" s="9">
        <v>1.9297320245461913</v>
      </c>
      <c r="R77" s="9"/>
      <c r="S77" s="9" t="s">
        <v>9321</v>
      </c>
      <c r="T77" s="9" t="s">
        <v>9321</v>
      </c>
      <c r="U77" s="9"/>
      <c r="V77" s="9"/>
      <c r="W77" s="9"/>
      <c r="X77" s="9"/>
      <c r="Y77" s="9"/>
      <c r="Z77" s="9"/>
      <c r="AA77" s="9"/>
      <c r="AB77" s="9"/>
      <c r="AC77" s="9"/>
      <c r="AD77" s="9"/>
    </row>
    <row r="78" spans="1:30" ht="43.5">
      <c r="A78" s="3" t="s">
        <v>1724</v>
      </c>
      <c r="B78" s="3" t="s">
        <v>7906</v>
      </c>
      <c r="C78" s="3" t="s">
        <v>7907</v>
      </c>
      <c r="F78" t="s">
        <v>3884</v>
      </c>
      <c r="G78" s="9" t="s">
        <v>3885</v>
      </c>
      <c r="H78" s="9"/>
      <c r="I78" s="9">
        <v>1</v>
      </c>
      <c r="J78" s="9">
        <v>6</v>
      </c>
      <c r="K78" s="9" t="s">
        <v>8736</v>
      </c>
      <c r="L78" s="9" t="s">
        <v>8690</v>
      </c>
      <c r="M78" s="9"/>
      <c r="N78" s="10"/>
      <c r="O78" s="9"/>
      <c r="P78" s="9">
        <v>251</v>
      </c>
      <c r="Q78" s="9">
        <v>32.290849210739601</v>
      </c>
      <c r="R78" s="9"/>
      <c r="S78" s="9" t="s">
        <v>9321</v>
      </c>
      <c r="T78" s="9" t="s">
        <v>9321</v>
      </c>
      <c r="U78" s="9"/>
      <c r="V78" s="9"/>
      <c r="W78" s="9"/>
      <c r="X78" s="9"/>
      <c r="Y78" s="9"/>
      <c r="Z78" s="9"/>
      <c r="AA78" s="9"/>
      <c r="AB78" s="9"/>
      <c r="AC78" s="9"/>
      <c r="AD78" s="9"/>
    </row>
    <row r="79" spans="1:30" ht="58">
      <c r="A79" s="3" t="s">
        <v>1731</v>
      </c>
      <c r="B79" s="3" t="s">
        <v>7921</v>
      </c>
      <c r="C79" s="3" t="s">
        <v>7922</v>
      </c>
      <c r="F79" t="s">
        <v>3884</v>
      </c>
      <c r="G79" s="9" t="s">
        <v>3885</v>
      </c>
      <c r="H79" s="9"/>
      <c r="I79" s="9">
        <v>1</v>
      </c>
      <c r="J79" s="9">
        <v>2</v>
      </c>
      <c r="K79" s="9" t="s">
        <v>8703</v>
      </c>
      <c r="L79" s="9" t="s">
        <v>8730</v>
      </c>
      <c r="M79" s="9"/>
      <c r="N79" s="10"/>
      <c r="O79" s="9"/>
      <c r="P79" s="9">
        <v>1225</v>
      </c>
      <c r="Q79" s="9">
        <v>157.59478200460561</v>
      </c>
      <c r="R79" s="9"/>
      <c r="S79" s="9" t="s">
        <v>9321</v>
      </c>
      <c r="T79" s="9" t="s">
        <v>9321</v>
      </c>
      <c r="U79" s="9"/>
      <c r="V79" s="9"/>
      <c r="W79" s="9"/>
      <c r="X79" s="9"/>
      <c r="Y79" s="9"/>
      <c r="Z79" s="9"/>
      <c r="AA79" s="9"/>
      <c r="AB79" s="9"/>
      <c r="AC79" s="9"/>
      <c r="AD79" s="9"/>
    </row>
    <row r="80" spans="1:30" ht="58">
      <c r="A80" s="3" t="s">
        <v>1778</v>
      </c>
      <c r="B80" s="3" t="s">
        <v>8112</v>
      </c>
      <c r="C80" s="3" t="s">
        <v>8102</v>
      </c>
      <c r="F80" t="s">
        <v>3884</v>
      </c>
      <c r="G80" s="9" t="s">
        <v>3889</v>
      </c>
      <c r="H80" s="9"/>
      <c r="I80" s="9">
        <v>1</v>
      </c>
      <c r="J80" s="9">
        <v>6</v>
      </c>
      <c r="K80" s="9" t="s">
        <v>8703</v>
      </c>
      <c r="L80" s="9" t="s">
        <v>8690</v>
      </c>
      <c r="M80" s="9"/>
      <c r="N80" s="10"/>
      <c r="O80" s="9"/>
      <c r="P80" s="9">
        <v>310</v>
      </c>
      <c r="Q80" s="9">
        <v>39.881128507287961</v>
      </c>
      <c r="R80" s="9"/>
      <c r="S80" s="9" t="s">
        <v>9321</v>
      </c>
      <c r="T80" s="9" t="s">
        <v>9321</v>
      </c>
      <c r="U80" s="9"/>
      <c r="V80" s="9"/>
      <c r="W80" s="9"/>
      <c r="X80" s="9"/>
      <c r="Y80" s="9"/>
      <c r="Z80" s="9"/>
      <c r="AA80" s="9"/>
      <c r="AB80" s="9"/>
      <c r="AC80" s="9"/>
      <c r="AD80" s="9" t="s">
        <v>3884</v>
      </c>
    </row>
    <row r="81" spans="1:30" ht="72.5">
      <c r="A81" s="3" t="s">
        <v>1779</v>
      </c>
      <c r="B81" s="3" t="s">
        <v>8116</v>
      </c>
      <c r="C81" s="3" t="s">
        <v>8118</v>
      </c>
      <c r="F81" t="s">
        <v>3884</v>
      </c>
      <c r="G81" s="9" t="s">
        <v>3885</v>
      </c>
      <c r="H81" s="9"/>
      <c r="I81" s="9">
        <v>1</v>
      </c>
      <c r="J81" s="9">
        <v>6</v>
      </c>
      <c r="K81" s="9" t="s">
        <v>8703</v>
      </c>
      <c r="L81" s="9" t="s">
        <v>8690</v>
      </c>
      <c r="M81" s="9"/>
      <c r="N81" s="10"/>
      <c r="O81" s="9"/>
      <c r="P81" s="9">
        <v>627</v>
      </c>
      <c r="Q81" s="9">
        <v>80.662798626030806</v>
      </c>
      <c r="R81" s="9"/>
      <c r="S81" s="9" t="s">
        <v>9321</v>
      </c>
      <c r="T81" s="9" t="s">
        <v>9321</v>
      </c>
      <c r="U81" s="9"/>
      <c r="V81" s="9"/>
      <c r="W81" s="9"/>
      <c r="X81" s="9"/>
      <c r="Y81" s="9"/>
      <c r="Z81" s="9"/>
      <c r="AA81" s="9"/>
      <c r="AB81" s="9"/>
      <c r="AC81" s="9"/>
      <c r="AD81" s="9"/>
    </row>
    <row r="82" spans="1:30" ht="43.5">
      <c r="A82" s="3" t="s">
        <v>1783</v>
      </c>
      <c r="B82" s="3" t="s">
        <v>8127</v>
      </c>
      <c r="C82" s="3" t="s">
        <v>8128</v>
      </c>
      <c r="G82" s="9" t="s">
        <v>3889</v>
      </c>
      <c r="H82" s="9"/>
      <c r="I82" s="9">
        <v>1</v>
      </c>
      <c r="J82" s="9">
        <v>5</v>
      </c>
      <c r="K82" s="9" t="s">
        <v>8703</v>
      </c>
      <c r="L82" s="9" t="s">
        <v>8684</v>
      </c>
      <c r="M82" s="9" t="s">
        <v>8777</v>
      </c>
      <c r="N82" s="10" t="s">
        <v>8941</v>
      </c>
      <c r="O82" s="9" t="s">
        <v>8685</v>
      </c>
      <c r="P82" s="9"/>
      <c r="Q82" s="9" t="s">
        <v>9321</v>
      </c>
      <c r="R82" s="9"/>
      <c r="S82" s="9" t="s">
        <v>9321</v>
      </c>
      <c r="T82" s="9" t="s">
        <v>9321</v>
      </c>
      <c r="U82" s="9"/>
      <c r="V82" s="9"/>
      <c r="W82" s="9"/>
      <c r="X82" s="9"/>
      <c r="Y82" s="9"/>
      <c r="Z82" s="9"/>
      <c r="AA82" s="9"/>
      <c r="AB82" s="9"/>
      <c r="AC82" s="9"/>
      <c r="AD82" s="9"/>
    </row>
    <row r="83" spans="1:30" ht="43.5">
      <c r="A83" s="3" t="s">
        <v>1784</v>
      </c>
      <c r="B83" s="3" t="s">
        <v>8129</v>
      </c>
      <c r="C83" s="3" t="s">
        <v>8130</v>
      </c>
      <c r="F83" t="s">
        <v>3884</v>
      </c>
      <c r="G83" s="9" t="s">
        <v>3885</v>
      </c>
      <c r="H83" s="9"/>
      <c r="I83" s="9">
        <v>1</v>
      </c>
      <c r="J83" s="9">
        <v>6</v>
      </c>
      <c r="K83" s="9" t="s">
        <v>8703</v>
      </c>
      <c r="L83" s="9" t="s">
        <v>8684</v>
      </c>
      <c r="M83" s="9" t="s">
        <v>8771</v>
      </c>
      <c r="N83" s="10" t="s">
        <v>8778</v>
      </c>
      <c r="O83" s="9"/>
      <c r="P83" s="9">
        <v>627</v>
      </c>
      <c r="Q83" s="9">
        <v>80.662798626030806</v>
      </c>
      <c r="R83" s="9"/>
      <c r="S83" s="9" t="s">
        <v>9321</v>
      </c>
      <c r="T83" s="9" t="s">
        <v>9321</v>
      </c>
      <c r="U83" s="9" t="s">
        <v>8728</v>
      </c>
      <c r="V83" s="9"/>
      <c r="W83" s="9"/>
      <c r="X83" s="9"/>
      <c r="Y83" s="9"/>
      <c r="Z83" s="9"/>
      <c r="AA83" s="9"/>
      <c r="AB83" s="9"/>
      <c r="AC83" s="9"/>
      <c r="AD83" s="9"/>
    </row>
    <row r="84" spans="1:30" ht="58">
      <c r="A84" s="3" t="s">
        <v>1785</v>
      </c>
      <c r="B84" s="3" t="s">
        <v>8133</v>
      </c>
      <c r="C84" s="3" t="s">
        <v>8134</v>
      </c>
      <c r="F84" t="s">
        <v>3884</v>
      </c>
      <c r="G84" s="9" t="s">
        <v>3889</v>
      </c>
      <c r="H84" s="9"/>
      <c r="I84" s="9">
        <v>1</v>
      </c>
      <c r="J84" s="9">
        <v>5</v>
      </c>
      <c r="K84" s="9" t="s">
        <v>8703</v>
      </c>
      <c r="L84" s="9" t="s">
        <v>8690</v>
      </c>
      <c r="M84" s="9"/>
      <c r="N84" s="10"/>
      <c r="O84" s="9"/>
      <c r="P84" s="9">
        <v>21</v>
      </c>
      <c r="Q84" s="9">
        <v>2.7016248343646683</v>
      </c>
      <c r="R84" s="9"/>
      <c r="S84" s="9" t="s">
        <v>9321</v>
      </c>
      <c r="T84" s="9" t="s">
        <v>9321</v>
      </c>
      <c r="U84" s="9" t="s">
        <v>8728</v>
      </c>
      <c r="V84" s="9"/>
      <c r="W84" s="9"/>
      <c r="X84" s="9"/>
      <c r="Y84" s="9"/>
      <c r="Z84" s="9"/>
      <c r="AA84" s="9"/>
      <c r="AB84" s="9"/>
      <c r="AC84" s="9"/>
      <c r="AD84" s="9"/>
    </row>
    <row r="85" spans="1:30" ht="43.5">
      <c r="A85" s="3" t="s">
        <v>1808</v>
      </c>
      <c r="B85" s="3" t="s">
        <v>8210</v>
      </c>
      <c r="C85" s="3" t="s">
        <v>8211</v>
      </c>
      <c r="F85" t="s">
        <v>3884</v>
      </c>
      <c r="G85" s="9" t="s">
        <v>3885</v>
      </c>
      <c r="H85" s="9"/>
      <c r="I85" s="9">
        <v>1</v>
      </c>
      <c r="J85" s="9">
        <v>6</v>
      </c>
      <c r="K85" s="9" t="s">
        <v>8736</v>
      </c>
      <c r="L85" s="9" t="s">
        <v>8684</v>
      </c>
      <c r="M85" s="9" t="s">
        <v>8771</v>
      </c>
      <c r="N85" s="10" t="s">
        <v>8778</v>
      </c>
      <c r="O85" s="9"/>
      <c r="P85" s="9">
        <v>58</v>
      </c>
      <c r="Q85" s="9">
        <v>7.4616304949119403</v>
      </c>
      <c r="R85" s="9"/>
      <c r="S85" s="9" t="s">
        <v>9321</v>
      </c>
      <c r="T85" s="9" t="s">
        <v>9321</v>
      </c>
      <c r="U85" s="9"/>
      <c r="V85" s="9"/>
      <c r="W85" s="9"/>
      <c r="X85" s="9"/>
      <c r="Y85" s="9"/>
      <c r="Z85" s="9"/>
      <c r="AA85" s="9"/>
      <c r="AB85" s="9"/>
      <c r="AC85" s="9"/>
      <c r="AD85" s="9"/>
    </row>
    <row r="86" spans="1:30" ht="72.5">
      <c r="A86" s="3" t="s">
        <v>1811</v>
      </c>
      <c r="B86" s="3" t="s">
        <v>8214</v>
      </c>
      <c r="C86" s="3" t="s">
        <v>8215</v>
      </c>
      <c r="F86" t="s">
        <v>3892</v>
      </c>
      <c r="G86" s="9" t="s">
        <v>3889</v>
      </c>
      <c r="H86" s="9"/>
      <c r="I86" s="9">
        <v>1</v>
      </c>
      <c r="J86" s="9">
        <v>4</v>
      </c>
      <c r="K86" s="9" t="s">
        <v>8703</v>
      </c>
      <c r="L86" s="9" t="s">
        <v>8690</v>
      </c>
      <c r="M86" s="9"/>
      <c r="N86" s="10"/>
      <c r="O86" s="9"/>
      <c r="P86" s="9">
        <v>58</v>
      </c>
      <c r="Q86" s="9">
        <v>7.4616304949119403</v>
      </c>
      <c r="R86" s="9"/>
      <c r="S86" s="9" t="s">
        <v>9321</v>
      </c>
      <c r="T86" s="9" t="s">
        <v>9321</v>
      </c>
      <c r="U86" s="9"/>
      <c r="V86" s="9"/>
      <c r="W86" s="9"/>
      <c r="X86" s="9"/>
      <c r="Y86" s="9"/>
      <c r="Z86" s="9"/>
      <c r="AA86" s="9"/>
      <c r="AB86" s="9"/>
      <c r="AC86" s="9"/>
      <c r="AD86" s="9"/>
    </row>
    <row r="87" spans="1:30" ht="116">
      <c r="A87" s="3" t="s">
        <v>1822</v>
      </c>
      <c r="B87" s="3" t="s">
        <v>8274</v>
      </c>
      <c r="C87" s="3" t="s">
        <v>8272</v>
      </c>
      <c r="F87" t="s">
        <v>3884</v>
      </c>
      <c r="G87" s="9" t="s">
        <v>3889</v>
      </c>
      <c r="H87" s="9"/>
      <c r="I87" s="9">
        <v>1</v>
      </c>
      <c r="J87" s="9">
        <v>5</v>
      </c>
      <c r="K87" s="9" t="s">
        <v>8703</v>
      </c>
      <c r="L87" s="9" t="s">
        <v>8690</v>
      </c>
      <c r="M87" s="9"/>
      <c r="N87" s="10"/>
      <c r="O87" s="9"/>
      <c r="P87" s="9">
        <v>77</v>
      </c>
      <c r="Q87" s="9">
        <v>9.9059577260037806</v>
      </c>
      <c r="R87" s="9"/>
      <c r="S87" s="9" t="s">
        <v>9321</v>
      </c>
      <c r="T87" s="9" t="s">
        <v>9321</v>
      </c>
      <c r="U87" s="9"/>
      <c r="V87" s="9"/>
      <c r="W87" s="9"/>
      <c r="X87" s="9"/>
      <c r="Y87" s="9"/>
      <c r="Z87" s="9"/>
      <c r="AA87" s="9"/>
      <c r="AB87" s="9"/>
      <c r="AC87" s="9"/>
      <c r="AD87" s="9"/>
    </row>
    <row r="88" spans="1:30" ht="72.5">
      <c r="A88" s="3" t="s">
        <v>1836</v>
      </c>
      <c r="B88" s="3" t="s">
        <v>8325</v>
      </c>
      <c r="C88" s="3" t="s">
        <v>8326</v>
      </c>
      <c r="F88" t="s">
        <v>3884</v>
      </c>
      <c r="G88" s="9" t="s">
        <v>3885</v>
      </c>
      <c r="H88" s="9"/>
      <c r="I88" s="9">
        <v>1</v>
      </c>
      <c r="J88" s="9">
        <v>8</v>
      </c>
      <c r="K88" s="9" t="s">
        <v>8736</v>
      </c>
      <c r="L88" s="9" t="s">
        <v>8684</v>
      </c>
      <c r="M88" s="9" t="s">
        <v>8777</v>
      </c>
      <c r="N88" s="10" t="s">
        <v>8983</v>
      </c>
      <c r="O88" s="9" t="s">
        <v>8685</v>
      </c>
      <c r="P88" s="9">
        <v>79</v>
      </c>
      <c r="Q88" s="9">
        <v>10.163255329276607</v>
      </c>
      <c r="R88" s="9"/>
      <c r="S88" s="9" t="s">
        <v>9321</v>
      </c>
      <c r="T88" s="9" t="s">
        <v>9321</v>
      </c>
      <c r="U88" s="9"/>
      <c r="V88" s="9"/>
      <c r="W88" s="9"/>
      <c r="X88" s="9"/>
      <c r="Y88" s="9"/>
      <c r="Z88" s="9"/>
      <c r="AA88" s="9"/>
      <c r="AB88" s="9"/>
      <c r="AC88" s="9"/>
      <c r="AD88" s="9"/>
    </row>
    <row r="89" spans="1:30" ht="58">
      <c r="A89" s="3" t="s">
        <v>1840</v>
      </c>
      <c r="B89" s="3" t="s">
        <v>8338</v>
      </c>
      <c r="C89" s="3" t="s">
        <v>8337</v>
      </c>
      <c r="F89" t="s">
        <v>3884</v>
      </c>
      <c r="G89" s="9" t="s">
        <v>3889</v>
      </c>
      <c r="H89" s="9"/>
      <c r="I89" s="9">
        <v>1</v>
      </c>
      <c r="J89" s="9">
        <v>3</v>
      </c>
      <c r="K89" s="9" t="s">
        <v>8695</v>
      </c>
      <c r="L89" s="9" t="s">
        <v>8690</v>
      </c>
      <c r="M89" s="9"/>
      <c r="N89" s="10"/>
      <c r="O89" s="9"/>
      <c r="P89" s="9">
        <v>8</v>
      </c>
      <c r="Q89" s="9">
        <v>1.0291904130913021</v>
      </c>
      <c r="R89" s="9"/>
      <c r="S89" s="9" t="s">
        <v>9321</v>
      </c>
      <c r="T89" s="9" t="s">
        <v>9321</v>
      </c>
      <c r="U89" s="9"/>
      <c r="V89" s="9"/>
      <c r="W89" s="9"/>
      <c r="X89" s="9"/>
      <c r="Y89" s="9"/>
      <c r="Z89" s="9"/>
      <c r="AA89" s="9"/>
      <c r="AB89" s="9"/>
      <c r="AC89" s="9"/>
      <c r="AD89" s="9"/>
    </row>
    <row r="90" spans="1:30" ht="58">
      <c r="A90" s="3" t="s">
        <v>1862</v>
      </c>
      <c r="B90" s="3" t="s">
        <v>8434</v>
      </c>
      <c r="C90" s="3" t="s">
        <v>8435</v>
      </c>
      <c r="F90" t="s">
        <v>3884</v>
      </c>
      <c r="G90" s="9" t="s">
        <v>3889</v>
      </c>
      <c r="H90" s="9"/>
      <c r="I90" s="9">
        <v>1</v>
      </c>
      <c r="J90" s="9">
        <v>8</v>
      </c>
      <c r="K90" s="9" t="s">
        <v>8703</v>
      </c>
      <c r="L90" s="9" t="s">
        <v>8690</v>
      </c>
      <c r="M90" s="9"/>
      <c r="N90" s="10"/>
      <c r="O90" s="9"/>
      <c r="P90" s="9">
        <v>41</v>
      </c>
      <c r="Q90" s="9">
        <v>5.2746008670929232</v>
      </c>
      <c r="R90" s="9"/>
      <c r="S90" s="9" t="s">
        <v>9321</v>
      </c>
      <c r="T90" s="9" t="s">
        <v>9321</v>
      </c>
      <c r="U90" s="9"/>
      <c r="V90" s="9"/>
      <c r="W90" s="9"/>
      <c r="X90" s="9"/>
      <c r="Y90" s="9"/>
      <c r="Z90" s="9"/>
      <c r="AA90" s="9"/>
      <c r="AB90" s="9"/>
      <c r="AC90" s="9"/>
      <c r="AD90" s="9"/>
    </row>
    <row r="91" spans="1:30" ht="101.5">
      <c r="A91" s="3" t="s">
        <v>1894</v>
      </c>
      <c r="B91" s="3" t="s">
        <v>8554</v>
      </c>
      <c r="C91" s="3" t="s">
        <v>8558</v>
      </c>
      <c r="F91" t="s">
        <v>3884</v>
      </c>
      <c r="G91" s="9" t="s">
        <v>3885</v>
      </c>
      <c r="H91" s="9"/>
      <c r="I91" s="9">
        <v>1</v>
      </c>
      <c r="J91" s="9">
        <v>4</v>
      </c>
      <c r="K91" s="9" t="s">
        <v>8703</v>
      </c>
      <c r="L91" s="9" t="s">
        <v>8690</v>
      </c>
      <c r="M91" s="9"/>
      <c r="N91" s="10"/>
      <c r="O91" s="9"/>
      <c r="P91" s="9">
        <v>797</v>
      </c>
      <c r="Q91" s="9">
        <v>102.53309490422097</v>
      </c>
      <c r="R91" s="9"/>
      <c r="S91" s="9" t="s">
        <v>9321</v>
      </c>
      <c r="T91" s="9" t="s">
        <v>9321</v>
      </c>
      <c r="U91" s="9"/>
      <c r="V91" s="9"/>
      <c r="W91" s="9"/>
      <c r="X91" s="9"/>
      <c r="Y91" s="9"/>
      <c r="Z91" s="9"/>
      <c r="AA91" s="9"/>
      <c r="AB91" s="9"/>
      <c r="AC91" s="9"/>
      <c r="AD91" s="9"/>
    </row>
    <row r="92" spans="1:30" ht="29">
      <c r="A92" s="3" t="s">
        <v>1924</v>
      </c>
      <c r="B92" s="3" t="s">
        <v>8651</v>
      </c>
      <c r="C92" s="3" t="s">
        <v>8652</v>
      </c>
      <c r="F92" t="s">
        <v>3884</v>
      </c>
      <c r="G92" s="9" t="s">
        <v>3889</v>
      </c>
      <c r="H92" s="9"/>
      <c r="I92" s="9">
        <v>1</v>
      </c>
      <c r="J92" s="9">
        <v>2</v>
      </c>
      <c r="K92" s="9" t="s">
        <v>8736</v>
      </c>
      <c r="L92" s="9" t="s">
        <v>8730</v>
      </c>
      <c r="M92" s="9"/>
      <c r="N92" s="10"/>
      <c r="O92" s="9"/>
      <c r="P92" s="9">
        <v>645</v>
      </c>
      <c r="Q92" s="9">
        <v>82.978477055486238</v>
      </c>
      <c r="R92" s="9"/>
      <c r="S92" s="9" t="s">
        <v>9321</v>
      </c>
      <c r="T92" s="9" t="s">
        <v>9321</v>
      </c>
      <c r="U92" s="9"/>
      <c r="V92" s="9"/>
      <c r="W92" s="9"/>
      <c r="X92" s="9"/>
      <c r="Y92" s="9"/>
      <c r="Z92" s="9"/>
      <c r="AA92" s="9"/>
      <c r="AB92" s="9"/>
      <c r="AC92" s="9"/>
      <c r="AD92" s="9"/>
    </row>
    <row r="95" spans="1:30">
      <c r="D95" t="s">
        <v>9318</v>
      </c>
      <c r="E95">
        <v>77731</v>
      </c>
    </row>
    <row r="96" spans="1:30">
      <c r="D96" t="s">
        <v>9323</v>
      </c>
      <c r="E96">
        <f>MEDIAN(Q:Q)</f>
        <v>15.244882993914914</v>
      </c>
    </row>
    <row r="99" spans="4:5">
      <c r="D99" t="s">
        <v>9324</v>
      </c>
      <c r="E99">
        <f>COUNTIFS(G:G, "Addition", Q:Q, "&gt;=" &amp; $E$96)</f>
        <v>15</v>
      </c>
    </row>
    <row r="100" spans="4:5">
      <c r="D100" t="s">
        <v>9325</v>
      </c>
      <c r="E100">
        <f>COUNTIFS(G:G, "Omission", Q:Q, "&gt;=" &amp; $E$96)</f>
        <v>30</v>
      </c>
    </row>
    <row r="101" spans="4:5">
      <c r="D101" t="s">
        <v>9326</v>
      </c>
      <c r="E101">
        <f>E99/(E99+E100)</f>
        <v>0.33333333333333331</v>
      </c>
    </row>
    <row r="102" spans="4:5">
      <c r="D102" t="s">
        <v>9327</v>
      </c>
      <c r="E102">
        <f>COUNTIFS(G:G, "Addition", Q:Q, "&lt;" &amp; $E$96)</f>
        <v>22</v>
      </c>
    </row>
    <row r="103" spans="4:5">
      <c r="D103" t="s">
        <v>9328</v>
      </c>
      <c r="E103">
        <f>COUNTIFS(G:G, "Omission", Q:Q, "&lt;" &amp; $E$96)</f>
        <v>23</v>
      </c>
    </row>
    <row r="104" spans="4:5">
      <c r="D104" t="s">
        <v>9329</v>
      </c>
      <c r="E104">
        <f>E102/(E102+E103)</f>
        <v>0.48888888888888887</v>
      </c>
    </row>
    <row r="105" spans="4:5">
      <c r="D105" t="s">
        <v>9343</v>
      </c>
      <c r="E105">
        <f>E101-E104</f>
        <v>-0.15555555555555556</v>
      </c>
    </row>
  </sheetData>
  <conditionalFormatting sqref="G2:G92">
    <cfRule type="expression" dxfId="71" priority="7">
      <formula>$I2&lt;&gt;""</formula>
    </cfRule>
    <cfRule type="expression" dxfId="70" priority="8">
      <formula>$I2=""</formula>
    </cfRule>
  </conditionalFormatting>
  <conditionalFormatting sqref="H2:L92 O2:P92">
    <cfRule type="expression" dxfId="69" priority="16">
      <formula>AND(OR($I2="Addition",$I2="Omission"), H2="")</formula>
    </cfRule>
    <cfRule type="expression" dxfId="68" priority="17">
      <formula>AND($I2&lt;&gt;"Addition",$I2&lt;&gt;"Omission",$I2&lt;&gt;"Substitution - Word")</formula>
    </cfRule>
  </conditionalFormatting>
  <conditionalFormatting sqref="H2:P92">
    <cfRule type="expression" dxfId="67" priority="15">
      <formula>AND(OR($I2="Addition",$I2="Omission"), H2&lt;&gt;"")</formula>
    </cfRule>
  </conditionalFormatting>
  <conditionalFormatting sqref="K2:K92">
    <cfRule type="expression" dxfId="66" priority="13">
      <formula>AND($K2&lt;&gt;"",$K2&gt;1)</formula>
    </cfRule>
  </conditionalFormatting>
  <conditionalFormatting sqref="M2:N92">
    <cfRule type="expression" dxfId="65" priority="9">
      <formula>$N2="Absent"</formula>
    </cfRule>
    <cfRule type="expression" dxfId="64" priority="10">
      <formula>$N2="NA"</formula>
    </cfRule>
    <cfRule type="expression" dxfId="63" priority="11">
      <formula>AND(OR($I2="Addition",$I2="Omission"), M2="")</formula>
    </cfRule>
    <cfRule type="expression" dxfId="62" priority="12">
      <formula>AND($I2&lt;&gt;"Addition",$I2&lt;&gt;"Omission")</formula>
    </cfRule>
  </conditionalFormatting>
  <conditionalFormatting sqref="O2:O92">
    <cfRule type="expression" dxfId="61" priority="14">
      <formula>OR($I2="Addition",$I2="Omission",$I2 = "Substitution - Word")</formula>
    </cfRule>
  </conditionalFormatting>
  <conditionalFormatting sqref="Q2:Q92">
    <cfRule type="expression" dxfId="60" priority="1">
      <formula>AND(OR($I2="Addition",$I2="Omission"), Q2&lt;&gt;"")</formula>
    </cfRule>
    <cfRule type="expression" dxfId="59" priority="2">
      <formula>AND(OR($I2="Addition",$I2="Omission"), Q2="")</formula>
    </cfRule>
    <cfRule type="expression" dxfId="58" priority="3">
      <formula>AND($I2&lt;&gt;"Addition",$I2&lt;&gt;"Omission",$I2&lt;&gt;"Substitution - Word")</formula>
    </cfRule>
  </conditionalFormatting>
  <conditionalFormatting sqref="R2:T92">
    <cfRule type="expression" dxfId="57" priority="4">
      <formula>AND(AND(LEFT($I2,3)="Sub", RIGHT($I2,4)&lt;&gt;"Form"),$T2&lt;&gt;"")</formula>
    </cfRule>
    <cfRule type="expression" dxfId="56" priority="5">
      <formula>AND(AND(LEFT($I2,3)="Sub", RIGHT($I2,4)&lt;&gt;"Form"),$T2="")</formula>
    </cfRule>
    <cfRule type="expression" dxfId="55" priority="6">
      <formula>"&lt;&gt;AND(LEFT($J2,3)=""Sub"", RIGHT($J2,4)&lt;&gt;""Form"")"</formula>
    </cfRule>
  </conditionalFormatting>
  <conditionalFormatting sqref="U2:U92">
    <cfRule type="expression" dxfId="54" priority="19">
      <formula>AND($W2&lt;&gt;"",OR($AD2="Yes",$AE2&lt;&gt;""))</formula>
    </cfRule>
    <cfRule type="expression" dxfId="53" priority="20">
      <formula>OR($AD2="Yes",$AE2&lt;&gt;"")</formula>
    </cfRule>
    <cfRule type="expression" dxfId="52" priority="26">
      <formula>AND($AD2&lt;&gt;"Yes",$AE2="")</formula>
    </cfRule>
  </conditionalFormatting>
  <conditionalFormatting sqref="U2:AD92">
    <cfRule type="expression" dxfId="51" priority="24">
      <formula>AND($I2&lt;&gt;"",$I2&lt;&gt;"Unclear due to correction")</formula>
    </cfRule>
    <cfRule type="expression" dxfId="50" priority="25">
      <formula>OR($I2="",$I2="Unclear due to correction")</formula>
    </cfRule>
  </conditionalFormatting>
  <conditionalFormatting sqref="V2:V92">
    <cfRule type="expression" dxfId="49" priority="18">
      <formula>AND($I2&lt;&gt;"",$I2&lt;&gt;"Unclear due to correction",$X2="")</formula>
    </cfRule>
  </conditionalFormatting>
  <conditionalFormatting sqref="W2:W92">
    <cfRule type="expression" dxfId="48" priority="21">
      <formula>AND($X2="Yes",$Y2="")</formula>
    </cfRule>
    <cfRule type="expression" dxfId="47" priority="22">
      <formula>$X2=""</formula>
    </cfRule>
  </conditionalFormatting>
  <conditionalFormatting sqref="AB2:AB92">
    <cfRule type="expression" dxfId="46" priority="23">
      <formula>AND(OR($AB2&lt;&gt;"",$AC2&lt;&gt;""),$AD2="")</formula>
    </cfRule>
  </conditionalFormatting>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6">
        <x14:dataValidation type="list" allowBlank="1" showInputMessage="1" xr:uid="{2449C284-C953-4CA8-9046-3F03B98BCBE5}">
          <x14:formula1>
            <xm:f>'Data Regularization'!$A$2:$A$1048576</xm:f>
          </x14:formula1>
          <xm:sqref>D2:D92</xm:sqref>
        </x14:dataValidation>
        <x14:dataValidation type="list" allowBlank="1" showInputMessage="1" showErrorMessage="1" xr:uid="{D83ACDCD-D7D1-4F01-B14A-AD58F480A63B}">
          <x14:formula1>
            <xm:f>'Data Regularization'!$C$2:$C$1048576</xm:f>
          </x14:formula1>
          <xm:sqref>F2:F92</xm:sqref>
        </x14:dataValidation>
        <x14:dataValidation type="list" allowBlank="1" showInputMessage="1" showErrorMessage="1" xr:uid="{5BBCD1F1-C414-4A3D-8165-5B6B3143A01D}">
          <x14:formula1>
            <xm:f>'Data Regularization'!$B$2:$B$1048576</xm:f>
          </x14:formula1>
          <xm:sqref>E2:E92</xm:sqref>
        </x14:dataValidation>
        <x14:dataValidation type="list" allowBlank="1" showInputMessage="1" showErrorMessage="1" xr:uid="{3D96F6FA-8FD0-4D98-8BA7-107D1FAC40F6}">
          <x14:formula1>
            <xm:f>'Data Regularization'!$D$2:$D$1048576</xm:f>
          </x14:formula1>
          <xm:sqref>G2:G92</xm:sqref>
        </x14:dataValidation>
        <x14:dataValidation type="list" allowBlank="1" showInputMessage="1" showErrorMessage="1" xr:uid="{8B623CC6-A45A-41A9-A759-42413E11CFA2}">
          <x14:formula1>
            <xm:f>'Data Regularization'!$E$2:$E$1048576</xm:f>
          </x14:formula1>
          <xm:sqref>K2:K92</xm:sqref>
        </x14:dataValidation>
        <x14:dataValidation type="list" allowBlank="1" showInputMessage="1" showErrorMessage="1" xr:uid="{516E75F7-2855-41D6-AE77-3E147DEE345C}">
          <x14:formula1>
            <xm:f>'Data Regularization'!$F$2:$F$1048576</xm:f>
          </x14:formula1>
          <xm:sqref>L2:L92</xm:sqref>
        </x14:dataValidation>
        <x14:dataValidation type="list" allowBlank="1" showInputMessage="1" showErrorMessage="1" xr:uid="{5FDEC5B3-4D06-4420-B78B-4CB5E900B771}">
          <x14:formula1>
            <xm:f>'Data Regularization'!$G$2:$G$1048576</xm:f>
          </x14:formula1>
          <xm:sqref>O2:O92</xm:sqref>
        </x14:dataValidation>
        <x14:dataValidation type="list" allowBlank="1" showInputMessage="1" showErrorMessage="1" xr:uid="{AA36E2B2-5811-4495-AA57-926B133849AF}">
          <x14:formula1>
            <xm:f>'Data Regularization'!$J$2:$J$1048576</xm:f>
          </x14:formula1>
          <xm:sqref>W2:W92</xm:sqref>
        </x14:dataValidation>
        <x14:dataValidation type="list" allowBlank="1" showInputMessage="1" showErrorMessage="1" xr:uid="{466D8DF1-9135-4CEF-ADDA-D186A808D6FA}">
          <x14:formula1>
            <xm:f>'Data Regularization'!$K$2:$K$1048576</xm:f>
          </x14:formula1>
          <xm:sqref>X2:X92</xm:sqref>
        </x14:dataValidation>
        <x14:dataValidation type="list" allowBlank="1" showInputMessage="1" showErrorMessage="1" xr:uid="{CC60927B-4C52-416C-8791-EF848348E295}">
          <x14:formula1>
            <xm:f>'Data Regularization'!$L$2:$L$1048576</xm:f>
          </x14:formula1>
          <xm:sqref>Y2:Y92</xm:sqref>
        </x14:dataValidation>
        <x14:dataValidation type="list" allowBlank="1" showInputMessage="1" showErrorMessage="1" xr:uid="{5D1D2657-0FA5-40BC-927F-A6A5F26F27DC}">
          <x14:formula1>
            <xm:f>'Data Regularization'!$M$2:$M$1048576</xm:f>
          </x14:formula1>
          <xm:sqref>Z2:Z92</xm:sqref>
        </x14:dataValidation>
        <x14:dataValidation type="list" allowBlank="1" showInputMessage="1" showErrorMessage="1" xr:uid="{B0191C56-F6C9-412D-A148-3A06AFE3E06B}">
          <x14:formula1>
            <xm:f>'Data Regularization'!$N$2:$N$1048576</xm:f>
          </x14:formula1>
          <xm:sqref>AB2:AB92</xm:sqref>
        </x14:dataValidation>
        <x14:dataValidation type="list" allowBlank="1" showInputMessage="1" showErrorMessage="1" xr:uid="{5E21F6C7-AEE3-41BF-BA17-D1B51455DF3C}">
          <x14:formula1>
            <xm:f>'Data Regularization'!$O$2:$O$1048576</xm:f>
          </x14:formula1>
          <xm:sqref>AC2:AC92</xm:sqref>
        </x14:dataValidation>
        <x14:dataValidation type="list" allowBlank="1" showInputMessage="1" showErrorMessage="1" xr:uid="{1C615F7C-7221-4BE8-8D6D-1AD8F32538C7}">
          <x14:formula1>
            <xm:f>'Data Regularization'!$H$2:$H$1048576</xm:f>
          </x14:formula1>
          <xm:sqref>U2:U92</xm:sqref>
        </x14:dataValidation>
        <x14:dataValidation type="list" allowBlank="1" showInputMessage="1" xr:uid="{0E8D304F-EF9C-4645-923E-B49A6B9BC8F2}">
          <x14:formula1>
            <xm:f>'Data Regularization'!$I$2:$I$1048576</xm:f>
          </x14:formula1>
          <xm:sqref>V2:V92</xm:sqref>
        </x14:dataValidation>
        <x14:dataValidation type="list" allowBlank="1" showInputMessage="1" showErrorMessage="1" xr:uid="{44FFBF27-73BD-46BC-82AB-0E9CFED4BAE4}">
          <x14:formula1>
            <xm:f>'Data Regularization'!$P$2:$P$1048576</xm:f>
          </x14:formula1>
          <xm:sqref>AD2:AD92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1A4C-7E17-4B07-BB9C-468AE184625A}">
  <dimension ref="A1:AF25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2" s="1" customFormat="1">
      <c r="A1" s="1" t="s">
        <v>0</v>
      </c>
      <c r="B1" s="1" t="s">
        <v>5</v>
      </c>
      <c r="C1" s="1" t="s">
        <v>6</v>
      </c>
      <c r="D1" s="1" t="s">
        <v>8711</v>
      </c>
      <c r="E1" s="1" t="s">
        <v>8712</v>
      </c>
      <c r="F1" s="1" t="s">
        <v>8713</v>
      </c>
      <c r="G1" s="1" t="s">
        <v>3</v>
      </c>
      <c r="H1" s="1" t="s">
        <v>8714</v>
      </c>
      <c r="I1" s="1" t="s">
        <v>8715</v>
      </c>
      <c r="J1" s="1" t="s">
        <v>8716</v>
      </c>
      <c r="K1" s="1" t="s">
        <v>8717</v>
      </c>
      <c r="L1" s="1" t="s">
        <v>8677</v>
      </c>
      <c r="M1" s="1" t="s">
        <v>8718</v>
      </c>
      <c r="N1" s="8" t="s">
        <v>8719</v>
      </c>
      <c r="O1" s="1" t="s">
        <v>8678</v>
      </c>
      <c r="P1" s="1" t="s">
        <v>8720</v>
      </c>
      <c r="Q1" s="1" t="s">
        <v>8721</v>
      </c>
      <c r="R1" s="1" t="s">
        <v>9319</v>
      </c>
      <c r="S1" s="1" t="s">
        <v>9320</v>
      </c>
      <c r="T1" s="1" t="s">
        <v>9333</v>
      </c>
      <c r="U1" s="1" t="s">
        <v>9334</v>
      </c>
      <c r="V1" s="1" t="s">
        <v>9335</v>
      </c>
      <c r="W1" s="1" t="s">
        <v>8723</v>
      </c>
      <c r="X1" s="1" t="s">
        <v>8724</v>
      </c>
      <c r="Y1" s="1" t="s">
        <v>8725</v>
      </c>
      <c r="Z1" s="1" t="s">
        <v>8679</v>
      </c>
      <c r="AA1" s="1" t="s">
        <v>8680</v>
      </c>
      <c r="AB1" s="1" t="s">
        <v>8681</v>
      </c>
      <c r="AC1" s="1" t="s">
        <v>8722</v>
      </c>
      <c r="AD1" s="1" t="s">
        <v>8726</v>
      </c>
      <c r="AE1" s="1" t="s">
        <v>8682</v>
      </c>
      <c r="AF1" s="1" t="s">
        <v>8727</v>
      </c>
    </row>
    <row r="2" spans="1:32">
      <c r="A2" s="3" t="s">
        <v>15</v>
      </c>
      <c r="B2" s="3" t="s">
        <v>1939</v>
      </c>
      <c r="C2" s="3" t="s">
        <v>1940</v>
      </c>
      <c r="F2" t="s">
        <v>3880</v>
      </c>
      <c r="G2" s="9" t="s">
        <v>8729</v>
      </c>
      <c r="H2" s="9"/>
      <c r="I2" s="9"/>
      <c r="J2" s="9"/>
      <c r="K2" s="9"/>
      <c r="L2" s="9"/>
      <c r="M2" s="9"/>
      <c r="N2" s="10"/>
      <c r="O2" s="9"/>
      <c r="P2" s="9"/>
      <c r="Q2" s="9">
        <v>-3599</v>
      </c>
      <c r="R2" s="9">
        <v>3678</v>
      </c>
      <c r="S2" s="9">
        <v>79</v>
      </c>
      <c r="T2" s="14">
        <f>IF(ISNUMBER(R2), (R2/$E$237)*10000, "")</f>
        <v>473.17029241872609</v>
      </c>
      <c r="U2" s="14">
        <f>IF(ISNUMBER(S2), (S2/$E$237)*10000, "")</f>
        <v>10.163255329276607</v>
      </c>
      <c r="V2" s="14">
        <f>IF(ISNUMBER(Q2), U2-T2, "")</f>
        <v>-463.00703708944951</v>
      </c>
      <c r="W2" s="9"/>
      <c r="X2" s="9"/>
      <c r="Y2" s="9"/>
      <c r="Z2" s="9"/>
      <c r="AA2" s="9"/>
      <c r="AB2" s="9"/>
      <c r="AC2" s="9"/>
      <c r="AD2" s="9"/>
      <c r="AE2" s="9"/>
      <c r="AF2" s="9"/>
    </row>
    <row r="3" spans="1:32">
      <c r="A3" s="3" t="s">
        <v>17</v>
      </c>
      <c r="B3" t="s">
        <v>8744</v>
      </c>
      <c r="C3" t="s">
        <v>8743</v>
      </c>
      <c r="G3" s="9" t="s">
        <v>8729</v>
      </c>
      <c r="H3" s="9"/>
      <c r="I3" s="9"/>
      <c r="J3" s="9"/>
      <c r="K3" s="9"/>
      <c r="L3" s="9"/>
      <c r="M3" s="9"/>
      <c r="N3" s="10"/>
      <c r="O3" s="9"/>
      <c r="P3" s="9"/>
      <c r="Q3" s="9">
        <v>18</v>
      </c>
      <c r="R3" s="9">
        <v>70</v>
      </c>
      <c r="S3" s="9">
        <v>88</v>
      </c>
      <c r="T3" s="14">
        <f t="shared" ref="T3:T66" si="0">IF(ISNUMBER(R3), (R3/$E$237)*10000, "")</f>
        <v>9.0054161145488933</v>
      </c>
      <c r="U3" s="14">
        <f t="shared" ref="U3:U66" si="1">IF(ISNUMBER(S3), (S3/$E$237)*10000, "")</f>
        <v>11.321094544004323</v>
      </c>
      <c r="V3" s="14">
        <f t="shared" ref="V3:V66" si="2">IF(ISNUMBER(Q3), U3-T3, "")</f>
        <v>2.3156784294554296</v>
      </c>
      <c r="W3" s="9" t="s">
        <v>8728</v>
      </c>
      <c r="X3" s="9"/>
      <c r="Y3" s="9"/>
      <c r="Z3" s="9"/>
      <c r="AA3" s="9"/>
      <c r="AB3" s="9"/>
      <c r="AC3" s="9"/>
      <c r="AD3" s="9"/>
      <c r="AE3" s="9"/>
      <c r="AF3" s="9"/>
    </row>
    <row r="4" spans="1:32">
      <c r="A4" s="3" t="s">
        <v>19</v>
      </c>
      <c r="B4" s="3" t="s">
        <v>3349</v>
      </c>
      <c r="C4" s="3" t="s">
        <v>1951</v>
      </c>
      <c r="G4" s="9" t="s">
        <v>8729</v>
      </c>
      <c r="H4" s="9"/>
      <c r="I4" s="9"/>
      <c r="J4" s="9"/>
      <c r="K4" s="9"/>
      <c r="L4" s="9"/>
      <c r="M4" s="9"/>
      <c r="N4" s="10"/>
      <c r="O4" s="9"/>
      <c r="P4" s="9"/>
      <c r="Q4" s="9">
        <v>481</v>
      </c>
      <c r="R4" s="9">
        <v>13</v>
      </c>
      <c r="S4" s="9">
        <v>494</v>
      </c>
      <c r="T4" s="14">
        <f t="shared" si="0"/>
        <v>1.6724344212733659</v>
      </c>
      <c r="U4" s="14">
        <f t="shared" si="1"/>
        <v>63.552508008387903</v>
      </c>
      <c r="V4" s="14">
        <f t="shared" si="2"/>
        <v>61.880073587114538</v>
      </c>
      <c r="W4" s="9"/>
      <c r="X4" s="9"/>
      <c r="Y4" s="9"/>
      <c r="Z4" s="9"/>
      <c r="AA4" s="9"/>
      <c r="AB4" s="9"/>
      <c r="AC4" s="9"/>
      <c r="AD4" s="9"/>
      <c r="AE4" s="9"/>
      <c r="AF4" s="9"/>
    </row>
    <row r="5" spans="1:32" ht="29">
      <c r="A5" s="3" t="s">
        <v>42</v>
      </c>
      <c r="B5" s="3" t="s">
        <v>1988</v>
      </c>
      <c r="C5" s="3" t="s">
        <v>1989</v>
      </c>
      <c r="G5" s="9" t="s">
        <v>8729</v>
      </c>
      <c r="H5" s="9"/>
      <c r="I5" s="9"/>
      <c r="J5" s="9"/>
      <c r="K5" s="9"/>
      <c r="L5" s="9"/>
      <c r="M5" s="9"/>
      <c r="N5" s="10"/>
      <c r="O5" s="9"/>
      <c r="P5" s="9"/>
      <c r="Q5" s="9">
        <v>3599</v>
      </c>
      <c r="R5" s="9">
        <v>79</v>
      </c>
      <c r="S5" s="9">
        <v>3678</v>
      </c>
      <c r="T5" s="14">
        <f t="shared" si="0"/>
        <v>10.163255329276607</v>
      </c>
      <c r="U5" s="14">
        <f t="shared" si="1"/>
        <v>473.17029241872609</v>
      </c>
      <c r="V5" s="14">
        <f t="shared" si="2"/>
        <v>463.00703708944951</v>
      </c>
      <c r="W5" s="9"/>
      <c r="X5" s="9"/>
      <c r="Y5" s="9"/>
      <c r="Z5" s="9"/>
      <c r="AA5" s="9"/>
      <c r="AB5" s="9"/>
      <c r="AC5" s="9"/>
      <c r="AD5" s="9"/>
      <c r="AE5" s="9"/>
      <c r="AF5" s="9"/>
    </row>
    <row r="6" spans="1:32" ht="29">
      <c r="A6" s="3" t="s">
        <v>42</v>
      </c>
      <c r="B6" s="3" t="s">
        <v>3911</v>
      </c>
      <c r="C6" s="3" t="s">
        <v>1990</v>
      </c>
      <c r="G6" s="9" t="s">
        <v>8729</v>
      </c>
      <c r="H6" s="9"/>
      <c r="I6" s="9"/>
      <c r="J6" s="9"/>
      <c r="K6" s="9"/>
      <c r="L6" s="9"/>
      <c r="M6" s="9"/>
      <c r="N6" s="10"/>
      <c r="O6" s="9"/>
      <c r="P6" s="9"/>
      <c r="Q6" s="9">
        <v>-890</v>
      </c>
      <c r="R6" s="9">
        <v>1225</v>
      </c>
      <c r="S6" s="9">
        <v>335</v>
      </c>
      <c r="T6" s="14">
        <f t="shared" si="0"/>
        <v>157.59478200460561</v>
      </c>
      <c r="U6" s="14">
        <f t="shared" si="1"/>
        <v>43.097348548198276</v>
      </c>
      <c r="V6" s="14">
        <f t="shared" si="2"/>
        <v>-114.49743345640732</v>
      </c>
      <c r="W6" s="9"/>
      <c r="X6" s="9"/>
      <c r="Y6" s="9"/>
      <c r="Z6" s="9"/>
      <c r="AA6" s="9"/>
      <c r="AB6" s="9"/>
      <c r="AC6" s="9"/>
      <c r="AD6" s="9"/>
      <c r="AE6" s="9"/>
      <c r="AF6" s="9"/>
    </row>
    <row r="7" spans="1:32" ht="29">
      <c r="A7" s="3" t="s">
        <v>48</v>
      </c>
      <c r="B7" s="3" t="s">
        <v>2000</v>
      </c>
      <c r="C7" s="3" t="s">
        <v>2001</v>
      </c>
      <c r="G7" s="9" t="s">
        <v>8729</v>
      </c>
      <c r="H7" s="9"/>
      <c r="I7" s="9"/>
      <c r="J7" s="9"/>
      <c r="K7" s="9"/>
      <c r="L7" s="9"/>
      <c r="M7" s="9"/>
      <c r="N7" s="10"/>
      <c r="O7" s="9"/>
      <c r="P7" s="9"/>
      <c r="Q7" s="9">
        <v>-28</v>
      </c>
      <c r="R7" s="9">
        <v>28</v>
      </c>
      <c r="S7" s="9">
        <v>0</v>
      </c>
      <c r="T7" s="14">
        <f t="shared" si="0"/>
        <v>3.6021664458195573</v>
      </c>
      <c r="U7" s="14">
        <f t="shared" si="1"/>
        <v>0</v>
      </c>
      <c r="V7" s="14">
        <f t="shared" si="2"/>
        <v>-3.6021664458195573</v>
      </c>
      <c r="W7" s="9"/>
      <c r="X7" s="9"/>
      <c r="Y7" s="9"/>
      <c r="Z7" s="9"/>
      <c r="AA7" s="9"/>
      <c r="AB7" s="9"/>
      <c r="AC7" s="9"/>
      <c r="AD7" s="9"/>
      <c r="AE7" s="9"/>
      <c r="AF7" s="9"/>
    </row>
    <row r="8" spans="1:32" ht="29">
      <c r="A8" s="3" t="s">
        <v>49</v>
      </c>
      <c r="B8" s="3" t="s">
        <v>2009</v>
      </c>
      <c r="C8" s="3" t="s">
        <v>2010</v>
      </c>
      <c r="G8" s="9" t="s">
        <v>8729</v>
      </c>
      <c r="H8" s="9"/>
      <c r="I8" s="9"/>
      <c r="J8" s="9"/>
      <c r="K8" s="9"/>
      <c r="L8" s="9"/>
      <c r="M8" s="9"/>
      <c r="N8" s="10"/>
      <c r="O8" s="9"/>
      <c r="P8" s="9"/>
      <c r="Q8" s="9">
        <v>-9</v>
      </c>
      <c r="R8" s="9">
        <v>15</v>
      </c>
      <c r="S8" s="9">
        <v>6</v>
      </c>
      <c r="T8" s="14">
        <f t="shared" si="0"/>
        <v>1.9297320245461913</v>
      </c>
      <c r="U8" s="14">
        <f t="shared" si="1"/>
        <v>0.77189280981847652</v>
      </c>
      <c r="V8" s="14">
        <f t="shared" si="2"/>
        <v>-1.1578392147277148</v>
      </c>
      <c r="W8" s="9"/>
      <c r="X8" s="9"/>
      <c r="Y8" s="9"/>
      <c r="Z8" s="9"/>
      <c r="AA8" s="9"/>
      <c r="AB8" s="9"/>
      <c r="AC8" s="9"/>
      <c r="AD8" s="9"/>
      <c r="AE8" s="9"/>
      <c r="AF8" s="9"/>
    </row>
    <row r="9" spans="1:32" ht="43.5">
      <c r="A9" s="3" t="s">
        <v>54</v>
      </c>
      <c r="B9" s="3" t="s">
        <v>3936</v>
      </c>
      <c r="C9" s="3" t="s">
        <v>3937</v>
      </c>
      <c r="F9" t="s">
        <v>3884</v>
      </c>
      <c r="G9" s="9" t="s">
        <v>8729</v>
      </c>
      <c r="H9" s="9"/>
      <c r="I9" s="9"/>
      <c r="J9" s="9"/>
      <c r="K9" s="9"/>
      <c r="L9" s="9"/>
      <c r="M9" s="9"/>
      <c r="N9" s="10"/>
      <c r="O9" s="9"/>
      <c r="P9" s="9"/>
      <c r="Q9" s="9">
        <v>10435</v>
      </c>
      <c r="R9" s="9">
        <v>494</v>
      </c>
      <c r="S9" s="9">
        <v>10929</v>
      </c>
      <c r="T9" s="14">
        <f t="shared" si="0"/>
        <v>63.552508008387903</v>
      </c>
      <c r="U9" s="14">
        <f t="shared" si="1"/>
        <v>1406.0027530843549</v>
      </c>
      <c r="V9" s="14">
        <f t="shared" si="2"/>
        <v>1342.4502450759671</v>
      </c>
      <c r="W9" s="9"/>
      <c r="X9" s="9"/>
      <c r="Y9" s="9"/>
      <c r="Z9" s="9"/>
      <c r="AA9" s="9"/>
      <c r="AB9" s="9"/>
      <c r="AC9" s="9"/>
      <c r="AD9" s="9"/>
      <c r="AE9" s="9"/>
      <c r="AF9" s="9"/>
    </row>
    <row r="10" spans="1:32" ht="29">
      <c r="A10" s="3" t="s">
        <v>65</v>
      </c>
      <c r="B10" s="3" t="s">
        <v>2033</v>
      </c>
      <c r="C10" s="3" t="s">
        <v>2034</v>
      </c>
      <c r="G10" s="9" t="s">
        <v>8729</v>
      </c>
      <c r="H10" s="9"/>
      <c r="I10" s="9"/>
      <c r="J10" s="9"/>
      <c r="K10" s="9"/>
      <c r="L10" s="9"/>
      <c r="M10" s="9"/>
      <c r="N10" s="10"/>
      <c r="O10" s="9"/>
      <c r="P10" s="9"/>
      <c r="Q10" s="9">
        <v>23</v>
      </c>
      <c r="R10" s="9">
        <v>16</v>
      </c>
      <c r="S10" s="9">
        <v>39</v>
      </c>
      <c r="T10" s="14">
        <f t="shared" si="0"/>
        <v>2.0583808261826042</v>
      </c>
      <c r="U10" s="14">
        <f t="shared" si="1"/>
        <v>5.0173032638200974</v>
      </c>
      <c r="V10" s="14">
        <f t="shared" si="2"/>
        <v>2.9589224376374932</v>
      </c>
      <c r="W10" s="9"/>
      <c r="X10" s="9"/>
      <c r="Y10" s="9"/>
      <c r="Z10" s="9"/>
      <c r="AA10" s="9"/>
      <c r="AB10" s="9"/>
      <c r="AC10" s="9"/>
      <c r="AD10" s="9"/>
      <c r="AE10" s="9"/>
      <c r="AF10" s="9"/>
    </row>
    <row r="11" spans="1:32" ht="43.5">
      <c r="A11" s="3" t="s">
        <v>99</v>
      </c>
      <c r="B11" s="3" t="s">
        <v>9408</v>
      </c>
      <c r="C11" s="3" t="s">
        <v>9409</v>
      </c>
      <c r="G11" s="9" t="s">
        <v>8729</v>
      </c>
      <c r="H11" s="9"/>
      <c r="I11" s="9"/>
      <c r="J11" s="9"/>
      <c r="K11" s="9"/>
      <c r="L11" s="9"/>
      <c r="M11" s="9"/>
      <c r="N11" s="10"/>
      <c r="O11" s="9"/>
      <c r="P11" s="9"/>
      <c r="Q11" s="9">
        <v>-134</v>
      </c>
      <c r="R11" s="9">
        <v>203</v>
      </c>
      <c r="S11" s="9">
        <v>69</v>
      </c>
      <c r="T11" s="14">
        <f t="shared" si="0"/>
        <v>26.115706732191789</v>
      </c>
      <c r="U11" s="14">
        <f t="shared" si="1"/>
        <v>8.8767673129124809</v>
      </c>
      <c r="V11" s="14">
        <f t="shared" si="2"/>
        <v>-17.238939419279308</v>
      </c>
      <c r="W11" s="9"/>
      <c r="X11" s="9"/>
      <c r="Y11" s="9"/>
      <c r="Z11" s="9"/>
      <c r="AA11" s="9"/>
      <c r="AB11" s="9"/>
      <c r="AC11" s="9"/>
      <c r="AD11" s="9"/>
      <c r="AE11" s="9"/>
      <c r="AF11" s="9"/>
    </row>
    <row r="12" spans="1:32" ht="101.5">
      <c r="A12" s="3" t="s">
        <v>99</v>
      </c>
      <c r="B12" s="12" t="s">
        <v>8821</v>
      </c>
      <c r="C12" s="12" t="s">
        <v>8822</v>
      </c>
      <c r="G12" s="9" t="s">
        <v>8729</v>
      </c>
      <c r="H12" s="9"/>
      <c r="I12" s="9"/>
      <c r="J12" s="9"/>
      <c r="K12" s="9"/>
      <c r="L12" s="9"/>
      <c r="M12" s="9"/>
      <c r="N12" s="10"/>
      <c r="O12" s="9"/>
      <c r="P12" s="9"/>
      <c r="Q12" s="9">
        <v>643</v>
      </c>
      <c r="R12" s="9">
        <v>10</v>
      </c>
      <c r="S12" s="9">
        <v>653</v>
      </c>
      <c r="T12" s="14">
        <f t="shared" si="0"/>
        <v>1.2864880163641275</v>
      </c>
      <c r="U12" s="14">
        <f t="shared" si="1"/>
        <v>84.007667468577537</v>
      </c>
      <c r="V12" s="14">
        <f t="shared" si="2"/>
        <v>82.721179452213406</v>
      </c>
      <c r="W12" s="9"/>
      <c r="X12" s="9"/>
      <c r="Y12" s="9"/>
      <c r="Z12" s="9"/>
      <c r="AA12" s="9"/>
      <c r="AB12" s="9"/>
      <c r="AC12" s="9"/>
      <c r="AD12" s="9"/>
      <c r="AE12" s="9"/>
      <c r="AF12" s="9"/>
    </row>
    <row r="13" spans="1:32" ht="29">
      <c r="A13" s="3" t="s">
        <v>107</v>
      </c>
      <c r="B13" s="3" t="s">
        <v>2144</v>
      </c>
      <c r="C13" s="3" t="s">
        <v>2145</v>
      </c>
      <c r="G13" s="9" t="s">
        <v>8729</v>
      </c>
      <c r="H13" s="9"/>
      <c r="I13" s="9"/>
      <c r="J13" s="9"/>
      <c r="K13" s="9"/>
      <c r="L13" s="9"/>
      <c r="M13" s="9"/>
      <c r="N13" s="10"/>
      <c r="O13" s="9"/>
      <c r="P13" s="9"/>
      <c r="Q13" s="9">
        <v>24</v>
      </c>
      <c r="R13" s="9">
        <v>0</v>
      </c>
      <c r="S13" s="9">
        <v>24</v>
      </c>
      <c r="T13" s="14">
        <f t="shared" si="0"/>
        <v>0</v>
      </c>
      <c r="U13" s="14">
        <f t="shared" si="1"/>
        <v>3.0875712392739061</v>
      </c>
      <c r="V13" s="14">
        <f t="shared" si="2"/>
        <v>3.0875712392739061</v>
      </c>
      <c r="W13" s="9"/>
      <c r="X13" s="9"/>
      <c r="Y13" s="9"/>
      <c r="Z13" s="9"/>
      <c r="AA13" s="9"/>
      <c r="AB13" s="9"/>
      <c r="AC13" s="9"/>
      <c r="AD13" s="9"/>
      <c r="AE13" s="9"/>
      <c r="AF13" s="9"/>
    </row>
    <row r="14" spans="1:32" ht="43.5">
      <c r="A14" s="3" t="s">
        <v>117</v>
      </c>
      <c r="B14" s="3" t="s">
        <v>4025</v>
      </c>
      <c r="C14" s="3" t="s">
        <v>4026</v>
      </c>
      <c r="F14" t="s">
        <v>3884</v>
      </c>
      <c r="G14" s="9" t="s">
        <v>8729</v>
      </c>
      <c r="H14" s="9"/>
      <c r="I14" s="9"/>
      <c r="J14" s="9"/>
      <c r="K14" s="9"/>
      <c r="L14" s="9"/>
      <c r="M14" s="9"/>
      <c r="N14" s="10"/>
      <c r="O14" s="9"/>
      <c r="P14" s="9"/>
      <c r="Q14" s="9">
        <v>-3599</v>
      </c>
      <c r="R14" s="9">
        <v>3678</v>
      </c>
      <c r="S14" s="9">
        <v>79</v>
      </c>
      <c r="T14" s="14">
        <f t="shared" si="0"/>
        <v>473.17029241872609</v>
      </c>
      <c r="U14" s="14">
        <f t="shared" si="1"/>
        <v>10.163255329276607</v>
      </c>
      <c r="V14" s="14">
        <f t="shared" si="2"/>
        <v>-463.00703708944951</v>
      </c>
      <c r="W14" s="9"/>
      <c r="X14" s="9"/>
      <c r="Y14" s="9"/>
      <c r="Z14" s="9"/>
      <c r="AA14" s="9"/>
      <c r="AB14" s="9"/>
      <c r="AC14" s="9"/>
      <c r="AD14" s="9"/>
      <c r="AE14" s="9"/>
      <c r="AF14" s="9"/>
    </row>
    <row r="15" spans="1:32" ht="43.5">
      <c r="A15" s="3" t="s">
        <v>125</v>
      </c>
      <c r="B15" s="3" t="s">
        <v>4030</v>
      </c>
      <c r="C15" s="3" t="s">
        <v>4031</v>
      </c>
      <c r="F15" t="s">
        <v>3884</v>
      </c>
      <c r="G15" s="9" t="s">
        <v>8729</v>
      </c>
      <c r="H15" s="9"/>
      <c r="I15" s="9"/>
      <c r="J15" s="9"/>
      <c r="K15" s="9"/>
      <c r="L15" s="9"/>
      <c r="M15" s="9"/>
      <c r="N15" s="10"/>
      <c r="O15" s="9"/>
      <c r="P15" s="9"/>
      <c r="Q15" s="9">
        <v>-25</v>
      </c>
      <c r="R15" s="9">
        <v>51</v>
      </c>
      <c r="S15" s="9">
        <v>26</v>
      </c>
      <c r="T15" s="14">
        <f t="shared" si="0"/>
        <v>6.5610888834570504</v>
      </c>
      <c r="U15" s="14">
        <f t="shared" si="1"/>
        <v>3.3448688425467319</v>
      </c>
      <c r="V15" s="14">
        <f t="shared" si="2"/>
        <v>-3.2162200409103185</v>
      </c>
      <c r="W15" s="9"/>
      <c r="X15" s="9"/>
      <c r="Y15" s="9"/>
      <c r="Z15" s="9"/>
      <c r="AA15" s="9"/>
      <c r="AB15" s="9"/>
      <c r="AC15" s="9"/>
      <c r="AD15" s="9"/>
      <c r="AE15" s="9"/>
      <c r="AF15" s="9"/>
    </row>
    <row r="16" spans="1:32" ht="43.5">
      <c r="A16" s="3" t="s">
        <v>126</v>
      </c>
      <c r="B16" s="3" t="s">
        <v>9420</v>
      </c>
      <c r="C16" s="3" t="s">
        <v>9561</v>
      </c>
      <c r="G16" s="9" t="s">
        <v>8732</v>
      </c>
      <c r="H16" s="9"/>
      <c r="I16" s="9"/>
      <c r="J16" s="9"/>
      <c r="K16" s="9"/>
      <c r="L16" s="9"/>
      <c r="M16" s="9"/>
      <c r="N16" s="10"/>
      <c r="O16" s="9"/>
      <c r="P16" s="9"/>
      <c r="Q16" s="9">
        <v>-10043</v>
      </c>
      <c r="R16" s="9">
        <v>10929</v>
      </c>
      <c r="S16" s="9">
        <v>886</v>
      </c>
      <c r="T16" s="14">
        <f t="shared" si="0"/>
        <v>1406.0027530843549</v>
      </c>
      <c r="U16" s="14">
        <f t="shared" si="1"/>
        <v>113.9828382498617</v>
      </c>
      <c r="V16" s="14">
        <f t="shared" si="2"/>
        <v>-1292.0199148344932</v>
      </c>
      <c r="W16" s="9"/>
      <c r="X16" s="9"/>
      <c r="Y16" s="9"/>
      <c r="Z16" s="9"/>
      <c r="AA16" s="9"/>
      <c r="AB16" s="9"/>
      <c r="AC16" s="9"/>
      <c r="AD16" s="9"/>
      <c r="AE16" s="9"/>
      <c r="AF16" s="9"/>
    </row>
    <row r="17" spans="1:32" ht="29">
      <c r="A17" s="3" t="s">
        <v>128</v>
      </c>
      <c r="B17" s="3" t="s">
        <v>2188</v>
      </c>
      <c r="C17" s="3" t="s">
        <v>2189</v>
      </c>
      <c r="G17" s="9" t="s">
        <v>8729</v>
      </c>
      <c r="H17" s="9"/>
      <c r="I17" s="9"/>
      <c r="J17" s="9"/>
      <c r="K17" s="9"/>
      <c r="L17" s="9"/>
      <c r="M17" s="9"/>
      <c r="N17" s="10"/>
      <c r="O17" s="9"/>
      <c r="P17" s="9"/>
      <c r="Q17" s="9">
        <v>3</v>
      </c>
      <c r="R17" s="9">
        <v>18</v>
      </c>
      <c r="S17" s="9">
        <v>21</v>
      </c>
      <c r="T17" s="14">
        <f t="shared" si="0"/>
        <v>2.3156784294554296</v>
      </c>
      <c r="U17" s="14">
        <f t="shared" si="1"/>
        <v>2.7016248343646683</v>
      </c>
      <c r="V17" s="14">
        <f t="shared" si="2"/>
        <v>0.38594640490923871</v>
      </c>
      <c r="W17" s="9"/>
      <c r="X17" s="9"/>
      <c r="Y17" s="9"/>
      <c r="Z17" s="9"/>
      <c r="AA17" s="9"/>
      <c r="AB17" s="9"/>
      <c r="AC17" s="9"/>
      <c r="AD17" s="9"/>
      <c r="AE17" s="9"/>
      <c r="AF17" s="9"/>
    </row>
    <row r="18" spans="1:32" ht="29">
      <c r="A18" s="3" t="s">
        <v>128</v>
      </c>
      <c r="B18" s="3" t="s">
        <v>2190</v>
      </c>
      <c r="C18" s="3" t="s">
        <v>2191</v>
      </c>
      <c r="G18" s="9" t="s">
        <v>8729</v>
      </c>
      <c r="H18" s="9"/>
      <c r="I18" s="9"/>
      <c r="J18" s="9"/>
      <c r="K18" s="9"/>
      <c r="L18" s="9"/>
      <c r="M18" s="9"/>
      <c r="N18" s="10"/>
      <c r="O18" s="9"/>
      <c r="P18" s="9"/>
      <c r="Q18" s="9">
        <v>-777</v>
      </c>
      <c r="R18" s="9">
        <v>781</v>
      </c>
      <c r="S18" s="9">
        <v>4</v>
      </c>
      <c r="T18" s="14">
        <f t="shared" si="0"/>
        <v>100.47471407803836</v>
      </c>
      <c r="U18" s="14">
        <f t="shared" si="1"/>
        <v>0.51459520654565105</v>
      </c>
      <c r="V18" s="14">
        <f t="shared" si="2"/>
        <v>-99.96011887149271</v>
      </c>
      <c r="W18" s="9"/>
      <c r="X18" s="9"/>
      <c r="Y18" s="9"/>
      <c r="Z18" s="9"/>
      <c r="AA18" s="9"/>
      <c r="AB18" s="9"/>
      <c r="AC18" s="9"/>
      <c r="AD18" s="9"/>
      <c r="AE18" s="9"/>
      <c r="AF18" s="9"/>
    </row>
    <row r="19" spans="1:32" ht="29">
      <c r="A19" s="3" t="s">
        <v>135</v>
      </c>
      <c r="B19" s="3" t="s">
        <v>2195</v>
      </c>
      <c r="C19" s="3" t="s">
        <v>2196</v>
      </c>
      <c r="G19" s="9" t="s">
        <v>8729</v>
      </c>
      <c r="H19" s="9"/>
      <c r="I19" s="9"/>
      <c r="J19" s="9"/>
      <c r="K19" s="9"/>
      <c r="L19" s="9"/>
      <c r="M19" s="9"/>
      <c r="N19" s="10"/>
      <c r="O19" s="9"/>
      <c r="P19" s="9"/>
      <c r="Q19" s="9">
        <v>-3</v>
      </c>
      <c r="R19" s="9">
        <v>23</v>
      </c>
      <c r="S19" s="9">
        <v>20</v>
      </c>
      <c r="T19" s="14">
        <f t="shared" si="0"/>
        <v>2.9589224376374932</v>
      </c>
      <c r="U19" s="14">
        <f t="shared" si="1"/>
        <v>2.5729760327282549</v>
      </c>
      <c r="V19" s="14">
        <f t="shared" si="2"/>
        <v>-0.38594640490923826</v>
      </c>
      <c r="W19" s="9"/>
      <c r="X19" s="9"/>
      <c r="Y19" s="9"/>
      <c r="Z19" s="9"/>
      <c r="AA19" s="9"/>
      <c r="AB19" s="9"/>
      <c r="AC19" s="9"/>
      <c r="AD19" s="9"/>
      <c r="AE19" s="9"/>
      <c r="AF19" s="9"/>
    </row>
    <row r="20" spans="1:32" ht="43.5">
      <c r="A20" s="3" t="s">
        <v>141</v>
      </c>
      <c r="B20" s="3" t="s">
        <v>9563</v>
      </c>
      <c r="C20" s="3" t="s">
        <v>9564</v>
      </c>
      <c r="F20" t="s">
        <v>3884</v>
      </c>
      <c r="G20" s="9" t="s">
        <v>8729</v>
      </c>
      <c r="H20" s="9"/>
      <c r="I20" s="9"/>
      <c r="J20" s="9"/>
      <c r="K20" s="9"/>
      <c r="L20" s="9"/>
      <c r="M20" s="9"/>
      <c r="N20" s="10"/>
      <c r="O20" s="9"/>
      <c r="P20" s="9"/>
      <c r="Q20" s="9">
        <v>-3599</v>
      </c>
      <c r="R20" s="9">
        <v>3678</v>
      </c>
      <c r="S20" s="9">
        <v>79</v>
      </c>
      <c r="T20" s="14">
        <f t="shared" si="0"/>
        <v>473.17029241872609</v>
      </c>
      <c r="U20" s="14">
        <f t="shared" si="1"/>
        <v>10.163255329276607</v>
      </c>
      <c r="V20" s="14">
        <f t="shared" si="2"/>
        <v>-463.00703708944951</v>
      </c>
      <c r="W20" s="9"/>
      <c r="X20" s="9"/>
      <c r="Y20" s="9"/>
      <c r="Z20" s="9"/>
      <c r="AA20" s="9"/>
      <c r="AB20" s="9"/>
      <c r="AC20" s="9"/>
      <c r="AD20" s="9"/>
      <c r="AE20" s="9"/>
      <c r="AF20" s="9"/>
    </row>
    <row r="21" spans="1:32" ht="58">
      <c r="A21" s="3" t="s">
        <v>152</v>
      </c>
      <c r="B21" s="3" t="s">
        <v>8841</v>
      </c>
      <c r="C21" s="3" t="s">
        <v>8842</v>
      </c>
      <c r="F21" t="s">
        <v>3884</v>
      </c>
      <c r="G21" s="9" t="s">
        <v>8732</v>
      </c>
      <c r="H21" s="9"/>
      <c r="I21" s="9"/>
      <c r="J21" s="9"/>
      <c r="K21" s="9"/>
      <c r="L21" s="9"/>
      <c r="M21" s="9"/>
      <c r="N21" s="10"/>
      <c r="O21" s="9"/>
      <c r="P21" s="9"/>
      <c r="Q21" s="9">
        <v>-491</v>
      </c>
      <c r="R21" s="9">
        <v>520</v>
      </c>
      <c r="S21" s="9">
        <v>29</v>
      </c>
      <c r="T21" s="14">
        <f t="shared" si="0"/>
        <v>66.897376850934634</v>
      </c>
      <c r="U21" s="14">
        <f t="shared" si="1"/>
        <v>3.7308152474559702</v>
      </c>
      <c r="V21" s="14">
        <f t="shared" si="2"/>
        <v>-63.166561603478662</v>
      </c>
      <c r="W21" s="9"/>
      <c r="X21" s="9"/>
      <c r="Y21" s="9"/>
      <c r="Z21" s="9"/>
      <c r="AA21" s="9"/>
      <c r="AB21" s="9"/>
      <c r="AC21" s="9"/>
      <c r="AD21" s="9"/>
      <c r="AE21" s="9"/>
      <c r="AF21" s="9"/>
    </row>
    <row r="22" spans="1:32" ht="43.5">
      <c r="A22" s="3" t="s">
        <v>153</v>
      </c>
      <c r="B22" s="3" t="s">
        <v>8845</v>
      </c>
      <c r="C22" s="3" t="s">
        <v>8846</v>
      </c>
      <c r="G22" s="9" t="s">
        <v>8729</v>
      </c>
      <c r="H22" s="9"/>
      <c r="I22" s="9"/>
      <c r="J22" s="9"/>
      <c r="K22" s="9"/>
      <c r="L22" s="9"/>
      <c r="M22" s="9"/>
      <c r="N22" s="10"/>
      <c r="O22" s="9"/>
      <c r="P22" s="9"/>
      <c r="Q22" s="9">
        <v>-76</v>
      </c>
      <c r="R22" s="9">
        <v>146</v>
      </c>
      <c r="S22" s="9">
        <v>70</v>
      </c>
      <c r="T22" s="14">
        <f t="shared" si="0"/>
        <v>18.782725038916261</v>
      </c>
      <c r="U22" s="14">
        <f t="shared" si="1"/>
        <v>9.0054161145488933</v>
      </c>
      <c r="V22" s="14">
        <f t="shared" si="2"/>
        <v>-9.7773089243673681</v>
      </c>
      <c r="W22" s="9"/>
      <c r="X22" s="9"/>
      <c r="Y22" s="9"/>
      <c r="Z22" s="9"/>
      <c r="AA22" s="9"/>
      <c r="AB22" s="9"/>
      <c r="AC22" s="9"/>
      <c r="AD22" s="9"/>
      <c r="AE22" s="9"/>
      <c r="AF22" s="9"/>
    </row>
    <row r="23" spans="1:32" ht="29">
      <c r="A23" s="3" t="s">
        <v>153</v>
      </c>
      <c r="B23" s="3" t="s">
        <v>4082</v>
      </c>
      <c r="C23" s="3" t="s">
        <v>4083</v>
      </c>
      <c r="F23" t="s">
        <v>3892</v>
      </c>
      <c r="G23" s="9" t="s">
        <v>8729</v>
      </c>
      <c r="H23" s="9"/>
      <c r="I23" s="9"/>
      <c r="J23" s="9"/>
      <c r="K23" s="9"/>
      <c r="L23" s="9"/>
      <c r="M23" s="9"/>
      <c r="N23" s="10"/>
      <c r="O23" s="9"/>
      <c r="P23" s="9"/>
      <c r="Q23" s="9">
        <v>-18</v>
      </c>
      <c r="R23" s="9">
        <v>88</v>
      </c>
      <c r="S23" s="9">
        <v>70</v>
      </c>
      <c r="T23" s="14">
        <f t="shared" si="0"/>
        <v>11.321094544004323</v>
      </c>
      <c r="U23" s="14">
        <f t="shared" si="1"/>
        <v>9.0054161145488933</v>
      </c>
      <c r="V23" s="14">
        <f t="shared" si="2"/>
        <v>-2.3156784294554296</v>
      </c>
      <c r="W23" s="9"/>
      <c r="X23" s="9"/>
      <c r="Y23" s="9"/>
      <c r="Z23" s="9"/>
      <c r="AA23" s="9"/>
      <c r="AB23" s="9"/>
      <c r="AC23" s="9"/>
      <c r="AD23" s="9"/>
      <c r="AE23" s="9"/>
      <c r="AF23" s="9"/>
    </row>
    <row r="24" spans="1:32" ht="29">
      <c r="A24" s="3" t="s">
        <v>166</v>
      </c>
      <c r="B24" s="3" t="s">
        <v>4102</v>
      </c>
      <c r="C24" s="3" t="s">
        <v>4103</v>
      </c>
      <c r="G24" s="9" t="s">
        <v>8729</v>
      </c>
      <c r="H24" s="9"/>
      <c r="I24" s="9"/>
      <c r="J24" s="9"/>
      <c r="K24" s="9"/>
      <c r="L24" s="9"/>
      <c r="M24" s="9"/>
      <c r="N24" s="10"/>
      <c r="O24" s="9"/>
      <c r="P24" s="9"/>
      <c r="Q24" s="9">
        <v>-575</v>
      </c>
      <c r="R24" s="9">
        <v>653</v>
      </c>
      <c r="S24" s="9">
        <v>78</v>
      </c>
      <c r="T24" s="14">
        <f t="shared" si="0"/>
        <v>84.007667468577537</v>
      </c>
      <c r="U24" s="14">
        <f t="shared" si="1"/>
        <v>10.034606527640195</v>
      </c>
      <c r="V24" s="14">
        <f t="shared" si="2"/>
        <v>-73.973060940937344</v>
      </c>
      <c r="W24" s="9"/>
      <c r="X24" s="9"/>
      <c r="Y24" s="9"/>
      <c r="Z24" s="9"/>
      <c r="AA24" s="9"/>
      <c r="AB24" s="9"/>
      <c r="AC24" s="9"/>
      <c r="AD24" s="9"/>
      <c r="AE24" s="9"/>
      <c r="AF24" s="9"/>
    </row>
    <row r="25" spans="1:32" ht="29">
      <c r="A25" s="3" t="s">
        <v>168</v>
      </c>
      <c r="B25" s="3" t="s">
        <v>4105</v>
      </c>
      <c r="C25" s="3" t="s">
        <v>4106</v>
      </c>
      <c r="F25" t="s">
        <v>3884</v>
      </c>
      <c r="G25" s="9" t="s">
        <v>8729</v>
      </c>
      <c r="H25" s="9"/>
      <c r="I25" s="9"/>
      <c r="J25" s="9"/>
      <c r="K25" s="9"/>
      <c r="L25" s="9"/>
      <c r="M25" s="9"/>
      <c r="N25" s="10"/>
      <c r="O25" s="9"/>
      <c r="P25" s="9"/>
      <c r="Q25" s="9">
        <v>-881</v>
      </c>
      <c r="R25" s="9">
        <v>886</v>
      </c>
      <c r="S25" s="9">
        <v>5</v>
      </c>
      <c r="T25" s="14">
        <f t="shared" si="0"/>
        <v>113.9828382498617</v>
      </c>
      <c r="U25" s="14">
        <f t="shared" si="1"/>
        <v>0.64324400818206373</v>
      </c>
      <c r="V25" s="14">
        <f t="shared" si="2"/>
        <v>-113.33959424167963</v>
      </c>
      <c r="W25" s="9" t="s">
        <v>8728</v>
      </c>
      <c r="X25" s="9"/>
      <c r="Y25" s="9"/>
      <c r="Z25" s="9"/>
      <c r="AA25" s="9"/>
      <c r="AB25" s="9"/>
      <c r="AC25" s="9"/>
      <c r="AD25" s="9"/>
      <c r="AE25" s="9"/>
      <c r="AF25" s="9"/>
    </row>
    <row r="26" spans="1:32" ht="29">
      <c r="A26" s="3" t="s">
        <v>172</v>
      </c>
      <c r="B26" s="3" t="s">
        <v>4113</v>
      </c>
      <c r="C26" s="3" t="s">
        <v>4114</v>
      </c>
      <c r="G26" s="9" t="s">
        <v>8729</v>
      </c>
      <c r="H26" s="9"/>
      <c r="I26" s="9"/>
      <c r="J26" s="9"/>
      <c r="K26" s="9"/>
      <c r="L26" s="9"/>
      <c r="M26" s="9"/>
      <c r="N26" s="10"/>
      <c r="O26" s="9"/>
      <c r="P26" s="9"/>
      <c r="Q26" s="9">
        <v>-119</v>
      </c>
      <c r="R26" s="9">
        <v>991</v>
      </c>
      <c r="S26" s="9">
        <v>872</v>
      </c>
      <c r="T26" s="14">
        <f t="shared" si="0"/>
        <v>127.49096242168504</v>
      </c>
      <c r="U26" s="14">
        <f t="shared" si="1"/>
        <v>112.18175502695193</v>
      </c>
      <c r="V26" s="14">
        <f t="shared" si="2"/>
        <v>-15.309207394733107</v>
      </c>
      <c r="W26" s="9"/>
      <c r="X26" s="9"/>
      <c r="Y26" s="9"/>
      <c r="Z26" s="9"/>
      <c r="AA26" s="9"/>
      <c r="AB26" s="9"/>
      <c r="AC26" s="9"/>
      <c r="AD26" s="9"/>
      <c r="AE26" s="9"/>
      <c r="AF26" s="9"/>
    </row>
    <row r="27" spans="1:32" ht="29">
      <c r="A27" s="3" t="s">
        <v>177</v>
      </c>
      <c r="B27" s="3" t="s">
        <v>2188</v>
      </c>
      <c r="C27" s="3" t="s">
        <v>2189</v>
      </c>
      <c r="F27" t="s">
        <v>3884</v>
      </c>
      <c r="G27" s="9" t="s">
        <v>8729</v>
      </c>
      <c r="H27" s="9"/>
      <c r="I27" s="9"/>
      <c r="J27" s="9"/>
      <c r="K27" s="9"/>
      <c r="L27" s="9"/>
      <c r="M27" s="9"/>
      <c r="N27" s="10"/>
      <c r="O27" s="9"/>
      <c r="P27" s="9"/>
      <c r="Q27" s="9">
        <v>3</v>
      </c>
      <c r="R27" s="9">
        <v>18</v>
      </c>
      <c r="S27" s="9">
        <v>21</v>
      </c>
      <c r="T27" s="14">
        <f t="shared" si="0"/>
        <v>2.3156784294554296</v>
      </c>
      <c r="U27" s="14">
        <f t="shared" si="1"/>
        <v>2.7016248343646683</v>
      </c>
      <c r="V27" s="14">
        <f t="shared" si="2"/>
        <v>0.38594640490923871</v>
      </c>
      <c r="W27" s="9"/>
      <c r="X27" s="9"/>
      <c r="Y27" s="9"/>
      <c r="Z27" s="9"/>
      <c r="AA27" s="9"/>
      <c r="AB27" s="9"/>
      <c r="AC27" s="9"/>
      <c r="AD27" s="9"/>
      <c r="AE27" s="9"/>
      <c r="AF27" s="9"/>
    </row>
    <row r="28" spans="1:32" ht="29">
      <c r="A28" s="3" t="s">
        <v>178</v>
      </c>
      <c r="B28" s="3" t="s">
        <v>2188</v>
      </c>
      <c r="C28" s="3" t="s">
        <v>2189</v>
      </c>
      <c r="F28" t="s">
        <v>3884</v>
      </c>
      <c r="G28" s="9" t="s">
        <v>8729</v>
      </c>
      <c r="H28" s="9"/>
      <c r="I28" s="9"/>
      <c r="J28" s="9"/>
      <c r="K28" s="9"/>
      <c r="L28" s="9"/>
      <c r="M28" s="9"/>
      <c r="N28" s="10"/>
      <c r="O28" s="9"/>
      <c r="P28" s="9"/>
      <c r="Q28" s="9">
        <v>3</v>
      </c>
      <c r="R28" s="9">
        <v>18</v>
      </c>
      <c r="S28" s="9">
        <v>21</v>
      </c>
      <c r="T28" s="14">
        <f t="shared" si="0"/>
        <v>2.3156784294554296</v>
      </c>
      <c r="U28" s="14">
        <f t="shared" si="1"/>
        <v>2.7016248343646683</v>
      </c>
      <c r="V28" s="14">
        <f t="shared" si="2"/>
        <v>0.38594640490923871</v>
      </c>
      <c r="W28" s="9"/>
      <c r="X28" s="9"/>
      <c r="Y28" s="9"/>
      <c r="Z28" s="9"/>
      <c r="AA28" s="9"/>
      <c r="AB28" s="9"/>
      <c r="AC28" s="9"/>
      <c r="AD28" s="9"/>
      <c r="AE28" s="9"/>
      <c r="AF28" s="9"/>
    </row>
    <row r="29" spans="1:32" ht="29">
      <c r="A29" s="3" t="s">
        <v>189</v>
      </c>
      <c r="B29" s="3" t="s">
        <v>4126</v>
      </c>
      <c r="C29" s="3" t="s">
        <v>4127</v>
      </c>
      <c r="G29" s="9" t="s">
        <v>8729</v>
      </c>
      <c r="H29" s="9"/>
      <c r="I29" s="9"/>
      <c r="J29" s="9"/>
      <c r="K29" s="9"/>
      <c r="L29" s="9"/>
      <c r="M29" s="9"/>
      <c r="N29" s="10"/>
      <c r="O29" s="9"/>
      <c r="P29" s="9"/>
      <c r="Q29" s="9">
        <v>-119</v>
      </c>
      <c r="R29" s="9">
        <v>991</v>
      </c>
      <c r="S29" s="9">
        <v>872</v>
      </c>
      <c r="T29" s="14">
        <f t="shared" si="0"/>
        <v>127.49096242168504</v>
      </c>
      <c r="U29" s="14">
        <f t="shared" si="1"/>
        <v>112.18175502695193</v>
      </c>
      <c r="V29" s="14">
        <f t="shared" si="2"/>
        <v>-15.309207394733107</v>
      </c>
      <c r="W29" s="9"/>
      <c r="X29" s="9"/>
      <c r="Y29" s="9"/>
      <c r="Z29" s="9"/>
      <c r="AA29" s="9"/>
      <c r="AB29" s="9"/>
      <c r="AC29" s="9"/>
      <c r="AD29" s="9"/>
      <c r="AE29" s="9"/>
      <c r="AF29" s="9"/>
    </row>
    <row r="30" spans="1:32" ht="43.5">
      <c r="A30" s="3" t="s">
        <v>204</v>
      </c>
      <c r="B30" s="3" t="s">
        <v>8873</v>
      </c>
      <c r="C30" s="3" t="s">
        <v>8874</v>
      </c>
      <c r="F30" t="s">
        <v>3892</v>
      </c>
      <c r="G30" s="9" t="s">
        <v>8729</v>
      </c>
      <c r="H30" s="9"/>
      <c r="I30" s="9"/>
      <c r="J30" s="9"/>
      <c r="K30" s="9"/>
      <c r="L30" s="9"/>
      <c r="M30" s="9"/>
      <c r="N30" s="10"/>
      <c r="O30" s="9"/>
      <c r="P30" s="9"/>
      <c r="Q30" s="9">
        <v>5</v>
      </c>
      <c r="R30" s="9">
        <v>1</v>
      </c>
      <c r="S30" s="9">
        <v>6</v>
      </c>
      <c r="T30" s="14">
        <f t="shared" si="0"/>
        <v>0.12864880163641276</v>
      </c>
      <c r="U30" s="14">
        <f t="shared" si="1"/>
        <v>0.77189280981847652</v>
      </c>
      <c r="V30" s="14">
        <f t="shared" si="2"/>
        <v>0.64324400818206373</v>
      </c>
      <c r="W30" s="9"/>
      <c r="X30" s="9"/>
      <c r="Y30" s="9"/>
      <c r="Z30" s="9"/>
      <c r="AA30" s="9"/>
      <c r="AB30" s="9"/>
      <c r="AC30" s="9"/>
      <c r="AD30" s="9"/>
      <c r="AE30" s="9"/>
      <c r="AF30" s="9"/>
    </row>
    <row r="31" spans="1:32" ht="29">
      <c r="A31" s="3" t="s">
        <v>210</v>
      </c>
      <c r="B31" s="3" t="s">
        <v>2199</v>
      </c>
      <c r="C31" s="3" t="s">
        <v>2102</v>
      </c>
      <c r="F31" t="s">
        <v>3884</v>
      </c>
      <c r="G31" s="9" t="s">
        <v>8729</v>
      </c>
      <c r="H31" s="9"/>
      <c r="I31" s="9"/>
      <c r="J31" s="9"/>
      <c r="K31" s="9"/>
      <c r="L31" s="9"/>
      <c r="M31" s="9"/>
      <c r="N31" s="10"/>
      <c r="O31" s="9"/>
      <c r="P31" s="9"/>
      <c r="Q31" s="9">
        <v>-3599</v>
      </c>
      <c r="R31" s="9">
        <v>3678</v>
      </c>
      <c r="S31" s="9">
        <v>79</v>
      </c>
      <c r="T31" s="14">
        <f t="shared" si="0"/>
        <v>473.17029241872609</v>
      </c>
      <c r="U31" s="14">
        <f t="shared" si="1"/>
        <v>10.163255329276607</v>
      </c>
      <c r="V31" s="14">
        <f t="shared" si="2"/>
        <v>-463.00703708944951</v>
      </c>
      <c r="W31" s="9"/>
      <c r="X31" s="9"/>
      <c r="Y31" s="9"/>
      <c r="Z31" s="9"/>
      <c r="AA31" s="9"/>
      <c r="AB31" s="9"/>
      <c r="AC31" s="9"/>
      <c r="AD31" s="9"/>
      <c r="AE31" s="9"/>
      <c r="AF31" s="9"/>
    </row>
    <row r="32" spans="1:32" ht="58">
      <c r="A32" s="3" t="s">
        <v>218</v>
      </c>
      <c r="B32" s="3" t="s">
        <v>4157</v>
      </c>
      <c r="C32" s="3" t="s">
        <v>4158</v>
      </c>
      <c r="F32" t="s">
        <v>3884</v>
      </c>
      <c r="G32" s="9" t="s">
        <v>8729</v>
      </c>
      <c r="H32" s="9"/>
      <c r="I32" s="9"/>
      <c r="J32" s="9"/>
      <c r="K32" s="9"/>
      <c r="L32" s="9"/>
      <c r="M32" s="9"/>
      <c r="N32" s="10"/>
      <c r="O32" s="9"/>
      <c r="P32" s="9"/>
      <c r="Q32" s="9">
        <v>-10148</v>
      </c>
      <c r="R32" s="9">
        <v>10929</v>
      </c>
      <c r="S32" s="9">
        <v>781</v>
      </c>
      <c r="T32" s="14">
        <f t="shared" si="0"/>
        <v>1406.0027530843549</v>
      </c>
      <c r="U32" s="14">
        <f t="shared" si="1"/>
        <v>100.47471407803836</v>
      </c>
      <c r="V32" s="14">
        <f t="shared" si="2"/>
        <v>-1305.5280390063165</v>
      </c>
      <c r="W32" s="9"/>
      <c r="X32" s="9"/>
      <c r="Y32" s="9"/>
      <c r="Z32" s="9"/>
      <c r="AA32" s="9"/>
      <c r="AB32" s="9"/>
      <c r="AC32" s="9"/>
      <c r="AD32" s="9"/>
      <c r="AE32" s="9"/>
      <c r="AF32" s="9"/>
    </row>
    <row r="33" spans="1:32" ht="29">
      <c r="A33" s="3" t="s">
        <v>245</v>
      </c>
      <c r="B33" s="3" t="s">
        <v>4188</v>
      </c>
      <c r="C33" s="3" t="s">
        <v>4189</v>
      </c>
      <c r="G33" s="9" t="s">
        <v>8729</v>
      </c>
      <c r="H33" s="9"/>
      <c r="I33" s="9"/>
      <c r="J33" s="9"/>
      <c r="K33" s="9"/>
      <c r="L33" s="9"/>
      <c r="M33" s="9"/>
      <c r="N33" s="10"/>
      <c r="O33" s="9"/>
      <c r="P33" s="9"/>
      <c r="Q33" s="9">
        <v>-75</v>
      </c>
      <c r="R33" s="9">
        <v>111</v>
      </c>
      <c r="S33" s="9">
        <v>36</v>
      </c>
      <c r="T33" s="14">
        <f t="shared" si="0"/>
        <v>14.280016981641815</v>
      </c>
      <c r="U33" s="14">
        <f t="shared" si="1"/>
        <v>4.6313568589108591</v>
      </c>
      <c r="V33" s="14">
        <f t="shared" si="2"/>
        <v>-9.6486601227309556</v>
      </c>
      <c r="W33" s="9"/>
      <c r="X33" s="9"/>
      <c r="Y33" s="9"/>
      <c r="Z33" s="9"/>
      <c r="AA33" s="9"/>
      <c r="AB33" s="9"/>
      <c r="AC33" s="9"/>
      <c r="AD33" s="9"/>
      <c r="AE33" s="9"/>
      <c r="AF33" s="9"/>
    </row>
    <row r="34" spans="1:32" ht="58">
      <c r="A34" s="3" t="s">
        <v>251</v>
      </c>
      <c r="B34" s="3" t="s">
        <v>4194</v>
      </c>
      <c r="C34" s="3" t="s">
        <v>4195</v>
      </c>
      <c r="G34" s="9" t="s">
        <v>8729</v>
      </c>
      <c r="H34" s="9"/>
      <c r="I34" s="9"/>
      <c r="J34" s="9"/>
      <c r="K34" s="9"/>
      <c r="L34" s="9"/>
      <c r="M34" s="9"/>
      <c r="N34" s="10"/>
      <c r="O34" s="9"/>
      <c r="P34" s="9"/>
      <c r="Q34" s="9">
        <v>-70</v>
      </c>
      <c r="R34" s="9">
        <v>70</v>
      </c>
      <c r="S34" s="9">
        <v>0</v>
      </c>
      <c r="T34" s="14">
        <f t="shared" si="0"/>
        <v>9.0054161145488933</v>
      </c>
      <c r="U34" s="14">
        <f t="shared" si="1"/>
        <v>0</v>
      </c>
      <c r="V34" s="14">
        <f t="shared" si="2"/>
        <v>-9.0054161145488933</v>
      </c>
      <c r="W34" s="9"/>
      <c r="X34" s="9"/>
      <c r="Y34" s="9"/>
      <c r="Z34" s="9"/>
      <c r="AA34" s="9"/>
      <c r="AB34" s="9"/>
      <c r="AC34" s="9"/>
      <c r="AD34" s="9"/>
      <c r="AE34" s="9"/>
      <c r="AF34" s="9"/>
    </row>
    <row r="35" spans="1:32" ht="43.5">
      <c r="A35" s="3" t="s">
        <v>253</v>
      </c>
      <c r="B35" s="3" t="s">
        <v>4198</v>
      </c>
      <c r="C35" s="3" t="s">
        <v>4199</v>
      </c>
      <c r="F35" t="s">
        <v>3884</v>
      </c>
      <c r="G35" s="9" t="s">
        <v>8729</v>
      </c>
      <c r="H35" s="9"/>
      <c r="I35" s="9"/>
      <c r="J35" s="9"/>
      <c r="K35" s="9"/>
      <c r="L35" s="9"/>
      <c r="M35" s="9"/>
      <c r="N35" s="10"/>
      <c r="O35" s="9"/>
      <c r="P35" s="9"/>
      <c r="Q35" s="9">
        <v>96</v>
      </c>
      <c r="R35" s="9">
        <v>106</v>
      </c>
      <c r="S35" s="9">
        <v>202</v>
      </c>
      <c r="T35" s="14">
        <f t="shared" si="0"/>
        <v>13.636772973459752</v>
      </c>
      <c r="U35" s="14">
        <f t="shared" si="1"/>
        <v>25.987057930555377</v>
      </c>
      <c r="V35" s="14">
        <f t="shared" si="2"/>
        <v>12.350284957095624</v>
      </c>
      <c r="W35" s="9"/>
      <c r="X35" s="9"/>
      <c r="Y35" s="9"/>
      <c r="Z35" s="9"/>
      <c r="AA35" s="9"/>
      <c r="AB35" s="9"/>
      <c r="AC35" s="9"/>
      <c r="AD35" s="9"/>
      <c r="AE35" s="9"/>
      <c r="AF35" s="9"/>
    </row>
    <row r="36" spans="1:32" ht="29">
      <c r="A36" s="3" t="s">
        <v>262</v>
      </c>
      <c r="B36" s="3" t="s">
        <v>4226</v>
      </c>
      <c r="C36" s="3" t="s">
        <v>4227</v>
      </c>
      <c r="G36" s="9" t="s">
        <v>8729</v>
      </c>
      <c r="H36" s="9"/>
      <c r="I36" s="9"/>
      <c r="J36" s="9"/>
      <c r="K36" s="9"/>
      <c r="L36" s="9"/>
      <c r="M36" s="9"/>
      <c r="N36" s="10"/>
      <c r="O36" s="9"/>
      <c r="P36" s="9"/>
      <c r="Q36" s="9">
        <v>-3599</v>
      </c>
      <c r="R36" s="9">
        <v>3678</v>
      </c>
      <c r="S36" s="9">
        <v>79</v>
      </c>
      <c r="T36" s="14">
        <f t="shared" si="0"/>
        <v>473.17029241872609</v>
      </c>
      <c r="U36" s="14">
        <f t="shared" si="1"/>
        <v>10.163255329276607</v>
      </c>
      <c r="V36" s="14">
        <f t="shared" si="2"/>
        <v>-463.00703708944951</v>
      </c>
      <c r="W36" s="9"/>
      <c r="X36" s="9"/>
      <c r="Y36" s="9"/>
      <c r="Z36" s="9"/>
      <c r="AA36" s="9"/>
      <c r="AB36" s="9"/>
      <c r="AC36" s="9"/>
      <c r="AD36" s="9"/>
      <c r="AE36" s="9"/>
      <c r="AF36" s="9"/>
    </row>
    <row r="37" spans="1:32" ht="29">
      <c r="A37" s="3" t="s">
        <v>293</v>
      </c>
      <c r="B37" s="3" t="s">
        <v>2489</v>
      </c>
      <c r="C37" s="3" t="s">
        <v>2208</v>
      </c>
      <c r="G37" s="9" t="s">
        <v>8729</v>
      </c>
      <c r="H37" s="9"/>
      <c r="I37" s="9"/>
      <c r="J37" s="9"/>
      <c r="K37" s="9"/>
      <c r="L37" s="9"/>
      <c r="M37" s="9"/>
      <c r="N37" s="10"/>
      <c r="O37" s="9"/>
      <c r="P37" s="9"/>
      <c r="Q37" s="9">
        <v>219</v>
      </c>
      <c r="R37" s="9">
        <v>23</v>
      </c>
      <c r="S37" s="9">
        <v>242</v>
      </c>
      <c r="T37" s="14">
        <f t="shared" si="0"/>
        <v>2.9589224376374932</v>
      </c>
      <c r="U37" s="14">
        <f t="shared" si="1"/>
        <v>31.133009996011886</v>
      </c>
      <c r="V37" s="14">
        <f t="shared" si="2"/>
        <v>28.174087558374392</v>
      </c>
      <c r="W37" s="9"/>
      <c r="X37" s="9"/>
      <c r="Y37" s="9"/>
      <c r="Z37" s="9"/>
      <c r="AA37" s="9"/>
      <c r="AB37" s="9"/>
      <c r="AC37" s="9"/>
      <c r="AD37" s="9"/>
      <c r="AE37" s="9"/>
      <c r="AF37" s="9"/>
    </row>
    <row r="38" spans="1:32" ht="29">
      <c r="A38" s="3" t="s">
        <v>295</v>
      </c>
      <c r="B38" s="3" t="s">
        <v>9447</v>
      </c>
      <c r="C38" s="3" t="s">
        <v>6871</v>
      </c>
      <c r="G38" s="9" t="s">
        <v>8729</v>
      </c>
      <c r="H38" s="9"/>
      <c r="I38" s="9"/>
      <c r="J38" s="9"/>
      <c r="K38" s="9"/>
      <c r="L38" s="9"/>
      <c r="M38" s="9"/>
      <c r="N38" s="10"/>
      <c r="O38" s="9"/>
      <c r="P38" s="9"/>
      <c r="Q38" s="9">
        <v>-1070</v>
      </c>
      <c r="R38" s="9">
        <v>1942</v>
      </c>
      <c r="S38" s="9">
        <v>872</v>
      </c>
      <c r="T38" s="14">
        <f t="shared" si="0"/>
        <v>249.83597277791355</v>
      </c>
      <c r="U38" s="14">
        <f t="shared" si="1"/>
        <v>112.18175502695193</v>
      </c>
      <c r="V38" s="14">
        <f t="shared" si="2"/>
        <v>-137.65421775096161</v>
      </c>
      <c r="W38" s="9"/>
      <c r="X38" s="9"/>
      <c r="Y38" s="9"/>
      <c r="Z38" s="9"/>
      <c r="AA38" s="9"/>
      <c r="AB38" s="9"/>
      <c r="AC38" s="9"/>
      <c r="AD38" s="9"/>
      <c r="AE38" s="9"/>
      <c r="AF38" s="9"/>
    </row>
    <row r="39" spans="1:32" ht="43.5">
      <c r="A39" s="3" t="s">
        <v>297</v>
      </c>
      <c r="B39" s="3" t="s">
        <v>4296</v>
      </c>
      <c r="C39" s="3" t="s">
        <v>4297</v>
      </c>
      <c r="G39" s="9" t="s">
        <v>8729</v>
      </c>
      <c r="H39" s="9"/>
      <c r="I39" s="9"/>
      <c r="J39" s="9"/>
      <c r="K39" s="9"/>
      <c r="L39" s="9"/>
      <c r="M39" s="9"/>
      <c r="N39" s="10"/>
      <c r="O39" s="9"/>
      <c r="P39" s="9"/>
      <c r="Q39" s="9">
        <v>78</v>
      </c>
      <c r="R39" s="9">
        <v>50</v>
      </c>
      <c r="S39" s="9">
        <v>128</v>
      </c>
      <c r="T39" s="14">
        <f t="shared" si="0"/>
        <v>6.432440081820638</v>
      </c>
      <c r="U39" s="14">
        <f t="shared" si="1"/>
        <v>16.467046609460834</v>
      </c>
      <c r="V39" s="14">
        <f t="shared" si="2"/>
        <v>10.034606527640197</v>
      </c>
      <c r="W39" s="9"/>
      <c r="X39" s="9"/>
      <c r="Y39" s="9"/>
      <c r="Z39" s="9"/>
      <c r="AA39" s="9"/>
      <c r="AB39" s="9"/>
      <c r="AC39" s="9"/>
      <c r="AD39" s="9"/>
      <c r="AE39" s="9"/>
      <c r="AF39" s="9"/>
    </row>
    <row r="40" spans="1:32" ht="58">
      <c r="A40" s="3" t="s">
        <v>304</v>
      </c>
      <c r="B40" s="3" t="s">
        <v>4304</v>
      </c>
      <c r="C40" s="3" t="s">
        <v>4305</v>
      </c>
      <c r="F40" t="s">
        <v>3884</v>
      </c>
      <c r="G40" s="9" t="s">
        <v>8729</v>
      </c>
      <c r="H40" s="9"/>
      <c r="I40" s="9"/>
      <c r="J40" s="9"/>
      <c r="K40" s="9"/>
      <c r="L40" s="9"/>
      <c r="M40" s="9"/>
      <c r="N40" s="10"/>
      <c r="O40" s="9"/>
      <c r="P40" s="9"/>
      <c r="Q40" s="9">
        <v>-9</v>
      </c>
      <c r="R40" s="9">
        <v>251</v>
      </c>
      <c r="S40" s="9">
        <v>242</v>
      </c>
      <c r="T40" s="14">
        <f t="shared" si="0"/>
        <v>32.290849210739601</v>
      </c>
      <c r="U40" s="14">
        <f t="shared" si="1"/>
        <v>31.133009996011886</v>
      </c>
      <c r="V40" s="14">
        <f t="shared" si="2"/>
        <v>-1.1578392147277157</v>
      </c>
      <c r="W40" s="9"/>
      <c r="X40" s="9"/>
      <c r="Y40" s="9"/>
      <c r="Z40" s="9"/>
      <c r="AA40" s="9"/>
      <c r="AB40" s="9"/>
      <c r="AC40" s="9"/>
      <c r="AD40" s="9"/>
      <c r="AE40" s="9"/>
      <c r="AF40" s="9"/>
    </row>
    <row r="41" spans="1:32" ht="58">
      <c r="A41" s="3" t="s">
        <v>312</v>
      </c>
      <c r="B41" s="3" t="s">
        <v>4325</v>
      </c>
      <c r="C41" s="3" t="s">
        <v>4326</v>
      </c>
      <c r="G41" s="9" t="s">
        <v>8729</v>
      </c>
      <c r="H41" s="9"/>
      <c r="I41" s="9"/>
      <c r="J41" s="9"/>
      <c r="K41" s="9"/>
      <c r="L41" s="9"/>
      <c r="M41" s="9"/>
      <c r="N41" s="10"/>
      <c r="O41" s="9"/>
      <c r="P41" s="9"/>
      <c r="Q41" s="9">
        <v>9444</v>
      </c>
      <c r="R41" s="9">
        <v>1485</v>
      </c>
      <c r="S41" s="9">
        <v>10929</v>
      </c>
      <c r="T41" s="14">
        <f t="shared" si="0"/>
        <v>191.04347043007292</v>
      </c>
      <c r="U41" s="14">
        <f t="shared" si="1"/>
        <v>1406.0027530843549</v>
      </c>
      <c r="V41" s="14">
        <f t="shared" si="2"/>
        <v>1214.9592826542821</v>
      </c>
      <c r="W41" s="9"/>
      <c r="X41" s="9"/>
      <c r="Y41" s="9"/>
      <c r="Z41" s="9"/>
      <c r="AA41" s="9"/>
      <c r="AB41" s="9"/>
      <c r="AC41" s="9"/>
      <c r="AD41" s="9"/>
      <c r="AE41" s="9"/>
      <c r="AF41" s="9"/>
    </row>
    <row r="42" spans="1:32" ht="29">
      <c r="A42" s="3" t="s">
        <v>338</v>
      </c>
      <c r="B42" s="3" t="s">
        <v>2532</v>
      </c>
      <c r="C42" s="3" t="s">
        <v>2533</v>
      </c>
      <c r="G42" s="9" t="s">
        <v>8729</v>
      </c>
      <c r="H42" s="9"/>
      <c r="I42" s="9"/>
      <c r="J42" s="9"/>
      <c r="K42" s="9"/>
      <c r="L42" s="9"/>
      <c r="M42" s="9"/>
      <c r="N42" s="10"/>
      <c r="O42" s="9"/>
      <c r="P42" s="9"/>
      <c r="Q42" s="9">
        <v>-3</v>
      </c>
      <c r="R42" s="9">
        <v>7</v>
      </c>
      <c r="S42" s="9">
        <v>4</v>
      </c>
      <c r="T42" s="14">
        <f t="shared" si="0"/>
        <v>0.90054161145488931</v>
      </c>
      <c r="U42" s="14">
        <f t="shared" si="1"/>
        <v>0.51459520654565105</v>
      </c>
      <c r="V42" s="14">
        <f t="shared" si="2"/>
        <v>-0.38594640490923826</v>
      </c>
      <c r="W42" s="9"/>
      <c r="X42" s="9"/>
      <c r="Y42" s="9"/>
      <c r="Z42" s="9"/>
      <c r="AA42" s="9"/>
      <c r="AB42" s="9"/>
      <c r="AC42" s="9"/>
      <c r="AD42" s="9"/>
      <c r="AE42" s="9"/>
      <c r="AF42" s="9"/>
    </row>
    <row r="43" spans="1:32" ht="29">
      <c r="A43" s="3" t="s">
        <v>346</v>
      </c>
      <c r="B43" s="3" t="s">
        <v>4399</v>
      </c>
      <c r="C43" s="3" t="s">
        <v>4400</v>
      </c>
      <c r="G43" s="9" t="s">
        <v>8729</v>
      </c>
      <c r="H43" s="9"/>
      <c r="I43" s="9"/>
      <c r="J43" s="9"/>
      <c r="K43" s="9"/>
      <c r="L43" s="9"/>
      <c r="M43" s="9"/>
      <c r="N43" s="10"/>
      <c r="O43" s="9"/>
      <c r="P43" s="9"/>
      <c r="Q43" s="9">
        <v>-539</v>
      </c>
      <c r="R43" s="9">
        <v>698</v>
      </c>
      <c r="S43" s="9">
        <v>159</v>
      </c>
      <c r="T43" s="14">
        <f t="shared" si="0"/>
        <v>89.796863542216116</v>
      </c>
      <c r="U43" s="14">
        <f t="shared" si="1"/>
        <v>20.455159460189627</v>
      </c>
      <c r="V43" s="14">
        <f t="shared" si="2"/>
        <v>-69.341704082026496</v>
      </c>
      <c r="W43" s="9"/>
      <c r="X43" s="9"/>
      <c r="Y43" s="9"/>
      <c r="Z43" s="9"/>
      <c r="AA43" s="9"/>
      <c r="AB43" s="9"/>
      <c r="AC43" s="9"/>
      <c r="AD43" s="9"/>
      <c r="AE43" s="9"/>
      <c r="AF43" s="9"/>
    </row>
    <row r="44" spans="1:32" ht="29">
      <c r="A44" s="3" t="s">
        <v>348</v>
      </c>
      <c r="B44" s="3" t="s">
        <v>4401</v>
      </c>
      <c r="C44" s="3" t="s">
        <v>4402</v>
      </c>
      <c r="G44" s="9" t="s">
        <v>8729</v>
      </c>
      <c r="H44" s="9"/>
      <c r="I44" s="9"/>
      <c r="J44" s="9"/>
      <c r="K44" s="9"/>
      <c r="L44" s="9"/>
      <c r="M44" s="9"/>
      <c r="N44" s="10"/>
      <c r="O44" s="9"/>
      <c r="P44" s="9"/>
      <c r="Q44" s="9">
        <v>-1440</v>
      </c>
      <c r="R44" s="9">
        <v>1443</v>
      </c>
      <c r="S44" s="9">
        <v>3</v>
      </c>
      <c r="T44" s="14">
        <f t="shared" si="0"/>
        <v>185.64022076134361</v>
      </c>
      <c r="U44" s="14">
        <f t="shared" si="1"/>
        <v>0.38594640490923826</v>
      </c>
      <c r="V44" s="14">
        <f t="shared" si="2"/>
        <v>-185.25427435643437</v>
      </c>
      <c r="W44" s="9"/>
      <c r="X44" s="9"/>
      <c r="Y44" s="9"/>
      <c r="Z44" s="9"/>
      <c r="AA44" s="9"/>
      <c r="AB44" s="9"/>
      <c r="AC44" s="9"/>
      <c r="AD44" s="9"/>
      <c r="AE44" s="9"/>
      <c r="AF44" s="9"/>
    </row>
    <row r="45" spans="1:32" ht="43.5">
      <c r="A45" s="3" t="s">
        <v>353</v>
      </c>
      <c r="B45" s="3" t="s">
        <v>4407</v>
      </c>
      <c r="C45" s="3" t="s">
        <v>4408</v>
      </c>
      <c r="G45" s="9" t="s">
        <v>8729</v>
      </c>
      <c r="H45" s="9"/>
      <c r="I45" s="9"/>
      <c r="J45" s="9"/>
      <c r="K45" s="9"/>
      <c r="L45" s="9"/>
      <c r="M45" s="9"/>
      <c r="N45" s="10"/>
      <c r="O45" s="9"/>
      <c r="P45" s="9"/>
      <c r="Q45" s="9">
        <v>-238</v>
      </c>
      <c r="R45" s="9">
        <v>329</v>
      </c>
      <c r="S45" s="9">
        <v>91</v>
      </c>
      <c r="T45" s="14">
        <f t="shared" si="0"/>
        <v>42.325455738379794</v>
      </c>
      <c r="U45" s="14">
        <f t="shared" si="1"/>
        <v>11.70704094891356</v>
      </c>
      <c r="V45" s="14">
        <f t="shared" si="2"/>
        <v>-30.618414789466236</v>
      </c>
      <c r="W45" s="9" t="s">
        <v>8728</v>
      </c>
      <c r="X45" s="9"/>
      <c r="Y45" s="9"/>
      <c r="Z45" s="9"/>
      <c r="AA45" s="9"/>
      <c r="AB45" s="9"/>
      <c r="AC45" s="9"/>
      <c r="AD45" s="9"/>
      <c r="AE45" s="9"/>
      <c r="AF45" s="9"/>
    </row>
    <row r="46" spans="1:32" ht="43.5">
      <c r="A46" s="3" t="s">
        <v>363</v>
      </c>
      <c r="B46" s="3" t="s">
        <v>9210</v>
      </c>
      <c r="C46" s="3" t="s">
        <v>9211</v>
      </c>
      <c r="F46" t="s">
        <v>3884</v>
      </c>
      <c r="G46" s="9" t="s">
        <v>8729</v>
      </c>
      <c r="H46" s="9"/>
      <c r="I46" s="9"/>
      <c r="J46" s="9"/>
      <c r="K46" s="9"/>
      <c r="L46" s="9"/>
      <c r="M46" s="9"/>
      <c r="N46" s="10"/>
      <c r="O46" s="9"/>
      <c r="P46" s="9"/>
      <c r="Q46" s="9">
        <v>9187</v>
      </c>
      <c r="R46" s="9">
        <v>231</v>
      </c>
      <c r="S46" s="9">
        <v>9418</v>
      </c>
      <c r="T46" s="14">
        <f t="shared" si="0"/>
        <v>29.717873178011349</v>
      </c>
      <c r="U46" s="14">
        <f t="shared" si="1"/>
        <v>1211.6144138117354</v>
      </c>
      <c r="V46" s="14">
        <f t="shared" si="2"/>
        <v>1181.896540633724</v>
      </c>
      <c r="W46" s="9"/>
      <c r="X46" s="9"/>
      <c r="Y46" s="9"/>
      <c r="Z46" s="9"/>
      <c r="AA46" s="9"/>
      <c r="AB46" s="9"/>
      <c r="AC46" s="9"/>
      <c r="AD46" s="9"/>
      <c r="AE46" s="9"/>
      <c r="AF46" s="9"/>
    </row>
    <row r="47" spans="1:32" ht="29">
      <c r="A47" s="3" t="s">
        <v>381</v>
      </c>
      <c r="B47" s="3" t="s">
        <v>4475</v>
      </c>
      <c r="C47" s="3" t="s">
        <v>2398</v>
      </c>
      <c r="F47" t="s">
        <v>3884</v>
      </c>
      <c r="G47" s="9" t="s">
        <v>8729</v>
      </c>
      <c r="H47" s="9"/>
      <c r="I47" s="9"/>
      <c r="J47" s="9"/>
      <c r="K47" s="9"/>
      <c r="L47" s="9"/>
      <c r="M47" s="9"/>
      <c r="N47" s="10"/>
      <c r="O47" s="9"/>
      <c r="P47" s="9"/>
      <c r="Q47" s="9">
        <v>5</v>
      </c>
      <c r="R47" s="9">
        <v>1</v>
      </c>
      <c r="S47" s="9">
        <v>6</v>
      </c>
      <c r="T47" s="14">
        <f t="shared" si="0"/>
        <v>0.12864880163641276</v>
      </c>
      <c r="U47" s="14">
        <f t="shared" si="1"/>
        <v>0.77189280981847652</v>
      </c>
      <c r="V47" s="14">
        <f t="shared" si="2"/>
        <v>0.64324400818206373</v>
      </c>
      <c r="W47" s="9"/>
      <c r="X47" s="9"/>
      <c r="Y47" s="9"/>
      <c r="Z47" s="9"/>
      <c r="AA47" s="9"/>
      <c r="AB47" s="9"/>
      <c r="AC47" s="9"/>
      <c r="AD47" s="9"/>
      <c r="AE47" s="9"/>
      <c r="AF47" s="9"/>
    </row>
    <row r="48" spans="1:32" ht="29">
      <c r="A48" s="3" t="s">
        <v>401</v>
      </c>
      <c r="B48" s="3" t="s">
        <v>4531</v>
      </c>
      <c r="C48" s="3" t="s">
        <v>4532</v>
      </c>
      <c r="G48" s="9" t="s">
        <v>8729</v>
      </c>
      <c r="H48" s="9"/>
      <c r="I48" s="9"/>
      <c r="J48" s="9"/>
      <c r="K48" s="9"/>
      <c r="L48" s="9"/>
      <c r="M48" s="9"/>
      <c r="N48" s="10"/>
      <c r="O48" s="9"/>
      <c r="P48" s="9"/>
      <c r="Q48" s="9">
        <v>-890</v>
      </c>
      <c r="R48" s="9">
        <v>1225</v>
      </c>
      <c r="S48" s="9">
        <v>335</v>
      </c>
      <c r="T48" s="14">
        <f t="shared" si="0"/>
        <v>157.59478200460561</v>
      </c>
      <c r="U48" s="14">
        <f t="shared" si="1"/>
        <v>43.097348548198276</v>
      </c>
      <c r="V48" s="14">
        <f t="shared" si="2"/>
        <v>-114.49743345640732</v>
      </c>
      <c r="W48" s="9"/>
      <c r="X48" s="9"/>
      <c r="Y48" s="9"/>
      <c r="Z48" s="9"/>
      <c r="AA48" s="9"/>
      <c r="AB48" s="9"/>
      <c r="AC48" s="9"/>
      <c r="AD48" s="9"/>
      <c r="AE48" s="9"/>
      <c r="AF48" s="9"/>
    </row>
    <row r="49" spans="1:32" ht="29">
      <c r="A49" s="3" t="s">
        <v>431</v>
      </c>
      <c r="B49" s="3" t="s">
        <v>4581</v>
      </c>
      <c r="C49" s="3" t="s">
        <v>4582</v>
      </c>
      <c r="G49" s="9" t="s">
        <v>8732</v>
      </c>
      <c r="H49" s="9"/>
      <c r="I49" s="9"/>
      <c r="J49" s="9"/>
      <c r="K49" s="9"/>
      <c r="L49" s="9"/>
      <c r="M49" s="9"/>
      <c r="N49" s="10"/>
      <c r="O49" s="9"/>
      <c r="P49" s="9"/>
      <c r="Q49" s="9">
        <v>1103</v>
      </c>
      <c r="R49" s="9">
        <v>340</v>
      </c>
      <c r="S49" s="9">
        <v>1443</v>
      </c>
      <c r="T49" s="14">
        <f t="shared" si="0"/>
        <v>43.740592556380335</v>
      </c>
      <c r="U49" s="14">
        <f t="shared" si="1"/>
        <v>185.64022076134361</v>
      </c>
      <c r="V49" s="14">
        <f t="shared" si="2"/>
        <v>141.89962820496328</v>
      </c>
      <c r="W49" s="9"/>
      <c r="X49" s="9"/>
      <c r="Y49" s="9"/>
      <c r="Z49" s="9"/>
      <c r="AA49" s="9"/>
      <c r="AB49" s="9"/>
      <c r="AC49" s="9"/>
      <c r="AD49" s="9"/>
      <c r="AE49" s="9"/>
      <c r="AF49" s="9"/>
    </row>
    <row r="50" spans="1:32" ht="43.5">
      <c r="A50" s="3" t="s">
        <v>434</v>
      </c>
      <c r="B50" s="3" t="s">
        <v>4589</v>
      </c>
      <c r="C50" s="3" t="s">
        <v>4590</v>
      </c>
      <c r="G50" s="9" t="s">
        <v>8732</v>
      </c>
      <c r="H50" s="9"/>
      <c r="I50" s="9"/>
      <c r="J50" s="9"/>
      <c r="K50" s="9"/>
      <c r="L50" s="9"/>
      <c r="M50" s="9"/>
      <c r="N50" s="10"/>
      <c r="O50" s="9"/>
      <c r="P50" s="9"/>
      <c r="Q50" s="9">
        <v>-10284</v>
      </c>
      <c r="R50" s="9">
        <v>10929</v>
      </c>
      <c r="S50" s="9">
        <v>645</v>
      </c>
      <c r="T50" s="14">
        <f t="shared" si="0"/>
        <v>1406.0027530843549</v>
      </c>
      <c r="U50" s="14">
        <f t="shared" si="1"/>
        <v>82.978477055486238</v>
      </c>
      <c r="V50" s="14">
        <f t="shared" si="2"/>
        <v>-1323.0242760288686</v>
      </c>
      <c r="W50" s="9"/>
      <c r="X50" s="9"/>
      <c r="Y50" s="9"/>
      <c r="Z50" s="9"/>
      <c r="AA50" s="9"/>
      <c r="AB50" s="9"/>
      <c r="AC50" s="9"/>
      <c r="AD50" s="9"/>
      <c r="AE50" s="9"/>
      <c r="AF50" s="9"/>
    </row>
    <row r="51" spans="1:32" ht="29">
      <c r="A51" s="3" t="s">
        <v>451</v>
      </c>
      <c r="B51" s="3" t="s">
        <v>8961</v>
      </c>
      <c r="C51" s="4" t="s">
        <v>8960</v>
      </c>
      <c r="D51" t="s">
        <v>4197</v>
      </c>
      <c r="G51" s="9" t="s">
        <v>8729</v>
      </c>
      <c r="H51" s="9"/>
      <c r="I51" s="9"/>
      <c r="J51" s="9"/>
      <c r="K51" s="9"/>
      <c r="L51" s="9"/>
      <c r="M51" s="9"/>
      <c r="N51" s="10"/>
      <c r="O51" s="9"/>
      <c r="P51" s="9"/>
      <c r="Q51" s="9">
        <v>-1759</v>
      </c>
      <c r="R51" s="9">
        <v>1942</v>
      </c>
      <c r="S51" s="9">
        <v>183</v>
      </c>
      <c r="T51" s="14">
        <f t="shared" si="0"/>
        <v>249.83597277791355</v>
      </c>
      <c r="U51" s="14">
        <f t="shared" si="1"/>
        <v>23.542730699463533</v>
      </c>
      <c r="V51" s="14">
        <f t="shared" si="2"/>
        <v>-226.29324207845002</v>
      </c>
      <c r="W51" s="9"/>
      <c r="X51" s="9"/>
      <c r="Y51" s="9"/>
      <c r="Z51" s="9"/>
      <c r="AA51" s="9"/>
      <c r="AB51" s="9"/>
      <c r="AC51" s="9"/>
      <c r="AD51" s="9"/>
      <c r="AE51" s="9"/>
      <c r="AF51" s="9"/>
    </row>
    <row r="52" spans="1:32" ht="29">
      <c r="A52" s="3" t="s">
        <v>452</v>
      </c>
      <c r="B52" s="3" t="s">
        <v>4621</v>
      </c>
      <c r="C52" s="3" t="s">
        <v>4622</v>
      </c>
      <c r="F52" t="s">
        <v>3884</v>
      </c>
      <c r="G52" s="9" t="s">
        <v>8729</v>
      </c>
      <c r="H52" s="9"/>
      <c r="I52" s="9"/>
      <c r="J52" s="9"/>
      <c r="K52" s="9"/>
      <c r="L52" s="9"/>
      <c r="M52" s="9"/>
      <c r="N52" s="10"/>
      <c r="O52" s="9"/>
      <c r="P52" s="9"/>
      <c r="Q52" s="9">
        <v>8987</v>
      </c>
      <c r="R52" s="9">
        <v>1942</v>
      </c>
      <c r="S52" s="9">
        <v>10929</v>
      </c>
      <c r="T52" s="14">
        <f t="shared" si="0"/>
        <v>249.83597277791355</v>
      </c>
      <c r="U52" s="14">
        <f t="shared" si="1"/>
        <v>1406.0027530843549</v>
      </c>
      <c r="V52" s="14">
        <f t="shared" si="2"/>
        <v>1156.1667803064413</v>
      </c>
      <c r="W52" s="9"/>
      <c r="X52" s="9"/>
      <c r="Y52" s="9"/>
      <c r="Z52" s="9"/>
      <c r="AA52" s="9"/>
      <c r="AB52" s="9"/>
      <c r="AC52" s="9"/>
      <c r="AD52" s="9"/>
      <c r="AE52" s="9"/>
      <c r="AF52" s="9"/>
    </row>
    <row r="53" spans="1:32" ht="29">
      <c r="A53" s="3" t="s">
        <v>468</v>
      </c>
      <c r="B53" s="3" t="s">
        <v>4641</v>
      </c>
      <c r="C53" s="3" t="s">
        <v>4642</v>
      </c>
      <c r="F53" t="s">
        <v>3884</v>
      </c>
      <c r="G53" s="9" t="s">
        <v>8729</v>
      </c>
      <c r="H53" s="9"/>
      <c r="I53" s="9"/>
      <c r="J53" s="9"/>
      <c r="K53" s="9"/>
      <c r="L53" s="9"/>
      <c r="M53" s="9"/>
      <c r="N53" s="10"/>
      <c r="O53" s="9"/>
      <c r="P53" s="9"/>
      <c r="Q53" s="9">
        <v>106</v>
      </c>
      <c r="R53" s="9">
        <v>19</v>
      </c>
      <c r="S53" s="9">
        <v>125</v>
      </c>
      <c r="T53" s="14">
        <f t="shared" si="0"/>
        <v>2.4443272310918425</v>
      </c>
      <c r="U53" s="14">
        <f t="shared" si="1"/>
        <v>16.081100204551596</v>
      </c>
      <c r="V53" s="14">
        <f t="shared" si="2"/>
        <v>13.636772973459754</v>
      </c>
      <c r="W53" s="9"/>
      <c r="X53" s="9"/>
      <c r="Y53" s="9"/>
      <c r="Z53" s="9"/>
      <c r="AA53" s="9"/>
      <c r="AB53" s="9"/>
      <c r="AC53" s="9"/>
      <c r="AD53" s="9"/>
      <c r="AE53" s="9"/>
      <c r="AF53" s="9"/>
    </row>
    <row r="54" spans="1:32" ht="29">
      <c r="A54" s="3" t="s">
        <v>479</v>
      </c>
      <c r="B54" s="3" t="s">
        <v>4655</v>
      </c>
      <c r="C54" s="3" t="s">
        <v>4656</v>
      </c>
      <c r="F54" t="s">
        <v>3884</v>
      </c>
      <c r="G54" s="9" t="s">
        <v>8729</v>
      </c>
      <c r="H54" s="9"/>
      <c r="I54" s="9"/>
      <c r="J54" s="9"/>
      <c r="K54" s="9"/>
      <c r="L54" s="9"/>
      <c r="M54" s="9"/>
      <c r="N54" s="10"/>
      <c r="O54" s="9"/>
      <c r="P54" s="9"/>
      <c r="Q54" s="9">
        <v>319</v>
      </c>
      <c r="R54" s="9">
        <v>336</v>
      </c>
      <c r="S54" s="9">
        <v>655</v>
      </c>
      <c r="T54" s="14">
        <f t="shared" si="0"/>
        <v>43.225997349834692</v>
      </c>
      <c r="U54" s="14">
        <f t="shared" si="1"/>
        <v>84.264965071850355</v>
      </c>
      <c r="V54" s="14">
        <f t="shared" si="2"/>
        <v>41.038967722015663</v>
      </c>
      <c r="W54" s="9"/>
      <c r="X54" s="9"/>
      <c r="Y54" s="9"/>
      <c r="Z54" s="9"/>
      <c r="AA54" s="9"/>
      <c r="AB54" s="9"/>
      <c r="AC54" s="9"/>
      <c r="AD54" s="9"/>
      <c r="AE54" s="9"/>
      <c r="AF54" s="9"/>
    </row>
    <row r="55" spans="1:32" ht="29">
      <c r="A55" s="3" t="s">
        <v>482</v>
      </c>
      <c r="B55" s="3" t="s">
        <v>8970</v>
      </c>
      <c r="C55" s="3" t="s">
        <v>2703</v>
      </c>
      <c r="F55" t="s">
        <v>3884</v>
      </c>
      <c r="G55" s="9" t="s">
        <v>8729</v>
      </c>
      <c r="H55" s="9"/>
      <c r="I55" s="9"/>
      <c r="J55" s="9"/>
      <c r="K55" s="9"/>
      <c r="L55" s="9"/>
      <c r="M55" s="9"/>
      <c r="N55" s="10"/>
      <c r="O55" s="9"/>
      <c r="P55" s="9"/>
      <c r="Q55" s="9">
        <v>88</v>
      </c>
      <c r="R55" s="9">
        <v>30</v>
      </c>
      <c r="S55" s="9">
        <v>118</v>
      </c>
      <c r="T55" s="14">
        <f t="shared" si="0"/>
        <v>3.8594640490923826</v>
      </c>
      <c r="U55" s="14">
        <f t="shared" si="1"/>
        <v>15.180558593096704</v>
      </c>
      <c r="V55" s="14">
        <f t="shared" si="2"/>
        <v>11.321094544004321</v>
      </c>
      <c r="W55" s="9"/>
      <c r="X55" s="9"/>
      <c r="Y55" s="9"/>
      <c r="Z55" s="9"/>
      <c r="AA55" s="9"/>
      <c r="AB55" s="9"/>
      <c r="AC55" s="9"/>
      <c r="AD55" s="9"/>
      <c r="AE55" s="9"/>
      <c r="AF55" s="9"/>
    </row>
    <row r="56" spans="1:32" ht="29">
      <c r="A56" s="3" t="s">
        <v>491</v>
      </c>
      <c r="B56" s="3" t="s">
        <v>2718</v>
      </c>
      <c r="C56" s="3" t="s">
        <v>2719</v>
      </c>
      <c r="G56" s="9" t="s">
        <v>8729</v>
      </c>
      <c r="H56" s="9"/>
      <c r="I56" s="9"/>
      <c r="J56" s="9"/>
      <c r="K56" s="9"/>
      <c r="L56" s="9"/>
      <c r="M56" s="9"/>
      <c r="N56" s="10"/>
      <c r="O56" s="9"/>
      <c r="P56" s="9"/>
      <c r="Q56" s="9">
        <v>34</v>
      </c>
      <c r="R56" s="9">
        <v>4</v>
      </c>
      <c r="S56" s="9">
        <v>38</v>
      </c>
      <c r="T56" s="14">
        <f t="shared" si="0"/>
        <v>0.51459520654565105</v>
      </c>
      <c r="U56" s="14">
        <f t="shared" si="1"/>
        <v>4.8886544621836849</v>
      </c>
      <c r="V56" s="14">
        <f t="shared" si="2"/>
        <v>4.3740592556380342</v>
      </c>
      <c r="W56" s="9"/>
      <c r="X56" s="9"/>
      <c r="Y56" s="9"/>
      <c r="Z56" s="9"/>
      <c r="AA56" s="9"/>
      <c r="AB56" s="9"/>
      <c r="AC56" s="9"/>
      <c r="AD56" s="9"/>
      <c r="AE56" s="9"/>
      <c r="AF56" s="9"/>
    </row>
    <row r="57" spans="1:32" ht="29">
      <c r="A57" s="3" t="s">
        <v>496</v>
      </c>
      <c r="B57" s="3" t="s">
        <v>4680</v>
      </c>
      <c r="C57" s="3" t="s">
        <v>4681</v>
      </c>
      <c r="G57" s="9" t="s">
        <v>8729</v>
      </c>
      <c r="H57" s="9"/>
      <c r="I57" s="9"/>
      <c r="J57" s="9"/>
      <c r="K57" s="9"/>
      <c r="L57" s="9"/>
      <c r="M57" s="9"/>
      <c r="N57" s="10"/>
      <c r="O57" s="9"/>
      <c r="P57" s="9"/>
      <c r="Q57" s="9">
        <v>-777</v>
      </c>
      <c r="R57" s="9">
        <v>781</v>
      </c>
      <c r="S57" s="9">
        <v>4</v>
      </c>
      <c r="T57" s="14">
        <f t="shared" si="0"/>
        <v>100.47471407803836</v>
      </c>
      <c r="U57" s="14">
        <f t="shared" si="1"/>
        <v>0.51459520654565105</v>
      </c>
      <c r="V57" s="14">
        <f t="shared" si="2"/>
        <v>-99.96011887149271</v>
      </c>
      <c r="W57" s="9"/>
      <c r="X57" s="9"/>
      <c r="Y57" s="9"/>
      <c r="Z57" s="9"/>
      <c r="AA57" s="9"/>
      <c r="AB57" s="9"/>
      <c r="AC57" s="9"/>
      <c r="AD57" s="9"/>
      <c r="AE57" s="9"/>
      <c r="AF57" s="9"/>
    </row>
    <row r="58" spans="1:32" ht="29">
      <c r="A58" s="3" t="s">
        <v>507</v>
      </c>
      <c r="B58" s="3" t="s">
        <v>4698</v>
      </c>
      <c r="C58" s="3" t="s">
        <v>4699</v>
      </c>
      <c r="F58" t="s">
        <v>3884</v>
      </c>
      <c r="G58" s="9" t="s">
        <v>8729</v>
      </c>
      <c r="H58" s="9"/>
      <c r="I58" s="9"/>
      <c r="J58" s="9"/>
      <c r="K58" s="9"/>
      <c r="L58" s="9"/>
      <c r="M58" s="9"/>
      <c r="N58" s="10"/>
      <c r="O58" s="9"/>
      <c r="P58" s="9"/>
      <c r="Q58" s="9">
        <v>-2453</v>
      </c>
      <c r="R58" s="9">
        <v>3678</v>
      </c>
      <c r="S58" s="9">
        <v>1225</v>
      </c>
      <c r="T58" s="14">
        <f t="shared" si="0"/>
        <v>473.17029241872609</v>
      </c>
      <c r="U58" s="14">
        <f t="shared" si="1"/>
        <v>157.59478200460561</v>
      </c>
      <c r="V58" s="14">
        <f t="shared" si="2"/>
        <v>-315.57551041412046</v>
      </c>
      <c r="W58" s="9"/>
      <c r="X58" s="9"/>
      <c r="Y58" s="9"/>
      <c r="Z58" s="9"/>
      <c r="AA58" s="9"/>
      <c r="AB58" s="9"/>
      <c r="AC58" s="9"/>
      <c r="AD58" s="9"/>
      <c r="AE58" s="9"/>
      <c r="AF58" s="9"/>
    </row>
    <row r="59" spans="1:32" ht="43.5">
      <c r="A59" s="3" t="s">
        <v>515</v>
      </c>
      <c r="B59" s="3" t="s">
        <v>4714</v>
      </c>
      <c r="C59" s="3" t="s">
        <v>4715</v>
      </c>
      <c r="F59" t="s">
        <v>3884</v>
      </c>
      <c r="G59" s="9" t="s">
        <v>8729</v>
      </c>
      <c r="H59" s="9"/>
      <c r="I59" s="9"/>
      <c r="J59" s="9"/>
      <c r="K59" s="9"/>
      <c r="L59" s="9"/>
      <c r="M59" s="9"/>
      <c r="N59" s="10"/>
      <c r="O59" s="9"/>
      <c r="P59" s="9"/>
      <c r="Q59" s="9">
        <v>-10409</v>
      </c>
      <c r="R59" s="9">
        <v>10929</v>
      </c>
      <c r="S59" s="9">
        <v>520</v>
      </c>
      <c r="T59" s="14">
        <f t="shared" si="0"/>
        <v>1406.0027530843549</v>
      </c>
      <c r="U59" s="14">
        <f t="shared" si="1"/>
        <v>66.897376850934634</v>
      </c>
      <c r="V59" s="14">
        <f t="shared" si="2"/>
        <v>-1339.1053762334202</v>
      </c>
      <c r="W59" s="9"/>
      <c r="X59" s="9"/>
      <c r="Y59" s="9"/>
      <c r="Z59" s="9"/>
      <c r="AA59" s="9"/>
      <c r="AB59" s="9"/>
      <c r="AC59" s="9"/>
      <c r="AD59" s="9"/>
      <c r="AE59" s="9"/>
      <c r="AF59" s="9"/>
    </row>
    <row r="60" spans="1:32" ht="29">
      <c r="A60" s="3" t="s">
        <v>527</v>
      </c>
      <c r="B60" s="3" t="s">
        <v>2758</v>
      </c>
      <c r="C60" s="3" t="s">
        <v>2759</v>
      </c>
      <c r="G60" s="9" t="s">
        <v>8732</v>
      </c>
      <c r="H60" s="9"/>
      <c r="I60" s="9"/>
      <c r="J60" s="9"/>
      <c r="K60" s="9"/>
      <c r="L60" s="9"/>
      <c r="M60" s="9"/>
      <c r="N60" s="10"/>
      <c r="O60" s="9"/>
      <c r="P60" s="9"/>
      <c r="Q60" s="9">
        <v>18</v>
      </c>
      <c r="R60" s="9">
        <v>0</v>
      </c>
      <c r="S60" s="9">
        <v>18</v>
      </c>
      <c r="T60" s="14">
        <f t="shared" si="0"/>
        <v>0</v>
      </c>
      <c r="U60" s="14">
        <f t="shared" si="1"/>
        <v>2.3156784294554296</v>
      </c>
      <c r="V60" s="14">
        <f t="shared" si="2"/>
        <v>2.3156784294554296</v>
      </c>
      <c r="W60" s="9"/>
      <c r="X60" s="9"/>
      <c r="Y60" s="9"/>
      <c r="Z60" s="9"/>
      <c r="AA60" s="9"/>
      <c r="AB60" s="9"/>
      <c r="AC60" s="9"/>
      <c r="AD60" s="9"/>
      <c r="AE60" s="9"/>
      <c r="AF60" s="9"/>
    </row>
    <row r="61" spans="1:32" ht="29">
      <c r="A61" s="3" t="s">
        <v>532</v>
      </c>
      <c r="B61" t="s">
        <v>4744</v>
      </c>
      <c r="C61" t="s">
        <v>4745</v>
      </c>
      <c r="G61" s="9" t="s">
        <v>8729</v>
      </c>
      <c r="H61" s="9"/>
      <c r="I61" s="9"/>
      <c r="J61" s="9"/>
      <c r="K61" s="9"/>
      <c r="L61" s="9"/>
      <c r="M61" s="9"/>
      <c r="N61" s="10"/>
      <c r="O61" s="9"/>
      <c r="P61" s="9"/>
      <c r="Q61" s="9">
        <v>3158</v>
      </c>
      <c r="R61" s="9">
        <v>520</v>
      </c>
      <c r="S61" s="9">
        <v>3678</v>
      </c>
      <c r="T61" s="14">
        <f t="shared" si="0"/>
        <v>66.897376850934634</v>
      </c>
      <c r="U61" s="14">
        <f t="shared" si="1"/>
        <v>473.17029241872609</v>
      </c>
      <c r="V61" s="14">
        <f t="shared" si="2"/>
        <v>406.27291556779147</v>
      </c>
      <c r="W61" s="9"/>
      <c r="X61" s="9"/>
      <c r="Y61" s="9"/>
      <c r="Z61" s="9"/>
      <c r="AA61" s="9"/>
      <c r="AB61" s="9"/>
      <c r="AC61" s="9"/>
      <c r="AD61" s="9"/>
      <c r="AE61" s="9"/>
      <c r="AF61" s="9"/>
    </row>
    <row r="62" spans="1:32">
      <c r="A62" s="3" t="s">
        <v>556</v>
      </c>
      <c r="B62" s="3" t="s">
        <v>2802</v>
      </c>
      <c r="C62" s="3" t="s">
        <v>2803</v>
      </c>
      <c r="G62" s="9" t="s">
        <v>8729</v>
      </c>
      <c r="H62" s="9"/>
      <c r="I62" s="9"/>
      <c r="J62" s="9"/>
      <c r="K62" s="9"/>
      <c r="L62" s="9"/>
      <c r="M62" s="9"/>
      <c r="N62" s="10"/>
      <c r="O62" s="9"/>
      <c r="P62" s="9"/>
      <c r="Q62" s="9">
        <v>37</v>
      </c>
      <c r="R62" s="9">
        <v>0</v>
      </c>
      <c r="S62" s="9">
        <v>37</v>
      </c>
      <c r="T62" s="14">
        <f t="shared" si="0"/>
        <v>0</v>
      </c>
      <c r="U62" s="14">
        <f t="shared" si="1"/>
        <v>4.7600056605472716</v>
      </c>
      <c r="V62" s="14">
        <f t="shared" si="2"/>
        <v>4.7600056605472716</v>
      </c>
      <c r="W62" s="9"/>
      <c r="X62" s="9"/>
      <c r="Y62" s="9"/>
      <c r="Z62" s="9"/>
      <c r="AA62" s="9"/>
      <c r="AB62" s="9"/>
      <c r="AC62" s="9"/>
      <c r="AD62" s="9"/>
      <c r="AE62" s="9"/>
      <c r="AF62" s="9"/>
    </row>
    <row r="63" spans="1:32" ht="43.5">
      <c r="A63" s="3" t="s">
        <v>574</v>
      </c>
      <c r="B63" s="3" t="s">
        <v>4843</v>
      </c>
      <c r="C63" s="3" t="s">
        <v>4844</v>
      </c>
      <c r="F63" t="s">
        <v>3884</v>
      </c>
      <c r="G63" s="9" t="s">
        <v>8729</v>
      </c>
      <c r="H63" s="9"/>
      <c r="I63" s="9"/>
      <c r="J63" s="9"/>
      <c r="K63" s="9"/>
      <c r="L63" s="9"/>
      <c r="M63" s="9"/>
      <c r="N63" s="10"/>
      <c r="O63" s="9"/>
      <c r="P63" s="9"/>
      <c r="Q63" s="9">
        <v>444</v>
      </c>
      <c r="R63" s="9">
        <v>428</v>
      </c>
      <c r="S63" s="9">
        <v>872</v>
      </c>
      <c r="T63" s="14">
        <f t="shared" si="0"/>
        <v>55.06168710038466</v>
      </c>
      <c r="U63" s="14">
        <f t="shared" si="1"/>
        <v>112.18175502695193</v>
      </c>
      <c r="V63" s="14">
        <f t="shared" si="2"/>
        <v>57.120067926567273</v>
      </c>
      <c r="W63" s="9"/>
      <c r="X63" s="9"/>
      <c r="Y63" s="9"/>
      <c r="Z63" s="9"/>
      <c r="AA63" s="9"/>
      <c r="AB63" s="9"/>
      <c r="AC63" s="9"/>
      <c r="AD63" s="9"/>
      <c r="AE63" s="9"/>
      <c r="AF63" s="9"/>
    </row>
    <row r="64" spans="1:32" ht="43.5">
      <c r="A64" s="3" t="s">
        <v>591</v>
      </c>
      <c r="B64" s="3" t="s">
        <v>4873</v>
      </c>
      <c r="C64" s="3" t="s">
        <v>4874</v>
      </c>
      <c r="G64" s="9" t="s">
        <v>8729</v>
      </c>
      <c r="H64" s="9"/>
      <c r="I64" s="9"/>
      <c r="J64" s="9"/>
      <c r="K64" s="9"/>
      <c r="L64" s="9"/>
      <c r="M64" s="9"/>
      <c r="N64" s="10"/>
      <c r="O64" s="9"/>
      <c r="P64" s="9"/>
      <c r="Q64" s="9">
        <v>9</v>
      </c>
      <c r="R64" s="9">
        <v>0</v>
      </c>
      <c r="S64" s="9">
        <v>9</v>
      </c>
      <c r="T64" s="14">
        <f t="shared" si="0"/>
        <v>0</v>
      </c>
      <c r="U64" s="14">
        <f t="shared" si="1"/>
        <v>1.1578392147277148</v>
      </c>
      <c r="V64" s="14">
        <f t="shared" si="2"/>
        <v>1.1578392147277148</v>
      </c>
      <c r="W64" s="9"/>
      <c r="X64" s="9"/>
      <c r="Y64" s="9"/>
      <c r="Z64" s="9"/>
      <c r="AA64" s="9"/>
      <c r="AB64" s="9"/>
      <c r="AC64" s="9"/>
      <c r="AD64" s="9"/>
      <c r="AE64" s="9"/>
      <c r="AF64" s="9"/>
    </row>
    <row r="65" spans="1:32" ht="58">
      <c r="A65" s="3" t="s">
        <v>599</v>
      </c>
      <c r="B65" s="3" t="s">
        <v>4893</v>
      </c>
      <c r="C65" s="3" t="s">
        <v>4894</v>
      </c>
      <c r="F65" t="s">
        <v>3884</v>
      </c>
      <c r="G65" s="9" t="s">
        <v>8729</v>
      </c>
      <c r="H65" s="9"/>
      <c r="I65" s="9"/>
      <c r="J65" s="9"/>
      <c r="K65" s="9"/>
      <c r="L65" s="9"/>
      <c r="M65" s="9"/>
      <c r="N65" s="10"/>
      <c r="O65" s="9"/>
      <c r="P65" s="9"/>
      <c r="Q65" s="9">
        <v>602</v>
      </c>
      <c r="R65" s="9">
        <v>43</v>
      </c>
      <c r="S65" s="9">
        <v>645</v>
      </c>
      <c r="T65" s="14">
        <f t="shared" si="0"/>
        <v>5.5318984703657481</v>
      </c>
      <c r="U65" s="14">
        <f t="shared" si="1"/>
        <v>82.978477055486238</v>
      </c>
      <c r="V65" s="14">
        <f t="shared" si="2"/>
        <v>77.446578585120491</v>
      </c>
      <c r="W65" s="9"/>
      <c r="X65" s="9"/>
      <c r="Y65" s="9"/>
      <c r="Z65" s="9"/>
      <c r="AA65" s="9"/>
      <c r="AB65" s="9"/>
      <c r="AC65" s="9"/>
      <c r="AD65" s="9"/>
      <c r="AE65" s="9"/>
      <c r="AF65" s="9"/>
    </row>
    <row r="66" spans="1:32" ht="29">
      <c r="A66" s="3" t="s">
        <v>599</v>
      </c>
      <c r="B66" s="3" t="s">
        <v>2864</v>
      </c>
      <c r="C66" s="3" t="s">
        <v>2865</v>
      </c>
      <c r="G66" s="9" t="s">
        <v>8729</v>
      </c>
      <c r="H66" s="9"/>
      <c r="I66" s="9"/>
      <c r="J66" s="9"/>
      <c r="K66" s="9"/>
      <c r="L66" s="9"/>
      <c r="M66" s="9"/>
      <c r="N66" s="10"/>
      <c r="O66" s="9"/>
      <c r="P66" s="9"/>
      <c r="Q66" s="9">
        <v>-78</v>
      </c>
      <c r="R66" s="9">
        <v>128</v>
      </c>
      <c r="S66" s="9">
        <v>50</v>
      </c>
      <c r="T66" s="14">
        <f t="shared" si="0"/>
        <v>16.467046609460834</v>
      </c>
      <c r="U66" s="14">
        <f t="shared" si="1"/>
        <v>6.432440081820638</v>
      </c>
      <c r="V66" s="14">
        <f t="shared" si="2"/>
        <v>-10.034606527640197</v>
      </c>
      <c r="W66" s="9"/>
      <c r="X66" s="9"/>
      <c r="Y66" s="9"/>
      <c r="Z66" s="9"/>
      <c r="AA66" s="9"/>
      <c r="AB66" s="9"/>
      <c r="AC66" s="9"/>
      <c r="AD66" s="9"/>
      <c r="AE66" s="9"/>
      <c r="AF66" s="9"/>
    </row>
    <row r="67" spans="1:32" ht="58">
      <c r="A67" s="3" t="s">
        <v>601</v>
      </c>
      <c r="B67" s="3" t="s">
        <v>4895</v>
      </c>
      <c r="C67" s="3" t="s">
        <v>4896</v>
      </c>
      <c r="G67" s="9" t="s">
        <v>8729</v>
      </c>
      <c r="H67" s="9"/>
      <c r="I67" s="9"/>
      <c r="J67" s="9"/>
      <c r="K67" s="9"/>
      <c r="L67" s="9"/>
      <c r="M67" s="9"/>
      <c r="N67" s="10"/>
      <c r="O67" s="9"/>
      <c r="P67" s="9"/>
      <c r="Q67" s="9">
        <v>794</v>
      </c>
      <c r="R67" s="9">
        <v>78</v>
      </c>
      <c r="S67" s="9">
        <v>872</v>
      </c>
      <c r="T67" s="14">
        <f t="shared" ref="T67:T130" si="3">IF(ISNUMBER(R67), (R67/$E$237)*10000, "")</f>
        <v>10.034606527640195</v>
      </c>
      <c r="U67" s="14">
        <f t="shared" ref="U67:U130" si="4">IF(ISNUMBER(S67), (S67/$E$237)*10000, "")</f>
        <v>112.18175502695193</v>
      </c>
      <c r="V67" s="14">
        <f t="shared" ref="V67:V130" si="5">IF(ISNUMBER(Q67), U67-T67, "")</f>
        <v>102.14714849931174</v>
      </c>
      <c r="W67" s="9"/>
      <c r="X67" s="9"/>
      <c r="Y67" s="9"/>
      <c r="Z67" s="9"/>
      <c r="AA67" s="9"/>
      <c r="AB67" s="9"/>
      <c r="AC67" s="9"/>
      <c r="AD67" s="9"/>
      <c r="AE67" s="9"/>
      <c r="AF67" s="9"/>
    </row>
    <row r="68" spans="1:32" ht="29">
      <c r="A68" s="3" t="s">
        <v>619</v>
      </c>
      <c r="B68" s="3" t="s">
        <v>2257</v>
      </c>
      <c r="C68" s="3" t="s">
        <v>2892</v>
      </c>
      <c r="G68" s="9" t="s">
        <v>8729</v>
      </c>
      <c r="H68" s="9"/>
      <c r="I68" s="9"/>
      <c r="J68" s="9"/>
      <c r="K68" s="9"/>
      <c r="L68" s="9"/>
      <c r="M68" s="9"/>
      <c r="N68" s="10"/>
      <c r="O68" s="9"/>
      <c r="P68" s="9"/>
      <c r="Q68" s="9">
        <v>-251</v>
      </c>
      <c r="R68" s="9">
        <v>251</v>
      </c>
      <c r="S68" s="9">
        <v>0</v>
      </c>
      <c r="T68" s="14">
        <f t="shared" si="3"/>
        <v>32.290849210739601</v>
      </c>
      <c r="U68" s="14">
        <f t="shared" si="4"/>
        <v>0</v>
      </c>
      <c r="V68" s="14">
        <f t="shared" si="5"/>
        <v>-32.290849210739601</v>
      </c>
      <c r="W68" s="9"/>
      <c r="X68" s="9"/>
      <c r="Y68" s="9"/>
      <c r="Z68" s="9"/>
      <c r="AA68" s="9"/>
      <c r="AB68" s="9"/>
      <c r="AC68" s="9"/>
      <c r="AD68" s="9"/>
      <c r="AE68" s="9"/>
      <c r="AF68" s="9"/>
    </row>
    <row r="69" spans="1:32" ht="72.5">
      <c r="A69" s="3" t="s">
        <v>626</v>
      </c>
      <c r="B69" s="3" t="s">
        <v>9474</v>
      </c>
      <c r="C69" s="3" t="s">
        <v>9475</v>
      </c>
      <c r="G69" s="9" t="s">
        <v>8729</v>
      </c>
      <c r="H69" s="9"/>
      <c r="I69" s="9"/>
      <c r="J69" s="9"/>
      <c r="K69" s="9"/>
      <c r="L69" s="9"/>
      <c r="M69" s="9"/>
      <c r="N69" s="10"/>
      <c r="O69" s="9"/>
      <c r="P69" s="9"/>
      <c r="Q69" s="9">
        <v>139</v>
      </c>
      <c r="R69" s="9">
        <v>44</v>
      </c>
      <c r="S69" s="9">
        <v>183</v>
      </c>
      <c r="T69" s="14">
        <f t="shared" si="3"/>
        <v>5.6605472720021615</v>
      </c>
      <c r="U69" s="14">
        <f t="shared" si="4"/>
        <v>23.542730699463533</v>
      </c>
      <c r="V69" s="14">
        <f t="shared" si="5"/>
        <v>17.882183427461371</v>
      </c>
      <c r="W69" s="9" t="s">
        <v>4</v>
      </c>
      <c r="X69" s="9"/>
      <c r="Y69" s="9"/>
      <c r="Z69" s="9"/>
      <c r="AA69" s="9"/>
      <c r="AB69" s="9"/>
      <c r="AC69" s="9"/>
      <c r="AD69" s="9"/>
      <c r="AE69" s="9"/>
      <c r="AF69" s="9"/>
    </row>
    <row r="70" spans="1:32" ht="29">
      <c r="A70" s="3" t="s">
        <v>630</v>
      </c>
      <c r="B70" s="3" t="s">
        <v>2900</v>
      </c>
      <c r="C70" s="3" t="s">
        <v>2901</v>
      </c>
      <c r="G70" s="9" t="s">
        <v>8729</v>
      </c>
      <c r="H70" s="9"/>
      <c r="I70" s="9"/>
      <c r="J70" s="9"/>
      <c r="K70" s="9"/>
      <c r="L70" s="9"/>
      <c r="M70" s="9"/>
      <c r="N70" s="10"/>
      <c r="O70" s="9"/>
      <c r="P70" s="9"/>
      <c r="Q70" s="9">
        <v>18</v>
      </c>
      <c r="R70" s="9">
        <v>2</v>
      </c>
      <c r="S70" s="9">
        <v>20</v>
      </c>
      <c r="T70" s="14">
        <f t="shared" si="3"/>
        <v>0.25729760327282553</v>
      </c>
      <c r="U70" s="14">
        <f t="shared" si="4"/>
        <v>2.5729760327282549</v>
      </c>
      <c r="V70" s="14">
        <f t="shared" si="5"/>
        <v>2.3156784294554296</v>
      </c>
      <c r="W70" s="9"/>
      <c r="X70" s="9"/>
      <c r="Y70" s="9"/>
      <c r="Z70" s="9"/>
      <c r="AA70" s="9"/>
      <c r="AB70" s="9"/>
      <c r="AC70" s="9"/>
      <c r="AD70" s="9"/>
      <c r="AE70" s="9"/>
      <c r="AF70" s="9"/>
    </row>
    <row r="71" spans="1:32" ht="29">
      <c r="A71" s="3" t="s">
        <v>658</v>
      </c>
      <c r="B71" s="3" t="s">
        <v>4999</v>
      </c>
      <c r="C71" s="3" t="s">
        <v>2926</v>
      </c>
      <c r="F71" t="s">
        <v>3884</v>
      </c>
      <c r="G71" s="9" t="s">
        <v>8729</v>
      </c>
      <c r="H71" s="9"/>
      <c r="I71" s="9"/>
      <c r="J71" s="9"/>
      <c r="K71" s="9"/>
      <c r="L71" s="9"/>
      <c r="M71" s="9"/>
      <c r="N71" s="10"/>
      <c r="O71" s="9"/>
      <c r="P71" s="9"/>
      <c r="Q71" s="9">
        <v>-2</v>
      </c>
      <c r="R71" s="9">
        <v>4</v>
      </c>
      <c r="S71" s="9">
        <v>2</v>
      </c>
      <c r="T71" s="14">
        <f t="shared" si="3"/>
        <v>0.51459520654565105</v>
      </c>
      <c r="U71" s="14">
        <f t="shared" si="4"/>
        <v>0.25729760327282553</v>
      </c>
      <c r="V71" s="14">
        <f t="shared" si="5"/>
        <v>-0.25729760327282553</v>
      </c>
      <c r="W71" s="9" t="s">
        <v>4</v>
      </c>
      <c r="X71" s="9"/>
      <c r="Y71" s="9"/>
      <c r="Z71" s="9"/>
      <c r="AA71" s="9"/>
      <c r="AB71" s="9"/>
      <c r="AC71" s="9"/>
      <c r="AD71" s="9"/>
      <c r="AE71" s="9"/>
      <c r="AF71" s="9"/>
    </row>
    <row r="72" spans="1:32" ht="29">
      <c r="A72" s="3" t="s">
        <v>663</v>
      </c>
      <c r="B72" s="3" t="s">
        <v>2933</v>
      </c>
      <c r="C72" s="3" t="s">
        <v>2934</v>
      </c>
      <c r="G72" s="9" t="s">
        <v>8729</v>
      </c>
      <c r="H72" s="9"/>
      <c r="I72" s="9"/>
      <c r="J72" s="9"/>
      <c r="K72" s="9"/>
      <c r="L72" s="9"/>
      <c r="M72" s="9"/>
      <c r="N72" s="10"/>
      <c r="O72" s="9"/>
      <c r="P72" s="9"/>
      <c r="Q72" s="9">
        <v>55</v>
      </c>
      <c r="R72" s="9">
        <v>24</v>
      </c>
      <c r="S72" s="9">
        <v>79</v>
      </c>
      <c r="T72" s="14">
        <f t="shared" si="3"/>
        <v>3.0875712392739061</v>
      </c>
      <c r="U72" s="14">
        <f t="shared" si="4"/>
        <v>10.163255329276607</v>
      </c>
      <c r="V72" s="14">
        <f t="shared" si="5"/>
        <v>7.0756840900027012</v>
      </c>
      <c r="W72" s="9"/>
      <c r="X72" s="9"/>
      <c r="Y72" s="9"/>
      <c r="Z72" s="9"/>
      <c r="AA72" s="9"/>
      <c r="AB72" s="9"/>
      <c r="AC72" s="9"/>
      <c r="AD72" s="9"/>
      <c r="AE72" s="9"/>
      <c r="AF72" s="9"/>
    </row>
    <row r="73" spans="1:32" ht="43.5">
      <c r="A73" s="3" t="s">
        <v>664</v>
      </c>
      <c r="B73" s="3" t="s">
        <v>5017</v>
      </c>
      <c r="C73" s="3" t="s">
        <v>5018</v>
      </c>
      <c r="F73" t="s">
        <v>3884</v>
      </c>
      <c r="G73" s="9" t="s">
        <v>8729</v>
      </c>
      <c r="H73" s="9"/>
      <c r="I73" s="9"/>
      <c r="J73" s="9"/>
      <c r="K73" s="9"/>
      <c r="L73" s="9"/>
      <c r="M73" s="9"/>
      <c r="N73" s="10"/>
      <c r="O73" s="9"/>
      <c r="P73" s="9"/>
      <c r="Q73" s="9">
        <v>-4</v>
      </c>
      <c r="R73" s="9">
        <v>5</v>
      </c>
      <c r="S73" s="9">
        <v>1</v>
      </c>
      <c r="T73" s="14">
        <f t="shared" si="3"/>
        <v>0.64324400818206373</v>
      </c>
      <c r="U73" s="14">
        <f t="shared" si="4"/>
        <v>0.12864880163641276</v>
      </c>
      <c r="V73" s="14">
        <f t="shared" si="5"/>
        <v>-0.51459520654565094</v>
      </c>
      <c r="W73" s="9"/>
      <c r="X73" s="9"/>
      <c r="Y73" s="9"/>
      <c r="Z73" s="9"/>
      <c r="AA73" s="9"/>
      <c r="AB73" s="9"/>
      <c r="AC73" s="9"/>
      <c r="AD73" s="9"/>
      <c r="AE73" s="9"/>
      <c r="AF73" s="9"/>
    </row>
    <row r="74" spans="1:32" ht="29">
      <c r="A74" s="3" t="s">
        <v>671</v>
      </c>
      <c r="B74" s="3" t="s">
        <v>3961</v>
      </c>
      <c r="C74" s="3" t="s">
        <v>5031</v>
      </c>
      <c r="G74" s="9" t="s">
        <v>8729</v>
      </c>
      <c r="H74" s="9"/>
      <c r="I74" s="9"/>
      <c r="J74" s="9"/>
      <c r="K74" s="9"/>
      <c r="L74" s="9"/>
      <c r="M74" s="9"/>
      <c r="N74" s="10"/>
      <c r="O74" s="9"/>
      <c r="P74" s="9"/>
      <c r="Q74" s="9">
        <v>-890</v>
      </c>
      <c r="R74" s="9">
        <v>1225</v>
      </c>
      <c r="S74" s="9">
        <v>335</v>
      </c>
      <c r="T74" s="14">
        <f t="shared" si="3"/>
        <v>157.59478200460561</v>
      </c>
      <c r="U74" s="14">
        <f t="shared" si="4"/>
        <v>43.097348548198276</v>
      </c>
      <c r="V74" s="14">
        <f t="shared" si="5"/>
        <v>-114.49743345640732</v>
      </c>
      <c r="W74" s="9"/>
      <c r="X74" s="9"/>
      <c r="Y74" s="9"/>
      <c r="Z74" s="9"/>
      <c r="AA74" s="9"/>
      <c r="AB74" s="9"/>
      <c r="AC74" s="9"/>
      <c r="AD74" s="9"/>
      <c r="AE74" s="9"/>
      <c r="AF74" s="9"/>
    </row>
    <row r="75" spans="1:32" ht="29">
      <c r="A75" s="3" t="s">
        <v>683</v>
      </c>
      <c r="B75" s="3" t="s">
        <v>9477</v>
      </c>
      <c r="C75" s="3" t="s">
        <v>5063</v>
      </c>
      <c r="G75" s="9" t="s">
        <v>8729</v>
      </c>
      <c r="H75" s="9"/>
      <c r="I75" s="9"/>
      <c r="J75" s="9"/>
      <c r="K75" s="9"/>
      <c r="L75" s="9"/>
      <c r="M75" s="9"/>
      <c r="N75" s="10"/>
      <c r="O75" s="9"/>
      <c r="P75" s="9"/>
      <c r="Q75" s="9">
        <v>-3599</v>
      </c>
      <c r="R75" s="9">
        <v>3678</v>
      </c>
      <c r="S75" s="9">
        <v>79</v>
      </c>
      <c r="T75" s="14">
        <f t="shared" si="3"/>
        <v>473.17029241872609</v>
      </c>
      <c r="U75" s="14">
        <f t="shared" si="4"/>
        <v>10.163255329276607</v>
      </c>
      <c r="V75" s="14">
        <f t="shared" si="5"/>
        <v>-463.00703708944951</v>
      </c>
      <c r="W75" s="9"/>
      <c r="X75" s="9"/>
      <c r="Y75" s="9"/>
      <c r="Z75" s="9"/>
      <c r="AA75" s="9"/>
      <c r="AB75" s="9"/>
      <c r="AC75" s="9"/>
      <c r="AD75" s="9"/>
      <c r="AE75" s="9"/>
      <c r="AF75" s="9"/>
    </row>
    <row r="76" spans="1:32" ht="58">
      <c r="A76" s="3" t="s">
        <v>695</v>
      </c>
      <c r="B76" s="3" t="s">
        <v>9618</v>
      </c>
      <c r="C76" s="3" t="s">
        <v>9005</v>
      </c>
      <c r="G76" s="9" t="s">
        <v>8729</v>
      </c>
      <c r="H76" s="9"/>
      <c r="I76" s="9"/>
      <c r="J76" s="9"/>
      <c r="K76" s="9"/>
      <c r="L76" s="9"/>
      <c r="M76" s="9"/>
      <c r="N76" s="10"/>
      <c r="O76" s="9"/>
      <c r="P76" s="9"/>
      <c r="Q76" s="9">
        <v>-9938</v>
      </c>
      <c r="R76" s="9">
        <v>10929</v>
      </c>
      <c r="S76" s="9">
        <v>991</v>
      </c>
      <c r="T76" s="14">
        <f t="shared" si="3"/>
        <v>1406.0027530843549</v>
      </c>
      <c r="U76" s="14">
        <f t="shared" si="4"/>
        <v>127.49096242168504</v>
      </c>
      <c r="V76" s="14">
        <f t="shared" si="5"/>
        <v>-1278.5117906626699</v>
      </c>
      <c r="W76" s="9"/>
      <c r="X76" s="9"/>
      <c r="Y76" s="9"/>
      <c r="Z76" s="9"/>
      <c r="AA76" s="9"/>
      <c r="AB76" s="9"/>
      <c r="AC76" s="9"/>
      <c r="AD76" s="9"/>
      <c r="AE76" s="9"/>
      <c r="AF76" s="9"/>
    </row>
    <row r="77" spans="1:32" ht="43.5">
      <c r="A77" s="3" t="s">
        <v>696</v>
      </c>
      <c r="B77" s="3" t="s">
        <v>5086</v>
      </c>
      <c r="C77" s="3" t="s">
        <v>5087</v>
      </c>
      <c r="F77" t="s">
        <v>3884</v>
      </c>
      <c r="G77" s="9" t="s">
        <v>8729</v>
      </c>
      <c r="H77" s="9"/>
      <c r="I77" s="9"/>
      <c r="J77" s="9"/>
      <c r="K77" s="9"/>
      <c r="L77" s="9"/>
      <c r="M77" s="9"/>
      <c r="N77" s="10"/>
      <c r="O77" s="9"/>
      <c r="P77" s="9"/>
      <c r="Q77" s="9">
        <v>-12</v>
      </c>
      <c r="R77" s="9">
        <v>12</v>
      </c>
      <c r="S77" s="9">
        <v>0</v>
      </c>
      <c r="T77" s="14">
        <f t="shared" si="3"/>
        <v>1.543785619636953</v>
      </c>
      <c r="U77" s="14">
        <f t="shared" si="4"/>
        <v>0</v>
      </c>
      <c r="V77" s="14">
        <f t="shared" si="5"/>
        <v>-1.543785619636953</v>
      </c>
      <c r="W77" s="9" t="s">
        <v>8728</v>
      </c>
      <c r="X77" s="9"/>
      <c r="Y77" s="9"/>
      <c r="Z77" s="9"/>
      <c r="AA77" s="9"/>
      <c r="AB77" s="9"/>
      <c r="AC77" s="9"/>
      <c r="AD77" s="9"/>
      <c r="AE77" s="9"/>
      <c r="AF77" s="9"/>
    </row>
    <row r="78" spans="1:32" ht="43.5">
      <c r="A78" s="3" t="s">
        <v>722</v>
      </c>
      <c r="B78" s="3" t="s">
        <v>5158</v>
      </c>
      <c r="C78" s="3" t="s">
        <v>9619</v>
      </c>
      <c r="F78" t="s">
        <v>3884</v>
      </c>
      <c r="G78" s="9" t="s">
        <v>8729</v>
      </c>
      <c r="H78" s="9"/>
      <c r="I78" s="9"/>
      <c r="J78" s="9"/>
      <c r="K78" s="9"/>
      <c r="L78" s="9"/>
      <c r="M78" s="9"/>
      <c r="N78" s="10"/>
      <c r="O78" s="9"/>
      <c r="P78" s="9"/>
      <c r="Q78" s="9">
        <v>-1</v>
      </c>
      <c r="R78" s="9">
        <v>4</v>
      </c>
      <c r="S78" s="9">
        <v>3</v>
      </c>
      <c r="T78" s="14">
        <f t="shared" si="3"/>
        <v>0.51459520654565105</v>
      </c>
      <c r="U78" s="14">
        <f t="shared" si="4"/>
        <v>0.38594640490923826</v>
      </c>
      <c r="V78" s="14">
        <f t="shared" si="5"/>
        <v>-0.12864880163641279</v>
      </c>
      <c r="W78" s="9"/>
      <c r="X78" s="9"/>
      <c r="Y78" s="9"/>
      <c r="Z78" s="9"/>
      <c r="AA78" s="9"/>
      <c r="AB78" s="9"/>
      <c r="AC78" s="9"/>
      <c r="AD78" s="9"/>
      <c r="AE78" s="9"/>
      <c r="AF78" s="9"/>
    </row>
    <row r="79" spans="1:32" ht="43.5">
      <c r="A79" s="3" t="s">
        <v>730</v>
      </c>
      <c r="B79" s="3" t="s">
        <v>5166</v>
      </c>
      <c r="C79" s="3" t="s">
        <v>5167</v>
      </c>
      <c r="G79" s="9" t="s">
        <v>8729</v>
      </c>
      <c r="H79" s="9"/>
      <c r="I79" s="9"/>
      <c r="J79" s="9"/>
      <c r="K79" s="9"/>
      <c r="L79" s="9"/>
      <c r="M79" s="9"/>
      <c r="N79" s="10"/>
      <c r="O79" s="9"/>
      <c r="P79" s="9"/>
      <c r="Q79" s="9">
        <v>777</v>
      </c>
      <c r="R79" s="9">
        <v>4</v>
      </c>
      <c r="S79" s="9">
        <v>781</v>
      </c>
      <c r="T79" s="14">
        <f t="shared" si="3"/>
        <v>0.51459520654565105</v>
      </c>
      <c r="U79" s="14">
        <f t="shared" si="4"/>
        <v>100.47471407803836</v>
      </c>
      <c r="V79" s="14">
        <f t="shared" si="5"/>
        <v>99.96011887149271</v>
      </c>
      <c r="W79" s="9"/>
      <c r="X79" s="9"/>
      <c r="Y79" s="9"/>
      <c r="Z79" s="9"/>
      <c r="AA79" s="9"/>
      <c r="AB79" s="9"/>
      <c r="AC79" s="9"/>
      <c r="AD79" s="9"/>
      <c r="AE79" s="9"/>
      <c r="AF79" s="9"/>
    </row>
    <row r="80" spans="1:32" ht="43.5">
      <c r="A80" s="3" t="s">
        <v>733</v>
      </c>
      <c r="B80" s="3" t="s">
        <v>5175</v>
      </c>
      <c r="C80" s="3" t="s">
        <v>5176</v>
      </c>
      <c r="G80" s="9" t="s">
        <v>8729</v>
      </c>
      <c r="H80" s="9"/>
      <c r="I80" s="9"/>
      <c r="J80" s="9"/>
      <c r="K80" s="9"/>
      <c r="L80" s="9"/>
      <c r="M80" s="9"/>
      <c r="N80" s="10"/>
      <c r="O80" s="9"/>
      <c r="P80" s="9"/>
      <c r="Q80" s="9">
        <v>-1</v>
      </c>
      <c r="R80" s="9">
        <v>1</v>
      </c>
      <c r="S80" s="9">
        <v>0</v>
      </c>
      <c r="T80" s="14">
        <f t="shared" si="3"/>
        <v>0.12864880163641276</v>
      </c>
      <c r="U80" s="14">
        <f t="shared" si="4"/>
        <v>0</v>
      </c>
      <c r="V80" s="14">
        <f t="shared" si="5"/>
        <v>-0.12864880163641276</v>
      </c>
      <c r="W80" s="9"/>
      <c r="X80" s="9"/>
      <c r="Y80" s="9"/>
      <c r="Z80" s="9"/>
      <c r="AA80" s="9"/>
      <c r="AB80" s="9"/>
      <c r="AC80" s="9"/>
      <c r="AD80" s="9"/>
      <c r="AE80" s="9"/>
      <c r="AF80" s="9"/>
    </row>
    <row r="81" spans="1:32" ht="29">
      <c r="A81" s="3" t="s">
        <v>734</v>
      </c>
      <c r="B81" s="3" t="s">
        <v>2395</v>
      </c>
      <c r="C81" s="3" t="s">
        <v>2996</v>
      </c>
      <c r="G81" s="9" t="s">
        <v>8729</v>
      </c>
      <c r="H81" s="9"/>
      <c r="I81" s="9"/>
      <c r="J81" s="9"/>
      <c r="K81" s="9"/>
      <c r="L81" s="9"/>
      <c r="M81" s="9"/>
      <c r="N81" s="10"/>
      <c r="O81" s="9"/>
      <c r="P81" s="9"/>
      <c r="Q81" s="9">
        <v>-52</v>
      </c>
      <c r="R81" s="9">
        <v>90</v>
      </c>
      <c r="S81" s="9">
        <v>38</v>
      </c>
      <c r="T81" s="14">
        <f t="shared" si="3"/>
        <v>11.57839214727715</v>
      </c>
      <c r="U81" s="14">
        <f t="shared" si="4"/>
        <v>4.8886544621836849</v>
      </c>
      <c r="V81" s="14">
        <f t="shared" si="5"/>
        <v>-6.6897376850934647</v>
      </c>
      <c r="W81" s="9"/>
      <c r="X81" s="9"/>
      <c r="Y81" s="9"/>
      <c r="Z81" s="9"/>
      <c r="AA81" s="9"/>
      <c r="AB81" s="9"/>
      <c r="AC81" s="9"/>
      <c r="AD81" s="9"/>
      <c r="AE81" s="9"/>
      <c r="AF81" s="9"/>
    </row>
    <row r="82" spans="1:32" ht="58">
      <c r="A82" s="3" t="s">
        <v>743</v>
      </c>
      <c r="B82" s="3" t="s">
        <v>5201</v>
      </c>
      <c r="C82" s="3" t="s">
        <v>5202</v>
      </c>
      <c r="G82" s="9" t="s">
        <v>8729</v>
      </c>
      <c r="H82" s="9"/>
      <c r="I82" s="9"/>
      <c r="J82" s="9"/>
      <c r="K82" s="9"/>
      <c r="L82" s="9"/>
      <c r="M82" s="9"/>
      <c r="N82" s="10"/>
      <c r="O82" s="9"/>
      <c r="P82" s="9"/>
      <c r="Q82" s="9">
        <v>-1511</v>
      </c>
      <c r="R82" s="9">
        <v>10929</v>
      </c>
      <c r="S82" s="9">
        <v>9418</v>
      </c>
      <c r="T82" s="14">
        <f t="shared" si="3"/>
        <v>1406.0027530843549</v>
      </c>
      <c r="U82" s="14">
        <f t="shared" si="4"/>
        <v>1211.6144138117354</v>
      </c>
      <c r="V82" s="14">
        <f t="shared" si="5"/>
        <v>-194.38833927261953</v>
      </c>
      <c r="W82" s="9"/>
      <c r="X82" s="9"/>
      <c r="Y82" s="9"/>
      <c r="Z82" s="9"/>
      <c r="AA82" s="9"/>
      <c r="AB82" s="9"/>
      <c r="AC82" s="9"/>
      <c r="AD82" s="9"/>
      <c r="AE82" s="9"/>
      <c r="AF82" s="9"/>
    </row>
    <row r="83" spans="1:32" ht="58">
      <c r="A83" s="3" t="s">
        <v>744</v>
      </c>
      <c r="B83" s="3" t="s">
        <v>5207</v>
      </c>
      <c r="C83" s="3" t="s">
        <v>5206</v>
      </c>
      <c r="F83" t="s">
        <v>3884</v>
      </c>
      <c r="G83" s="9" t="s">
        <v>8729</v>
      </c>
      <c r="H83" s="9"/>
      <c r="I83" s="9"/>
      <c r="J83" s="9"/>
      <c r="K83" s="9"/>
      <c r="L83" s="9"/>
      <c r="M83" s="9"/>
      <c r="N83" s="10"/>
      <c r="O83" s="9"/>
      <c r="P83" s="9"/>
      <c r="Q83" s="9">
        <v>190</v>
      </c>
      <c r="R83" s="9">
        <v>329</v>
      </c>
      <c r="S83" s="9">
        <v>519</v>
      </c>
      <c r="T83" s="14">
        <f t="shared" si="3"/>
        <v>42.325455738379794</v>
      </c>
      <c r="U83" s="14">
        <f t="shared" si="4"/>
        <v>66.768728049298218</v>
      </c>
      <c r="V83" s="14">
        <f t="shared" si="5"/>
        <v>24.443272310918424</v>
      </c>
      <c r="W83" s="9"/>
      <c r="X83" s="9"/>
      <c r="Y83" s="9"/>
      <c r="Z83" s="9"/>
      <c r="AA83" s="9"/>
      <c r="AB83" s="9"/>
      <c r="AC83" s="9"/>
      <c r="AD83" s="9"/>
      <c r="AE83" s="9"/>
      <c r="AF83" s="9"/>
    </row>
    <row r="84" spans="1:32" ht="29">
      <c r="A84" s="3" t="s">
        <v>747</v>
      </c>
      <c r="B84" s="3" t="s">
        <v>2395</v>
      </c>
      <c r="C84" s="3" t="s">
        <v>3002</v>
      </c>
      <c r="F84" t="s">
        <v>3884</v>
      </c>
      <c r="G84" s="9" t="s">
        <v>8729</v>
      </c>
      <c r="H84" s="9"/>
      <c r="I84" s="9"/>
      <c r="J84" s="9"/>
      <c r="K84" s="9"/>
      <c r="L84" s="9"/>
      <c r="M84" s="9"/>
      <c r="N84" s="10"/>
      <c r="O84" s="9"/>
      <c r="P84" s="9"/>
      <c r="Q84" s="9">
        <v>-85</v>
      </c>
      <c r="R84" s="9">
        <v>90</v>
      </c>
      <c r="S84" s="9">
        <v>5</v>
      </c>
      <c r="T84" s="14">
        <f t="shared" si="3"/>
        <v>11.57839214727715</v>
      </c>
      <c r="U84" s="14">
        <f t="shared" si="4"/>
        <v>0.64324400818206373</v>
      </c>
      <c r="V84" s="14">
        <f t="shared" si="5"/>
        <v>-10.935148139095086</v>
      </c>
      <c r="W84" s="9"/>
      <c r="X84" s="9"/>
      <c r="Y84" s="9"/>
      <c r="Z84" s="9"/>
      <c r="AA84" s="9"/>
      <c r="AB84" s="9"/>
      <c r="AC84" s="9"/>
      <c r="AD84" s="9"/>
      <c r="AE84" s="9"/>
      <c r="AF84" s="9"/>
    </row>
    <row r="85" spans="1:32" ht="29">
      <c r="A85" s="3" t="s">
        <v>747</v>
      </c>
      <c r="B85" s="3" t="s">
        <v>3000</v>
      </c>
      <c r="C85" s="3" t="s">
        <v>3007</v>
      </c>
      <c r="G85" s="9" t="s">
        <v>8729</v>
      </c>
      <c r="H85" s="9"/>
      <c r="I85" s="9"/>
      <c r="J85" s="9"/>
      <c r="K85" s="9"/>
      <c r="L85" s="9"/>
      <c r="M85" s="9"/>
      <c r="N85" s="10"/>
      <c r="O85" s="9"/>
      <c r="P85" s="9"/>
      <c r="Q85" s="9">
        <v>-74</v>
      </c>
      <c r="R85" s="9">
        <v>77</v>
      </c>
      <c r="S85" s="9">
        <v>3</v>
      </c>
      <c r="T85" s="14">
        <f t="shared" si="3"/>
        <v>9.9059577260037806</v>
      </c>
      <c r="U85" s="14">
        <f t="shared" si="4"/>
        <v>0.38594640490923826</v>
      </c>
      <c r="V85" s="14">
        <f t="shared" si="5"/>
        <v>-9.5200113210945432</v>
      </c>
      <c r="W85" s="9"/>
      <c r="X85" s="9"/>
      <c r="Y85" s="9"/>
      <c r="Z85" s="9"/>
      <c r="AA85" s="9"/>
      <c r="AB85" s="9"/>
      <c r="AC85" s="9"/>
      <c r="AD85" s="9"/>
      <c r="AE85" s="9"/>
      <c r="AF85" s="9"/>
    </row>
    <row r="86" spans="1:32" ht="72.5">
      <c r="A86" s="3" t="s">
        <v>748</v>
      </c>
      <c r="B86" s="3" t="s">
        <v>5219</v>
      </c>
      <c r="C86" s="3" t="s">
        <v>5221</v>
      </c>
      <c r="F86" t="s">
        <v>3884</v>
      </c>
      <c r="G86" s="9" t="s">
        <v>8729</v>
      </c>
      <c r="H86" s="9"/>
      <c r="I86" s="9"/>
      <c r="J86" s="9"/>
      <c r="K86" s="9"/>
      <c r="L86" s="9"/>
      <c r="M86" s="9"/>
      <c r="N86" s="10"/>
      <c r="O86" s="9"/>
      <c r="P86" s="9"/>
      <c r="Q86" s="9">
        <v>105</v>
      </c>
      <c r="R86" s="9">
        <v>886</v>
      </c>
      <c r="S86" s="9">
        <v>991</v>
      </c>
      <c r="T86" s="14">
        <f t="shared" si="3"/>
        <v>113.9828382498617</v>
      </c>
      <c r="U86" s="14">
        <f t="shared" si="4"/>
        <v>127.49096242168504</v>
      </c>
      <c r="V86" s="14">
        <f t="shared" si="5"/>
        <v>13.50812417182334</v>
      </c>
      <c r="W86" s="9"/>
      <c r="X86" s="9"/>
      <c r="Y86" s="9"/>
      <c r="Z86" s="9"/>
      <c r="AA86" s="9"/>
      <c r="AB86" s="9"/>
      <c r="AC86" s="9"/>
      <c r="AD86" s="9"/>
      <c r="AE86" s="9"/>
      <c r="AF86" s="9"/>
    </row>
    <row r="87" spans="1:32" ht="58">
      <c r="A87" s="3" t="s">
        <v>750</v>
      </c>
      <c r="B87" s="3" t="s">
        <v>5228</v>
      </c>
      <c r="C87" s="3" t="s">
        <v>5229</v>
      </c>
      <c r="G87" s="9" t="s">
        <v>8729</v>
      </c>
      <c r="H87" s="9"/>
      <c r="I87" s="9"/>
      <c r="J87" s="9"/>
      <c r="K87" s="9"/>
      <c r="L87" s="9"/>
      <c r="M87" s="9"/>
      <c r="N87" s="10"/>
      <c r="O87" s="9"/>
      <c r="P87" s="9"/>
      <c r="Q87" s="9">
        <v>-180</v>
      </c>
      <c r="R87" s="9">
        <v>206</v>
      </c>
      <c r="S87" s="9">
        <v>26</v>
      </c>
      <c r="T87" s="14">
        <f t="shared" si="3"/>
        <v>26.50165313710103</v>
      </c>
      <c r="U87" s="14">
        <f t="shared" si="4"/>
        <v>3.3448688425467319</v>
      </c>
      <c r="V87" s="14">
        <f t="shared" si="5"/>
        <v>-23.156784294554299</v>
      </c>
      <c r="W87" s="9"/>
      <c r="X87" s="9"/>
      <c r="Y87" s="9"/>
      <c r="Z87" s="9"/>
      <c r="AA87" s="9"/>
      <c r="AB87" s="9"/>
      <c r="AC87" s="9"/>
      <c r="AD87" s="9"/>
      <c r="AE87" s="9"/>
      <c r="AF87" s="9"/>
    </row>
    <row r="88" spans="1:32" ht="72.5">
      <c r="A88" s="3" t="s">
        <v>754</v>
      </c>
      <c r="B88" s="3" t="s">
        <v>9028</v>
      </c>
      <c r="C88" s="3" t="s">
        <v>5241</v>
      </c>
      <c r="G88" s="9" t="s">
        <v>8729</v>
      </c>
      <c r="H88" s="9"/>
      <c r="I88" s="9"/>
      <c r="J88" s="9"/>
      <c r="K88" s="9"/>
      <c r="L88" s="9"/>
      <c r="M88" s="9"/>
      <c r="N88" s="10"/>
      <c r="O88" s="9"/>
      <c r="P88" s="9"/>
      <c r="Q88" s="9">
        <v>-30</v>
      </c>
      <c r="R88" s="9">
        <v>30</v>
      </c>
      <c r="S88" s="9">
        <v>0</v>
      </c>
      <c r="T88" s="14">
        <f t="shared" si="3"/>
        <v>3.8594640490923826</v>
      </c>
      <c r="U88" s="14">
        <f t="shared" si="4"/>
        <v>0</v>
      </c>
      <c r="V88" s="14">
        <f t="shared" si="5"/>
        <v>-3.8594640490923826</v>
      </c>
      <c r="W88" s="9"/>
      <c r="X88" s="9"/>
      <c r="Y88" s="9"/>
      <c r="Z88" s="9"/>
      <c r="AA88" s="9"/>
      <c r="AB88" s="9"/>
      <c r="AC88" s="9"/>
      <c r="AD88" s="9"/>
      <c r="AE88" s="9"/>
      <c r="AF88" s="9"/>
    </row>
    <row r="89" spans="1:32" ht="29">
      <c r="A89" s="3" t="s">
        <v>755</v>
      </c>
      <c r="B89" s="3" t="s">
        <v>5244</v>
      </c>
      <c r="C89" s="3" t="s">
        <v>5243</v>
      </c>
      <c r="F89" t="s">
        <v>3884</v>
      </c>
      <c r="G89" s="9" t="s">
        <v>8732</v>
      </c>
      <c r="H89" s="9"/>
      <c r="I89" s="9"/>
      <c r="J89" s="9"/>
      <c r="K89" s="9"/>
      <c r="L89" s="9"/>
      <c r="M89" s="9"/>
      <c r="N89" s="10"/>
      <c r="O89" s="9"/>
      <c r="P89" s="9"/>
      <c r="Q89" s="9">
        <v>-645</v>
      </c>
      <c r="R89" s="9">
        <v>645</v>
      </c>
      <c r="S89" s="9">
        <v>0</v>
      </c>
      <c r="T89" s="14">
        <f t="shared" si="3"/>
        <v>82.978477055486238</v>
      </c>
      <c r="U89" s="14">
        <f t="shared" si="4"/>
        <v>0</v>
      </c>
      <c r="V89" s="14">
        <f t="shared" si="5"/>
        <v>-82.978477055486238</v>
      </c>
      <c r="W89" s="9"/>
      <c r="X89" s="9"/>
      <c r="Y89" s="9"/>
      <c r="Z89" s="9"/>
      <c r="AA89" s="9"/>
      <c r="AB89" s="9"/>
      <c r="AC89" s="9"/>
      <c r="AD89" s="9"/>
      <c r="AE89" s="9"/>
      <c r="AF89" s="9"/>
    </row>
    <row r="90" spans="1:32" ht="43.5">
      <c r="A90" s="3" t="s">
        <v>761</v>
      </c>
      <c r="B90" s="3" t="s">
        <v>5257</v>
      </c>
      <c r="C90" t="s">
        <v>5258</v>
      </c>
      <c r="G90" s="9" t="s">
        <v>8729</v>
      </c>
      <c r="H90" s="9"/>
      <c r="I90" s="9"/>
      <c r="J90" s="9"/>
      <c r="K90" s="9"/>
      <c r="L90" s="9"/>
      <c r="M90" s="9"/>
      <c r="N90" s="10"/>
      <c r="O90" s="9"/>
      <c r="P90" s="9"/>
      <c r="Q90" s="9">
        <v>-12</v>
      </c>
      <c r="R90" s="9">
        <v>112</v>
      </c>
      <c r="S90" s="9">
        <v>100</v>
      </c>
      <c r="T90" s="14">
        <f t="shared" si="3"/>
        <v>14.408665783278229</v>
      </c>
      <c r="U90" s="14">
        <f t="shared" si="4"/>
        <v>12.864880163641276</v>
      </c>
      <c r="V90" s="14">
        <f t="shared" si="5"/>
        <v>-1.543785619636953</v>
      </c>
      <c r="W90" s="9"/>
      <c r="X90" s="9"/>
      <c r="Y90" s="9"/>
      <c r="Z90" s="9"/>
      <c r="AA90" s="9"/>
      <c r="AB90" s="9"/>
      <c r="AC90" s="9"/>
      <c r="AD90" s="9"/>
      <c r="AE90" s="9"/>
      <c r="AF90" s="9"/>
    </row>
    <row r="91" spans="1:32" ht="87">
      <c r="A91" s="3" t="s">
        <v>766</v>
      </c>
      <c r="B91" s="3" t="s">
        <v>9229</v>
      </c>
      <c r="C91" s="3" t="s">
        <v>5270</v>
      </c>
      <c r="G91" s="9" t="s">
        <v>8729</v>
      </c>
      <c r="H91" s="9"/>
      <c r="I91" s="9"/>
      <c r="J91" s="9"/>
      <c r="K91" s="9"/>
      <c r="L91" s="9"/>
      <c r="M91" s="9"/>
      <c r="N91" s="10"/>
      <c r="O91" s="9"/>
      <c r="P91" s="9"/>
      <c r="Q91" s="9">
        <v>-6</v>
      </c>
      <c r="R91" s="9">
        <v>20</v>
      </c>
      <c r="S91" s="9">
        <v>14</v>
      </c>
      <c r="T91" s="14">
        <f t="shared" si="3"/>
        <v>2.5729760327282549</v>
      </c>
      <c r="U91" s="14">
        <f t="shared" si="4"/>
        <v>1.8010832229097786</v>
      </c>
      <c r="V91" s="14">
        <f t="shared" si="5"/>
        <v>-0.7718928098184763</v>
      </c>
      <c r="W91" s="9"/>
      <c r="X91" s="9"/>
      <c r="Y91" s="9"/>
      <c r="Z91" s="9"/>
      <c r="AA91" s="9"/>
      <c r="AB91" s="9"/>
      <c r="AC91" s="9"/>
      <c r="AD91" s="9"/>
      <c r="AE91" s="9"/>
      <c r="AF91" s="9"/>
    </row>
    <row r="92" spans="1:32" ht="29">
      <c r="A92" s="3" t="s">
        <v>782</v>
      </c>
      <c r="B92" s="3" t="s">
        <v>5317</v>
      </c>
      <c r="C92" s="3" t="s">
        <v>3034</v>
      </c>
      <c r="F92" t="s">
        <v>3884</v>
      </c>
      <c r="G92" s="9" t="s">
        <v>8729</v>
      </c>
      <c r="H92" s="9"/>
      <c r="I92" s="9"/>
      <c r="J92" s="9"/>
      <c r="K92" s="9"/>
      <c r="L92" s="9"/>
      <c r="M92" s="9"/>
      <c r="N92" s="10"/>
      <c r="O92" s="9"/>
      <c r="P92" s="9"/>
      <c r="Q92" s="9">
        <v>-3</v>
      </c>
      <c r="R92" s="9">
        <v>3</v>
      </c>
      <c r="S92" s="9">
        <v>0</v>
      </c>
      <c r="T92" s="14">
        <f t="shared" si="3"/>
        <v>0.38594640490923826</v>
      </c>
      <c r="U92" s="14">
        <f t="shared" si="4"/>
        <v>0</v>
      </c>
      <c r="V92" s="14">
        <f t="shared" si="5"/>
        <v>-0.38594640490923826</v>
      </c>
      <c r="W92" s="9"/>
      <c r="X92" s="9"/>
      <c r="Y92" s="9"/>
      <c r="Z92" s="9"/>
      <c r="AA92" s="9"/>
      <c r="AB92" s="9"/>
      <c r="AC92" s="9"/>
      <c r="AD92" s="9"/>
      <c r="AE92" s="9"/>
      <c r="AF92" s="9"/>
    </row>
    <row r="93" spans="1:32" ht="43.5">
      <c r="A93" s="3" t="s">
        <v>786</v>
      </c>
      <c r="B93" s="3" t="s">
        <v>5325</v>
      </c>
      <c r="C93" s="3" t="s">
        <v>5326</v>
      </c>
      <c r="G93" s="9" t="s">
        <v>8732</v>
      </c>
      <c r="H93" s="9"/>
      <c r="I93" s="9"/>
      <c r="J93" s="9"/>
      <c r="K93" s="9"/>
      <c r="L93" s="9"/>
      <c r="M93" s="9"/>
      <c r="N93" s="10"/>
      <c r="O93" s="9"/>
      <c r="P93" s="9"/>
      <c r="Q93" s="9">
        <v>9</v>
      </c>
      <c r="R93" s="9">
        <v>2</v>
      </c>
      <c r="S93" s="9">
        <v>11</v>
      </c>
      <c r="T93" s="14">
        <f t="shared" si="3"/>
        <v>0.25729760327282553</v>
      </c>
      <c r="U93" s="14">
        <f t="shared" si="4"/>
        <v>1.4151368180005404</v>
      </c>
      <c r="V93" s="14">
        <f t="shared" si="5"/>
        <v>1.1578392147277148</v>
      </c>
      <c r="W93" s="9"/>
      <c r="X93" s="9"/>
      <c r="Y93" s="9"/>
      <c r="Z93" s="9"/>
      <c r="AA93" s="9"/>
      <c r="AB93" s="9"/>
      <c r="AC93" s="9"/>
      <c r="AD93" s="9"/>
      <c r="AE93" s="9"/>
      <c r="AF93" s="9"/>
    </row>
    <row r="94" spans="1:32" ht="29">
      <c r="A94" s="3" t="s">
        <v>789</v>
      </c>
      <c r="B94" s="3" t="s">
        <v>3040</v>
      </c>
      <c r="C94" s="3" t="s">
        <v>2124</v>
      </c>
      <c r="G94" s="9" t="s">
        <v>8729</v>
      </c>
      <c r="H94" s="9"/>
      <c r="I94" s="9"/>
      <c r="J94" s="9"/>
      <c r="K94" s="9"/>
      <c r="L94" s="9"/>
      <c r="M94" s="9"/>
      <c r="N94" s="10"/>
      <c r="O94" s="9"/>
      <c r="P94" s="9"/>
      <c r="Q94" s="9">
        <v>60</v>
      </c>
      <c r="R94" s="9">
        <v>9</v>
      </c>
      <c r="S94" s="9">
        <v>69</v>
      </c>
      <c r="T94" s="14">
        <f t="shared" si="3"/>
        <v>1.1578392147277148</v>
      </c>
      <c r="U94" s="14">
        <f t="shared" si="4"/>
        <v>8.8767673129124809</v>
      </c>
      <c r="V94" s="14">
        <f t="shared" si="5"/>
        <v>7.7189280981847661</v>
      </c>
      <c r="W94" s="9"/>
      <c r="X94" s="9"/>
      <c r="Y94" s="9"/>
      <c r="Z94" s="9"/>
      <c r="AA94" s="9"/>
      <c r="AB94" s="9"/>
      <c r="AC94" s="9"/>
      <c r="AD94" s="9"/>
      <c r="AE94" s="9"/>
      <c r="AF94" s="9"/>
    </row>
    <row r="95" spans="1:32" ht="29">
      <c r="A95" s="3" t="s">
        <v>808</v>
      </c>
      <c r="B95" s="3" t="s">
        <v>5388</v>
      </c>
      <c r="C95" s="3" t="s">
        <v>5389</v>
      </c>
      <c r="G95" s="9" t="s">
        <v>8729</v>
      </c>
      <c r="H95" s="9"/>
      <c r="I95" s="9"/>
      <c r="J95" s="9"/>
      <c r="K95" s="9"/>
      <c r="L95" s="9"/>
      <c r="M95" s="9"/>
      <c r="N95" s="10"/>
      <c r="O95" s="9"/>
      <c r="P95" s="9"/>
      <c r="Q95" s="9">
        <v>3</v>
      </c>
      <c r="R95" s="9">
        <v>20</v>
      </c>
      <c r="S95" s="9">
        <v>23</v>
      </c>
      <c r="T95" s="14">
        <f t="shared" si="3"/>
        <v>2.5729760327282549</v>
      </c>
      <c r="U95" s="14">
        <f t="shared" si="4"/>
        <v>2.9589224376374932</v>
      </c>
      <c r="V95" s="14">
        <f t="shared" si="5"/>
        <v>0.38594640490923826</v>
      </c>
      <c r="W95" s="9"/>
      <c r="X95" s="9"/>
      <c r="Y95" s="9"/>
      <c r="Z95" s="9"/>
      <c r="AA95" s="9"/>
      <c r="AB95" s="9"/>
      <c r="AC95" s="9"/>
      <c r="AD95" s="9"/>
      <c r="AE95" s="9"/>
      <c r="AF95" s="9"/>
    </row>
    <row r="96" spans="1:32" ht="58">
      <c r="A96" s="3" t="s">
        <v>809</v>
      </c>
      <c r="B96" s="3" t="s">
        <v>5391</v>
      </c>
      <c r="C96" s="3" t="s">
        <v>5392</v>
      </c>
      <c r="G96" s="9" t="s">
        <v>8729</v>
      </c>
      <c r="H96" s="9"/>
      <c r="I96" s="9"/>
      <c r="J96" s="9"/>
      <c r="K96" s="9"/>
      <c r="L96" s="9"/>
      <c r="M96" s="9"/>
      <c r="N96" s="10"/>
      <c r="O96" s="9"/>
      <c r="P96" s="9"/>
      <c r="Q96" s="9">
        <v>-78</v>
      </c>
      <c r="R96" s="9">
        <v>128</v>
      </c>
      <c r="S96" s="9">
        <v>50</v>
      </c>
      <c r="T96" s="14">
        <f t="shared" si="3"/>
        <v>16.467046609460834</v>
      </c>
      <c r="U96" s="14">
        <f t="shared" si="4"/>
        <v>6.432440081820638</v>
      </c>
      <c r="V96" s="14">
        <f t="shared" si="5"/>
        <v>-10.034606527640197</v>
      </c>
      <c r="W96" s="9"/>
      <c r="X96" s="9"/>
      <c r="Y96" s="9"/>
      <c r="Z96" s="9"/>
      <c r="AA96" s="9"/>
      <c r="AB96" s="9"/>
      <c r="AC96" s="9"/>
      <c r="AD96" s="9"/>
      <c r="AE96" s="9"/>
      <c r="AF96" s="9"/>
    </row>
    <row r="97" spans="1:32" ht="58">
      <c r="A97" s="3" t="s">
        <v>811</v>
      </c>
      <c r="B97" s="3" t="s">
        <v>5396</v>
      </c>
      <c r="C97" s="3" t="s">
        <v>5397</v>
      </c>
      <c r="F97" t="s">
        <v>3884</v>
      </c>
      <c r="G97" s="9" t="s">
        <v>8729</v>
      </c>
      <c r="H97" s="9"/>
      <c r="I97" s="9"/>
      <c r="J97" s="9"/>
      <c r="K97" s="9"/>
      <c r="L97" s="9"/>
      <c r="M97" s="9"/>
      <c r="N97" s="10"/>
      <c r="O97" s="9"/>
      <c r="P97" s="9"/>
      <c r="Q97" s="9">
        <v>9</v>
      </c>
      <c r="R97" s="9">
        <v>2</v>
      </c>
      <c r="S97" s="9">
        <v>11</v>
      </c>
      <c r="T97" s="14">
        <f t="shared" si="3"/>
        <v>0.25729760327282553</v>
      </c>
      <c r="U97" s="14">
        <f t="shared" si="4"/>
        <v>1.4151368180005404</v>
      </c>
      <c r="V97" s="14">
        <f t="shared" si="5"/>
        <v>1.1578392147277148</v>
      </c>
      <c r="W97" s="9"/>
      <c r="X97" s="9"/>
      <c r="Y97" s="9"/>
      <c r="Z97" s="9"/>
      <c r="AA97" s="9"/>
      <c r="AB97" s="9"/>
      <c r="AC97" s="9"/>
      <c r="AD97" s="9"/>
      <c r="AE97" s="9"/>
      <c r="AF97" s="9"/>
    </row>
    <row r="98" spans="1:32" ht="29">
      <c r="A98" s="3" t="s">
        <v>813</v>
      </c>
      <c r="B98" s="3" t="s">
        <v>5429</v>
      </c>
      <c r="C98" s="3" t="s">
        <v>5430</v>
      </c>
      <c r="G98" s="9" t="s">
        <v>8729</v>
      </c>
      <c r="H98" s="9"/>
      <c r="I98" s="9"/>
      <c r="J98" s="9"/>
      <c r="K98" s="9"/>
      <c r="L98" s="9"/>
      <c r="M98" s="9"/>
      <c r="N98" s="10"/>
      <c r="O98" s="9"/>
      <c r="P98" s="9"/>
      <c r="Q98" s="9">
        <v>-3599</v>
      </c>
      <c r="R98" s="9">
        <v>3678</v>
      </c>
      <c r="S98" s="9">
        <v>79</v>
      </c>
      <c r="T98" s="14">
        <f t="shared" si="3"/>
        <v>473.17029241872609</v>
      </c>
      <c r="U98" s="14">
        <f t="shared" si="4"/>
        <v>10.163255329276607</v>
      </c>
      <c r="V98" s="14">
        <f t="shared" si="5"/>
        <v>-463.00703708944951</v>
      </c>
      <c r="W98" s="9"/>
      <c r="X98" s="9"/>
      <c r="Y98" s="9"/>
      <c r="Z98" s="9"/>
      <c r="AA98" s="9"/>
      <c r="AB98" s="9"/>
      <c r="AC98" s="9"/>
      <c r="AD98" s="9"/>
      <c r="AE98" s="9"/>
      <c r="AF98" s="9"/>
    </row>
    <row r="99" spans="1:32" ht="58">
      <c r="A99" s="3" t="s">
        <v>813</v>
      </c>
      <c r="B99" s="3" t="s">
        <v>5431</v>
      </c>
      <c r="C99" s="3" t="s">
        <v>5432</v>
      </c>
      <c r="G99" s="9" t="s">
        <v>8729</v>
      </c>
      <c r="H99" s="9"/>
      <c r="I99" s="9"/>
      <c r="J99" s="9"/>
      <c r="K99" s="9"/>
      <c r="L99" s="9"/>
      <c r="M99" s="9"/>
      <c r="N99" s="10"/>
      <c r="O99" s="9"/>
      <c r="P99" s="9"/>
      <c r="Q99" s="9">
        <v>-96</v>
      </c>
      <c r="R99" s="9">
        <v>202</v>
      </c>
      <c r="S99" s="9">
        <v>106</v>
      </c>
      <c r="T99" s="14">
        <f t="shared" si="3"/>
        <v>25.987057930555377</v>
      </c>
      <c r="U99" s="14">
        <f t="shared" si="4"/>
        <v>13.636772973459752</v>
      </c>
      <c r="V99" s="14">
        <f t="shared" si="5"/>
        <v>-12.350284957095624</v>
      </c>
      <c r="W99" s="9" t="s">
        <v>4</v>
      </c>
      <c r="X99" s="9"/>
      <c r="Y99" s="9"/>
      <c r="Z99" s="9"/>
      <c r="AA99" s="9"/>
      <c r="AB99" s="9"/>
      <c r="AC99" s="9"/>
      <c r="AD99" s="9"/>
      <c r="AE99" s="9"/>
      <c r="AF99" s="9"/>
    </row>
    <row r="100" spans="1:32" ht="29">
      <c r="A100" s="3" t="s">
        <v>820</v>
      </c>
      <c r="B100" s="3" t="s">
        <v>5443</v>
      </c>
      <c r="C100" s="3" t="s">
        <v>3064</v>
      </c>
      <c r="F100" t="s">
        <v>3884</v>
      </c>
      <c r="G100" s="9" t="s">
        <v>8729</v>
      </c>
      <c r="H100" s="9"/>
      <c r="I100" s="9"/>
      <c r="J100" s="9"/>
      <c r="K100" s="9"/>
      <c r="L100" s="9"/>
      <c r="M100" s="9"/>
      <c r="N100" s="10"/>
      <c r="O100" s="9"/>
      <c r="P100" s="9"/>
      <c r="Q100" s="9">
        <v>-14</v>
      </c>
      <c r="R100" s="9">
        <v>33</v>
      </c>
      <c r="S100" s="9">
        <v>19</v>
      </c>
      <c r="T100" s="14">
        <f t="shared" si="3"/>
        <v>4.2454104540016209</v>
      </c>
      <c r="U100" s="14">
        <f t="shared" si="4"/>
        <v>2.4443272310918425</v>
      </c>
      <c r="V100" s="14">
        <f t="shared" si="5"/>
        <v>-1.8010832229097784</v>
      </c>
      <c r="W100" s="9"/>
      <c r="X100" s="9"/>
      <c r="Y100" s="9"/>
      <c r="Z100" s="9"/>
      <c r="AA100" s="9"/>
      <c r="AB100" s="9"/>
      <c r="AC100" s="9"/>
      <c r="AD100" s="9"/>
      <c r="AE100" s="9"/>
      <c r="AF100" s="9"/>
    </row>
    <row r="101" spans="1:32" ht="87">
      <c r="A101" s="3" t="s">
        <v>829</v>
      </c>
      <c r="B101" s="3" t="s">
        <v>5456</v>
      </c>
      <c r="C101" s="3" t="s">
        <v>5457</v>
      </c>
      <c r="F101" t="s">
        <v>3888</v>
      </c>
      <c r="G101" s="9" t="s">
        <v>8729</v>
      </c>
      <c r="H101" s="9"/>
      <c r="I101" s="9"/>
      <c r="J101" s="9"/>
      <c r="K101" s="9"/>
      <c r="L101" s="9"/>
      <c r="M101" s="9"/>
      <c r="N101" s="10"/>
      <c r="O101" s="9"/>
      <c r="P101" s="9"/>
      <c r="Q101" s="9">
        <v>-3</v>
      </c>
      <c r="R101" s="9">
        <v>55</v>
      </c>
      <c r="S101" s="9">
        <v>52</v>
      </c>
      <c r="T101" s="14">
        <f t="shared" si="3"/>
        <v>7.075684090002702</v>
      </c>
      <c r="U101" s="14">
        <f t="shared" si="4"/>
        <v>6.6897376850934638</v>
      </c>
      <c r="V101" s="14">
        <f t="shared" si="5"/>
        <v>-0.38594640490923826</v>
      </c>
      <c r="W101" s="9"/>
      <c r="X101" s="9"/>
      <c r="Y101" s="9"/>
      <c r="Z101" s="9"/>
      <c r="AA101" s="9"/>
      <c r="AB101" s="9"/>
      <c r="AC101" s="9"/>
      <c r="AD101" s="9"/>
      <c r="AE101" s="9"/>
      <c r="AF101" s="9"/>
    </row>
    <row r="102" spans="1:32" ht="29">
      <c r="A102" s="3" t="s">
        <v>830</v>
      </c>
      <c r="B102" s="3" t="s">
        <v>5459</v>
      </c>
      <c r="C102" s="3" t="s">
        <v>5460</v>
      </c>
      <c r="G102" s="9" t="s">
        <v>8729</v>
      </c>
      <c r="H102" s="9"/>
      <c r="I102" s="9"/>
      <c r="J102" s="9"/>
      <c r="K102" s="9"/>
      <c r="L102" s="9"/>
      <c r="M102" s="9"/>
      <c r="N102" s="10"/>
      <c r="O102" s="9"/>
      <c r="P102" s="9"/>
      <c r="Q102" s="9">
        <v>19</v>
      </c>
      <c r="R102" s="9">
        <v>4</v>
      </c>
      <c r="S102" s="9">
        <v>23</v>
      </c>
      <c r="T102" s="14">
        <f t="shared" si="3"/>
        <v>0.51459520654565105</v>
      </c>
      <c r="U102" s="14">
        <f t="shared" si="4"/>
        <v>2.9589224376374932</v>
      </c>
      <c r="V102" s="14">
        <f t="shared" si="5"/>
        <v>2.444327231091842</v>
      </c>
      <c r="W102" s="9"/>
      <c r="X102" s="9"/>
      <c r="Y102" s="9"/>
      <c r="Z102" s="9"/>
      <c r="AA102" s="9"/>
      <c r="AB102" s="9"/>
      <c r="AC102" s="9"/>
      <c r="AD102" s="9"/>
      <c r="AE102" s="9"/>
      <c r="AF102" s="9"/>
    </row>
    <row r="103" spans="1:32" ht="72.5">
      <c r="A103" s="3" t="s">
        <v>830</v>
      </c>
      <c r="B103" s="3" t="s">
        <v>5461</v>
      </c>
      <c r="C103" s="3" t="s">
        <v>5462</v>
      </c>
      <c r="F103" t="s">
        <v>3884</v>
      </c>
      <c r="G103" s="9" t="s">
        <v>8729</v>
      </c>
      <c r="H103" s="9"/>
      <c r="I103" s="9"/>
      <c r="J103" s="9"/>
      <c r="K103" s="9"/>
      <c r="L103" s="9"/>
      <c r="M103" s="9"/>
      <c r="N103" s="10"/>
      <c r="O103" s="9"/>
      <c r="P103" s="9"/>
      <c r="Q103" s="9">
        <v>-88</v>
      </c>
      <c r="R103" s="9">
        <v>206</v>
      </c>
      <c r="S103" s="9">
        <v>118</v>
      </c>
      <c r="T103" s="14">
        <f t="shared" si="3"/>
        <v>26.50165313710103</v>
      </c>
      <c r="U103" s="14">
        <f t="shared" si="4"/>
        <v>15.180558593096704</v>
      </c>
      <c r="V103" s="14">
        <f t="shared" si="5"/>
        <v>-11.321094544004326</v>
      </c>
      <c r="W103" s="9"/>
      <c r="X103" s="9"/>
      <c r="Y103" s="9"/>
      <c r="Z103" s="9"/>
      <c r="AA103" s="9"/>
      <c r="AB103" s="9"/>
      <c r="AC103" s="9"/>
      <c r="AD103" s="9"/>
      <c r="AE103" s="9"/>
      <c r="AF103" s="9"/>
    </row>
    <row r="104" spans="1:32" ht="29">
      <c r="A104" s="3" t="s">
        <v>835</v>
      </c>
      <c r="B104" s="3" t="s">
        <v>5477</v>
      </c>
      <c r="C104" s="3" t="s">
        <v>5478</v>
      </c>
      <c r="G104" s="9" t="s">
        <v>8729</v>
      </c>
      <c r="H104" s="9"/>
      <c r="I104" s="9"/>
      <c r="J104" s="9"/>
      <c r="K104" s="9"/>
      <c r="L104" s="9"/>
      <c r="M104" s="9"/>
      <c r="N104" s="10"/>
      <c r="O104" s="9"/>
      <c r="P104" s="9"/>
      <c r="Q104" s="9">
        <v>190</v>
      </c>
      <c r="R104" s="9">
        <v>329</v>
      </c>
      <c r="S104" s="9">
        <v>519</v>
      </c>
      <c r="T104" s="14">
        <f t="shared" si="3"/>
        <v>42.325455738379794</v>
      </c>
      <c r="U104" s="14">
        <f t="shared" si="4"/>
        <v>66.768728049298218</v>
      </c>
      <c r="V104" s="14">
        <f t="shared" si="5"/>
        <v>24.443272310918424</v>
      </c>
      <c r="W104" s="9"/>
      <c r="X104" s="9"/>
      <c r="Y104" s="9"/>
      <c r="Z104" s="9"/>
      <c r="AA104" s="9"/>
      <c r="AB104" s="9"/>
      <c r="AC104" s="9"/>
      <c r="AD104" s="9"/>
      <c r="AE104" s="9"/>
      <c r="AF104" s="9"/>
    </row>
    <row r="105" spans="1:32" ht="43.5">
      <c r="A105" s="3" t="s">
        <v>840</v>
      </c>
      <c r="B105" s="4" t="s">
        <v>5487</v>
      </c>
      <c r="C105" s="3" t="s">
        <v>5488</v>
      </c>
      <c r="D105" t="s">
        <v>4196</v>
      </c>
      <c r="G105" s="9" t="s">
        <v>8729</v>
      </c>
      <c r="H105" s="9"/>
      <c r="I105" s="9"/>
      <c r="J105" s="9"/>
      <c r="K105" s="9"/>
      <c r="L105" s="9"/>
      <c r="M105" s="9"/>
      <c r="N105" s="10"/>
      <c r="O105" s="9"/>
      <c r="P105" s="9"/>
      <c r="Q105" s="9">
        <v>-24</v>
      </c>
      <c r="R105" s="9">
        <v>30</v>
      </c>
      <c r="S105" s="9">
        <v>6</v>
      </c>
      <c r="T105" s="14">
        <f t="shared" si="3"/>
        <v>3.8594640490923826</v>
      </c>
      <c r="U105" s="14">
        <f t="shared" si="4"/>
        <v>0.77189280981847652</v>
      </c>
      <c r="V105" s="14">
        <f t="shared" si="5"/>
        <v>-3.0875712392739061</v>
      </c>
      <c r="W105" s="9"/>
      <c r="X105" s="9"/>
      <c r="Y105" s="9"/>
      <c r="Z105" s="9"/>
      <c r="AA105" s="9"/>
      <c r="AB105" s="9"/>
      <c r="AC105" s="9"/>
      <c r="AD105" s="9"/>
      <c r="AE105" s="9"/>
      <c r="AF105" s="9"/>
    </row>
    <row r="106" spans="1:32" ht="43.5">
      <c r="A106" s="3" t="s">
        <v>854</v>
      </c>
      <c r="B106" s="3" t="s">
        <v>5502</v>
      </c>
      <c r="C106" s="3" t="s">
        <v>5503</v>
      </c>
      <c r="G106" s="9" t="s">
        <v>8729</v>
      </c>
      <c r="H106" s="9"/>
      <c r="I106" s="9"/>
      <c r="J106" s="9"/>
      <c r="K106" s="9"/>
      <c r="L106" s="9"/>
      <c r="M106" s="9"/>
      <c r="N106" s="10"/>
      <c r="O106" s="9"/>
      <c r="P106" s="9"/>
      <c r="Q106" s="9">
        <v>230</v>
      </c>
      <c r="R106" s="9">
        <v>1</v>
      </c>
      <c r="S106" s="9">
        <v>231</v>
      </c>
      <c r="T106" s="14">
        <f t="shared" si="3"/>
        <v>0.12864880163641276</v>
      </c>
      <c r="U106" s="14">
        <f t="shared" si="4"/>
        <v>29.717873178011349</v>
      </c>
      <c r="V106" s="14">
        <f t="shared" si="5"/>
        <v>29.589224376374936</v>
      </c>
      <c r="W106" s="9"/>
      <c r="X106" s="9"/>
      <c r="Y106" s="9"/>
      <c r="Z106" s="9"/>
      <c r="AA106" s="9"/>
      <c r="AB106" s="9"/>
      <c r="AC106" s="9"/>
      <c r="AD106" s="9"/>
      <c r="AE106" s="9"/>
      <c r="AF106" s="9"/>
    </row>
    <row r="107" spans="1:32" ht="29">
      <c r="A107" s="3" t="s">
        <v>855</v>
      </c>
      <c r="B107" s="3" t="s">
        <v>4004</v>
      </c>
      <c r="C107" s="3" t="s">
        <v>5510</v>
      </c>
      <c r="G107" s="9" t="s">
        <v>8729</v>
      </c>
      <c r="H107" s="9"/>
      <c r="I107" s="9"/>
      <c r="J107" s="9"/>
      <c r="K107" s="9"/>
      <c r="L107" s="9"/>
      <c r="M107" s="9"/>
      <c r="N107" s="10"/>
      <c r="O107" s="9"/>
      <c r="P107" s="9"/>
      <c r="Q107" s="9">
        <v>-1070</v>
      </c>
      <c r="R107" s="9">
        <v>1942</v>
      </c>
      <c r="S107" s="9">
        <v>872</v>
      </c>
      <c r="T107" s="14">
        <f t="shared" si="3"/>
        <v>249.83597277791355</v>
      </c>
      <c r="U107" s="14">
        <f t="shared" si="4"/>
        <v>112.18175502695193</v>
      </c>
      <c r="V107" s="14">
        <f t="shared" si="5"/>
        <v>-137.65421775096161</v>
      </c>
      <c r="W107" s="9"/>
      <c r="X107" s="9"/>
      <c r="Y107" s="9"/>
      <c r="Z107" s="9"/>
      <c r="AA107" s="9"/>
      <c r="AB107" s="9"/>
      <c r="AC107" s="9"/>
      <c r="AD107" s="9"/>
      <c r="AE107" s="9"/>
      <c r="AF107" s="9"/>
    </row>
    <row r="108" spans="1:32" ht="43.5">
      <c r="A108" s="3" t="s">
        <v>862</v>
      </c>
      <c r="B108" s="3" t="s">
        <v>5536</v>
      </c>
      <c r="C108" s="3" t="s">
        <v>9048</v>
      </c>
      <c r="F108" t="s">
        <v>3884</v>
      </c>
      <c r="G108" s="9" t="s">
        <v>8729</v>
      </c>
      <c r="H108" s="9"/>
      <c r="I108" s="9"/>
      <c r="J108" s="9"/>
      <c r="K108" s="9"/>
      <c r="L108" s="9"/>
      <c r="M108" s="9"/>
      <c r="N108" s="10"/>
      <c r="O108" s="9"/>
      <c r="P108" s="9"/>
      <c r="Q108" s="9">
        <v>-6</v>
      </c>
      <c r="R108" s="9">
        <v>6</v>
      </c>
      <c r="S108" s="9">
        <v>0</v>
      </c>
      <c r="T108" s="14">
        <f t="shared" si="3"/>
        <v>0.77189280981847652</v>
      </c>
      <c r="U108" s="14">
        <f t="shared" si="4"/>
        <v>0</v>
      </c>
      <c r="V108" s="14">
        <f t="shared" si="5"/>
        <v>-0.77189280981847652</v>
      </c>
      <c r="W108" s="9"/>
      <c r="X108" s="9"/>
      <c r="Y108" s="9"/>
      <c r="Z108" s="9"/>
      <c r="AA108" s="9"/>
      <c r="AB108" s="9"/>
      <c r="AC108" s="9"/>
      <c r="AD108" s="9"/>
      <c r="AE108" s="9"/>
      <c r="AF108" s="9"/>
    </row>
    <row r="109" spans="1:32" ht="29">
      <c r="A109" s="3" t="s">
        <v>874</v>
      </c>
      <c r="B109" s="3" t="s">
        <v>2996</v>
      </c>
      <c r="C109" s="3" t="s">
        <v>2395</v>
      </c>
      <c r="G109" s="9" t="s">
        <v>8729</v>
      </c>
      <c r="H109" s="9"/>
      <c r="I109" s="9"/>
      <c r="J109" s="9"/>
      <c r="K109" s="9"/>
      <c r="L109" s="9"/>
      <c r="M109" s="9"/>
      <c r="N109" s="10"/>
      <c r="O109" s="9"/>
      <c r="P109" s="9"/>
      <c r="Q109" s="9">
        <v>52</v>
      </c>
      <c r="R109" s="9">
        <v>38</v>
      </c>
      <c r="S109" s="9">
        <v>90</v>
      </c>
      <c r="T109" s="14">
        <f t="shared" si="3"/>
        <v>4.8886544621836849</v>
      </c>
      <c r="U109" s="14">
        <f t="shared" si="4"/>
        <v>11.57839214727715</v>
      </c>
      <c r="V109" s="14">
        <f t="shared" si="5"/>
        <v>6.6897376850934647</v>
      </c>
      <c r="W109" s="9"/>
      <c r="X109" s="9"/>
      <c r="Y109" s="9"/>
      <c r="Z109" s="9"/>
      <c r="AA109" s="9"/>
      <c r="AB109" s="9"/>
      <c r="AC109" s="9"/>
      <c r="AD109" s="9"/>
      <c r="AE109" s="9"/>
      <c r="AF109" s="9"/>
    </row>
    <row r="110" spans="1:32" ht="29">
      <c r="A110" s="3" t="s">
        <v>878</v>
      </c>
      <c r="B110" s="3" t="s">
        <v>5578</v>
      </c>
      <c r="C110" s="3" t="s">
        <v>5579</v>
      </c>
      <c r="G110" s="9" t="s">
        <v>8729</v>
      </c>
      <c r="H110" s="9"/>
      <c r="I110" s="9"/>
      <c r="J110" s="9"/>
      <c r="K110" s="9"/>
      <c r="L110" s="9"/>
      <c r="M110" s="9"/>
      <c r="N110" s="10"/>
      <c r="O110" s="9"/>
      <c r="P110" s="9"/>
      <c r="Q110" s="9">
        <v>3599</v>
      </c>
      <c r="R110" s="9">
        <v>79</v>
      </c>
      <c r="S110" s="9">
        <v>3678</v>
      </c>
      <c r="T110" s="14">
        <f t="shared" si="3"/>
        <v>10.163255329276607</v>
      </c>
      <c r="U110" s="14">
        <f t="shared" si="4"/>
        <v>473.17029241872609</v>
      </c>
      <c r="V110" s="14">
        <f t="shared" si="5"/>
        <v>463.00703708944951</v>
      </c>
      <c r="W110" s="9"/>
      <c r="X110" s="9"/>
      <c r="Y110" s="9"/>
      <c r="Z110" s="9"/>
      <c r="AA110" s="9"/>
      <c r="AB110" s="9"/>
      <c r="AC110" s="9"/>
      <c r="AD110" s="9"/>
      <c r="AE110" s="9"/>
      <c r="AF110" s="9"/>
    </row>
    <row r="111" spans="1:32" ht="29">
      <c r="A111" s="3" t="s">
        <v>887</v>
      </c>
      <c r="B111" s="3" t="s">
        <v>2996</v>
      </c>
      <c r="C111" s="3" t="s">
        <v>2395</v>
      </c>
      <c r="G111" s="9" t="s">
        <v>8729</v>
      </c>
      <c r="H111" s="9"/>
      <c r="I111" s="9"/>
      <c r="J111" s="9"/>
      <c r="K111" s="9"/>
      <c r="L111" s="9"/>
      <c r="M111" s="9"/>
      <c r="N111" s="10"/>
      <c r="O111" s="9"/>
      <c r="P111" s="9"/>
      <c r="Q111" s="9">
        <v>52</v>
      </c>
      <c r="R111" s="9">
        <v>38</v>
      </c>
      <c r="S111" s="9">
        <v>90</v>
      </c>
      <c r="T111" s="14">
        <f t="shared" si="3"/>
        <v>4.8886544621836849</v>
      </c>
      <c r="U111" s="14">
        <f t="shared" si="4"/>
        <v>11.57839214727715</v>
      </c>
      <c r="V111" s="14">
        <f t="shared" si="5"/>
        <v>6.6897376850934647</v>
      </c>
      <c r="W111" s="9"/>
      <c r="X111" s="9"/>
      <c r="Y111" s="9"/>
      <c r="Z111" s="9"/>
      <c r="AA111" s="9"/>
      <c r="AB111" s="9"/>
      <c r="AC111" s="9"/>
      <c r="AD111" s="9"/>
      <c r="AE111" s="9"/>
      <c r="AF111" s="9"/>
    </row>
    <row r="112" spans="1:32" ht="58">
      <c r="A112" s="3" t="s">
        <v>898</v>
      </c>
      <c r="B112" s="3" t="s">
        <v>9056</v>
      </c>
      <c r="C112" s="3" t="s">
        <v>9057</v>
      </c>
      <c r="G112" s="9" t="s">
        <v>8729</v>
      </c>
      <c r="H112" s="9"/>
      <c r="I112" s="9"/>
      <c r="J112" s="9"/>
      <c r="K112" s="9"/>
      <c r="L112" s="9"/>
      <c r="M112" s="9"/>
      <c r="N112" s="10"/>
      <c r="O112" s="9"/>
      <c r="P112" s="9"/>
      <c r="Q112" s="9">
        <v>1044</v>
      </c>
      <c r="R112" s="9">
        <v>12</v>
      </c>
      <c r="S112" s="9">
        <v>1056</v>
      </c>
      <c r="T112" s="14">
        <f t="shared" si="3"/>
        <v>1.543785619636953</v>
      </c>
      <c r="U112" s="14">
        <f t="shared" si="4"/>
        <v>135.85313452805187</v>
      </c>
      <c r="V112" s="14">
        <f t="shared" si="5"/>
        <v>134.3093489084149</v>
      </c>
      <c r="W112" s="9"/>
      <c r="X112" s="9"/>
      <c r="Y112" s="9"/>
      <c r="Z112" s="9"/>
      <c r="AA112" s="9"/>
      <c r="AB112" s="9"/>
      <c r="AC112" s="9"/>
      <c r="AD112" s="9"/>
      <c r="AE112" s="9"/>
      <c r="AF112" s="9"/>
    </row>
    <row r="113" spans="1:32" ht="43.5">
      <c r="A113" s="3" t="s">
        <v>922</v>
      </c>
      <c r="B113" s="3" t="s">
        <v>5646</v>
      </c>
      <c r="C113" s="3" t="s">
        <v>5647</v>
      </c>
      <c r="F113" t="s">
        <v>3884</v>
      </c>
      <c r="G113" s="9" t="s">
        <v>8729</v>
      </c>
      <c r="H113" s="9"/>
      <c r="I113" s="9"/>
      <c r="J113" s="9"/>
      <c r="K113" s="9"/>
      <c r="L113" s="9"/>
      <c r="M113" s="9"/>
      <c r="N113" s="10"/>
      <c r="O113" s="9"/>
      <c r="P113" s="9"/>
      <c r="Q113" s="9">
        <v>42</v>
      </c>
      <c r="R113" s="9">
        <v>35</v>
      </c>
      <c r="S113" s="9">
        <v>77</v>
      </c>
      <c r="T113" s="14">
        <f t="shared" si="3"/>
        <v>4.5027080572744467</v>
      </c>
      <c r="U113" s="14">
        <f t="shared" si="4"/>
        <v>9.9059577260037806</v>
      </c>
      <c r="V113" s="14">
        <f t="shared" si="5"/>
        <v>5.4032496687293339</v>
      </c>
      <c r="W113" s="9"/>
      <c r="X113" s="9"/>
      <c r="Y113" s="9"/>
      <c r="Z113" s="9"/>
      <c r="AA113" s="9"/>
      <c r="AB113" s="9"/>
      <c r="AC113" s="9"/>
      <c r="AD113" s="9"/>
      <c r="AE113" s="9"/>
      <c r="AF113" s="9"/>
    </row>
    <row r="114" spans="1:32" ht="72.5">
      <c r="A114" s="3" t="s">
        <v>928</v>
      </c>
      <c r="B114" s="3" t="s">
        <v>5660</v>
      </c>
      <c r="C114" s="3" t="s">
        <v>5661</v>
      </c>
      <c r="G114" s="9" t="s">
        <v>8729</v>
      </c>
      <c r="H114" s="9"/>
      <c r="I114" s="9"/>
      <c r="J114" s="9"/>
      <c r="K114" s="9"/>
      <c r="L114" s="9"/>
      <c r="M114" s="9"/>
      <c r="N114" s="10"/>
      <c r="O114" s="9"/>
      <c r="P114" s="9"/>
      <c r="Q114" s="9">
        <v>-425</v>
      </c>
      <c r="R114" s="9">
        <v>428</v>
      </c>
      <c r="S114" s="9">
        <v>3</v>
      </c>
      <c r="T114" s="14">
        <f t="shared" si="3"/>
        <v>55.06168710038466</v>
      </c>
      <c r="U114" s="14">
        <f t="shared" si="4"/>
        <v>0.38594640490923826</v>
      </c>
      <c r="V114" s="14">
        <f t="shared" si="5"/>
        <v>-54.675740695475419</v>
      </c>
      <c r="W114" s="9"/>
      <c r="X114" s="9"/>
      <c r="Y114" s="9"/>
      <c r="Z114" s="9"/>
      <c r="AA114" s="9"/>
      <c r="AB114" s="9"/>
      <c r="AC114" s="9"/>
      <c r="AD114" s="9"/>
      <c r="AE114" s="9"/>
      <c r="AF114" s="9"/>
    </row>
    <row r="115" spans="1:32" ht="101.5">
      <c r="A115" s="3" t="s">
        <v>958</v>
      </c>
      <c r="B115" s="3" t="s">
        <v>9064</v>
      </c>
      <c r="C115" s="3" t="s">
        <v>9065</v>
      </c>
      <c r="F115" t="s">
        <v>3884</v>
      </c>
      <c r="G115" s="9" t="s">
        <v>8729</v>
      </c>
      <c r="H115" s="9"/>
      <c r="I115" s="9"/>
      <c r="J115" s="9"/>
      <c r="K115" s="9"/>
      <c r="L115" s="9"/>
      <c r="M115" s="9"/>
      <c r="N115" s="10"/>
      <c r="O115" s="9"/>
      <c r="P115" s="9"/>
      <c r="Q115" s="9">
        <v>-556</v>
      </c>
      <c r="R115" s="9">
        <v>655</v>
      </c>
      <c r="S115" s="9">
        <v>99</v>
      </c>
      <c r="T115" s="14">
        <f t="shared" si="3"/>
        <v>84.264965071850355</v>
      </c>
      <c r="U115" s="14">
        <f t="shared" si="4"/>
        <v>12.736231362004862</v>
      </c>
      <c r="V115" s="14">
        <f t="shared" si="5"/>
        <v>-71.528733709845497</v>
      </c>
      <c r="W115" s="9"/>
      <c r="X115" s="9"/>
      <c r="Y115" s="9"/>
      <c r="Z115" s="9"/>
      <c r="AA115" s="9"/>
      <c r="AB115" s="9"/>
      <c r="AC115" s="9"/>
      <c r="AD115" s="9"/>
      <c r="AE115" s="9"/>
      <c r="AF115" s="9" t="s">
        <v>3884</v>
      </c>
    </row>
    <row r="116" spans="1:32" ht="43.5">
      <c r="A116" s="3" t="s">
        <v>959</v>
      </c>
      <c r="B116" s="3" t="s">
        <v>5733</v>
      </c>
      <c r="C116" s="3" t="s">
        <v>5734</v>
      </c>
      <c r="F116" t="s">
        <v>3884</v>
      </c>
      <c r="G116" s="9" t="s">
        <v>8729</v>
      </c>
      <c r="H116" s="9"/>
      <c r="I116" s="9"/>
      <c r="J116" s="9"/>
      <c r="K116" s="9"/>
      <c r="L116" s="9"/>
      <c r="M116" s="9"/>
      <c r="N116" s="10"/>
      <c r="O116" s="9"/>
      <c r="P116" s="9"/>
      <c r="Q116" s="9">
        <v>332</v>
      </c>
      <c r="R116" s="9">
        <v>4</v>
      </c>
      <c r="S116" s="9">
        <v>336</v>
      </c>
      <c r="T116" s="14">
        <f t="shared" si="3"/>
        <v>0.51459520654565105</v>
      </c>
      <c r="U116" s="14">
        <f t="shared" si="4"/>
        <v>43.225997349834692</v>
      </c>
      <c r="V116" s="14">
        <f t="shared" si="5"/>
        <v>42.711402143289042</v>
      </c>
      <c r="W116" s="9"/>
      <c r="X116" s="9"/>
      <c r="Y116" s="9"/>
      <c r="Z116" s="9"/>
      <c r="AA116" s="9"/>
      <c r="AB116" s="9"/>
      <c r="AC116" s="9"/>
      <c r="AD116" s="9"/>
      <c r="AE116" s="9"/>
      <c r="AF116" s="9"/>
    </row>
    <row r="117" spans="1:32" ht="43.5">
      <c r="A117" s="3" t="s">
        <v>962</v>
      </c>
      <c r="B117" s="3" t="s">
        <v>5737</v>
      </c>
      <c r="C117" s="3" t="s">
        <v>5738</v>
      </c>
      <c r="G117" s="9" t="s">
        <v>8729</v>
      </c>
      <c r="H117" s="9"/>
      <c r="I117" s="9"/>
      <c r="J117" s="9"/>
      <c r="K117" s="9"/>
      <c r="L117" s="9"/>
      <c r="M117" s="9"/>
      <c r="N117" s="10"/>
      <c r="O117" s="9"/>
      <c r="P117" s="9"/>
      <c r="Q117" s="9">
        <v>239</v>
      </c>
      <c r="R117" s="9">
        <v>12</v>
      </c>
      <c r="S117" s="9">
        <v>251</v>
      </c>
      <c r="T117" s="14">
        <f t="shared" si="3"/>
        <v>1.543785619636953</v>
      </c>
      <c r="U117" s="14">
        <f t="shared" si="4"/>
        <v>32.290849210739601</v>
      </c>
      <c r="V117" s="14">
        <f t="shared" si="5"/>
        <v>30.747063591102648</v>
      </c>
      <c r="W117" s="9"/>
      <c r="X117" s="9"/>
      <c r="Y117" s="9"/>
      <c r="Z117" s="9"/>
      <c r="AA117" s="9"/>
      <c r="AB117" s="9"/>
      <c r="AC117" s="9"/>
      <c r="AD117" s="9"/>
      <c r="AE117" s="9"/>
      <c r="AF117" s="9"/>
    </row>
    <row r="118" spans="1:32" ht="43.5">
      <c r="A118" s="3" t="s">
        <v>966</v>
      </c>
      <c r="B118" s="3" t="s">
        <v>5745</v>
      </c>
      <c r="C118" s="3" t="s">
        <v>5746</v>
      </c>
      <c r="F118" t="s">
        <v>3884</v>
      </c>
      <c r="G118" s="9" t="s">
        <v>8729</v>
      </c>
      <c r="H118" s="9"/>
      <c r="I118" s="9"/>
      <c r="J118" s="9"/>
      <c r="K118" s="9"/>
      <c r="L118" s="9"/>
      <c r="M118" s="9"/>
      <c r="N118" s="10"/>
      <c r="O118" s="9"/>
      <c r="P118" s="9"/>
      <c r="Q118" s="9">
        <v>0</v>
      </c>
      <c r="R118" s="9">
        <v>0</v>
      </c>
      <c r="S118" s="9">
        <v>0</v>
      </c>
      <c r="T118" s="14">
        <f t="shared" si="3"/>
        <v>0</v>
      </c>
      <c r="U118" s="14">
        <f t="shared" si="4"/>
        <v>0</v>
      </c>
      <c r="V118" s="14">
        <f t="shared" si="5"/>
        <v>0</v>
      </c>
      <c r="W118" s="9"/>
      <c r="X118" s="9"/>
      <c r="Y118" s="9"/>
      <c r="Z118" s="9"/>
      <c r="AA118" s="9"/>
      <c r="AB118" s="9"/>
      <c r="AC118" s="9"/>
      <c r="AD118" s="9"/>
      <c r="AE118" s="9"/>
      <c r="AF118" s="9"/>
    </row>
    <row r="119" spans="1:32" ht="29">
      <c r="A119" s="3" t="s">
        <v>968</v>
      </c>
      <c r="B119" s="3" t="s">
        <v>3197</v>
      </c>
      <c r="C119" s="3" t="s">
        <v>2337</v>
      </c>
      <c r="G119" s="9" t="s">
        <v>8729</v>
      </c>
      <c r="H119" s="9"/>
      <c r="I119" s="9"/>
      <c r="J119" s="9"/>
      <c r="K119" s="9"/>
      <c r="L119" s="9"/>
      <c r="M119" s="9"/>
      <c r="N119" s="10"/>
      <c r="O119" s="9"/>
      <c r="P119" s="9"/>
      <c r="Q119" s="9">
        <v>141</v>
      </c>
      <c r="R119" s="9">
        <v>0</v>
      </c>
      <c r="S119" s="9">
        <v>141</v>
      </c>
      <c r="T119" s="14">
        <f t="shared" si="3"/>
        <v>0</v>
      </c>
      <c r="U119" s="14">
        <f t="shared" si="4"/>
        <v>18.139481030734199</v>
      </c>
      <c r="V119" s="14">
        <f t="shared" si="5"/>
        <v>18.139481030734199</v>
      </c>
      <c r="W119" s="9"/>
      <c r="X119" s="9"/>
      <c r="Y119" s="9"/>
      <c r="Z119" s="9"/>
      <c r="AA119" s="9"/>
      <c r="AB119" s="9"/>
      <c r="AC119" s="9"/>
      <c r="AD119" s="9"/>
      <c r="AE119" s="9"/>
      <c r="AF119" s="9"/>
    </row>
    <row r="120" spans="1:32" ht="29">
      <c r="A120" s="3" t="s">
        <v>969</v>
      </c>
      <c r="B120" s="3" t="s">
        <v>5754</v>
      </c>
      <c r="C120" s="3" t="s">
        <v>5755</v>
      </c>
      <c r="G120" s="9" t="s">
        <v>8729</v>
      </c>
      <c r="H120" s="9"/>
      <c r="I120" s="9"/>
      <c r="J120" s="9"/>
      <c r="K120" s="9"/>
      <c r="L120" s="9"/>
      <c r="M120" s="9"/>
      <c r="N120" s="10"/>
      <c r="O120" s="9"/>
      <c r="P120" s="9"/>
      <c r="Q120" s="9">
        <v>26</v>
      </c>
      <c r="R120" s="9">
        <v>23</v>
      </c>
      <c r="S120" s="9">
        <v>49</v>
      </c>
      <c r="T120" s="14">
        <f t="shared" si="3"/>
        <v>2.9589224376374932</v>
      </c>
      <c r="U120" s="14">
        <f t="shared" si="4"/>
        <v>6.3037912801842246</v>
      </c>
      <c r="V120" s="14">
        <f t="shared" si="5"/>
        <v>3.3448688425467314</v>
      </c>
      <c r="W120" s="9"/>
      <c r="X120" s="9"/>
      <c r="Y120" s="9"/>
      <c r="Z120" s="9"/>
      <c r="AA120" s="9"/>
      <c r="AB120" s="9"/>
      <c r="AC120" s="9"/>
      <c r="AD120" s="9"/>
      <c r="AE120" s="9"/>
      <c r="AF120" s="9"/>
    </row>
    <row r="121" spans="1:32" ht="43.5">
      <c r="A121" s="3" t="s">
        <v>973</v>
      </c>
      <c r="B121" s="3" t="s">
        <v>5760</v>
      </c>
      <c r="C121" s="3" t="s">
        <v>5761</v>
      </c>
      <c r="D121" t="s">
        <v>3886</v>
      </c>
      <c r="G121" s="9" t="s">
        <v>8729</v>
      </c>
      <c r="H121" s="9"/>
      <c r="I121" s="9"/>
      <c r="J121" s="9"/>
      <c r="K121" s="9"/>
      <c r="L121" s="9"/>
      <c r="M121" s="9"/>
      <c r="N121" s="10"/>
      <c r="O121" s="9"/>
      <c r="P121" s="9"/>
      <c r="Q121" s="9"/>
      <c r="R121" s="9"/>
      <c r="S121" s="9" t="s">
        <v>9321</v>
      </c>
      <c r="T121" s="14" t="str">
        <f t="shared" si="3"/>
        <v/>
      </c>
      <c r="U121" s="14" t="str">
        <f t="shared" si="4"/>
        <v/>
      </c>
      <c r="V121" s="14" t="str">
        <f t="shared" si="5"/>
        <v/>
      </c>
      <c r="W121" s="9"/>
      <c r="X121" s="9"/>
      <c r="Y121" s="9"/>
      <c r="Z121" s="9"/>
      <c r="AA121" s="9"/>
      <c r="AB121" s="9"/>
      <c r="AC121" s="9"/>
      <c r="AD121" s="9"/>
      <c r="AE121" s="9"/>
      <c r="AF121" s="9"/>
    </row>
    <row r="122" spans="1:32" ht="43.5">
      <c r="A122" s="3" t="s">
        <v>986</v>
      </c>
      <c r="B122" s="3" t="s">
        <v>5788</v>
      </c>
      <c r="C122" s="3" t="s">
        <v>5789</v>
      </c>
      <c r="F122" t="s">
        <v>3884</v>
      </c>
      <c r="G122" s="9" t="s">
        <v>8729</v>
      </c>
      <c r="H122" s="9"/>
      <c r="I122" s="9"/>
      <c r="J122" s="9"/>
      <c r="K122" s="9"/>
      <c r="L122" s="9"/>
      <c r="M122" s="9"/>
      <c r="N122" s="10"/>
      <c r="O122" s="9"/>
      <c r="P122" s="9"/>
      <c r="Q122" s="9">
        <v>-42</v>
      </c>
      <c r="R122" s="9">
        <v>1485</v>
      </c>
      <c r="S122" s="9">
        <v>1443</v>
      </c>
      <c r="T122" s="14">
        <f t="shared" si="3"/>
        <v>191.04347043007292</v>
      </c>
      <c r="U122" s="14">
        <f t="shared" si="4"/>
        <v>185.64022076134361</v>
      </c>
      <c r="V122" s="14">
        <f t="shared" si="5"/>
        <v>-5.4032496687293019</v>
      </c>
      <c r="W122" s="9"/>
      <c r="X122" s="9"/>
      <c r="Y122" s="9"/>
      <c r="Z122" s="9"/>
      <c r="AA122" s="9"/>
      <c r="AB122" s="9"/>
      <c r="AC122" s="9"/>
      <c r="AD122" s="9"/>
      <c r="AE122" s="9"/>
      <c r="AF122" s="9"/>
    </row>
    <row r="123" spans="1:32" ht="72.5">
      <c r="A123" s="3" t="s">
        <v>1000</v>
      </c>
      <c r="B123" s="3" t="s">
        <v>5814</v>
      </c>
      <c r="C123" s="3" t="s">
        <v>5815</v>
      </c>
      <c r="G123" s="9" t="s">
        <v>8729</v>
      </c>
      <c r="H123" s="9"/>
      <c r="I123" s="9"/>
      <c r="J123" s="9"/>
      <c r="K123" s="9"/>
      <c r="L123" s="9"/>
      <c r="M123" s="9"/>
      <c r="N123" s="10"/>
      <c r="O123" s="9"/>
      <c r="P123" s="9"/>
      <c r="Q123" s="9">
        <v>-3158</v>
      </c>
      <c r="R123" s="9">
        <v>3678</v>
      </c>
      <c r="S123" s="9">
        <v>520</v>
      </c>
      <c r="T123" s="14">
        <f t="shared" si="3"/>
        <v>473.17029241872609</v>
      </c>
      <c r="U123" s="14">
        <f t="shared" si="4"/>
        <v>66.897376850934634</v>
      </c>
      <c r="V123" s="14">
        <f t="shared" si="5"/>
        <v>-406.27291556779147</v>
      </c>
      <c r="W123" s="9"/>
      <c r="X123" s="9"/>
      <c r="Y123" s="9"/>
      <c r="Z123" s="9"/>
      <c r="AA123" s="9"/>
      <c r="AB123" s="9"/>
      <c r="AC123" s="9"/>
      <c r="AD123" s="9"/>
      <c r="AE123" s="9"/>
      <c r="AF123" s="9"/>
    </row>
    <row r="124" spans="1:32" ht="29">
      <c r="A124" s="3" t="s">
        <v>1009</v>
      </c>
      <c r="B124" s="3" t="s">
        <v>5842</v>
      </c>
      <c r="C124" s="3" t="s">
        <v>5843</v>
      </c>
      <c r="G124" s="9" t="s">
        <v>8729</v>
      </c>
      <c r="H124" s="9"/>
      <c r="I124" s="9"/>
      <c r="J124" s="9"/>
      <c r="K124" s="9"/>
      <c r="L124" s="9"/>
      <c r="M124" s="9"/>
      <c r="N124" s="10"/>
      <c r="O124" s="9"/>
      <c r="P124" s="9"/>
      <c r="Q124" s="9">
        <v>0</v>
      </c>
      <c r="R124" s="9">
        <v>5</v>
      </c>
      <c r="S124" s="9">
        <v>5</v>
      </c>
      <c r="T124" s="14">
        <f t="shared" si="3"/>
        <v>0.64324400818206373</v>
      </c>
      <c r="U124" s="14">
        <f t="shared" si="4"/>
        <v>0.64324400818206373</v>
      </c>
      <c r="V124" s="14">
        <f t="shared" si="5"/>
        <v>0</v>
      </c>
      <c r="W124" s="9"/>
      <c r="X124" s="9"/>
      <c r="Y124" s="9"/>
      <c r="Z124" s="9"/>
      <c r="AA124" s="9"/>
      <c r="AB124" s="9"/>
      <c r="AC124" s="9"/>
      <c r="AD124" s="9"/>
      <c r="AE124" s="9"/>
      <c r="AF124" s="9"/>
    </row>
    <row r="125" spans="1:32" ht="87">
      <c r="A125" s="3" t="s">
        <v>1024</v>
      </c>
      <c r="B125" s="3" t="s">
        <v>5870</v>
      </c>
      <c r="C125" s="3" t="s">
        <v>5871</v>
      </c>
      <c r="G125" s="9" t="s">
        <v>8729</v>
      </c>
      <c r="H125" s="9"/>
      <c r="I125" s="9"/>
      <c r="J125" s="9"/>
      <c r="K125" s="9"/>
      <c r="L125" s="9"/>
      <c r="M125" s="9"/>
      <c r="N125" s="10"/>
      <c r="O125" s="9"/>
      <c r="P125" s="9"/>
      <c r="Q125" s="9">
        <v>22</v>
      </c>
      <c r="R125" s="9">
        <v>335</v>
      </c>
      <c r="S125" s="9">
        <v>357</v>
      </c>
      <c r="T125" s="14">
        <f t="shared" si="3"/>
        <v>43.097348548198276</v>
      </c>
      <c r="U125" s="14">
        <f t="shared" si="4"/>
        <v>45.92762218419935</v>
      </c>
      <c r="V125" s="14">
        <f t="shared" si="5"/>
        <v>2.8302736360010741</v>
      </c>
      <c r="W125" s="9"/>
      <c r="X125" s="9"/>
      <c r="Y125" s="9"/>
      <c r="Z125" s="9"/>
      <c r="AA125" s="9"/>
      <c r="AB125" s="9"/>
      <c r="AC125" s="9"/>
      <c r="AD125" s="9"/>
      <c r="AE125" s="9"/>
      <c r="AF125" s="9"/>
    </row>
    <row r="126" spans="1:32" ht="29">
      <c r="A126" s="3" t="s">
        <v>1024</v>
      </c>
      <c r="B126" s="3" t="s">
        <v>5872</v>
      </c>
      <c r="C126" s="3" t="s">
        <v>5873</v>
      </c>
      <c r="G126" s="9" t="s">
        <v>8729</v>
      </c>
      <c r="H126" s="9"/>
      <c r="I126" s="9"/>
      <c r="J126" s="9"/>
      <c r="K126" s="9"/>
      <c r="L126" s="9"/>
      <c r="M126" s="9"/>
      <c r="N126" s="10"/>
      <c r="O126" s="9"/>
      <c r="P126" s="9"/>
      <c r="Q126" s="9">
        <v>198</v>
      </c>
      <c r="R126" s="9">
        <v>5</v>
      </c>
      <c r="S126" s="9">
        <v>203</v>
      </c>
      <c r="T126" s="14">
        <f t="shared" si="3"/>
        <v>0.64324400818206373</v>
      </c>
      <c r="U126" s="14">
        <f t="shared" si="4"/>
        <v>26.115706732191789</v>
      </c>
      <c r="V126" s="14">
        <f t="shared" si="5"/>
        <v>25.472462724009727</v>
      </c>
      <c r="W126" s="9"/>
      <c r="X126" s="9"/>
      <c r="Y126" s="9"/>
      <c r="Z126" s="9"/>
      <c r="AA126" s="9"/>
      <c r="AB126" s="9"/>
      <c r="AC126" s="9"/>
      <c r="AD126" s="9"/>
      <c r="AE126" s="9"/>
      <c r="AF126" s="9"/>
    </row>
    <row r="127" spans="1:32" ht="29">
      <c r="A127" s="3" t="s">
        <v>1026</v>
      </c>
      <c r="B127" s="3" t="s">
        <v>5877</v>
      </c>
      <c r="C127" s="3" t="s">
        <v>5878</v>
      </c>
      <c r="G127" s="9" t="s">
        <v>8729</v>
      </c>
      <c r="H127" s="9"/>
      <c r="I127" s="9"/>
      <c r="J127" s="9"/>
      <c r="K127" s="9"/>
      <c r="L127" s="9"/>
      <c r="M127" s="9"/>
      <c r="N127" s="10"/>
      <c r="O127" s="9"/>
      <c r="P127" s="9"/>
      <c r="Q127" s="9">
        <v>10686</v>
      </c>
      <c r="R127" s="9">
        <v>243</v>
      </c>
      <c r="S127" s="9">
        <v>10929</v>
      </c>
      <c r="T127" s="14">
        <f t="shared" si="3"/>
        <v>31.261658797648302</v>
      </c>
      <c r="U127" s="14">
        <f t="shared" si="4"/>
        <v>1406.0027530843549</v>
      </c>
      <c r="V127" s="14">
        <f t="shared" si="5"/>
        <v>1374.7410942867066</v>
      </c>
      <c r="W127" s="9"/>
      <c r="X127" s="9"/>
      <c r="Y127" s="9"/>
      <c r="Z127" s="9"/>
      <c r="AA127" s="9"/>
      <c r="AB127" s="9"/>
      <c r="AC127" s="9"/>
      <c r="AD127" s="9"/>
      <c r="AE127" s="9"/>
      <c r="AF127" s="9"/>
    </row>
    <row r="128" spans="1:32" ht="58">
      <c r="A128" s="3" t="s">
        <v>1026</v>
      </c>
      <c r="B128" s="3" t="s">
        <v>5879</v>
      </c>
      <c r="C128" s="3" t="s">
        <v>5880</v>
      </c>
      <c r="G128" s="9" t="s">
        <v>8729</v>
      </c>
      <c r="H128" s="9"/>
      <c r="I128" s="9"/>
      <c r="J128" s="9"/>
      <c r="K128" s="9"/>
      <c r="L128" s="9"/>
      <c r="M128" s="9"/>
      <c r="N128" s="10"/>
      <c r="O128" s="9"/>
      <c r="P128" s="9"/>
      <c r="Q128" s="9">
        <v>1511</v>
      </c>
      <c r="R128" s="9">
        <v>9418</v>
      </c>
      <c r="S128" s="9">
        <v>10929</v>
      </c>
      <c r="T128" s="14">
        <f t="shared" si="3"/>
        <v>1211.6144138117354</v>
      </c>
      <c r="U128" s="14">
        <f t="shared" si="4"/>
        <v>1406.0027530843549</v>
      </c>
      <c r="V128" s="14">
        <f t="shared" si="5"/>
        <v>194.38833927261953</v>
      </c>
      <c r="W128" s="9"/>
      <c r="X128" s="9"/>
      <c r="Y128" s="9"/>
      <c r="Z128" s="9"/>
      <c r="AA128" s="9"/>
      <c r="AB128" s="9"/>
      <c r="AC128" s="9"/>
      <c r="AD128" s="9"/>
      <c r="AE128" s="9"/>
      <c r="AF128" s="9"/>
    </row>
    <row r="129" spans="1:32" ht="29">
      <c r="A129" s="3" t="s">
        <v>1029</v>
      </c>
      <c r="B129" s="3" t="s">
        <v>3257</v>
      </c>
      <c r="C129" s="3" t="s">
        <v>3258</v>
      </c>
      <c r="G129" s="9" t="s">
        <v>8729</v>
      </c>
      <c r="H129" s="9"/>
      <c r="I129" s="9"/>
      <c r="J129" s="9"/>
      <c r="K129" s="9"/>
      <c r="L129" s="9"/>
      <c r="M129" s="9"/>
      <c r="N129" s="10"/>
      <c r="O129" s="9"/>
      <c r="P129" s="9"/>
      <c r="Q129" s="9">
        <v>-1</v>
      </c>
      <c r="R129" s="9">
        <v>1</v>
      </c>
      <c r="S129" s="9">
        <v>0</v>
      </c>
      <c r="T129" s="14">
        <f t="shared" si="3"/>
        <v>0.12864880163641276</v>
      </c>
      <c r="U129" s="14">
        <f t="shared" si="4"/>
        <v>0</v>
      </c>
      <c r="V129" s="14">
        <f t="shared" si="5"/>
        <v>-0.12864880163641276</v>
      </c>
      <c r="W129" s="9"/>
      <c r="X129" s="9"/>
      <c r="Y129" s="9"/>
      <c r="Z129" s="9"/>
      <c r="AA129" s="9"/>
      <c r="AB129" s="9"/>
      <c r="AC129" s="9"/>
      <c r="AD129" s="9"/>
      <c r="AE129" s="9"/>
      <c r="AF129" s="9"/>
    </row>
    <row r="130" spans="1:32" ht="43.5">
      <c r="A130" s="3" t="s">
        <v>1048</v>
      </c>
      <c r="B130" s="3" t="s">
        <v>5925</v>
      </c>
      <c r="C130" s="3" t="s">
        <v>5926</v>
      </c>
      <c r="G130" s="9" t="s">
        <v>8729</v>
      </c>
      <c r="H130" s="9"/>
      <c r="I130" s="9"/>
      <c r="J130" s="9"/>
      <c r="K130" s="9"/>
      <c r="L130" s="9"/>
      <c r="M130" s="9"/>
      <c r="N130" s="10"/>
      <c r="O130" s="9"/>
      <c r="P130" s="9"/>
      <c r="Q130" s="9">
        <v>10276</v>
      </c>
      <c r="R130" s="9">
        <v>653</v>
      </c>
      <c r="S130" s="9">
        <v>10929</v>
      </c>
      <c r="T130" s="14">
        <f t="shared" si="3"/>
        <v>84.007667468577537</v>
      </c>
      <c r="U130" s="14">
        <f t="shared" si="4"/>
        <v>1406.0027530843549</v>
      </c>
      <c r="V130" s="14">
        <f t="shared" si="5"/>
        <v>1321.9950856157775</v>
      </c>
      <c r="W130" s="9" t="s">
        <v>8728</v>
      </c>
      <c r="X130" s="9"/>
      <c r="Y130" s="9"/>
      <c r="Z130" s="9"/>
      <c r="AA130" s="9"/>
      <c r="AB130" s="9"/>
      <c r="AC130" s="9"/>
      <c r="AD130" s="9"/>
      <c r="AE130" s="9"/>
      <c r="AF130" s="9"/>
    </row>
    <row r="131" spans="1:32" ht="43.5">
      <c r="A131" s="3" t="s">
        <v>1060</v>
      </c>
      <c r="B131" s="3" t="s">
        <v>5966</v>
      </c>
      <c r="C131" s="3" t="s">
        <v>5967</v>
      </c>
      <c r="G131" s="9" t="s">
        <v>8729</v>
      </c>
      <c r="H131" s="9"/>
      <c r="I131" s="9"/>
      <c r="J131" s="9"/>
      <c r="K131" s="9"/>
      <c r="L131" s="9"/>
      <c r="M131" s="9"/>
      <c r="N131" s="10"/>
      <c r="O131" s="9"/>
      <c r="P131" s="9"/>
      <c r="Q131" s="9">
        <v>-46</v>
      </c>
      <c r="R131" s="9">
        <v>206</v>
      </c>
      <c r="S131" s="9">
        <v>160</v>
      </c>
      <c r="T131" s="14">
        <f t="shared" ref="T131:T194" si="6">IF(ISNUMBER(R131), (R131/$E$237)*10000, "")</f>
        <v>26.50165313710103</v>
      </c>
      <c r="U131" s="14">
        <f t="shared" ref="U131:U194" si="7">IF(ISNUMBER(S131), (S131/$E$237)*10000, "")</f>
        <v>20.583808261826039</v>
      </c>
      <c r="V131" s="14">
        <f t="shared" ref="V131:V194" si="8">IF(ISNUMBER(Q131), U131-T131, "")</f>
        <v>-5.9178448752749908</v>
      </c>
      <c r="W131" s="9"/>
      <c r="X131" s="9"/>
      <c r="Y131" s="9"/>
      <c r="Z131" s="9"/>
      <c r="AA131" s="9"/>
      <c r="AB131" s="9"/>
      <c r="AC131" s="9"/>
      <c r="AD131" s="9"/>
      <c r="AE131" s="9"/>
      <c r="AF131" s="9"/>
    </row>
    <row r="132" spans="1:32" ht="43.5">
      <c r="A132" s="3" t="s">
        <v>1070</v>
      </c>
      <c r="B132" s="4" t="s">
        <v>5987</v>
      </c>
      <c r="C132" s="3" t="s">
        <v>5988</v>
      </c>
      <c r="D132" t="s">
        <v>4196</v>
      </c>
      <c r="G132" s="9" t="s">
        <v>8729</v>
      </c>
      <c r="H132" s="9"/>
      <c r="I132" s="9"/>
      <c r="J132" s="9"/>
      <c r="K132" s="9"/>
      <c r="L132" s="9"/>
      <c r="M132" s="9"/>
      <c r="N132" s="10"/>
      <c r="O132" s="9"/>
      <c r="P132" s="9"/>
      <c r="Q132" s="9">
        <v>10409</v>
      </c>
      <c r="R132" s="9">
        <v>520</v>
      </c>
      <c r="S132" s="9">
        <v>10929</v>
      </c>
      <c r="T132" s="14">
        <f t="shared" si="6"/>
        <v>66.897376850934634</v>
      </c>
      <c r="U132" s="14">
        <f t="shared" si="7"/>
        <v>1406.0027530843549</v>
      </c>
      <c r="V132" s="14">
        <f t="shared" si="8"/>
        <v>1339.1053762334202</v>
      </c>
      <c r="W132" s="9"/>
      <c r="X132" s="9"/>
      <c r="Y132" s="9"/>
      <c r="Z132" s="9"/>
      <c r="AA132" s="9"/>
      <c r="AB132" s="9"/>
      <c r="AC132" s="9"/>
      <c r="AD132" s="9"/>
      <c r="AE132" s="9"/>
      <c r="AF132" s="9"/>
    </row>
    <row r="133" spans="1:32" ht="43.5">
      <c r="A133" s="3" t="s">
        <v>1084</v>
      </c>
      <c r="B133" s="3" t="s">
        <v>6019</v>
      </c>
      <c r="C133" s="3" t="s">
        <v>6020</v>
      </c>
      <c r="G133" s="9" t="s">
        <v>8729</v>
      </c>
      <c r="H133" s="9"/>
      <c r="I133" s="9"/>
      <c r="J133" s="9"/>
      <c r="K133" s="9"/>
      <c r="L133" s="9"/>
      <c r="M133" s="9"/>
      <c r="N133" s="10"/>
      <c r="O133" s="9"/>
      <c r="P133" s="9"/>
      <c r="Q133" s="9">
        <v>79</v>
      </c>
      <c r="R133" s="9">
        <v>5</v>
      </c>
      <c r="S133" s="9">
        <v>84</v>
      </c>
      <c r="T133" s="14">
        <f t="shared" si="6"/>
        <v>0.64324400818206373</v>
      </c>
      <c r="U133" s="14">
        <f t="shared" si="7"/>
        <v>10.806499337458673</v>
      </c>
      <c r="V133" s="14">
        <f t="shared" si="8"/>
        <v>10.163255329276609</v>
      </c>
      <c r="W133" s="9"/>
      <c r="X133" s="9"/>
      <c r="Y133" s="9"/>
      <c r="Z133" s="9"/>
      <c r="AA133" s="9"/>
      <c r="AB133" s="9"/>
      <c r="AC133" s="9"/>
      <c r="AD133" s="9"/>
      <c r="AE133" s="9"/>
      <c r="AF133" s="9"/>
    </row>
    <row r="134" spans="1:32" ht="43.5">
      <c r="A134" s="3" t="s">
        <v>1091</v>
      </c>
      <c r="B134" s="3" t="s">
        <v>6063</v>
      </c>
      <c r="C134" s="3" t="s">
        <v>9639</v>
      </c>
      <c r="G134" s="9" t="s">
        <v>8729</v>
      </c>
      <c r="H134" s="9"/>
      <c r="I134" s="9"/>
      <c r="J134" s="9"/>
      <c r="K134" s="9"/>
      <c r="L134" s="9"/>
      <c r="M134" s="9"/>
      <c r="N134" s="10"/>
      <c r="O134" s="9"/>
      <c r="P134" s="9"/>
      <c r="Q134" s="9">
        <v>-1443</v>
      </c>
      <c r="R134" s="9">
        <v>1443</v>
      </c>
      <c r="S134" s="9">
        <v>0</v>
      </c>
      <c r="T134" s="14">
        <f t="shared" si="6"/>
        <v>185.64022076134361</v>
      </c>
      <c r="U134" s="14">
        <f t="shared" si="7"/>
        <v>0</v>
      </c>
      <c r="V134" s="14">
        <f t="shared" si="8"/>
        <v>-185.64022076134361</v>
      </c>
      <c r="W134" s="9"/>
      <c r="X134" s="9"/>
      <c r="Y134" s="9"/>
      <c r="Z134" s="9"/>
      <c r="AA134" s="9"/>
      <c r="AB134" s="9"/>
      <c r="AC134" s="9"/>
      <c r="AD134" s="9"/>
      <c r="AE134" s="9"/>
      <c r="AF134" s="9"/>
    </row>
    <row r="135" spans="1:32" ht="43.5">
      <c r="A135" s="3" t="s">
        <v>1098</v>
      </c>
      <c r="B135" s="3" t="s">
        <v>6078</v>
      </c>
      <c r="C135" s="3" t="s">
        <v>6079</v>
      </c>
      <c r="F135" t="s">
        <v>3884</v>
      </c>
      <c r="G135" s="9" t="s">
        <v>8729</v>
      </c>
      <c r="H135" s="9"/>
      <c r="I135" s="9"/>
      <c r="J135" s="9"/>
      <c r="K135" s="9"/>
      <c r="L135" s="9"/>
      <c r="M135" s="9"/>
      <c r="N135" s="10"/>
      <c r="O135" s="9"/>
      <c r="P135" s="9"/>
      <c r="Q135" s="9">
        <v>-134</v>
      </c>
      <c r="R135" s="9">
        <v>203</v>
      </c>
      <c r="S135" s="9">
        <v>69</v>
      </c>
      <c r="T135" s="14">
        <f t="shared" si="6"/>
        <v>26.115706732191789</v>
      </c>
      <c r="U135" s="14">
        <f t="shared" si="7"/>
        <v>8.8767673129124809</v>
      </c>
      <c r="V135" s="14">
        <f t="shared" si="8"/>
        <v>-17.238939419279308</v>
      </c>
      <c r="W135" s="9"/>
      <c r="X135" s="9"/>
      <c r="Y135" s="9"/>
      <c r="Z135" s="9"/>
      <c r="AA135" s="9"/>
      <c r="AB135" s="9"/>
      <c r="AC135" s="9"/>
      <c r="AD135" s="9"/>
      <c r="AE135" s="9"/>
      <c r="AF135" s="9"/>
    </row>
    <row r="136" spans="1:32" ht="43.5">
      <c r="A136" s="3" t="s">
        <v>1101</v>
      </c>
      <c r="B136" s="3" t="s">
        <v>6084</v>
      </c>
      <c r="C136" s="3" t="s">
        <v>6085</v>
      </c>
      <c r="G136" s="9" t="s">
        <v>8729</v>
      </c>
      <c r="H136" s="9"/>
      <c r="I136" s="9"/>
      <c r="J136" s="9"/>
      <c r="K136" s="9"/>
      <c r="L136" s="9"/>
      <c r="M136" s="9"/>
      <c r="N136" s="10"/>
      <c r="O136" s="9"/>
      <c r="P136" s="9"/>
      <c r="Q136" s="9">
        <v>150</v>
      </c>
      <c r="R136" s="9">
        <v>15</v>
      </c>
      <c r="S136" s="9">
        <v>165</v>
      </c>
      <c r="T136" s="14">
        <f t="shared" si="6"/>
        <v>1.9297320245461913</v>
      </c>
      <c r="U136" s="14">
        <f t="shared" si="7"/>
        <v>21.227052270008105</v>
      </c>
      <c r="V136" s="14">
        <f t="shared" si="8"/>
        <v>19.297320245461915</v>
      </c>
      <c r="W136" s="9"/>
      <c r="X136" s="9"/>
      <c r="Y136" s="9"/>
      <c r="Z136" s="9"/>
      <c r="AA136" s="9"/>
      <c r="AB136" s="9"/>
      <c r="AC136" s="9"/>
      <c r="AD136" s="9"/>
      <c r="AE136" s="9"/>
      <c r="AF136" s="9"/>
    </row>
    <row r="137" spans="1:32" ht="72.5">
      <c r="A137" s="3" t="s">
        <v>1105</v>
      </c>
      <c r="B137" s="3" t="s">
        <v>6093</v>
      </c>
      <c r="C137" s="4" t="s">
        <v>6092</v>
      </c>
      <c r="D137" t="s">
        <v>4197</v>
      </c>
      <c r="G137" s="9" t="s">
        <v>8729</v>
      </c>
      <c r="H137" s="9"/>
      <c r="I137" s="9"/>
      <c r="J137" s="9"/>
      <c r="K137" s="9"/>
      <c r="L137" s="9"/>
      <c r="M137" s="9"/>
      <c r="N137" s="10"/>
      <c r="O137" s="9"/>
      <c r="P137" s="9"/>
      <c r="Q137" s="9">
        <v>-2193</v>
      </c>
      <c r="R137" s="9">
        <v>3678</v>
      </c>
      <c r="S137" s="9">
        <v>1485</v>
      </c>
      <c r="T137" s="14">
        <f t="shared" si="6"/>
        <v>473.17029241872609</v>
      </c>
      <c r="U137" s="14">
        <f t="shared" si="7"/>
        <v>191.04347043007292</v>
      </c>
      <c r="V137" s="14">
        <f t="shared" si="8"/>
        <v>-282.12682198865321</v>
      </c>
      <c r="W137" s="9"/>
      <c r="X137" s="9"/>
      <c r="Y137" s="9"/>
      <c r="Z137" s="9"/>
      <c r="AA137" s="9"/>
      <c r="AB137" s="9"/>
      <c r="AC137" s="9"/>
      <c r="AD137" s="9"/>
      <c r="AE137" s="9"/>
      <c r="AF137" s="9"/>
    </row>
    <row r="138" spans="1:32" ht="58">
      <c r="A138" s="3" t="s">
        <v>1108</v>
      </c>
      <c r="B138" s="3" t="s">
        <v>6105</v>
      </c>
      <c r="C138" s="3" t="s">
        <v>6106</v>
      </c>
      <c r="F138" t="s">
        <v>3884</v>
      </c>
      <c r="G138" s="9" t="s">
        <v>8729</v>
      </c>
      <c r="H138" s="9"/>
      <c r="I138" s="9"/>
      <c r="J138" s="9"/>
      <c r="K138" s="9"/>
      <c r="L138" s="9"/>
      <c r="M138" s="9"/>
      <c r="N138" s="10"/>
      <c r="O138" s="9"/>
      <c r="P138" s="9"/>
      <c r="Q138" s="9">
        <v>264</v>
      </c>
      <c r="R138" s="9">
        <v>76</v>
      </c>
      <c r="S138" s="9">
        <v>340</v>
      </c>
      <c r="T138" s="14">
        <f t="shared" si="6"/>
        <v>9.7773089243673699</v>
      </c>
      <c r="U138" s="14">
        <f t="shared" si="7"/>
        <v>43.740592556380335</v>
      </c>
      <c r="V138" s="14">
        <f t="shared" si="8"/>
        <v>33.963283632012967</v>
      </c>
      <c r="W138" s="9"/>
      <c r="X138" s="9"/>
      <c r="Y138" s="9"/>
      <c r="Z138" s="9"/>
      <c r="AA138" s="9"/>
      <c r="AB138" s="9"/>
      <c r="AC138" s="9"/>
      <c r="AD138" s="9"/>
      <c r="AE138" s="9"/>
      <c r="AF138" s="9"/>
    </row>
    <row r="139" spans="1:32" ht="43.5">
      <c r="A139" s="3" t="s">
        <v>1109</v>
      </c>
      <c r="B139" s="3" t="s">
        <v>6109</v>
      </c>
      <c r="C139" s="3" t="s">
        <v>6110</v>
      </c>
      <c r="F139" t="s">
        <v>3884</v>
      </c>
      <c r="G139" s="9" t="s">
        <v>8729</v>
      </c>
      <c r="H139" s="9"/>
      <c r="I139" s="9"/>
      <c r="J139" s="9"/>
      <c r="K139" s="9"/>
      <c r="L139" s="9"/>
      <c r="M139" s="9"/>
      <c r="N139" s="10"/>
      <c r="O139" s="9"/>
      <c r="P139" s="9"/>
      <c r="Q139" s="9">
        <v>-575</v>
      </c>
      <c r="R139" s="9">
        <v>653</v>
      </c>
      <c r="S139" s="9">
        <v>78</v>
      </c>
      <c r="T139" s="14">
        <f t="shared" si="6"/>
        <v>84.007667468577537</v>
      </c>
      <c r="U139" s="14">
        <f t="shared" si="7"/>
        <v>10.034606527640195</v>
      </c>
      <c r="V139" s="14">
        <f t="shared" si="8"/>
        <v>-73.973060940937344</v>
      </c>
      <c r="W139" s="9"/>
      <c r="X139" s="9"/>
      <c r="Y139" s="9"/>
      <c r="Z139" s="9"/>
      <c r="AA139" s="9"/>
      <c r="AB139" s="9"/>
      <c r="AC139" s="9"/>
      <c r="AD139" s="9"/>
      <c r="AE139" s="9"/>
      <c r="AF139" s="9"/>
    </row>
    <row r="140" spans="1:32" ht="29">
      <c r="A140" s="3" t="s">
        <v>1145</v>
      </c>
      <c r="B140" s="3" t="s">
        <v>6174</v>
      </c>
      <c r="C140" s="3" t="s">
        <v>6175</v>
      </c>
      <c r="G140" s="9" t="s">
        <v>8729</v>
      </c>
      <c r="H140" s="9"/>
      <c r="I140" s="9"/>
      <c r="J140" s="9"/>
      <c r="K140" s="9"/>
      <c r="L140" s="9"/>
      <c r="M140" s="9"/>
      <c r="N140" s="10"/>
      <c r="O140" s="9"/>
      <c r="P140" s="9"/>
      <c r="Q140" s="9">
        <v>18</v>
      </c>
      <c r="R140" s="9">
        <v>0</v>
      </c>
      <c r="S140" s="9">
        <v>18</v>
      </c>
      <c r="T140" s="14">
        <f t="shared" si="6"/>
        <v>0</v>
      </c>
      <c r="U140" s="14">
        <f t="shared" si="7"/>
        <v>2.3156784294554296</v>
      </c>
      <c r="V140" s="14">
        <f t="shared" si="8"/>
        <v>2.3156784294554296</v>
      </c>
      <c r="W140" s="9"/>
      <c r="X140" s="9"/>
      <c r="Y140" s="9"/>
      <c r="Z140" s="9"/>
      <c r="AA140" s="9"/>
      <c r="AB140" s="9"/>
      <c r="AC140" s="9"/>
      <c r="AD140" s="9"/>
      <c r="AE140" s="9"/>
      <c r="AF140" s="9"/>
    </row>
    <row r="141" spans="1:32" ht="43.5">
      <c r="A141" s="3" t="s">
        <v>1146</v>
      </c>
      <c r="B141" s="3" t="s">
        <v>6176</v>
      </c>
      <c r="C141" s="3" t="s">
        <v>6177</v>
      </c>
      <c r="F141" t="s">
        <v>3884</v>
      </c>
      <c r="G141" s="9" t="s">
        <v>8729</v>
      </c>
      <c r="H141" s="9"/>
      <c r="I141" s="9"/>
      <c r="J141" s="9"/>
      <c r="K141" s="9"/>
      <c r="L141" s="9"/>
      <c r="M141" s="9"/>
      <c r="N141" s="10"/>
      <c r="O141" s="9"/>
      <c r="P141" s="9"/>
      <c r="Q141" s="9">
        <v>-3599</v>
      </c>
      <c r="R141" s="9">
        <v>3678</v>
      </c>
      <c r="S141" s="9">
        <v>79</v>
      </c>
      <c r="T141" s="14">
        <f t="shared" si="6"/>
        <v>473.17029241872609</v>
      </c>
      <c r="U141" s="14">
        <f t="shared" si="7"/>
        <v>10.163255329276607</v>
      </c>
      <c r="V141" s="14">
        <f t="shared" si="8"/>
        <v>-463.00703708944951</v>
      </c>
      <c r="W141" s="9"/>
      <c r="X141" s="9"/>
      <c r="Y141" s="9"/>
      <c r="Z141" s="9"/>
      <c r="AA141" s="9"/>
      <c r="AB141" s="9"/>
      <c r="AC141" s="9"/>
      <c r="AD141" s="9"/>
      <c r="AE141" s="9"/>
      <c r="AF141" s="9"/>
    </row>
    <row r="142" spans="1:32" ht="58">
      <c r="A142" s="3" t="s">
        <v>1157</v>
      </c>
      <c r="B142" s="3" t="s">
        <v>6191</v>
      </c>
      <c r="C142" s="3" t="s">
        <v>6192</v>
      </c>
      <c r="G142" s="9" t="s">
        <v>8729</v>
      </c>
      <c r="H142" s="9"/>
      <c r="I142" s="9"/>
      <c r="J142" s="9"/>
      <c r="K142" s="9"/>
      <c r="L142" s="9"/>
      <c r="M142" s="9"/>
      <c r="N142" s="10"/>
      <c r="O142" s="9"/>
      <c r="P142" s="9"/>
      <c r="Q142" s="9">
        <v>-20</v>
      </c>
      <c r="R142" s="9">
        <v>36</v>
      </c>
      <c r="S142" s="9">
        <v>16</v>
      </c>
      <c r="T142" s="14">
        <f t="shared" si="6"/>
        <v>4.6313568589108591</v>
      </c>
      <c r="U142" s="14">
        <f t="shared" si="7"/>
        <v>2.0583808261826042</v>
      </c>
      <c r="V142" s="14">
        <f t="shared" si="8"/>
        <v>-2.5729760327282549</v>
      </c>
      <c r="W142" s="9"/>
      <c r="X142" s="9"/>
      <c r="Y142" s="9"/>
      <c r="Z142" s="9"/>
      <c r="AA142" s="9"/>
      <c r="AB142" s="9"/>
      <c r="AC142" s="9"/>
      <c r="AD142" s="9"/>
      <c r="AE142" s="9"/>
      <c r="AF142" s="9"/>
    </row>
    <row r="143" spans="1:32" ht="130.5">
      <c r="A143" s="3" t="s">
        <v>1172</v>
      </c>
      <c r="B143" s="3" t="s">
        <v>6223</v>
      </c>
      <c r="C143" s="3" t="s">
        <v>6224</v>
      </c>
      <c r="F143" t="s">
        <v>3884</v>
      </c>
      <c r="G143" s="9" t="s">
        <v>8729</v>
      </c>
      <c r="H143" s="9"/>
      <c r="I143" s="9"/>
      <c r="J143" s="9"/>
      <c r="K143" s="9"/>
      <c r="L143" s="9"/>
      <c r="M143" s="9"/>
      <c r="N143" s="10"/>
      <c r="O143" s="9" t="s">
        <v>8691</v>
      </c>
      <c r="P143" s="9"/>
      <c r="Q143" s="9">
        <v>15</v>
      </c>
      <c r="R143" s="9">
        <v>12</v>
      </c>
      <c r="S143" s="9">
        <v>27</v>
      </c>
      <c r="T143" s="14">
        <f t="shared" si="6"/>
        <v>1.543785619636953</v>
      </c>
      <c r="U143" s="14">
        <f t="shared" si="7"/>
        <v>3.4735176441831443</v>
      </c>
      <c r="V143" s="14">
        <f t="shared" si="8"/>
        <v>1.9297320245461913</v>
      </c>
      <c r="W143" s="9"/>
      <c r="X143" s="9"/>
      <c r="Y143" s="9"/>
      <c r="Z143" s="9"/>
      <c r="AA143" s="9"/>
      <c r="AB143" s="9"/>
      <c r="AC143" s="9"/>
      <c r="AD143" s="9"/>
      <c r="AE143" s="9"/>
      <c r="AF143" s="9"/>
    </row>
    <row r="144" spans="1:32" ht="43.5">
      <c r="A144" s="3" t="s">
        <v>1193</v>
      </c>
      <c r="B144" s="3" t="s">
        <v>6263</v>
      </c>
      <c r="C144" s="3" t="s">
        <v>6264</v>
      </c>
      <c r="G144" s="9" t="s">
        <v>8729</v>
      </c>
      <c r="H144" s="9"/>
      <c r="I144" s="9"/>
      <c r="J144" s="9"/>
      <c r="K144" s="9"/>
      <c r="L144" s="9"/>
      <c r="M144" s="9"/>
      <c r="N144" s="10"/>
      <c r="O144" s="9"/>
      <c r="P144" s="9"/>
      <c r="Q144" s="9">
        <v>32</v>
      </c>
      <c r="R144" s="9">
        <v>0</v>
      </c>
      <c r="S144" s="9">
        <v>32</v>
      </c>
      <c r="T144" s="14">
        <f t="shared" si="6"/>
        <v>0</v>
      </c>
      <c r="U144" s="14">
        <f t="shared" si="7"/>
        <v>4.1167616523652084</v>
      </c>
      <c r="V144" s="14">
        <f t="shared" si="8"/>
        <v>4.1167616523652084</v>
      </c>
      <c r="W144" s="9"/>
      <c r="X144" s="9"/>
      <c r="Y144" s="9"/>
      <c r="Z144" s="9"/>
      <c r="AA144" s="9"/>
      <c r="AB144" s="9"/>
      <c r="AC144" s="9"/>
      <c r="AD144" s="9"/>
      <c r="AE144" s="9"/>
      <c r="AF144" s="9"/>
    </row>
    <row r="145" spans="1:32" ht="58">
      <c r="A145" s="3" t="s">
        <v>1194</v>
      </c>
      <c r="B145" s="3" t="s">
        <v>6265</v>
      </c>
      <c r="C145" s="3" t="s">
        <v>6266</v>
      </c>
      <c r="G145" s="9" t="s">
        <v>8729</v>
      </c>
      <c r="H145" s="9"/>
      <c r="I145" s="9"/>
      <c r="J145" s="9"/>
      <c r="K145" s="9"/>
      <c r="L145" s="9"/>
      <c r="M145" s="9"/>
      <c r="N145" s="10"/>
      <c r="O145" s="9"/>
      <c r="P145" s="9"/>
      <c r="Q145" s="9">
        <v>26</v>
      </c>
      <c r="R145" s="9">
        <v>11</v>
      </c>
      <c r="S145" s="9">
        <v>37</v>
      </c>
      <c r="T145" s="14">
        <f t="shared" si="6"/>
        <v>1.4151368180005404</v>
      </c>
      <c r="U145" s="14">
        <f t="shared" si="7"/>
        <v>4.7600056605472716</v>
      </c>
      <c r="V145" s="14">
        <f t="shared" si="8"/>
        <v>3.344868842546731</v>
      </c>
      <c r="W145" s="9"/>
      <c r="X145" s="9"/>
      <c r="Y145" s="9"/>
      <c r="Z145" s="9"/>
      <c r="AA145" s="9"/>
      <c r="AB145" s="9"/>
      <c r="AC145" s="9"/>
      <c r="AD145" s="9"/>
      <c r="AE145" s="9"/>
      <c r="AF145" s="9"/>
    </row>
    <row r="146" spans="1:32" ht="145">
      <c r="A146" s="3" t="s">
        <v>1201</v>
      </c>
      <c r="B146" s="3" t="s">
        <v>6296</v>
      </c>
      <c r="C146" s="3" t="s">
        <v>6297</v>
      </c>
      <c r="F146" t="s">
        <v>3884</v>
      </c>
      <c r="G146" s="9" t="s">
        <v>8729</v>
      </c>
      <c r="H146" s="9"/>
      <c r="I146" s="9"/>
      <c r="J146" s="9"/>
      <c r="K146" s="9"/>
      <c r="L146" s="9"/>
      <c r="M146" s="9"/>
      <c r="N146" s="10"/>
      <c r="O146" s="9"/>
      <c r="P146" s="9"/>
      <c r="Q146" s="9">
        <v>-54</v>
      </c>
      <c r="R146" s="9">
        <v>74</v>
      </c>
      <c r="S146" s="9">
        <v>20</v>
      </c>
      <c r="T146" s="14">
        <f t="shared" si="6"/>
        <v>9.5200113210945432</v>
      </c>
      <c r="U146" s="14">
        <f t="shared" si="7"/>
        <v>2.5729760327282549</v>
      </c>
      <c r="V146" s="14">
        <f t="shared" si="8"/>
        <v>-6.9470352883662887</v>
      </c>
      <c r="W146" s="9"/>
      <c r="X146" s="9"/>
      <c r="Y146" s="9"/>
      <c r="Z146" s="9"/>
      <c r="AA146" s="9"/>
      <c r="AB146" s="9"/>
      <c r="AC146" s="9"/>
      <c r="AD146" s="9"/>
      <c r="AE146" s="9"/>
      <c r="AF146" s="9"/>
    </row>
    <row r="147" spans="1:32" ht="58">
      <c r="A147" s="3" t="s">
        <v>1229</v>
      </c>
      <c r="B147" s="3" t="s">
        <v>6365</v>
      </c>
      <c r="C147" s="3" t="s">
        <v>6366</v>
      </c>
      <c r="G147" s="9" t="s">
        <v>8729</v>
      </c>
      <c r="H147" s="9"/>
      <c r="I147" s="9"/>
      <c r="J147" s="9"/>
      <c r="K147" s="9"/>
      <c r="L147" s="9"/>
      <c r="M147" s="9"/>
      <c r="N147" s="10"/>
      <c r="O147" s="9"/>
      <c r="P147" s="9"/>
      <c r="Q147" s="9">
        <v>190</v>
      </c>
      <c r="R147" s="9">
        <v>329</v>
      </c>
      <c r="S147" s="9">
        <v>519</v>
      </c>
      <c r="T147" s="14">
        <f t="shared" si="6"/>
        <v>42.325455738379794</v>
      </c>
      <c r="U147" s="14">
        <f t="shared" si="7"/>
        <v>66.768728049298218</v>
      </c>
      <c r="V147" s="14">
        <f t="shared" si="8"/>
        <v>24.443272310918424</v>
      </c>
      <c r="W147" s="9"/>
      <c r="X147" s="9"/>
      <c r="Y147" s="9"/>
      <c r="Z147" s="9"/>
      <c r="AA147" s="9"/>
      <c r="AB147" s="9"/>
      <c r="AC147" s="9"/>
      <c r="AD147" s="9"/>
      <c r="AE147" s="9"/>
      <c r="AF147" s="9"/>
    </row>
    <row r="148" spans="1:32" ht="29">
      <c r="A148" s="3" t="s">
        <v>1230</v>
      </c>
      <c r="B148" s="3" t="s">
        <v>3407</v>
      </c>
      <c r="C148" s="3" t="s">
        <v>3408</v>
      </c>
      <c r="G148" s="9" t="s">
        <v>8729</v>
      </c>
      <c r="H148" s="9"/>
      <c r="I148" s="9"/>
      <c r="J148" s="9"/>
      <c r="K148" s="9"/>
      <c r="L148" s="9"/>
      <c r="M148" s="9"/>
      <c r="N148" s="10"/>
      <c r="O148" s="9"/>
      <c r="P148" s="9"/>
      <c r="Q148" s="9">
        <v>-15</v>
      </c>
      <c r="R148" s="9">
        <v>15</v>
      </c>
      <c r="S148" s="9">
        <v>0</v>
      </c>
      <c r="T148" s="14">
        <f t="shared" si="6"/>
        <v>1.9297320245461913</v>
      </c>
      <c r="U148" s="14">
        <f t="shared" si="7"/>
        <v>0</v>
      </c>
      <c r="V148" s="14">
        <f t="shared" si="8"/>
        <v>-1.9297320245461913</v>
      </c>
      <c r="W148" s="9" t="s">
        <v>8728</v>
      </c>
      <c r="X148" s="9"/>
      <c r="Y148" s="9"/>
      <c r="Z148" s="9"/>
      <c r="AA148" s="9"/>
      <c r="AB148" s="9"/>
      <c r="AC148" s="9"/>
      <c r="AD148" s="9"/>
      <c r="AE148" s="9"/>
      <c r="AF148" s="9"/>
    </row>
    <row r="149" spans="1:32">
      <c r="A149" s="3" t="s">
        <v>1247</v>
      </c>
      <c r="B149" s="3" t="s">
        <v>6417</v>
      </c>
      <c r="C149" s="3" t="s">
        <v>6418</v>
      </c>
      <c r="G149" s="9" t="s">
        <v>8729</v>
      </c>
      <c r="H149" s="9"/>
      <c r="I149" s="9"/>
      <c r="J149" s="9"/>
      <c r="K149" s="9"/>
      <c r="L149" s="9"/>
      <c r="M149" s="9"/>
      <c r="N149" s="10"/>
      <c r="O149" s="9"/>
      <c r="P149" s="9"/>
      <c r="Q149" s="9">
        <v>1070</v>
      </c>
      <c r="R149" s="9">
        <v>872</v>
      </c>
      <c r="S149" s="9">
        <v>1942</v>
      </c>
      <c r="T149" s="14">
        <f t="shared" si="6"/>
        <v>112.18175502695193</v>
      </c>
      <c r="U149" s="14">
        <f t="shared" si="7"/>
        <v>249.83597277791355</v>
      </c>
      <c r="V149" s="14">
        <f t="shared" si="8"/>
        <v>137.65421775096161</v>
      </c>
      <c r="W149" s="9"/>
      <c r="X149" s="9"/>
      <c r="Y149" s="9"/>
      <c r="Z149" s="9"/>
      <c r="AA149" s="9"/>
      <c r="AB149" s="9"/>
      <c r="AC149" s="9"/>
      <c r="AD149" s="9"/>
      <c r="AE149" s="9"/>
      <c r="AF149" s="9"/>
    </row>
    <row r="150" spans="1:32" ht="29">
      <c r="A150" s="3" t="s">
        <v>1254</v>
      </c>
      <c r="B150" s="3" t="s">
        <v>6434</v>
      </c>
      <c r="C150" s="3" t="s">
        <v>6435</v>
      </c>
      <c r="G150" s="9" t="s">
        <v>8729</v>
      </c>
      <c r="H150" s="9"/>
      <c r="I150" s="9"/>
      <c r="J150" s="9"/>
      <c r="K150" s="9"/>
      <c r="L150" s="9"/>
      <c r="M150" s="9"/>
      <c r="N150" s="10"/>
      <c r="O150" s="9"/>
      <c r="P150" s="9"/>
      <c r="Q150" s="9">
        <v>-1</v>
      </c>
      <c r="R150" s="9">
        <v>1</v>
      </c>
      <c r="S150" s="9">
        <v>0</v>
      </c>
      <c r="T150" s="14">
        <f t="shared" si="6"/>
        <v>0.12864880163641276</v>
      </c>
      <c r="U150" s="14">
        <f t="shared" si="7"/>
        <v>0</v>
      </c>
      <c r="V150" s="14">
        <f t="shared" si="8"/>
        <v>-0.12864880163641276</v>
      </c>
      <c r="W150" s="9"/>
      <c r="X150" s="9"/>
      <c r="Y150" s="9"/>
      <c r="Z150" s="9"/>
      <c r="AA150" s="9"/>
      <c r="AB150" s="9"/>
      <c r="AC150" s="9"/>
      <c r="AD150" s="9"/>
      <c r="AE150" s="9"/>
      <c r="AF150" s="9"/>
    </row>
    <row r="151" spans="1:32" ht="43.5">
      <c r="A151" s="3" t="s">
        <v>1255</v>
      </c>
      <c r="B151" s="3" t="s">
        <v>9521</v>
      </c>
      <c r="C151" s="3" t="s">
        <v>6437</v>
      </c>
      <c r="F151" t="s">
        <v>3884</v>
      </c>
      <c r="G151" s="9" t="s">
        <v>8729</v>
      </c>
      <c r="H151" s="9"/>
      <c r="I151" s="9"/>
      <c r="J151" s="9"/>
      <c r="K151" s="9"/>
      <c r="L151" s="9"/>
      <c r="M151" s="9"/>
      <c r="N151" s="10"/>
      <c r="O151" s="9"/>
      <c r="P151" s="9"/>
      <c r="Q151" s="9">
        <v>-10928</v>
      </c>
      <c r="R151" s="9">
        <v>10929</v>
      </c>
      <c r="S151" s="9">
        <v>1</v>
      </c>
      <c r="T151" s="14">
        <f t="shared" si="6"/>
        <v>1406.0027530843549</v>
      </c>
      <c r="U151" s="14">
        <f t="shared" si="7"/>
        <v>0.12864880163641276</v>
      </c>
      <c r="V151" s="14">
        <f t="shared" si="8"/>
        <v>-1405.8741042827185</v>
      </c>
      <c r="W151" s="9"/>
      <c r="X151" s="9"/>
      <c r="Y151" s="9"/>
      <c r="Z151" s="9"/>
      <c r="AA151" s="9"/>
      <c r="AB151" s="9"/>
      <c r="AC151" s="9"/>
      <c r="AD151" s="9"/>
      <c r="AE151" s="9"/>
      <c r="AF151" s="9"/>
    </row>
    <row r="152" spans="1:32" ht="72.5">
      <c r="A152" s="3" t="s">
        <v>1255</v>
      </c>
      <c r="B152" s="3" t="s">
        <v>6443</v>
      </c>
      <c r="C152" s="3" t="s">
        <v>6444</v>
      </c>
      <c r="G152" s="9" t="s">
        <v>8729</v>
      </c>
      <c r="H152" s="9"/>
      <c r="I152" s="9"/>
      <c r="J152" s="9"/>
      <c r="K152" s="9"/>
      <c r="L152" s="9"/>
      <c r="M152" s="9"/>
      <c r="N152" s="10"/>
      <c r="O152" s="9"/>
      <c r="P152" s="9"/>
      <c r="Q152" s="9">
        <v>-3599</v>
      </c>
      <c r="R152" s="9">
        <v>3678</v>
      </c>
      <c r="S152" s="9">
        <v>79</v>
      </c>
      <c r="T152" s="14">
        <f t="shared" si="6"/>
        <v>473.17029241872609</v>
      </c>
      <c r="U152" s="14">
        <f t="shared" si="7"/>
        <v>10.163255329276607</v>
      </c>
      <c r="V152" s="14">
        <f t="shared" si="8"/>
        <v>-463.00703708944951</v>
      </c>
      <c r="W152" s="9"/>
      <c r="X152" s="9"/>
      <c r="Y152" s="9"/>
      <c r="Z152" s="9"/>
      <c r="AA152" s="9"/>
      <c r="AB152" s="9"/>
      <c r="AC152" s="9"/>
      <c r="AD152" s="9"/>
      <c r="AE152" s="9"/>
      <c r="AF152" s="9"/>
    </row>
    <row r="153" spans="1:32" ht="58">
      <c r="A153" s="3" t="s">
        <v>1262</v>
      </c>
      <c r="B153" s="3" t="s">
        <v>6473</v>
      </c>
      <c r="C153" s="3" t="s">
        <v>6474</v>
      </c>
      <c r="G153" s="9" t="s">
        <v>8729</v>
      </c>
      <c r="H153" s="9"/>
      <c r="I153" s="9"/>
      <c r="J153" s="9"/>
      <c r="K153" s="9"/>
      <c r="L153" s="9"/>
      <c r="M153" s="9"/>
      <c r="N153" s="10"/>
      <c r="O153" s="9"/>
      <c r="P153" s="9"/>
      <c r="Q153" s="9">
        <v>0</v>
      </c>
      <c r="R153" s="9">
        <v>3678</v>
      </c>
      <c r="S153" s="9">
        <v>3678</v>
      </c>
      <c r="T153" s="14">
        <f t="shared" si="6"/>
        <v>473.17029241872609</v>
      </c>
      <c r="U153" s="14">
        <f t="shared" si="7"/>
        <v>473.17029241872609</v>
      </c>
      <c r="V153" s="14">
        <f t="shared" si="8"/>
        <v>0</v>
      </c>
      <c r="W153" s="9"/>
      <c r="X153" s="9"/>
      <c r="Y153" s="9"/>
      <c r="Z153" s="9"/>
      <c r="AA153" s="9"/>
      <c r="AB153" s="9"/>
      <c r="AC153" s="9"/>
      <c r="AD153" s="9"/>
      <c r="AE153" s="9"/>
      <c r="AF153" s="9"/>
    </row>
    <row r="154" spans="1:32" ht="43.5">
      <c r="A154" s="3" t="s">
        <v>1277</v>
      </c>
      <c r="B154" s="3" t="s">
        <v>6500</v>
      </c>
      <c r="C154" s="3" t="s">
        <v>6501</v>
      </c>
      <c r="F154" t="s">
        <v>3892</v>
      </c>
      <c r="G154" s="9" t="s">
        <v>8729</v>
      </c>
      <c r="H154" s="9"/>
      <c r="I154" s="9"/>
      <c r="J154" s="9"/>
      <c r="K154" s="9"/>
      <c r="L154" s="9"/>
      <c r="M154" s="9"/>
      <c r="N154" s="10"/>
      <c r="O154" s="9"/>
      <c r="P154" s="9"/>
      <c r="Q154" s="9">
        <v>312</v>
      </c>
      <c r="R154" s="9">
        <v>17</v>
      </c>
      <c r="S154" s="9">
        <v>329</v>
      </c>
      <c r="T154" s="14">
        <f t="shared" si="6"/>
        <v>2.1870296278190167</v>
      </c>
      <c r="U154" s="14">
        <f t="shared" si="7"/>
        <v>42.325455738379794</v>
      </c>
      <c r="V154" s="14">
        <f t="shared" si="8"/>
        <v>40.138426110560779</v>
      </c>
      <c r="W154" s="9"/>
      <c r="X154" s="9"/>
      <c r="Y154" s="9"/>
      <c r="Z154" s="9"/>
      <c r="AA154" s="9"/>
      <c r="AB154" s="9"/>
      <c r="AC154" s="9"/>
      <c r="AD154" s="9"/>
      <c r="AE154" s="9"/>
      <c r="AF154" s="9"/>
    </row>
    <row r="155" spans="1:32" ht="58">
      <c r="A155" s="3" t="s">
        <v>1326</v>
      </c>
      <c r="B155" s="3" t="s">
        <v>6640</v>
      </c>
      <c r="C155" s="3" t="s">
        <v>6641</v>
      </c>
      <c r="G155" s="9" t="s">
        <v>8729</v>
      </c>
      <c r="H155" s="9"/>
      <c r="I155" s="9"/>
      <c r="J155" s="9"/>
      <c r="K155" s="9"/>
      <c r="L155" s="9"/>
      <c r="M155" s="9"/>
      <c r="N155" s="10"/>
      <c r="O155" s="9" t="s">
        <v>8685</v>
      </c>
      <c r="P155" s="9"/>
      <c r="Q155" s="9">
        <v>10409</v>
      </c>
      <c r="R155" s="9">
        <v>520</v>
      </c>
      <c r="S155" s="9">
        <v>10929</v>
      </c>
      <c r="T155" s="14">
        <f t="shared" si="6"/>
        <v>66.897376850934634</v>
      </c>
      <c r="U155" s="14">
        <f t="shared" si="7"/>
        <v>1406.0027530843549</v>
      </c>
      <c r="V155" s="14">
        <f t="shared" si="8"/>
        <v>1339.1053762334202</v>
      </c>
      <c r="W155" s="9"/>
      <c r="X155" s="9"/>
      <c r="Y155" s="9"/>
      <c r="Z155" s="9"/>
      <c r="AA155" s="9"/>
      <c r="AB155" s="9"/>
      <c r="AC155" s="9"/>
      <c r="AD155" s="9"/>
      <c r="AE155" s="9"/>
      <c r="AF155" s="9"/>
    </row>
    <row r="156" spans="1:32" ht="43.5">
      <c r="A156" s="3" t="s">
        <v>1339</v>
      </c>
      <c r="B156" s="3" t="s">
        <v>6683</v>
      </c>
      <c r="C156" s="3" t="s">
        <v>5389</v>
      </c>
      <c r="F156" t="s">
        <v>3892</v>
      </c>
      <c r="G156" s="9" t="s">
        <v>8729</v>
      </c>
      <c r="H156" s="9"/>
      <c r="I156" s="9"/>
      <c r="J156" s="9"/>
      <c r="K156" s="9"/>
      <c r="L156" s="9"/>
      <c r="M156" s="9"/>
      <c r="N156" s="10"/>
      <c r="O156" s="9"/>
      <c r="P156" s="9"/>
      <c r="Q156" s="9">
        <v>4</v>
      </c>
      <c r="R156" s="9">
        <v>19</v>
      </c>
      <c r="S156" s="9">
        <v>23</v>
      </c>
      <c r="T156" s="14">
        <f t="shared" si="6"/>
        <v>2.4443272310918425</v>
      </c>
      <c r="U156" s="14">
        <f t="shared" si="7"/>
        <v>2.9589224376374932</v>
      </c>
      <c r="V156" s="14">
        <f t="shared" si="8"/>
        <v>0.51459520654565072</v>
      </c>
      <c r="W156" s="9"/>
      <c r="X156" s="9"/>
      <c r="Y156" s="9"/>
      <c r="Z156" s="9"/>
      <c r="AA156" s="9"/>
      <c r="AB156" s="9"/>
      <c r="AC156" s="9"/>
      <c r="AD156" s="9"/>
      <c r="AE156" s="9"/>
      <c r="AF156" s="9"/>
    </row>
    <row r="157" spans="1:32" ht="43.5">
      <c r="A157" s="3" t="s">
        <v>1344</v>
      </c>
      <c r="B157" s="3" t="s">
        <v>9113</v>
      </c>
      <c r="C157" s="3" t="s">
        <v>6695</v>
      </c>
      <c r="G157" s="9" t="s">
        <v>8729</v>
      </c>
      <c r="H157" s="9"/>
      <c r="I157" s="9"/>
      <c r="J157" s="9"/>
      <c r="K157" s="9"/>
      <c r="L157" s="9"/>
      <c r="M157" s="9"/>
      <c r="N157" s="10"/>
      <c r="O157" s="9"/>
      <c r="P157" s="9"/>
      <c r="Q157" s="9">
        <v>1484</v>
      </c>
      <c r="R157" s="9">
        <v>1</v>
      </c>
      <c r="S157" s="9">
        <v>1485</v>
      </c>
      <c r="T157" s="14">
        <f t="shared" si="6"/>
        <v>0.12864880163641276</v>
      </c>
      <c r="U157" s="14">
        <f t="shared" si="7"/>
        <v>191.04347043007292</v>
      </c>
      <c r="V157" s="14">
        <f t="shared" si="8"/>
        <v>190.9148216284365</v>
      </c>
      <c r="W157" s="9"/>
      <c r="X157" s="9"/>
      <c r="Y157" s="9"/>
      <c r="Z157" s="9"/>
      <c r="AA157" s="9"/>
      <c r="AB157" s="9"/>
      <c r="AC157" s="9"/>
      <c r="AD157" s="9"/>
      <c r="AE157" s="9"/>
      <c r="AF157" s="9"/>
    </row>
    <row r="158" spans="1:32" ht="43.5">
      <c r="A158" s="3" t="s">
        <v>1361</v>
      </c>
      <c r="B158" s="3" t="s">
        <v>6753</v>
      </c>
      <c r="C158" s="3" t="s">
        <v>6754</v>
      </c>
      <c r="G158" s="9" t="s">
        <v>8729</v>
      </c>
      <c r="H158" s="9"/>
      <c r="I158" s="9"/>
      <c r="J158" s="9"/>
      <c r="K158" s="9"/>
      <c r="L158" s="9"/>
      <c r="M158" s="9"/>
      <c r="N158" s="10"/>
      <c r="O158" s="9"/>
      <c r="P158" s="9"/>
      <c r="Q158" s="9">
        <v>-3609</v>
      </c>
      <c r="R158" s="9">
        <v>3678</v>
      </c>
      <c r="S158" s="9">
        <v>69</v>
      </c>
      <c r="T158" s="14">
        <f t="shared" si="6"/>
        <v>473.17029241872609</v>
      </c>
      <c r="U158" s="14">
        <f t="shared" si="7"/>
        <v>8.8767673129124809</v>
      </c>
      <c r="V158" s="14">
        <f t="shared" si="8"/>
        <v>-464.29352510581361</v>
      </c>
      <c r="W158" s="9"/>
      <c r="X158" s="9"/>
      <c r="Y158" s="9"/>
      <c r="Z158" s="9"/>
      <c r="AA158" s="9"/>
      <c r="AB158" s="9"/>
      <c r="AC158" s="9"/>
      <c r="AD158" s="9"/>
      <c r="AE158" s="9"/>
      <c r="AF158" s="9"/>
    </row>
    <row r="159" spans="1:32" ht="43.5">
      <c r="A159" s="3" t="s">
        <v>1362</v>
      </c>
      <c r="B159" s="3" t="s">
        <v>6757</v>
      </c>
      <c r="C159" s="3" t="s">
        <v>6758</v>
      </c>
      <c r="F159" t="s">
        <v>3884</v>
      </c>
      <c r="G159" s="9" t="s">
        <v>8729</v>
      </c>
      <c r="H159" s="9"/>
      <c r="I159" s="9"/>
      <c r="J159" s="9"/>
      <c r="K159" s="9"/>
      <c r="L159" s="9"/>
      <c r="M159" s="9"/>
      <c r="N159" s="10"/>
      <c r="O159" s="9"/>
      <c r="P159" s="9"/>
      <c r="Q159" s="9">
        <v>62</v>
      </c>
      <c r="R159" s="9">
        <v>146</v>
      </c>
      <c r="S159" s="9">
        <v>208</v>
      </c>
      <c r="T159" s="14">
        <f t="shared" si="6"/>
        <v>18.782725038916261</v>
      </c>
      <c r="U159" s="14">
        <f t="shared" si="7"/>
        <v>26.758950740373855</v>
      </c>
      <c r="V159" s="14">
        <f t="shared" si="8"/>
        <v>7.9762257014575937</v>
      </c>
      <c r="W159" s="9"/>
      <c r="X159" s="9"/>
      <c r="Y159" s="9"/>
      <c r="Z159" s="9"/>
      <c r="AA159" s="9"/>
      <c r="AB159" s="9"/>
      <c r="AC159" s="9"/>
      <c r="AD159" s="9"/>
      <c r="AE159" s="9"/>
      <c r="AF159" s="9"/>
    </row>
    <row r="160" spans="1:32" ht="58">
      <c r="A160" s="3" t="s">
        <v>1365</v>
      </c>
      <c r="B160" s="3" t="s">
        <v>6771</v>
      </c>
      <c r="C160" s="3" t="s">
        <v>6772</v>
      </c>
      <c r="G160" s="9" t="s">
        <v>8729</v>
      </c>
      <c r="H160" s="9"/>
      <c r="I160" s="9"/>
      <c r="J160" s="9"/>
      <c r="K160" s="9"/>
      <c r="L160" s="9"/>
      <c r="M160" s="9"/>
      <c r="N160" s="10"/>
      <c r="O160" s="9"/>
      <c r="P160" s="9"/>
      <c r="Q160" s="9">
        <v>412</v>
      </c>
      <c r="R160" s="9">
        <v>203</v>
      </c>
      <c r="S160" s="9">
        <v>615</v>
      </c>
      <c r="T160" s="14">
        <f t="shared" si="6"/>
        <v>26.115706732191789</v>
      </c>
      <c r="U160" s="14">
        <f t="shared" si="7"/>
        <v>79.119013006393843</v>
      </c>
      <c r="V160" s="14">
        <f t="shared" si="8"/>
        <v>53.003306274202053</v>
      </c>
      <c r="W160" s="9"/>
      <c r="X160" s="9"/>
      <c r="Y160" s="9"/>
      <c r="Z160" s="9"/>
      <c r="AA160" s="9"/>
      <c r="AB160" s="9"/>
      <c r="AC160" s="9"/>
      <c r="AD160" s="9"/>
      <c r="AE160" s="9"/>
      <c r="AF160" s="9"/>
    </row>
    <row r="161" spans="1:32" ht="43.5">
      <c r="A161" s="3" t="s">
        <v>1376</v>
      </c>
      <c r="B161" s="3" t="s">
        <v>6815</v>
      </c>
      <c r="C161" s="3" t="s">
        <v>6816</v>
      </c>
      <c r="F161" t="s">
        <v>3884</v>
      </c>
      <c r="G161" s="9" t="s">
        <v>8729</v>
      </c>
      <c r="H161" s="9"/>
      <c r="I161" s="9"/>
      <c r="J161" s="9"/>
      <c r="K161" s="9"/>
      <c r="L161" s="9"/>
      <c r="M161" s="9"/>
      <c r="N161" s="10"/>
      <c r="O161" s="9"/>
      <c r="P161" s="9"/>
      <c r="Q161" s="9">
        <v>-164</v>
      </c>
      <c r="R161" s="9">
        <v>165</v>
      </c>
      <c r="S161" s="9">
        <v>1</v>
      </c>
      <c r="T161" s="14">
        <f t="shared" si="6"/>
        <v>21.227052270008105</v>
      </c>
      <c r="U161" s="14">
        <f t="shared" si="7"/>
        <v>0.12864880163641276</v>
      </c>
      <c r="V161" s="14">
        <f t="shared" si="8"/>
        <v>-21.098403468371693</v>
      </c>
      <c r="W161" s="9"/>
      <c r="X161" s="9"/>
      <c r="Y161" s="9"/>
      <c r="Z161" s="9"/>
      <c r="AA161" s="9"/>
      <c r="AB161" s="9"/>
      <c r="AC161" s="9"/>
      <c r="AD161" s="9"/>
      <c r="AE161" s="9"/>
      <c r="AF161" s="9"/>
    </row>
    <row r="162" spans="1:32" ht="29">
      <c r="A162" s="3" t="s">
        <v>1385</v>
      </c>
      <c r="B162" s="3" t="s">
        <v>6853</v>
      </c>
      <c r="C162" s="3" t="s">
        <v>6854</v>
      </c>
      <c r="F162" t="s">
        <v>3892</v>
      </c>
      <c r="G162" s="9" t="s">
        <v>8729</v>
      </c>
      <c r="H162" s="9"/>
      <c r="I162" s="9"/>
      <c r="J162" s="9"/>
      <c r="K162" s="9"/>
      <c r="L162" s="9"/>
      <c r="M162" s="9"/>
      <c r="N162" s="10"/>
      <c r="O162" s="9"/>
      <c r="P162" s="9"/>
      <c r="Q162" s="9">
        <v>10686</v>
      </c>
      <c r="R162" s="9">
        <v>243</v>
      </c>
      <c r="S162" s="9">
        <v>10929</v>
      </c>
      <c r="T162" s="14">
        <f t="shared" si="6"/>
        <v>31.261658797648302</v>
      </c>
      <c r="U162" s="14">
        <f t="shared" si="7"/>
        <v>1406.0027530843549</v>
      </c>
      <c r="V162" s="14">
        <f t="shared" si="8"/>
        <v>1374.7410942867066</v>
      </c>
      <c r="W162" s="9"/>
      <c r="X162" s="9"/>
      <c r="Y162" s="9"/>
      <c r="Z162" s="9"/>
      <c r="AA162" s="9"/>
      <c r="AB162" s="9"/>
      <c r="AC162" s="9"/>
      <c r="AD162" s="9"/>
      <c r="AE162" s="9"/>
      <c r="AF162" s="9"/>
    </row>
    <row r="163" spans="1:32" ht="43.5">
      <c r="A163" s="3" t="s">
        <v>1393</v>
      </c>
      <c r="B163" s="3" t="s">
        <v>6879</v>
      </c>
      <c r="C163" s="3" t="s">
        <v>6880</v>
      </c>
      <c r="F163" t="s">
        <v>3884</v>
      </c>
      <c r="G163" s="9" t="s">
        <v>8729</v>
      </c>
      <c r="H163" s="9"/>
      <c r="I163" s="9"/>
      <c r="J163" s="9"/>
      <c r="K163" s="9"/>
      <c r="L163" s="9"/>
      <c r="M163" s="9"/>
      <c r="N163" s="10"/>
      <c r="O163" s="9"/>
      <c r="P163" s="9"/>
      <c r="Q163" s="9">
        <v>625</v>
      </c>
      <c r="R163" s="9">
        <v>2</v>
      </c>
      <c r="S163" s="9">
        <v>627</v>
      </c>
      <c r="T163" s="14">
        <f t="shared" si="6"/>
        <v>0.25729760327282553</v>
      </c>
      <c r="U163" s="14">
        <f t="shared" si="7"/>
        <v>80.662798626030806</v>
      </c>
      <c r="V163" s="14">
        <f t="shared" si="8"/>
        <v>80.405501022757974</v>
      </c>
      <c r="W163" s="9" t="s">
        <v>8728</v>
      </c>
      <c r="X163" s="9"/>
      <c r="Y163" s="9"/>
      <c r="Z163" s="9"/>
      <c r="AA163" s="9"/>
      <c r="AB163" s="9"/>
      <c r="AC163" s="9"/>
      <c r="AD163" s="9"/>
      <c r="AE163" s="9"/>
      <c r="AF163" s="9" t="s">
        <v>3884</v>
      </c>
    </row>
    <row r="164" spans="1:32" ht="43.5">
      <c r="A164" s="3" t="s">
        <v>1408</v>
      </c>
      <c r="B164" s="3" t="s">
        <v>6923</v>
      </c>
      <c r="C164" s="3" t="s">
        <v>6924</v>
      </c>
      <c r="G164" s="9" t="s">
        <v>8729</v>
      </c>
      <c r="H164" s="9"/>
      <c r="I164" s="9"/>
      <c r="J164" s="9"/>
      <c r="K164" s="9"/>
      <c r="L164" s="9"/>
      <c r="M164" s="9"/>
      <c r="N164" s="10"/>
      <c r="O164" s="9"/>
      <c r="P164" s="9"/>
      <c r="Q164" s="9">
        <v>56</v>
      </c>
      <c r="R164" s="9">
        <v>11</v>
      </c>
      <c r="S164" s="9">
        <v>67</v>
      </c>
      <c r="T164" s="14">
        <f t="shared" si="6"/>
        <v>1.4151368180005404</v>
      </c>
      <c r="U164" s="14">
        <f t="shared" si="7"/>
        <v>8.619469709639656</v>
      </c>
      <c r="V164" s="14">
        <f t="shared" si="8"/>
        <v>7.2043328916391154</v>
      </c>
      <c r="W164" s="9"/>
      <c r="X164" s="9"/>
      <c r="Y164" s="9"/>
      <c r="Z164" s="9"/>
      <c r="AA164" s="9"/>
      <c r="AB164" s="9"/>
      <c r="AC164" s="9"/>
      <c r="AD164" s="9"/>
      <c r="AE164" s="9"/>
      <c r="AF164" s="9"/>
    </row>
    <row r="165" spans="1:32" ht="29">
      <c r="A165" s="3" t="s">
        <v>1409</v>
      </c>
      <c r="B165" s="3" t="s">
        <v>6931</v>
      </c>
      <c r="C165" s="3" t="s">
        <v>6932</v>
      </c>
      <c r="F165" t="s">
        <v>3884</v>
      </c>
      <c r="G165" s="9" t="s">
        <v>8729</v>
      </c>
      <c r="H165" s="9"/>
      <c r="I165" s="9"/>
      <c r="J165" s="9"/>
      <c r="K165" s="9"/>
      <c r="L165" s="9"/>
      <c r="M165" s="9"/>
      <c r="N165" s="10"/>
      <c r="O165" s="9"/>
      <c r="P165" s="9"/>
      <c r="Q165" s="9">
        <v>-802</v>
      </c>
      <c r="R165" s="9">
        <v>872</v>
      </c>
      <c r="S165" s="9">
        <v>70</v>
      </c>
      <c r="T165" s="14">
        <f t="shared" si="6"/>
        <v>112.18175502695193</v>
      </c>
      <c r="U165" s="14">
        <f t="shared" si="7"/>
        <v>9.0054161145488933</v>
      </c>
      <c r="V165" s="14">
        <f t="shared" si="8"/>
        <v>-103.17633891240304</v>
      </c>
      <c r="W165" s="9"/>
      <c r="X165" s="9"/>
      <c r="Y165" s="9"/>
      <c r="Z165" s="9"/>
      <c r="AA165" s="9"/>
      <c r="AB165" s="9"/>
      <c r="AC165" s="9"/>
      <c r="AD165" s="9"/>
      <c r="AE165" s="9"/>
      <c r="AF165" s="9"/>
    </row>
    <row r="166" spans="1:32" ht="72.5">
      <c r="A166" s="3" t="s">
        <v>1411</v>
      </c>
      <c r="B166" s="3" t="s">
        <v>6942</v>
      </c>
      <c r="C166" s="3" t="s">
        <v>6943</v>
      </c>
      <c r="F166" t="s">
        <v>3892</v>
      </c>
      <c r="G166" s="9" t="s">
        <v>8729</v>
      </c>
      <c r="H166" s="9"/>
      <c r="I166" s="9"/>
      <c r="J166" s="9"/>
      <c r="K166" s="9"/>
      <c r="L166" s="9"/>
      <c r="M166" s="9"/>
      <c r="N166" s="10"/>
      <c r="O166" s="9"/>
      <c r="P166" s="9"/>
      <c r="Q166" s="9">
        <v>-193</v>
      </c>
      <c r="R166" s="9">
        <v>203</v>
      </c>
      <c r="S166" s="9">
        <v>10</v>
      </c>
      <c r="T166" s="14">
        <f t="shared" si="6"/>
        <v>26.115706732191789</v>
      </c>
      <c r="U166" s="14">
        <f t="shared" si="7"/>
        <v>1.2864880163641275</v>
      </c>
      <c r="V166" s="14">
        <f t="shared" si="8"/>
        <v>-24.829218715827661</v>
      </c>
      <c r="W166" s="9"/>
      <c r="X166" s="9"/>
      <c r="Y166" s="9"/>
      <c r="Z166" s="9"/>
      <c r="AA166" s="9"/>
      <c r="AB166" s="9"/>
      <c r="AC166" s="9"/>
      <c r="AD166" s="9"/>
      <c r="AE166" s="9"/>
      <c r="AF166" s="9"/>
    </row>
    <row r="167" spans="1:32" ht="87">
      <c r="A167" s="3" t="s">
        <v>1429</v>
      </c>
      <c r="B167" s="3" t="s">
        <v>7005</v>
      </c>
      <c r="C167" s="3" t="s">
        <v>7006</v>
      </c>
      <c r="F167" t="s">
        <v>3884</v>
      </c>
      <c r="G167" s="9" t="s">
        <v>8729</v>
      </c>
      <c r="H167" s="9"/>
      <c r="I167" s="9"/>
      <c r="J167" s="9"/>
      <c r="K167" s="9"/>
      <c r="L167" s="9"/>
      <c r="M167" s="9"/>
      <c r="N167" s="10"/>
      <c r="O167" s="9"/>
      <c r="P167" s="9"/>
      <c r="Q167" s="9">
        <v>8765</v>
      </c>
      <c r="R167" s="9">
        <v>653</v>
      </c>
      <c r="S167" s="9">
        <v>9418</v>
      </c>
      <c r="T167" s="14">
        <f t="shared" si="6"/>
        <v>84.007667468577537</v>
      </c>
      <c r="U167" s="14">
        <f t="shared" si="7"/>
        <v>1211.6144138117354</v>
      </c>
      <c r="V167" s="14">
        <f t="shared" si="8"/>
        <v>1127.606746343158</v>
      </c>
      <c r="W167" s="9"/>
      <c r="X167" s="9"/>
      <c r="Y167" s="9"/>
      <c r="Z167" s="9"/>
      <c r="AA167" s="9"/>
      <c r="AB167" s="9"/>
      <c r="AC167" s="9"/>
      <c r="AD167" s="9"/>
      <c r="AE167" s="9"/>
      <c r="AF167" s="9"/>
    </row>
    <row r="168" spans="1:32" ht="72.5">
      <c r="A168" s="3" t="s">
        <v>1435</v>
      </c>
      <c r="B168" s="3" t="s">
        <v>7040</v>
      </c>
      <c r="C168" s="3" t="s">
        <v>7041</v>
      </c>
      <c r="G168" s="9" t="s">
        <v>8729</v>
      </c>
      <c r="H168" s="9"/>
      <c r="I168" s="9"/>
      <c r="J168" s="9"/>
      <c r="K168" s="9"/>
      <c r="L168" s="9"/>
      <c r="M168" s="9"/>
      <c r="N168" s="10"/>
      <c r="O168" s="9"/>
      <c r="P168" s="9"/>
      <c r="Q168" s="9">
        <v>-7251</v>
      </c>
      <c r="R168" s="9">
        <v>10929</v>
      </c>
      <c r="S168" s="9">
        <v>3678</v>
      </c>
      <c r="T168" s="14">
        <f t="shared" si="6"/>
        <v>1406.0027530843549</v>
      </c>
      <c r="U168" s="14">
        <f t="shared" si="7"/>
        <v>473.17029241872609</v>
      </c>
      <c r="V168" s="14">
        <f t="shared" si="8"/>
        <v>-932.83246066562879</v>
      </c>
      <c r="W168" s="9"/>
      <c r="X168" s="9"/>
      <c r="Y168" s="9"/>
      <c r="Z168" s="9"/>
      <c r="AA168" s="9"/>
      <c r="AB168" s="9"/>
      <c r="AC168" s="9"/>
      <c r="AD168" s="9"/>
      <c r="AE168" s="9"/>
      <c r="AF168" s="9"/>
    </row>
    <row r="169" spans="1:32" ht="43.5">
      <c r="A169" s="3" t="s">
        <v>1463</v>
      </c>
      <c r="B169" s="3" t="s">
        <v>7120</v>
      </c>
      <c r="C169" s="3" t="s">
        <v>7121</v>
      </c>
      <c r="G169" s="9" t="s">
        <v>8729</v>
      </c>
      <c r="H169" s="9"/>
      <c r="I169" s="9"/>
      <c r="J169" s="9"/>
      <c r="K169" s="9"/>
      <c r="L169" s="9"/>
      <c r="M169" s="9"/>
      <c r="N169" s="10"/>
      <c r="O169" s="9"/>
      <c r="P169" s="9"/>
      <c r="Q169" s="9">
        <v>-5</v>
      </c>
      <c r="R169" s="9">
        <v>6</v>
      </c>
      <c r="S169" s="9">
        <v>1</v>
      </c>
      <c r="T169" s="14">
        <f t="shared" si="6"/>
        <v>0.77189280981847652</v>
      </c>
      <c r="U169" s="14">
        <f t="shared" si="7"/>
        <v>0.12864880163641276</v>
      </c>
      <c r="V169" s="14">
        <f t="shared" si="8"/>
        <v>-0.64324400818206373</v>
      </c>
      <c r="W169" s="9"/>
      <c r="X169" s="9"/>
      <c r="Y169" s="9"/>
      <c r="Z169" s="9"/>
      <c r="AA169" s="9"/>
      <c r="AB169" s="9"/>
      <c r="AC169" s="9"/>
      <c r="AD169" s="9"/>
      <c r="AE169" s="9"/>
      <c r="AF169" s="9"/>
    </row>
    <row r="170" spans="1:32" ht="29">
      <c r="A170" s="3" t="s">
        <v>1465</v>
      </c>
      <c r="B170" s="3" t="s">
        <v>7130</v>
      </c>
      <c r="C170" s="3" t="s">
        <v>7131</v>
      </c>
      <c r="G170" s="9" t="s">
        <v>8729</v>
      </c>
      <c r="H170" s="9"/>
      <c r="I170" s="9"/>
      <c r="J170" s="9"/>
      <c r="K170" s="9"/>
      <c r="L170" s="9"/>
      <c r="M170" s="9"/>
      <c r="N170" s="10"/>
      <c r="O170" s="9"/>
      <c r="P170" s="9"/>
      <c r="Q170" s="9">
        <v>-3599</v>
      </c>
      <c r="R170" s="9">
        <v>3678</v>
      </c>
      <c r="S170" s="9">
        <v>79</v>
      </c>
      <c r="T170" s="14">
        <f t="shared" si="6"/>
        <v>473.17029241872609</v>
      </c>
      <c r="U170" s="14">
        <f t="shared" si="7"/>
        <v>10.163255329276607</v>
      </c>
      <c r="V170" s="14">
        <f t="shared" si="8"/>
        <v>-463.00703708944951</v>
      </c>
      <c r="W170" s="9"/>
      <c r="X170" s="9"/>
      <c r="Y170" s="9"/>
      <c r="Z170" s="9"/>
      <c r="AA170" s="9"/>
      <c r="AB170" s="9"/>
      <c r="AC170" s="9"/>
      <c r="AD170" s="9"/>
      <c r="AE170" s="9"/>
      <c r="AF170" s="9"/>
    </row>
    <row r="171" spans="1:32" ht="72.5">
      <c r="A171" s="3" t="s">
        <v>1489</v>
      </c>
      <c r="B171" s="3" t="s">
        <v>9124</v>
      </c>
      <c r="C171" s="3" t="s">
        <v>9125</v>
      </c>
      <c r="G171" s="9" t="s">
        <v>8729</v>
      </c>
      <c r="H171" s="9"/>
      <c r="I171" s="9"/>
      <c r="J171" s="9"/>
      <c r="K171" s="9"/>
      <c r="L171" s="9"/>
      <c r="M171" s="9"/>
      <c r="N171" s="10"/>
      <c r="O171" s="9"/>
      <c r="P171" s="9"/>
      <c r="Q171" s="9">
        <v>3</v>
      </c>
      <c r="R171" s="9">
        <v>31</v>
      </c>
      <c r="S171" s="9">
        <v>34</v>
      </c>
      <c r="T171" s="14">
        <f t="shared" si="6"/>
        <v>3.9881128507287951</v>
      </c>
      <c r="U171" s="14">
        <f t="shared" si="7"/>
        <v>4.3740592556380333</v>
      </c>
      <c r="V171" s="14">
        <f t="shared" si="8"/>
        <v>0.38594640490923826</v>
      </c>
      <c r="W171" s="9"/>
      <c r="X171" s="9"/>
      <c r="Y171" s="9"/>
      <c r="Z171" s="9"/>
      <c r="AA171" s="9"/>
      <c r="AB171" s="9"/>
      <c r="AC171" s="9"/>
      <c r="AD171" s="9"/>
      <c r="AE171" s="9"/>
      <c r="AF171" s="9"/>
    </row>
    <row r="172" spans="1:32" ht="43.5">
      <c r="A172" s="3" t="s">
        <v>1510</v>
      </c>
      <c r="B172" s="3" t="s">
        <v>7273</v>
      </c>
      <c r="C172" s="3" t="s">
        <v>7274</v>
      </c>
      <c r="F172" t="s">
        <v>3884</v>
      </c>
      <c r="G172" s="9" t="s">
        <v>8729</v>
      </c>
      <c r="H172" s="9"/>
      <c r="I172" s="9"/>
      <c r="J172" s="9"/>
      <c r="K172" s="9"/>
      <c r="L172" s="9"/>
      <c r="M172" s="9"/>
      <c r="N172" s="10"/>
      <c r="O172" s="9"/>
      <c r="P172" s="9"/>
      <c r="Q172" s="9">
        <v>1</v>
      </c>
      <c r="R172" s="9">
        <v>0</v>
      </c>
      <c r="S172" s="9">
        <v>1</v>
      </c>
      <c r="T172" s="14">
        <f t="shared" si="6"/>
        <v>0</v>
      </c>
      <c r="U172" s="14">
        <f t="shared" si="7"/>
        <v>0.12864880163641276</v>
      </c>
      <c r="V172" s="14">
        <f t="shared" si="8"/>
        <v>0.12864880163641276</v>
      </c>
      <c r="W172" s="9"/>
      <c r="X172" s="9"/>
      <c r="Y172" s="9"/>
      <c r="Z172" s="9"/>
      <c r="AA172" s="9"/>
      <c r="AB172" s="9"/>
      <c r="AC172" s="9"/>
      <c r="AD172" s="9"/>
      <c r="AE172" s="9"/>
      <c r="AF172" s="9"/>
    </row>
    <row r="173" spans="1:32" ht="43.5">
      <c r="A173" s="3" t="s">
        <v>1516</v>
      </c>
      <c r="B173" s="3" t="s">
        <v>7308</v>
      </c>
      <c r="C173" s="3" t="s">
        <v>7309</v>
      </c>
      <c r="G173" s="9" t="s">
        <v>8729</v>
      </c>
      <c r="H173" s="9"/>
      <c r="I173" s="9"/>
      <c r="J173" s="9"/>
      <c r="K173" s="9"/>
      <c r="L173" s="9"/>
      <c r="M173" s="9"/>
      <c r="N173" s="10"/>
      <c r="O173" s="9"/>
      <c r="P173" s="9"/>
      <c r="Q173" s="9">
        <v>-691</v>
      </c>
      <c r="R173" s="9">
        <v>797</v>
      </c>
      <c r="S173" s="9">
        <v>106</v>
      </c>
      <c r="T173" s="14">
        <f t="shared" si="6"/>
        <v>102.53309490422097</v>
      </c>
      <c r="U173" s="14">
        <f t="shared" si="7"/>
        <v>13.636772973459752</v>
      </c>
      <c r="V173" s="14">
        <f t="shared" si="8"/>
        <v>-88.896321930761218</v>
      </c>
      <c r="W173" s="9"/>
      <c r="X173" s="9"/>
      <c r="Y173" s="9"/>
      <c r="Z173" s="9"/>
      <c r="AA173" s="9"/>
      <c r="AB173" s="9"/>
      <c r="AC173" s="9"/>
      <c r="AD173" s="9"/>
      <c r="AE173" s="9"/>
      <c r="AF173" s="9"/>
    </row>
    <row r="174" spans="1:32" ht="43.5">
      <c r="A174" s="3" t="s">
        <v>1527</v>
      </c>
      <c r="B174" s="3" t="s">
        <v>7334</v>
      </c>
      <c r="C174" s="3" t="s">
        <v>7335</v>
      </c>
      <c r="G174" s="9" t="s">
        <v>8732</v>
      </c>
      <c r="H174" s="9"/>
      <c r="I174" s="9"/>
      <c r="J174" s="9"/>
      <c r="K174" s="9"/>
      <c r="L174" s="9"/>
      <c r="M174" s="9"/>
      <c r="N174" s="10"/>
      <c r="O174" s="9"/>
      <c r="P174" s="9"/>
      <c r="Q174" s="9">
        <v>331</v>
      </c>
      <c r="R174" s="9">
        <v>91</v>
      </c>
      <c r="S174" s="9">
        <v>422</v>
      </c>
      <c r="T174" s="14">
        <f t="shared" si="6"/>
        <v>11.70704094891356</v>
      </c>
      <c r="U174" s="14">
        <f t="shared" si="7"/>
        <v>54.289794290566178</v>
      </c>
      <c r="V174" s="14">
        <f t="shared" si="8"/>
        <v>42.582753341652619</v>
      </c>
      <c r="W174" s="9"/>
      <c r="X174" s="9"/>
      <c r="Y174" s="9"/>
      <c r="Z174" s="9"/>
      <c r="AA174" s="9"/>
      <c r="AB174" s="9"/>
      <c r="AC174" s="9"/>
      <c r="AD174" s="9"/>
      <c r="AE174" s="9"/>
      <c r="AF174" s="9"/>
    </row>
    <row r="175" spans="1:32" ht="43.5">
      <c r="A175" s="3" t="s">
        <v>1529</v>
      </c>
      <c r="B175" s="3" t="s">
        <v>7346</v>
      </c>
      <c r="C175" s="3" t="s">
        <v>7347</v>
      </c>
      <c r="G175" s="9" t="s">
        <v>8729</v>
      </c>
      <c r="H175" s="9"/>
      <c r="I175" s="9"/>
      <c r="J175" s="9"/>
      <c r="K175" s="9"/>
      <c r="L175" s="9"/>
      <c r="M175" s="9"/>
      <c r="N175" s="10"/>
      <c r="O175" s="9"/>
      <c r="P175" s="9"/>
      <c r="Q175" s="9">
        <v>-210</v>
      </c>
      <c r="R175" s="9">
        <v>245</v>
      </c>
      <c r="S175" s="9">
        <v>35</v>
      </c>
      <c r="T175" s="14">
        <f t="shared" si="6"/>
        <v>31.518956400921127</v>
      </c>
      <c r="U175" s="14">
        <f t="shared" si="7"/>
        <v>4.5027080572744467</v>
      </c>
      <c r="V175" s="14">
        <f t="shared" si="8"/>
        <v>-27.01624834364668</v>
      </c>
      <c r="W175" s="9"/>
      <c r="X175" s="9"/>
      <c r="Y175" s="9"/>
      <c r="Z175" s="9"/>
      <c r="AA175" s="9"/>
      <c r="AB175" s="9"/>
      <c r="AC175" s="9"/>
      <c r="AD175" s="9"/>
      <c r="AE175" s="9"/>
      <c r="AF175" s="9"/>
    </row>
    <row r="176" spans="1:32" ht="43.5">
      <c r="A176" s="3" t="s">
        <v>1544</v>
      </c>
      <c r="B176" s="3" t="s">
        <v>7400</v>
      </c>
      <c r="C176" s="3" t="s">
        <v>7401</v>
      </c>
      <c r="D176" t="s">
        <v>3886</v>
      </c>
      <c r="G176" s="9" t="s">
        <v>8729</v>
      </c>
      <c r="H176" s="9"/>
      <c r="I176" s="9"/>
      <c r="J176" s="9"/>
      <c r="K176" s="9"/>
      <c r="L176" s="9"/>
      <c r="M176" s="9"/>
      <c r="N176" s="10"/>
      <c r="O176" s="9"/>
      <c r="P176" s="9"/>
      <c r="Q176" s="9">
        <v>277</v>
      </c>
      <c r="R176" s="9">
        <v>520</v>
      </c>
      <c r="S176" s="9">
        <v>797</v>
      </c>
      <c r="T176" s="14">
        <f t="shared" si="6"/>
        <v>66.897376850934634</v>
      </c>
      <c r="U176" s="14">
        <f t="shared" si="7"/>
        <v>102.53309490422097</v>
      </c>
      <c r="V176" s="14">
        <f t="shared" si="8"/>
        <v>35.63571805328634</v>
      </c>
      <c r="W176" s="9"/>
      <c r="X176" s="9"/>
      <c r="Y176" s="9"/>
      <c r="Z176" s="9"/>
      <c r="AA176" s="9"/>
      <c r="AB176" s="9"/>
      <c r="AC176" s="9"/>
      <c r="AD176" s="9"/>
      <c r="AE176" s="9"/>
      <c r="AF176" s="9"/>
    </row>
    <row r="177" spans="1:32" ht="58">
      <c r="A177" s="3" t="s">
        <v>1548</v>
      </c>
      <c r="B177" s="3" t="s">
        <v>7416</v>
      </c>
      <c r="C177" s="3" t="s">
        <v>7417</v>
      </c>
      <c r="G177" s="9" t="s">
        <v>8729</v>
      </c>
      <c r="H177" s="9"/>
      <c r="I177" s="9"/>
      <c r="J177" s="9"/>
      <c r="K177" s="9"/>
      <c r="L177" s="9"/>
      <c r="M177" s="9"/>
      <c r="N177" s="10"/>
      <c r="O177" s="9"/>
      <c r="P177" s="9"/>
      <c r="Q177" s="9">
        <v>9</v>
      </c>
      <c r="R177" s="9">
        <v>2</v>
      </c>
      <c r="S177" s="9">
        <v>11</v>
      </c>
      <c r="T177" s="14">
        <f t="shared" si="6"/>
        <v>0.25729760327282553</v>
      </c>
      <c r="U177" s="14">
        <f t="shared" si="7"/>
        <v>1.4151368180005404</v>
      </c>
      <c r="V177" s="14">
        <f t="shared" si="8"/>
        <v>1.1578392147277148</v>
      </c>
      <c r="W177" s="9" t="s">
        <v>8728</v>
      </c>
      <c r="X177" s="9"/>
      <c r="Y177" s="9"/>
      <c r="Z177" s="9"/>
      <c r="AA177" s="9"/>
      <c r="AB177" s="9"/>
      <c r="AC177" s="9"/>
      <c r="AD177" s="9"/>
      <c r="AE177" s="9"/>
      <c r="AF177" s="9"/>
    </row>
    <row r="178" spans="1:32" ht="29">
      <c r="A178" s="3" t="s">
        <v>1559</v>
      </c>
      <c r="B178" s="3" t="s">
        <v>2370</v>
      </c>
      <c r="C178" s="3" t="s">
        <v>3615</v>
      </c>
      <c r="G178" s="9" t="s">
        <v>8729</v>
      </c>
      <c r="H178" s="9"/>
      <c r="I178" s="9"/>
      <c r="J178" s="9"/>
      <c r="K178" s="9"/>
      <c r="L178" s="9"/>
      <c r="M178" s="9"/>
      <c r="N178" s="10"/>
      <c r="O178" s="9"/>
      <c r="P178" s="9"/>
      <c r="Q178" s="9">
        <v>-73</v>
      </c>
      <c r="R178" s="9">
        <v>114</v>
      </c>
      <c r="S178" s="9">
        <v>41</v>
      </c>
      <c r="T178" s="14">
        <f t="shared" si="6"/>
        <v>14.665963386551054</v>
      </c>
      <c r="U178" s="14">
        <f t="shared" si="7"/>
        <v>5.2746008670929232</v>
      </c>
      <c r="V178" s="14">
        <f t="shared" si="8"/>
        <v>-9.3913625194581307</v>
      </c>
      <c r="W178" s="9"/>
      <c r="X178" s="9"/>
      <c r="Y178" s="9"/>
      <c r="Z178" s="9"/>
      <c r="AA178" s="9"/>
      <c r="AB178" s="9"/>
      <c r="AC178" s="9"/>
      <c r="AD178" s="9"/>
      <c r="AE178" s="9"/>
      <c r="AF178" s="9"/>
    </row>
    <row r="179" spans="1:32" ht="58">
      <c r="A179" s="3" t="s">
        <v>1572</v>
      </c>
      <c r="B179" s="3" t="s">
        <v>7486</v>
      </c>
      <c r="C179" s="3" t="s">
        <v>7487</v>
      </c>
      <c r="G179" s="9" t="s">
        <v>8729</v>
      </c>
      <c r="H179" s="9"/>
      <c r="I179" s="9"/>
      <c r="J179" s="9"/>
      <c r="K179" s="9"/>
      <c r="L179" s="9"/>
      <c r="M179" s="9"/>
      <c r="N179" s="10"/>
      <c r="O179" s="9"/>
      <c r="P179" s="9"/>
      <c r="Q179" s="9">
        <v>644</v>
      </c>
      <c r="R179" s="9">
        <v>1</v>
      </c>
      <c r="S179" s="9">
        <v>645</v>
      </c>
      <c r="T179" s="14">
        <f t="shared" si="6"/>
        <v>0.12864880163641276</v>
      </c>
      <c r="U179" s="14">
        <f t="shared" si="7"/>
        <v>82.978477055486238</v>
      </c>
      <c r="V179" s="14">
        <f t="shared" si="8"/>
        <v>82.849828253849822</v>
      </c>
      <c r="W179" s="9"/>
      <c r="X179" s="9"/>
      <c r="Y179" s="9"/>
      <c r="Z179" s="9"/>
      <c r="AA179" s="9"/>
      <c r="AB179" s="9"/>
      <c r="AC179" s="9"/>
      <c r="AD179" s="9"/>
      <c r="AE179" s="9"/>
      <c r="AF179" s="9"/>
    </row>
    <row r="180" spans="1:32" ht="29">
      <c r="A180" s="3" t="s">
        <v>1576</v>
      </c>
      <c r="B180" s="3" t="s">
        <v>7498</v>
      </c>
      <c r="C180" s="3" t="s">
        <v>7499</v>
      </c>
      <c r="G180" s="9" t="s">
        <v>8729</v>
      </c>
      <c r="H180" s="9"/>
      <c r="I180" s="9"/>
      <c r="J180" s="9"/>
      <c r="K180" s="9"/>
      <c r="L180" s="9"/>
      <c r="M180" s="9"/>
      <c r="N180" s="10"/>
      <c r="O180" s="9"/>
      <c r="P180" s="9"/>
      <c r="Q180" s="9">
        <v>-3599</v>
      </c>
      <c r="R180" s="9">
        <v>3678</v>
      </c>
      <c r="S180" s="9">
        <v>79</v>
      </c>
      <c r="T180" s="14">
        <f t="shared" si="6"/>
        <v>473.17029241872609</v>
      </c>
      <c r="U180" s="14">
        <f t="shared" si="7"/>
        <v>10.163255329276607</v>
      </c>
      <c r="V180" s="14">
        <f t="shared" si="8"/>
        <v>-463.00703708944951</v>
      </c>
      <c r="W180" s="9"/>
      <c r="X180" s="9"/>
      <c r="Y180" s="9"/>
      <c r="Z180" s="9"/>
      <c r="AA180" s="9"/>
      <c r="AB180" s="9"/>
      <c r="AC180" s="9"/>
      <c r="AD180" s="9"/>
      <c r="AE180" s="9"/>
      <c r="AF180" s="9"/>
    </row>
    <row r="181" spans="1:32" ht="43.5">
      <c r="A181" s="3" t="s">
        <v>1578</v>
      </c>
      <c r="B181" s="3" t="s">
        <v>7504</v>
      </c>
      <c r="C181" s="3" t="s">
        <v>7505</v>
      </c>
      <c r="F181" t="s">
        <v>3892</v>
      </c>
      <c r="G181" s="9" t="s">
        <v>8729</v>
      </c>
      <c r="H181" s="9"/>
      <c r="I181" s="9"/>
      <c r="J181" s="9"/>
      <c r="K181" s="9"/>
      <c r="L181" s="9"/>
      <c r="M181" s="9"/>
      <c r="N181" s="10"/>
      <c r="O181" s="9"/>
      <c r="P181" s="9"/>
      <c r="Q181" s="9">
        <v>9938</v>
      </c>
      <c r="R181" s="9">
        <v>991</v>
      </c>
      <c r="S181" s="9">
        <v>10929</v>
      </c>
      <c r="T181" s="14">
        <f t="shared" si="6"/>
        <v>127.49096242168504</v>
      </c>
      <c r="U181" s="14">
        <f t="shared" si="7"/>
        <v>1406.0027530843549</v>
      </c>
      <c r="V181" s="14">
        <f t="shared" si="8"/>
        <v>1278.5117906626699</v>
      </c>
      <c r="W181" s="9"/>
      <c r="X181" s="9"/>
      <c r="Y181" s="9"/>
      <c r="Z181" s="9"/>
      <c r="AA181" s="9"/>
      <c r="AB181" s="9"/>
      <c r="AC181" s="9"/>
      <c r="AD181" s="9"/>
      <c r="AE181" s="9"/>
      <c r="AF181" s="9"/>
    </row>
    <row r="182" spans="1:32" ht="43.5">
      <c r="A182" s="3" t="s">
        <v>1590</v>
      </c>
      <c r="B182" s="3" t="s">
        <v>7547</v>
      </c>
      <c r="C182" s="3" t="s">
        <v>9138</v>
      </c>
      <c r="G182" s="9" t="s">
        <v>8729</v>
      </c>
      <c r="H182" s="9"/>
      <c r="I182" s="9"/>
      <c r="J182" s="9"/>
      <c r="K182" s="9"/>
      <c r="L182" s="9"/>
      <c r="M182" s="9"/>
      <c r="N182" s="10"/>
      <c r="O182" s="9"/>
      <c r="P182" s="9"/>
      <c r="Q182" s="9">
        <v>-86</v>
      </c>
      <c r="R182" s="9">
        <v>128</v>
      </c>
      <c r="S182" s="9">
        <v>42</v>
      </c>
      <c r="T182" s="14">
        <f t="shared" si="6"/>
        <v>16.467046609460834</v>
      </c>
      <c r="U182" s="14">
        <f t="shared" si="7"/>
        <v>5.4032496687293365</v>
      </c>
      <c r="V182" s="14">
        <f t="shared" si="8"/>
        <v>-11.063796940731496</v>
      </c>
      <c r="W182" s="9"/>
      <c r="X182" s="9"/>
      <c r="Y182" s="9"/>
      <c r="Z182" s="9"/>
      <c r="AA182" s="9"/>
      <c r="AB182" s="9"/>
      <c r="AC182" s="9"/>
      <c r="AD182" s="9"/>
      <c r="AE182" s="9"/>
      <c r="AF182" s="9"/>
    </row>
    <row r="183" spans="1:32" ht="43.5">
      <c r="A183" s="3" t="s">
        <v>1595</v>
      </c>
      <c r="B183" s="3" t="s">
        <v>7550</v>
      </c>
      <c r="C183" s="3" t="s">
        <v>7551</v>
      </c>
      <c r="G183" s="9" t="s">
        <v>8729</v>
      </c>
      <c r="H183" s="9"/>
      <c r="I183" s="9"/>
      <c r="J183" s="9"/>
      <c r="K183" s="9"/>
      <c r="L183" s="9"/>
      <c r="M183" s="9"/>
      <c r="N183" s="10"/>
      <c r="O183" s="9"/>
      <c r="P183" s="9"/>
      <c r="Q183" s="9">
        <v>0</v>
      </c>
      <c r="R183" s="9">
        <v>1</v>
      </c>
      <c r="S183" s="9">
        <v>1</v>
      </c>
      <c r="T183" s="14">
        <f t="shared" si="6"/>
        <v>0.12864880163641276</v>
      </c>
      <c r="U183" s="14">
        <f t="shared" si="7"/>
        <v>0.12864880163641276</v>
      </c>
      <c r="V183" s="14">
        <f t="shared" si="8"/>
        <v>0</v>
      </c>
      <c r="W183" s="9"/>
      <c r="X183" s="9"/>
      <c r="Y183" s="9"/>
      <c r="Z183" s="9"/>
      <c r="AA183" s="9"/>
      <c r="AB183" s="9"/>
      <c r="AC183" s="9"/>
      <c r="AD183" s="9"/>
      <c r="AE183" s="9"/>
      <c r="AF183" s="9"/>
    </row>
    <row r="184" spans="1:32" ht="58">
      <c r="A184" s="3" t="s">
        <v>1598</v>
      </c>
      <c r="B184" s="3" t="s">
        <v>7557</v>
      </c>
      <c r="C184" s="3" t="s">
        <v>7558</v>
      </c>
      <c r="F184" t="s">
        <v>3884</v>
      </c>
      <c r="G184" s="9" t="s">
        <v>8729</v>
      </c>
      <c r="H184" s="9"/>
      <c r="I184" s="9"/>
      <c r="J184" s="9"/>
      <c r="K184" s="9"/>
      <c r="L184" s="9"/>
      <c r="M184" s="9"/>
      <c r="N184" s="10"/>
      <c r="O184" s="9"/>
      <c r="P184" s="9"/>
      <c r="Q184" s="9">
        <v>1</v>
      </c>
      <c r="R184" s="9">
        <v>1</v>
      </c>
      <c r="S184" s="9">
        <v>2</v>
      </c>
      <c r="T184" s="14">
        <f t="shared" si="6"/>
        <v>0.12864880163641276</v>
      </c>
      <c r="U184" s="14">
        <f t="shared" si="7"/>
        <v>0.25729760327282553</v>
      </c>
      <c r="V184" s="14">
        <f t="shared" si="8"/>
        <v>0.12864880163641276</v>
      </c>
      <c r="W184" s="9"/>
      <c r="X184" s="9"/>
      <c r="Y184" s="9"/>
      <c r="Z184" s="9"/>
      <c r="AA184" s="9"/>
      <c r="AB184" s="9"/>
      <c r="AC184" s="9"/>
      <c r="AD184" s="9"/>
      <c r="AE184" s="9"/>
      <c r="AF184" s="9"/>
    </row>
    <row r="185" spans="1:32" ht="87">
      <c r="A185" s="3" t="s">
        <v>1615</v>
      </c>
      <c r="B185" s="3" t="s">
        <v>7616</v>
      </c>
      <c r="C185" s="3" t="s">
        <v>7617</v>
      </c>
      <c r="G185" s="9" t="s">
        <v>8729</v>
      </c>
      <c r="H185" s="9"/>
      <c r="I185" s="9"/>
      <c r="J185" s="9"/>
      <c r="K185" s="9"/>
      <c r="L185" s="9"/>
      <c r="M185" s="9"/>
      <c r="N185" s="10"/>
      <c r="O185" s="9"/>
      <c r="P185" s="9"/>
      <c r="Q185" s="9">
        <v>133</v>
      </c>
      <c r="R185" s="9">
        <v>207</v>
      </c>
      <c r="S185" s="9">
        <v>340</v>
      </c>
      <c r="T185" s="14">
        <f t="shared" si="6"/>
        <v>26.630301938737443</v>
      </c>
      <c r="U185" s="14">
        <f t="shared" si="7"/>
        <v>43.740592556380335</v>
      </c>
      <c r="V185" s="14">
        <f t="shared" si="8"/>
        <v>17.110290617642892</v>
      </c>
      <c r="W185" s="9"/>
      <c r="X185" s="9"/>
      <c r="Y185" s="9"/>
      <c r="Z185" s="9"/>
      <c r="AA185" s="9"/>
      <c r="AB185" s="9"/>
      <c r="AC185" s="9"/>
      <c r="AD185" s="9"/>
      <c r="AE185" s="9"/>
      <c r="AF185" s="9"/>
    </row>
    <row r="186" spans="1:32" ht="29">
      <c r="A186" s="3" t="s">
        <v>1618</v>
      </c>
      <c r="B186" s="3" t="s">
        <v>7620</v>
      </c>
      <c r="C186" s="3" t="s">
        <v>7621</v>
      </c>
      <c r="G186" s="9" t="s">
        <v>8729</v>
      </c>
      <c r="H186" s="9"/>
      <c r="I186" s="9"/>
      <c r="J186" s="9"/>
      <c r="K186" s="9"/>
      <c r="L186" s="9"/>
      <c r="M186" s="9"/>
      <c r="N186" s="10"/>
      <c r="O186" s="9"/>
      <c r="P186" s="9"/>
      <c r="Q186" s="9">
        <v>3599</v>
      </c>
      <c r="R186" s="9">
        <v>79</v>
      </c>
      <c r="S186" s="9">
        <v>3678</v>
      </c>
      <c r="T186" s="14">
        <f t="shared" si="6"/>
        <v>10.163255329276607</v>
      </c>
      <c r="U186" s="14">
        <f t="shared" si="7"/>
        <v>473.17029241872609</v>
      </c>
      <c r="V186" s="14">
        <f t="shared" si="8"/>
        <v>463.00703708944951</v>
      </c>
      <c r="W186" s="9"/>
      <c r="X186" s="9"/>
      <c r="Y186" s="9"/>
      <c r="Z186" s="9"/>
      <c r="AA186" s="9"/>
      <c r="AB186" s="9"/>
      <c r="AC186" s="9"/>
      <c r="AD186" s="9"/>
      <c r="AE186" s="9"/>
      <c r="AF186" s="9"/>
    </row>
    <row r="187" spans="1:32" ht="87">
      <c r="A187" s="3" t="s">
        <v>1618</v>
      </c>
      <c r="B187" s="3" t="s">
        <v>7622</v>
      </c>
      <c r="C187" s="3" t="s">
        <v>7623</v>
      </c>
      <c r="F187" t="s">
        <v>3884</v>
      </c>
      <c r="G187" s="9" t="s">
        <v>8729</v>
      </c>
      <c r="H187" s="9"/>
      <c r="I187" s="9"/>
      <c r="J187" s="9"/>
      <c r="K187" s="9"/>
      <c r="L187" s="9"/>
      <c r="M187" s="9"/>
      <c r="N187" s="10"/>
      <c r="O187" s="9"/>
      <c r="P187" s="9"/>
      <c r="Q187" s="9">
        <v>42</v>
      </c>
      <c r="R187" s="9">
        <v>1443</v>
      </c>
      <c r="S187" s="9">
        <v>1485</v>
      </c>
      <c r="T187" s="14">
        <f t="shared" si="6"/>
        <v>185.64022076134361</v>
      </c>
      <c r="U187" s="14">
        <f t="shared" si="7"/>
        <v>191.04347043007292</v>
      </c>
      <c r="V187" s="14">
        <f t="shared" si="8"/>
        <v>5.4032496687293019</v>
      </c>
      <c r="W187" s="9"/>
      <c r="X187" s="9"/>
      <c r="Y187" s="9"/>
      <c r="Z187" s="9"/>
      <c r="AA187" s="9"/>
      <c r="AB187" s="9"/>
      <c r="AC187" s="9"/>
      <c r="AD187" s="9"/>
      <c r="AE187" s="9"/>
      <c r="AF187" s="9"/>
    </row>
    <row r="188" spans="1:32" ht="43.5">
      <c r="A188" s="3" t="s">
        <v>1621</v>
      </c>
      <c r="B188" s="3" t="s">
        <v>7636</v>
      </c>
      <c r="C188" s="3" t="s">
        <v>7637</v>
      </c>
      <c r="D188" t="s">
        <v>3886</v>
      </c>
      <c r="G188" s="9" t="s">
        <v>8729</v>
      </c>
      <c r="H188" s="9"/>
      <c r="I188" s="9"/>
      <c r="J188" s="9"/>
      <c r="K188" s="9"/>
      <c r="L188" s="9"/>
      <c r="M188" s="9"/>
      <c r="N188" s="10"/>
      <c r="O188" s="9"/>
      <c r="P188" s="9"/>
      <c r="Q188" s="9">
        <v>142</v>
      </c>
      <c r="R188" s="9">
        <v>41</v>
      </c>
      <c r="S188" s="9">
        <v>183</v>
      </c>
      <c r="T188" s="14">
        <f t="shared" si="6"/>
        <v>5.2746008670929232</v>
      </c>
      <c r="U188" s="14">
        <f t="shared" si="7"/>
        <v>23.542730699463533</v>
      </c>
      <c r="V188" s="14">
        <f t="shared" si="8"/>
        <v>18.268129832370612</v>
      </c>
      <c r="W188" s="9"/>
      <c r="X188" s="9"/>
      <c r="Y188" s="9"/>
      <c r="Z188" s="9"/>
      <c r="AA188" s="9"/>
      <c r="AB188" s="9"/>
      <c r="AC188" s="9"/>
      <c r="AD188" s="9"/>
      <c r="AE188" s="9"/>
      <c r="AF188" s="9"/>
    </row>
    <row r="189" spans="1:32" ht="29">
      <c r="A189" s="3" t="s">
        <v>1625</v>
      </c>
      <c r="B189" s="3" t="s">
        <v>7649</v>
      </c>
      <c r="C189" s="3" t="s">
        <v>7650</v>
      </c>
      <c r="F189" t="s">
        <v>3884</v>
      </c>
      <c r="G189" s="9" t="s">
        <v>8732</v>
      </c>
      <c r="H189" s="9"/>
      <c r="I189" s="9"/>
      <c r="J189" s="9"/>
      <c r="K189" s="9"/>
      <c r="L189" s="9"/>
      <c r="M189" s="9"/>
      <c r="N189" s="10"/>
      <c r="O189" s="9"/>
      <c r="P189" s="9"/>
      <c r="Q189" s="9">
        <v>0</v>
      </c>
      <c r="R189" s="9">
        <v>92</v>
      </c>
      <c r="S189" s="9">
        <v>92</v>
      </c>
      <c r="T189" s="14">
        <f t="shared" si="6"/>
        <v>11.835689750549973</v>
      </c>
      <c r="U189" s="14">
        <f t="shared" si="7"/>
        <v>11.835689750549973</v>
      </c>
      <c r="V189" s="14">
        <f t="shared" si="8"/>
        <v>0</v>
      </c>
      <c r="W189" s="9"/>
      <c r="X189" s="9"/>
      <c r="Y189" s="9"/>
      <c r="Z189" s="9"/>
      <c r="AA189" s="9"/>
      <c r="AB189" s="9"/>
      <c r="AC189" s="9"/>
      <c r="AD189" s="9"/>
      <c r="AE189" s="9"/>
      <c r="AF189" s="9"/>
    </row>
    <row r="190" spans="1:32" ht="43.5">
      <c r="A190" s="3" t="s">
        <v>1626</v>
      </c>
      <c r="B190" s="3" t="s">
        <v>7653</v>
      </c>
      <c r="C190" s="3" t="s">
        <v>7654</v>
      </c>
      <c r="G190" s="9" t="s">
        <v>8729</v>
      </c>
      <c r="H190" s="9"/>
      <c r="I190" s="9"/>
      <c r="J190" s="9"/>
      <c r="K190" s="9"/>
      <c r="L190" s="9"/>
      <c r="M190" s="9"/>
      <c r="N190" s="10"/>
      <c r="O190" s="9"/>
      <c r="P190" s="9"/>
      <c r="Q190" s="9">
        <v>6</v>
      </c>
      <c r="R190" s="9">
        <v>18</v>
      </c>
      <c r="S190" s="9">
        <v>24</v>
      </c>
      <c r="T190" s="14">
        <f t="shared" si="6"/>
        <v>2.3156784294554296</v>
      </c>
      <c r="U190" s="14">
        <f t="shared" si="7"/>
        <v>3.0875712392739061</v>
      </c>
      <c r="V190" s="14">
        <f t="shared" si="8"/>
        <v>0.77189280981847652</v>
      </c>
      <c r="W190" s="9"/>
      <c r="X190" s="9"/>
      <c r="Y190" s="9"/>
      <c r="Z190" s="9"/>
      <c r="AA190" s="9"/>
      <c r="AB190" s="9"/>
      <c r="AC190" s="9"/>
      <c r="AD190" s="9"/>
      <c r="AE190" s="9"/>
      <c r="AF190" s="9"/>
    </row>
    <row r="191" spans="1:32" ht="43.5">
      <c r="A191" s="3" t="s">
        <v>1628</v>
      </c>
      <c r="B191" s="3" t="s">
        <v>7653</v>
      </c>
      <c r="C191" s="3" t="s">
        <v>7654</v>
      </c>
      <c r="G191" s="9" t="s">
        <v>8729</v>
      </c>
      <c r="H191" s="9"/>
      <c r="I191" s="9"/>
      <c r="J191" s="9"/>
      <c r="K191" s="9"/>
      <c r="L191" s="9"/>
      <c r="M191" s="9"/>
      <c r="N191" s="10"/>
      <c r="O191" s="9"/>
      <c r="P191" s="9"/>
      <c r="Q191" s="9">
        <v>6</v>
      </c>
      <c r="R191" s="9">
        <v>18</v>
      </c>
      <c r="S191" s="9">
        <v>24</v>
      </c>
      <c r="T191" s="14">
        <f t="shared" si="6"/>
        <v>2.3156784294554296</v>
      </c>
      <c r="U191" s="14">
        <f t="shared" si="7"/>
        <v>3.0875712392739061</v>
      </c>
      <c r="V191" s="14">
        <f t="shared" si="8"/>
        <v>0.77189280981847652</v>
      </c>
      <c r="W191" s="9"/>
      <c r="X191" s="9"/>
      <c r="Y191" s="9"/>
      <c r="Z191" s="9"/>
      <c r="AA191" s="9"/>
      <c r="AB191" s="9"/>
      <c r="AC191" s="9"/>
      <c r="AD191" s="9"/>
      <c r="AE191" s="9"/>
      <c r="AF191" s="9"/>
    </row>
    <row r="192" spans="1:32" ht="58">
      <c r="A192" s="3" t="s">
        <v>1640</v>
      </c>
      <c r="B192" s="3" t="s">
        <v>7689</v>
      </c>
      <c r="C192" s="3" t="s">
        <v>7690</v>
      </c>
      <c r="F192" t="s">
        <v>3892</v>
      </c>
      <c r="G192" s="9" t="s">
        <v>8729</v>
      </c>
      <c r="H192" s="9"/>
      <c r="I192" s="9"/>
      <c r="J192" s="9"/>
      <c r="K192" s="9"/>
      <c r="L192" s="9"/>
      <c r="M192" s="9"/>
      <c r="N192" s="10"/>
      <c r="O192" s="9"/>
      <c r="P192" s="9"/>
      <c r="Q192" s="9">
        <v>153</v>
      </c>
      <c r="R192" s="9">
        <v>187</v>
      </c>
      <c r="S192" s="9">
        <v>340</v>
      </c>
      <c r="T192" s="14">
        <f t="shared" si="6"/>
        <v>24.057325906009186</v>
      </c>
      <c r="U192" s="14">
        <f t="shared" si="7"/>
        <v>43.740592556380335</v>
      </c>
      <c r="V192" s="14">
        <f t="shared" si="8"/>
        <v>19.683266650371149</v>
      </c>
      <c r="W192" s="9"/>
      <c r="X192" s="9"/>
      <c r="Y192" s="9"/>
      <c r="Z192" s="9"/>
      <c r="AA192" s="9"/>
      <c r="AB192" s="9"/>
      <c r="AC192" s="9"/>
      <c r="AD192" s="9"/>
      <c r="AE192" s="9"/>
      <c r="AF192" s="9"/>
    </row>
    <row r="193" spans="1:32" ht="29">
      <c r="A193" s="3" t="s">
        <v>1646</v>
      </c>
      <c r="B193" s="3" t="s">
        <v>7699</v>
      </c>
      <c r="C193" s="3" t="s">
        <v>7700</v>
      </c>
      <c r="F193" t="s">
        <v>3884</v>
      </c>
      <c r="G193" s="9" t="s">
        <v>8729</v>
      </c>
      <c r="H193" s="9"/>
      <c r="I193" s="9"/>
      <c r="J193" s="9"/>
      <c r="K193" s="9"/>
      <c r="L193" s="9"/>
      <c r="M193" s="9"/>
      <c r="N193" s="10"/>
      <c r="O193" s="9"/>
      <c r="P193" s="9"/>
      <c r="Q193" s="9">
        <v>625</v>
      </c>
      <c r="R193" s="9">
        <v>2</v>
      </c>
      <c r="S193" s="9">
        <v>627</v>
      </c>
      <c r="T193" s="14">
        <f t="shared" si="6"/>
        <v>0.25729760327282553</v>
      </c>
      <c r="U193" s="14">
        <f t="shared" si="7"/>
        <v>80.662798626030806</v>
      </c>
      <c r="V193" s="14">
        <f t="shared" si="8"/>
        <v>80.405501022757974</v>
      </c>
      <c r="W193" s="9"/>
      <c r="X193" s="9"/>
      <c r="Y193" s="9"/>
      <c r="Z193" s="9"/>
      <c r="AA193" s="9"/>
      <c r="AB193" s="9"/>
      <c r="AC193" s="9"/>
      <c r="AD193" s="9"/>
      <c r="AE193" s="9"/>
      <c r="AF193" s="9"/>
    </row>
    <row r="194" spans="1:32" ht="43.5">
      <c r="A194" s="3" t="s">
        <v>1668</v>
      </c>
      <c r="B194" s="3" t="s">
        <v>7753</v>
      </c>
      <c r="C194" s="3" t="s">
        <v>5988</v>
      </c>
      <c r="G194" s="9" t="s">
        <v>8729</v>
      </c>
      <c r="H194" s="9"/>
      <c r="I194" s="9"/>
      <c r="J194" s="9"/>
      <c r="K194" s="9"/>
      <c r="L194" s="9"/>
      <c r="M194" s="9"/>
      <c r="N194" s="10"/>
      <c r="O194" s="9"/>
      <c r="P194" s="9"/>
      <c r="Q194" s="9">
        <v>290</v>
      </c>
      <c r="R194" s="9">
        <v>21</v>
      </c>
      <c r="S194" s="9">
        <v>311</v>
      </c>
      <c r="T194" s="14">
        <f t="shared" si="6"/>
        <v>2.7016248343646683</v>
      </c>
      <c r="U194" s="14">
        <f t="shared" si="7"/>
        <v>40.00977730892437</v>
      </c>
      <c r="V194" s="14">
        <f t="shared" si="8"/>
        <v>37.308152474559705</v>
      </c>
      <c r="W194" s="9"/>
      <c r="X194" s="9"/>
      <c r="Y194" s="9"/>
      <c r="Z194" s="9"/>
      <c r="AA194" s="9"/>
      <c r="AB194" s="9"/>
      <c r="AC194" s="9"/>
      <c r="AD194" s="9"/>
      <c r="AE194" s="9"/>
      <c r="AF194" s="9"/>
    </row>
    <row r="195" spans="1:32" ht="58">
      <c r="A195" s="3" t="s">
        <v>1676</v>
      </c>
      <c r="B195" s="3" t="s">
        <v>7767</v>
      </c>
      <c r="C195" s="3" t="s">
        <v>7768</v>
      </c>
      <c r="F195" t="s">
        <v>3884</v>
      </c>
      <c r="G195" s="9" t="s">
        <v>8729</v>
      </c>
      <c r="H195" s="9"/>
      <c r="I195" s="9"/>
      <c r="J195" s="9"/>
      <c r="K195" s="9"/>
      <c r="L195" s="9"/>
      <c r="M195" s="9"/>
      <c r="N195" s="10"/>
      <c r="O195" s="9"/>
      <c r="P195" s="9"/>
      <c r="Q195" s="9">
        <v>323</v>
      </c>
      <c r="R195" s="9">
        <v>9</v>
      </c>
      <c r="S195" s="9">
        <v>332</v>
      </c>
      <c r="T195" s="14">
        <f t="shared" ref="T195:T234" si="9">IF(ISNUMBER(R195), (R195/$E$237)*10000, "")</f>
        <v>1.1578392147277148</v>
      </c>
      <c r="U195" s="14">
        <f t="shared" ref="U195:U234" si="10">IF(ISNUMBER(S195), (S195/$E$237)*10000, "")</f>
        <v>42.711402143289035</v>
      </c>
      <c r="V195" s="14">
        <f t="shared" ref="V195:V234" si="11">IF(ISNUMBER(Q195), U195-T195, "")</f>
        <v>41.55356292856132</v>
      </c>
      <c r="W195" s="9" t="s">
        <v>8728</v>
      </c>
      <c r="X195" s="9"/>
      <c r="Y195" s="9"/>
      <c r="Z195" s="9"/>
      <c r="AA195" s="9"/>
      <c r="AB195" s="9"/>
      <c r="AC195" s="9"/>
      <c r="AD195" s="9"/>
      <c r="AE195" s="9"/>
      <c r="AF195" s="9"/>
    </row>
    <row r="196" spans="1:32" ht="217.5">
      <c r="A196" s="3" t="s">
        <v>1689</v>
      </c>
      <c r="B196" s="3" t="s">
        <v>7798</v>
      </c>
      <c r="C196" s="3" t="s">
        <v>7799</v>
      </c>
      <c r="F196" t="s">
        <v>3884</v>
      </c>
      <c r="G196" s="9" t="s">
        <v>8732</v>
      </c>
      <c r="H196" s="9"/>
      <c r="I196" s="9"/>
      <c r="J196" s="9"/>
      <c r="K196" s="9"/>
      <c r="L196" s="9"/>
      <c r="M196" s="9"/>
      <c r="N196" s="10"/>
      <c r="O196" s="9"/>
      <c r="P196" s="9"/>
      <c r="Q196" s="9">
        <v>83</v>
      </c>
      <c r="R196" s="9">
        <v>38</v>
      </c>
      <c r="S196" s="9">
        <v>121</v>
      </c>
      <c r="T196" s="14">
        <f t="shared" si="9"/>
        <v>4.8886544621836849</v>
      </c>
      <c r="U196" s="14">
        <f t="shared" si="10"/>
        <v>15.566504998005943</v>
      </c>
      <c r="V196" s="14">
        <f t="shared" si="11"/>
        <v>10.677850535822259</v>
      </c>
      <c r="W196" s="9"/>
      <c r="X196" s="9"/>
      <c r="Y196" s="9"/>
      <c r="Z196" s="9"/>
      <c r="AA196" s="9"/>
      <c r="AB196" s="9"/>
      <c r="AC196" s="9"/>
      <c r="AD196" s="9"/>
      <c r="AE196" s="9"/>
      <c r="AF196" s="9"/>
    </row>
    <row r="197" spans="1:32" ht="43.5">
      <c r="A197" s="3" t="s">
        <v>1693</v>
      </c>
      <c r="B197" s="3" t="s">
        <v>7809</v>
      </c>
      <c r="C197" s="3" t="s">
        <v>7810</v>
      </c>
      <c r="G197" s="9" t="s">
        <v>8729</v>
      </c>
      <c r="H197" s="9"/>
      <c r="I197" s="9"/>
      <c r="J197" s="9"/>
      <c r="K197" s="9"/>
      <c r="L197" s="9"/>
      <c r="M197" s="9"/>
      <c r="N197" s="10"/>
      <c r="O197" s="9"/>
      <c r="P197" s="9"/>
      <c r="Q197" s="9">
        <v>190</v>
      </c>
      <c r="R197" s="9">
        <v>329</v>
      </c>
      <c r="S197" s="9">
        <v>519</v>
      </c>
      <c r="T197" s="14">
        <f t="shared" si="9"/>
        <v>42.325455738379794</v>
      </c>
      <c r="U197" s="14">
        <f t="shared" si="10"/>
        <v>66.768728049298218</v>
      </c>
      <c r="V197" s="14">
        <f t="shared" si="11"/>
        <v>24.443272310918424</v>
      </c>
      <c r="W197" s="9"/>
      <c r="X197" s="9"/>
      <c r="Y197" s="9"/>
      <c r="Z197" s="9"/>
      <c r="AA197" s="9"/>
      <c r="AB197" s="9"/>
      <c r="AC197" s="9"/>
      <c r="AD197" s="9"/>
      <c r="AE197" s="9"/>
      <c r="AF197" s="9"/>
    </row>
    <row r="198" spans="1:32" ht="43.5">
      <c r="A198" s="3" t="s">
        <v>1694</v>
      </c>
      <c r="B198" s="3" t="s">
        <v>7812</v>
      </c>
      <c r="C198" s="3" t="s">
        <v>7813</v>
      </c>
      <c r="G198" s="9" t="s">
        <v>8729</v>
      </c>
      <c r="H198" s="9"/>
      <c r="I198" s="9"/>
      <c r="J198" s="9"/>
      <c r="K198" s="9"/>
      <c r="L198" s="9"/>
      <c r="M198" s="9"/>
      <c r="N198" s="10"/>
      <c r="O198" s="9"/>
      <c r="P198" s="9"/>
      <c r="Q198" s="9">
        <v>20</v>
      </c>
      <c r="R198" s="9">
        <v>13</v>
      </c>
      <c r="S198" s="9">
        <v>33</v>
      </c>
      <c r="T198" s="14">
        <f t="shared" si="9"/>
        <v>1.6724344212733659</v>
      </c>
      <c r="U198" s="14">
        <f t="shared" si="10"/>
        <v>4.2454104540016209</v>
      </c>
      <c r="V198" s="14">
        <f t="shared" si="11"/>
        <v>2.5729760327282549</v>
      </c>
      <c r="W198" s="9"/>
      <c r="X198" s="9"/>
      <c r="Y198" s="9"/>
      <c r="Z198" s="9"/>
      <c r="AA198" s="9"/>
      <c r="AB198" s="9"/>
      <c r="AC198" s="9"/>
      <c r="AD198" s="9"/>
      <c r="AE198" s="9"/>
      <c r="AF198" s="9"/>
    </row>
    <row r="199" spans="1:32" ht="29">
      <c r="A199" s="3" t="s">
        <v>1696</v>
      </c>
      <c r="B199" s="3" t="s">
        <v>7817</v>
      </c>
      <c r="C199" s="3" t="s">
        <v>7818</v>
      </c>
      <c r="F199" t="s">
        <v>3884</v>
      </c>
      <c r="G199" s="9" t="s">
        <v>8729</v>
      </c>
      <c r="H199" s="9"/>
      <c r="I199" s="9"/>
      <c r="J199" s="9"/>
      <c r="K199" s="9"/>
      <c r="L199" s="9"/>
      <c r="M199" s="9"/>
      <c r="N199" s="10"/>
      <c r="O199" s="9"/>
      <c r="P199" s="9"/>
      <c r="Q199" s="9">
        <v>44</v>
      </c>
      <c r="R199" s="9">
        <v>26</v>
      </c>
      <c r="S199" s="9">
        <v>70</v>
      </c>
      <c r="T199" s="14">
        <f t="shared" si="9"/>
        <v>3.3448688425467319</v>
      </c>
      <c r="U199" s="14">
        <f t="shared" si="10"/>
        <v>9.0054161145488933</v>
      </c>
      <c r="V199" s="14">
        <f t="shared" si="11"/>
        <v>5.6605472720021615</v>
      </c>
      <c r="W199" s="9"/>
      <c r="X199" s="9"/>
      <c r="Y199" s="9"/>
      <c r="Z199" s="9"/>
      <c r="AA199" s="9"/>
      <c r="AB199" s="9"/>
      <c r="AC199" s="9"/>
      <c r="AD199" s="9"/>
      <c r="AE199" s="9"/>
      <c r="AF199" s="9"/>
    </row>
    <row r="200" spans="1:32" ht="43.5">
      <c r="A200" s="3" t="s">
        <v>1702</v>
      </c>
      <c r="B200" s="3" t="s">
        <v>7834</v>
      </c>
      <c r="C200" s="3" t="s">
        <v>7835</v>
      </c>
      <c r="G200" s="9" t="s">
        <v>8729</v>
      </c>
      <c r="H200" s="9"/>
      <c r="I200" s="9"/>
      <c r="J200" s="9"/>
      <c r="K200" s="9"/>
      <c r="L200" s="9"/>
      <c r="M200" s="9"/>
      <c r="N200" s="10"/>
      <c r="O200" s="9"/>
      <c r="P200" s="9"/>
      <c r="Q200" s="9">
        <v>-190</v>
      </c>
      <c r="R200" s="9">
        <v>519</v>
      </c>
      <c r="S200" s="9">
        <v>329</v>
      </c>
      <c r="T200" s="14">
        <f t="shared" si="9"/>
        <v>66.768728049298218</v>
      </c>
      <c r="U200" s="14">
        <f t="shared" si="10"/>
        <v>42.325455738379794</v>
      </c>
      <c r="V200" s="14">
        <f t="shared" si="11"/>
        <v>-24.443272310918424</v>
      </c>
      <c r="W200" s="9" t="s">
        <v>8728</v>
      </c>
      <c r="X200" s="9"/>
      <c r="Y200" s="9"/>
      <c r="Z200" s="9"/>
      <c r="AA200" s="9"/>
      <c r="AB200" s="9"/>
      <c r="AC200" s="9"/>
      <c r="AD200" s="9"/>
      <c r="AE200" s="9"/>
      <c r="AF200" s="9"/>
    </row>
    <row r="201" spans="1:32" ht="29">
      <c r="A201" s="3" t="s">
        <v>1703</v>
      </c>
      <c r="B201" s="3" t="s">
        <v>7836</v>
      </c>
      <c r="C201" s="3" t="s">
        <v>7837</v>
      </c>
      <c r="G201" s="9" t="s">
        <v>8729</v>
      </c>
      <c r="H201" s="9"/>
      <c r="I201" s="9"/>
      <c r="J201" s="9"/>
      <c r="K201" s="9"/>
      <c r="L201" s="9"/>
      <c r="M201" s="9"/>
      <c r="N201" s="10"/>
      <c r="O201" s="9"/>
      <c r="P201" s="9"/>
      <c r="Q201" s="9">
        <v>3599</v>
      </c>
      <c r="R201" s="9">
        <v>79</v>
      </c>
      <c r="S201" s="9">
        <v>3678</v>
      </c>
      <c r="T201" s="14">
        <f t="shared" si="9"/>
        <v>10.163255329276607</v>
      </c>
      <c r="U201" s="14">
        <f t="shared" si="10"/>
        <v>473.17029241872609</v>
      </c>
      <c r="V201" s="14">
        <f t="shared" si="11"/>
        <v>463.00703708944951</v>
      </c>
      <c r="W201" s="9" t="s">
        <v>8728</v>
      </c>
      <c r="X201" s="9"/>
      <c r="Y201" s="9"/>
      <c r="Z201" s="9"/>
      <c r="AA201" s="9"/>
      <c r="AB201" s="9"/>
      <c r="AC201" s="9"/>
      <c r="AD201" s="9"/>
      <c r="AE201" s="9"/>
      <c r="AF201" s="9"/>
    </row>
    <row r="202" spans="1:32" ht="43.5">
      <c r="A202" s="3" t="s">
        <v>1704</v>
      </c>
      <c r="B202" s="3" t="s">
        <v>7840</v>
      </c>
      <c r="C202" s="3" t="s">
        <v>7841</v>
      </c>
      <c r="F202" t="s">
        <v>3884</v>
      </c>
      <c r="G202" s="9" t="s">
        <v>8729</v>
      </c>
      <c r="H202" s="9"/>
      <c r="I202" s="9"/>
      <c r="J202" s="9"/>
      <c r="K202" s="9"/>
      <c r="L202" s="9"/>
      <c r="M202" s="9"/>
      <c r="N202" s="10"/>
      <c r="O202" s="9"/>
      <c r="P202" s="9"/>
      <c r="Q202" s="9">
        <v>-180</v>
      </c>
      <c r="R202" s="9">
        <v>206</v>
      </c>
      <c r="S202" s="9">
        <v>26</v>
      </c>
      <c r="T202" s="14">
        <f t="shared" si="9"/>
        <v>26.50165313710103</v>
      </c>
      <c r="U202" s="14">
        <f t="shared" si="10"/>
        <v>3.3448688425467319</v>
      </c>
      <c r="V202" s="14">
        <f t="shared" si="11"/>
        <v>-23.156784294554299</v>
      </c>
      <c r="W202" s="9"/>
      <c r="X202" s="9"/>
      <c r="Y202" s="9"/>
      <c r="Z202" s="9"/>
      <c r="AA202" s="9"/>
      <c r="AB202" s="9"/>
      <c r="AC202" s="9"/>
      <c r="AD202" s="9"/>
      <c r="AE202" s="9"/>
      <c r="AF202" s="9"/>
    </row>
    <row r="203" spans="1:32" ht="43.5">
      <c r="A203" s="3" t="s">
        <v>1706</v>
      </c>
      <c r="B203" s="3" t="s">
        <v>7849</v>
      </c>
      <c r="C203" s="3" t="s">
        <v>7850</v>
      </c>
      <c r="F203" t="s">
        <v>3884</v>
      </c>
      <c r="G203" s="9" t="s">
        <v>8729</v>
      </c>
      <c r="H203" s="9"/>
      <c r="I203" s="9"/>
      <c r="J203" s="9"/>
      <c r="K203" s="9"/>
      <c r="L203" s="9"/>
      <c r="M203" s="9"/>
      <c r="N203" s="10"/>
      <c r="O203" s="9"/>
      <c r="P203" s="9"/>
      <c r="Q203" s="9">
        <v>-3599</v>
      </c>
      <c r="R203" s="9">
        <v>3678</v>
      </c>
      <c r="S203" s="9">
        <v>79</v>
      </c>
      <c r="T203" s="14">
        <f t="shared" si="9"/>
        <v>473.17029241872609</v>
      </c>
      <c r="U203" s="14">
        <f t="shared" si="10"/>
        <v>10.163255329276607</v>
      </c>
      <c r="V203" s="14">
        <f t="shared" si="11"/>
        <v>-463.00703708944951</v>
      </c>
      <c r="W203" s="9"/>
      <c r="X203" s="9"/>
      <c r="Y203" s="9"/>
      <c r="Z203" s="9"/>
      <c r="AA203" s="9"/>
      <c r="AB203" s="9"/>
      <c r="AC203" s="9"/>
      <c r="AD203" s="9"/>
      <c r="AE203" s="9"/>
      <c r="AF203" s="9"/>
    </row>
    <row r="204" spans="1:32">
      <c r="A204" s="3" t="s">
        <v>1712</v>
      </c>
      <c r="B204" s="3" t="s">
        <v>3738</v>
      </c>
      <c r="C204" s="3" t="s">
        <v>3739</v>
      </c>
      <c r="G204" s="9" t="s">
        <v>8729</v>
      </c>
      <c r="H204" s="9"/>
      <c r="I204" s="9"/>
      <c r="J204" s="9"/>
      <c r="K204" s="9"/>
      <c r="L204" s="9"/>
      <c r="M204" s="9"/>
      <c r="N204" s="10"/>
      <c r="O204" s="9"/>
      <c r="P204" s="9"/>
      <c r="Q204" s="9">
        <v>34</v>
      </c>
      <c r="R204" s="9">
        <v>0</v>
      </c>
      <c r="S204" s="9">
        <v>34</v>
      </c>
      <c r="T204" s="14">
        <f t="shared" si="9"/>
        <v>0</v>
      </c>
      <c r="U204" s="14">
        <f t="shared" si="10"/>
        <v>4.3740592556380333</v>
      </c>
      <c r="V204" s="14">
        <f t="shared" si="11"/>
        <v>4.3740592556380333</v>
      </c>
      <c r="W204" s="9"/>
      <c r="X204" s="9"/>
      <c r="Y204" s="9"/>
      <c r="Z204" s="9"/>
      <c r="AA204" s="9"/>
      <c r="AB204" s="9"/>
      <c r="AC204" s="9"/>
      <c r="AD204" s="9"/>
      <c r="AE204" s="9"/>
      <c r="AF204" s="9"/>
    </row>
    <row r="205" spans="1:32" ht="409.5">
      <c r="A205" s="3" t="s">
        <v>1717</v>
      </c>
      <c r="B205" s="3" t="s">
        <v>7884</v>
      </c>
      <c r="C205" s="3" t="s">
        <v>7883</v>
      </c>
      <c r="G205" s="9" t="s">
        <v>8729</v>
      </c>
      <c r="H205" s="9"/>
      <c r="I205" s="9"/>
      <c r="J205" s="9"/>
      <c r="K205" s="9"/>
      <c r="L205" s="9"/>
      <c r="M205" s="9"/>
      <c r="N205" s="10"/>
      <c r="O205" s="9"/>
      <c r="P205" s="9"/>
      <c r="Q205" s="9">
        <v>-4</v>
      </c>
      <c r="R205" s="9">
        <v>8</v>
      </c>
      <c r="S205" s="9">
        <v>4</v>
      </c>
      <c r="T205" s="14">
        <f t="shared" si="9"/>
        <v>1.0291904130913021</v>
      </c>
      <c r="U205" s="14">
        <f t="shared" si="10"/>
        <v>0.51459520654565105</v>
      </c>
      <c r="V205" s="14">
        <f t="shared" si="11"/>
        <v>-0.51459520654565105</v>
      </c>
      <c r="W205" s="9" t="s">
        <v>8728</v>
      </c>
      <c r="X205" s="9"/>
      <c r="Y205" s="9"/>
      <c r="Z205" s="9"/>
      <c r="AA205" s="9"/>
      <c r="AB205" s="9"/>
      <c r="AC205" s="9"/>
      <c r="AD205" s="9"/>
      <c r="AE205" s="9"/>
      <c r="AF205" s="9"/>
    </row>
    <row r="206" spans="1:32" ht="43.5">
      <c r="A206" s="3" t="s">
        <v>1720</v>
      </c>
      <c r="B206" s="3" t="s">
        <v>7895</v>
      </c>
      <c r="C206" s="3" t="s">
        <v>7896</v>
      </c>
      <c r="G206" s="9" t="s">
        <v>8729</v>
      </c>
      <c r="H206" s="9"/>
      <c r="I206" s="9"/>
      <c r="J206" s="9"/>
      <c r="K206" s="9"/>
      <c r="L206" s="9"/>
      <c r="M206" s="9"/>
      <c r="N206" s="10"/>
      <c r="O206" s="9"/>
      <c r="P206" s="9"/>
      <c r="Q206" s="9">
        <v>-78</v>
      </c>
      <c r="R206" s="9">
        <v>128</v>
      </c>
      <c r="S206" s="9">
        <v>50</v>
      </c>
      <c r="T206" s="14">
        <f t="shared" si="9"/>
        <v>16.467046609460834</v>
      </c>
      <c r="U206" s="14">
        <f t="shared" si="10"/>
        <v>6.432440081820638</v>
      </c>
      <c r="V206" s="14">
        <f t="shared" si="11"/>
        <v>-10.034606527640197</v>
      </c>
      <c r="W206" s="9"/>
      <c r="X206" s="9"/>
      <c r="Y206" s="9"/>
      <c r="Z206" s="9"/>
      <c r="AA206" s="9"/>
      <c r="AB206" s="9"/>
      <c r="AC206" s="9"/>
      <c r="AD206" s="9"/>
      <c r="AE206" s="9"/>
      <c r="AF206" s="9"/>
    </row>
    <row r="207" spans="1:32" ht="29">
      <c r="A207" s="3" t="s">
        <v>1722</v>
      </c>
      <c r="B207" s="3" t="s">
        <v>7903</v>
      </c>
      <c r="C207" s="3" t="s">
        <v>7904</v>
      </c>
      <c r="G207" s="9" t="s">
        <v>8729</v>
      </c>
      <c r="H207" s="9"/>
      <c r="I207" s="9"/>
      <c r="J207" s="9"/>
      <c r="K207" s="9"/>
      <c r="L207" s="9"/>
      <c r="M207" s="9"/>
      <c r="N207" s="10"/>
      <c r="O207" s="9"/>
      <c r="P207" s="9"/>
      <c r="Q207" s="9">
        <v>57</v>
      </c>
      <c r="R207" s="9">
        <v>1</v>
      </c>
      <c r="S207" s="9">
        <v>58</v>
      </c>
      <c r="T207" s="14">
        <f t="shared" si="9"/>
        <v>0.12864880163641276</v>
      </c>
      <c r="U207" s="14">
        <f t="shared" si="10"/>
        <v>7.4616304949119403</v>
      </c>
      <c r="V207" s="14">
        <f t="shared" si="11"/>
        <v>7.3329816932755278</v>
      </c>
      <c r="W207" s="9"/>
      <c r="X207" s="9"/>
      <c r="Y207" s="9"/>
      <c r="Z207" s="9"/>
      <c r="AA207" s="9"/>
      <c r="AB207" s="9"/>
      <c r="AC207" s="9"/>
      <c r="AD207" s="9"/>
      <c r="AE207" s="9"/>
      <c r="AF207" s="9"/>
    </row>
    <row r="208" spans="1:32">
      <c r="A208" s="3" t="s">
        <v>1723</v>
      </c>
      <c r="B208" s="3" t="s">
        <v>3748</v>
      </c>
      <c r="C208" s="3" t="s">
        <v>3749</v>
      </c>
      <c r="G208" s="9" t="s">
        <v>8729</v>
      </c>
      <c r="H208" s="9"/>
      <c r="I208" s="9"/>
      <c r="J208" s="9"/>
      <c r="K208" s="9"/>
      <c r="L208" s="9"/>
      <c r="M208" s="9"/>
      <c r="N208" s="10"/>
      <c r="O208" s="9"/>
      <c r="P208" s="9"/>
      <c r="Q208" s="9">
        <v>-4</v>
      </c>
      <c r="R208" s="9">
        <v>6</v>
      </c>
      <c r="S208" s="9">
        <v>2</v>
      </c>
      <c r="T208" s="14">
        <f t="shared" si="9"/>
        <v>0.77189280981847652</v>
      </c>
      <c r="U208" s="14">
        <f t="shared" si="10"/>
        <v>0.25729760327282553</v>
      </c>
      <c r="V208" s="14">
        <f t="shared" si="11"/>
        <v>-0.51459520654565094</v>
      </c>
      <c r="W208" s="9"/>
      <c r="X208" s="9"/>
      <c r="Y208" s="9"/>
      <c r="Z208" s="9"/>
      <c r="AA208" s="9"/>
      <c r="AB208" s="9"/>
      <c r="AC208" s="9"/>
      <c r="AD208" s="9"/>
      <c r="AE208" s="9"/>
      <c r="AF208" s="9"/>
    </row>
    <row r="209" spans="1:32" ht="29">
      <c r="A209" s="3" t="s">
        <v>1730</v>
      </c>
      <c r="B209" s="3" t="s">
        <v>7920</v>
      </c>
      <c r="C209" s="3" t="s">
        <v>5590</v>
      </c>
      <c r="F209" t="s">
        <v>3884</v>
      </c>
      <c r="G209" s="9" t="s">
        <v>8729</v>
      </c>
      <c r="H209" s="9"/>
      <c r="I209" s="9"/>
      <c r="J209" s="9"/>
      <c r="K209" s="9"/>
      <c r="L209" s="9"/>
      <c r="M209" s="9"/>
      <c r="N209" s="10"/>
      <c r="O209" s="9"/>
      <c r="P209" s="9"/>
      <c r="Q209" s="9">
        <v>42</v>
      </c>
      <c r="R209" s="9">
        <v>1443</v>
      </c>
      <c r="S209" s="9">
        <v>1485</v>
      </c>
      <c r="T209" s="14">
        <f t="shared" si="9"/>
        <v>185.64022076134361</v>
      </c>
      <c r="U209" s="14">
        <f t="shared" si="10"/>
        <v>191.04347043007292</v>
      </c>
      <c r="V209" s="14">
        <f t="shared" si="11"/>
        <v>5.4032496687293019</v>
      </c>
      <c r="W209" s="9"/>
      <c r="X209" s="9"/>
      <c r="Y209" s="9"/>
      <c r="Z209" s="9"/>
      <c r="AA209" s="9"/>
      <c r="AB209" s="9"/>
      <c r="AC209" s="9"/>
      <c r="AD209" s="9"/>
      <c r="AE209" s="9"/>
      <c r="AF209" s="9"/>
    </row>
    <row r="210" spans="1:32" ht="58">
      <c r="A210" s="3" t="s">
        <v>1752</v>
      </c>
      <c r="B210" s="3" t="s">
        <v>8009</v>
      </c>
      <c r="C210" s="3" t="s">
        <v>8010</v>
      </c>
      <c r="F210" t="s">
        <v>3884</v>
      </c>
      <c r="G210" s="9" t="s">
        <v>8729</v>
      </c>
      <c r="H210" s="9"/>
      <c r="I210" s="9"/>
      <c r="J210" s="9"/>
      <c r="K210" s="9"/>
      <c r="L210" s="9"/>
      <c r="M210" s="9"/>
      <c r="N210" s="10"/>
      <c r="O210" s="9" t="s">
        <v>8691</v>
      </c>
      <c r="P210" s="9"/>
      <c r="Q210" s="9">
        <v>-116</v>
      </c>
      <c r="R210" s="9">
        <v>266</v>
      </c>
      <c r="S210" s="9">
        <v>150</v>
      </c>
      <c r="T210" s="14">
        <f t="shared" si="9"/>
        <v>34.220581235285792</v>
      </c>
      <c r="U210" s="14">
        <f t="shared" si="10"/>
        <v>19.297320245461915</v>
      </c>
      <c r="V210" s="14">
        <f t="shared" si="11"/>
        <v>-14.923260989823877</v>
      </c>
      <c r="W210" s="9"/>
      <c r="X210" s="9"/>
      <c r="Y210" s="9"/>
      <c r="Z210" s="9"/>
      <c r="AA210" s="9"/>
      <c r="AB210" s="9"/>
      <c r="AC210" s="9"/>
      <c r="AD210" s="9"/>
      <c r="AE210" s="9"/>
      <c r="AF210" s="9"/>
    </row>
    <row r="211" spans="1:32" ht="43.5">
      <c r="A211" s="3" t="s">
        <v>1755</v>
      </c>
      <c r="B211" s="3" t="s">
        <v>8017</v>
      </c>
      <c r="C211" s="3" t="s">
        <v>8018</v>
      </c>
      <c r="F211" t="s">
        <v>3884</v>
      </c>
      <c r="G211" s="9" t="s">
        <v>8729</v>
      </c>
      <c r="H211" s="9"/>
      <c r="I211" s="9"/>
      <c r="J211" s="9"/>
      <c r="K211" s="9"/>
      <c r="L211" s="9"/>
      <c r="M211" s="9"/>
      <c r="N211" s="10"/>
      <c r="O211" s="9"/>
      <c r="P211" s="9"/>
      <c r="Q211" s="9">
        <v>-78</v>
      </c>
      <c r="R211" s="9">
        <v>128</v>
      </c>
      <c r="S211" s="9">
        <v>50</v>
      </c>
      <c r="T211" s="14">
        <f t="shared" si="9"/>
        <v>16.467046609460834</v>
      </c>
      <c r="U211" s="14">
        <f t="shared" si="10"/>
        <v>6.432440081820638</v>
      </c>
      <c r="V211" s="14">
        <f t="shared" si="11"/>
        <v>-10.034606527640197</v>
      </c>
      <c r="W211" s="9"/>
      <c r="X211" s="9"/>
      <c r="Y211" s="9"/>
      <c r="Z211" s="9"/>
      <c r="AA211" s="9"/>
      <c r="AB211" s="9"/>
      <c r="AC211" s="9"/>
      <c r="AD211" s="9"/>
      <c r="AE211" s="9"/>
      <c r="AF211" s="9"/>
    </row>
    <row r="212" spans="1:32" ht="29">
      <c r="A212" s="3" t="s">
        <v>1762</v>
      </c>
      <c r="B212" s="3" t="s">
        <v>8050</v>
      </c>
      <c r="C212" s="3" t="s">
        <v>8051</v>
      </c>
      <c r="G212" s="9" t="s">
        <v>8729</v>
      </c>
      <c r="H212" s="9"/>
      <c r="I212" s="9"/>
      <c r="J212" s="9"/>
      <c r="K212" s="9"/>
      <c r="L212" s="9"/>
      <c r="M212" s="9"/>
      <c r="N212" s="10"/>
      <c r="O212" s="9"/>
      <c r="P212" s="9"/>
      <c r="Q212" s="9">
        <v>-88</v>
      </c>
      <c r="R212" s="9">
        <v>206</v>
      </c>
      <c r="S212" s="9">
        <v>118</v>
      </c>
      <c r="T212" s="14">
        <f t="shared" si="9"/>
        <v>26.50165313710103</v>
      </c>
      <c r="U212" s="14">
        <f t="shared" si="10"/>
        <v>15.180558593096704</v>
      </c>
      <c r="V212" s="14">
        <f t="shared" si="11"/>
        <v>-11.321094544004326</v>
      </c>
      <c r="W212" s="9"/>
      <c r="X212" s="9"/>
      <c r="Y212" s="9"/>
      <c r="Z212" s="9"/>
      <c r="AA212" s="9"/>
      <c r="AB212" s="9"/>
      <c r="AC212" s="9"/>
      <c r="AD212" s="9"/>
      <c r="AE212" s="9"/>
      <c r="AF212" s="9"/>
    </row>
    <row r="213" spans="1:32" ht="29">
      <c r="A213" s="3" t="s">
        <v>1766</v>
      </c>
      <c r="B213" s="3" t="s">
        <v>8066</v>
      </c>
      <c r="C213" s="3" t="s">
        <v>8067</v>
      </c>
      <c r="F213" t="s">
        <v>3884</v>
      </c>
      <c r="G213" s="9" t="s">
        <v>8729</v>
      </c>
      <c r="H213" s="9"/>
      <c r="I213" s="9"/>
      <c r="J213" s="9"/>
      <c r="K213" s="9"/>
      <c r="L213" s="9"/>
      <c r="M213" s="9"/>
      <c r="N213" s="10"/>
      <c r="O213" s="9"/>
      <c r="P213" s="9"/>
      <c r="Q213" s="9">
        <v>-30</v>
      </c>
      <c r="R213" s="9">
        <v>30</v>
      </c>
      <c r="S213" s="9">
        <v>0</v>
      </c>
      <c r="T213" s="14">
        <f t="shared" si="9"/>
        <v>3.8594640490923826</v>
      </c>
      <c r="U213" s="14">
        <f t="shared" si="10"/>
        <v>0</v>
      </c>
      <c r="V213" s="14">
        <f t="shared" si="11"/>
        <v>-3.8594640490923826</v>
      </c>
      <c r="W213" s="9"/>
      <c r="X213" s="9"/>
      <c r="Y213" s="9"/>
      <c r="Z213" s="9"/>
      <c r="AA213" s="9"/>
      <c r="AB213" s="9"/>
      <c r="AC213" s="9"/>
      <c r="AD213" s="9"/>
      <c r="AE213" s="9"/>
      <c r="AF213" s="9"/>
    </row>
    <row r="214" spans="1:32" ht="29">
      <c r="A214" s="3" t="s">
        <v>1770</v>
      </c>
      <c r="B214" s="3" t="s">
        <v>8087</v>
      </c>
      <c r="C214" s="3" t="s">
        <v>8088</v>
      </c>
      <c r="G214" s="9" t="s">
        <v>8729</v>
      </c>
      <c r="H214" s="9"/>
      <c r="I214" s="9"/>
      <c r="J214" s="9"/>
      <c r="K214" s="9"/>
      <c r="L214" s="9"/>
      <c r="M214" s="9"/>
      <c r="N214" s="10"/>
      <c r="O214" s="9"/>
      <c r="P214" s="9"/>
      <c r="Q214" s="9">
        <v>-422</v>
      </c>
      <c r="R214" s="9">
        <v>653</v>
      </c>
      <c r="S214" s="9">
        <v>231</v>
      </c>
      <c r="T214" s="14">
        <f t="shared" si="9"/>
        <v>84.007667468577537</v>
      </c>
      <c r="U214" s="14">
        <f t="shared" si="10"/>
        <v>29.717873178011349</v>
      </c>
      <c r="V214" s="14">
        <f t="shared" si="11"/>
        <v>-54.289794290566192</v>
      </c>
      <c r="W214" s="9"/>
      <c r="X214" s="9"/>
      <c r="Y214" s="9"/>
      <c r="Z214" s="9"/>
      <c r="AA214" s="9"/>
      <c r="AB214" s="9"/>
      <c r="AC214" s="9"/>
      <c r="AD214" s="9"/>
      <c r="AE214" s="9"/>
      <c r="AF214" s="9"/>
    </row>
    <row r="215" spans="1:32">
      <c r="A215" s="3" t="s">
        <v>1770</v>
      </c>
      <c r="B215" s="3" t="s">
        <v>8089</v>
      </c>
      <c r="C215" s="3" t="s">
        <v>8090</v>
      </c>
      <c r="G215" s="9" t="s">
        <v>8732</v>
      </c>
      <c r="H215" s="9"/>
      <c r="I215" s="9"/>
      <c r="J215" s="9"/>
      <c r="K215" s="9"/>
      <c r="L215" s="9"/>
      <c r="M215" s="9"/>
      <c r="N215" s="10"/>
      <c r="O215" s="9"/>
      <c r="P215" s="9"/>
      <c r="Q215" s="9">
        <v>88</v>
      </c>
      <c r="R215" s="9">
        <v>12</v>
      </c>
      <c r="S215" s="9">
        <v>100</v>
      </c>
      <c r="T215" s="14">
        <f t="shared" si="9"/>
        <v>1.543785619636953</v>
      </c>
      <c r="U215" s="14">
        <f t="shared" si="10"/>
        <v>12.864880163641276</v>
      </c>
      <c r="V215" s="14">
        <f t="shared" si="11"/>
        <v>11.321094544004323</v>
      </c>
      <c r="W215" s="9" t="s">
        <v>4</v>
      </c>
      <c r="X215" s="9"/>
      <c r="Y215" s="9"/>
      <c r="Z215" s="9"/>
      <c r="AA215" s="9"/>
      <c r="AB215" s="9"/>
      <c r="AC215" s="9"/>
      <c r="AD215" s="9"/>
      <c r="AE215" s="9"/>
      <c r="AF215" s="9"/>
    </row>
    <row r="216" spans="1:32" ht="43.5">
      <c r="A216" s="3" t="s">
        <v>1777</v>
      </c>
      <c r="B216" s="3" t="s">
        <v>8110</v>
      </c>
      <c r="C216" s="3" t="s">
        <v>8111</v>
      </c>
      <c r="F216" t="s">
        <v>3884</v>
      </c>
      <c r="G216" s="9" t="s">
        <v>8732</v>
      </c>
      <c r="H216" s="9"/>
      <c r="I216" s="9"/>
      <c r="J216" s="9"/>
      <c r="K216" s="9"/>
      <c r="L216" s="9"/>
      <c r="M216" s="9"/>
      <c r="N216" s="10"/>
      <c r="O216" s="9"/>
      <c r="P216" s="9"/>
      <c r="Q216" s="9">
        <v>-53</v>
      </c>
      <c r="R216" s="9">
        <v>319</v>
      </c>
      <c r="S216" s="9">
        <v>266</v>
      </c>
      <c r="T216" s="14">
        <f t="shared" si="9"/>
        <v>41.03896772201567</v>
      </c>
      <c r="U216" s="14">
        <f t="shared" si="10"/>
        <v>34.220581235285792</v>
      </c>
      <c r="V216" s="14">
        <f t="shared" si="11"/>
        <v>-6.818386486729878</v>
      </c>
      <c r="W216" s="9"/>
      <c r="X216" s="9"/>
      <c r="Y216" s="9"/>
      <c r="Z216" s="9"/>
      <c r="AA216" s="9"/>
      <c r="AB216" s="9"/>
      <c r="AC216" s="9"/>
      <c r="AD216" s="9"/>
      <c r="AE216" s="9"/>
      <c r="AF216" s="9"/>
    </row>
    <row r="217" spans="1:32" ht="43.5">
      <c r="A217" s="3" t="s">
        <v>1782</v>
      </c>
      <c r="B217" s="3" t="s">
        <v>8125</v>
      </c>
      <c r="C217" s="3" t="s">
        <v>3783</v>
      </c>
      <c r="F217" t="s">
        <v>3884</v>
      </c>
      <c r="G217" s="9" t="s">
        <v>8729</v>
      </c>
      <c r="H217" s="9"/>
      <c r="I217" s="9"/>
      <c r="J217" s="9"/>
      <c r="K217" s="9"/>
      <c r="L217" s="9"/>
      <c r="M217" s="9"/>
      <c r="N217" s="10"/>
      <c r="O217" s="9"/>
      <c r="P217" s="9"/>
      <c r="Q217" s="9">
        <v>-185</v>
      </c>
      <c r="R217" s="9">
        <v>185</v>
      </c>
      <c r="S217" s="9">
        <v>0</v>
      </c>
      <c r="T217" s="14">
        <f t="shared" si="9"/>
        <v>23.800028302736358</v>
      </c>
      <c r="U217" s="14">
        <f t="shared" si="10"/>
        <v>0</v>
      </c>
      <c r="V217" s="14">
        <f t="shared" si="11"/>
        <v>-23.800028302736358</v>
      </c>
      <c r="W217" s="9"/>
      <c r="X217" s="9"/>
      <c r="Y217" s="9"/>
      <c r="Z217" s="9"/>
      <c r="AA217" s="9"/>
      <c r="AB217" s="9"/>
      <c r="AC217" s="9"/>
      <c r="AD217" s="9"/>
      <c r="AE217" s="9"/>
      <c r="AF217" s="9"/>
    </row>
    <row r="218" spans="1:32" ht="43.5">
      <c r="A218" s="3" t="s">
        <v>1794</v>
      </c>
      <c r="B218" s="3" t="s">
        <v>9167</v>
      </c>
      <c r="C218" s="3" t="s">
        <v>9168</v>
      </c>
      <c r="G218" s="9" t="s">
        <v>8729</v>
      </c>
      <c r="H218" s="9"/>
      <c r="I218" s="9"/>
      <c r="J218" s="9"/>
      <c r="K218" s="9"/>
      <c r="L218" s="9"/>
      <c r="M218" s="9"/>
      <c r="N218" s="10"/>
      <c r="O218" s="9"/>
      <c r="P218" s="9"/>
      <c r="Q218" s="9">
        <v>-606</v>
      </c>
      <c r="R218" s="9">
        <v>627</v>
      </c>
      <c r="S218" s="9">
        <v>21</v>
      </c>
      <c r="T218" s="14">
        <f t="shared" si="9"/>
        <v>80.662798626030806</v>
      </c>
      <c r="U218" s="14">
        <f t="shared" si="10"/>
        <v>2.7016248343646683</v>
      </c>
      <c r="V218" s="14">
        <f t="shared" si="11"/>
        <v>-77.961173791666141</v>
      </c>
      <c r="W218" s="9"/>
      <c r="X218" s="9"/>
      <c r="Y218" s="9"/>
      <c r="Z218" s="9"/>
      <c r="AA218" s="9"/>
      <c r="AB218" s="9"/>
      <c r="AC218" s="9"/>
      <c r="AD218" s="9"/>
      <c r="AE218" s="9"/>
      <c r="AF218" s="9"/>
    </row>
    <row r="219" spans="1:32" ht="58">
      <c r="A219" s="3" t="s">
        <v>1796</v>
      </c>
      <c r="B219" s="3" t="s">
        <v>9663</v>
      </c>
      <c r="C219" s="3" t="s">
        <v>9662</v>
      </c>
      <c r="G219" s="9" t="s">
        <v>8729</v>
      </c>
      <c r="H219" s="9"/>
      <c r="I219" s="9"/>
      <c r="J219" s="9"/>
      <c r="K219" s="9"/>
      <c r="L219" s="9"/>
      <c r="M219" s="9"/>
      <c r="N219" s="10"/>
      <c r="O219" s="9"/>
      <c r="P219" s="9"/>
      <c r="Q219" s="9">
        <v>-52</v>
      </c>
      <c r="R219" s="9">
        <v>90</v>
      </c>
      <c r="S219" s="9">
        <v>38</v>
      </c>
      <c r="T219" s="14">
        <f t="shared" si="9"/>
        <v>11.57839214727715</v>
      </c>
      <c r="U219" s="14">
        <f t="shared" si="10"/>
        <v>4.8886544621836849</v>
      </c>
      <c r="V219" s="14">
        <f t="shared" si="11"/>
        <v>-6.6897376850934647</v>
      </c>
      <c r="W219" s="9"/>
      <c r="X219" s="9"/>
      <c r="Y219" s="9"/>
      <c r="Z219" s="9"/>
      <c r="AA219" s="9"/>
      <c r="AB219" s="9"/>
      <c r="AC219" s="9"/>
      <c r="AD219" s="9"/>
      <c r="AE219" s="9"/>
      <c r="AF219" s="9"/>
    </row>
    <row r="220" spans="1:32">
      <c r="A220" s="3" t="s">
        <v>1806</v>
      </c>
      <c r="B220" s="3" t="s">
        <v>3795</v>
      </c>
      <c r="C220" s="3" t="s">
        <v>3621</v>
      </c>
      <c r="F220" t="s">
        <v>3892</v>
      </c>
      <c r="G220" s="9" t="s">
        <v>8729</v>
      </c>
      <c r="H220" s="9"/>
      <c r="I220" s="9"/>
      <c r="J220" s="9"/>
      <c r="K220" s="9"/>
      <c r="L220" s="9"/>
      <c r="M220" s="9"/>
      <c r="N220" s="10"/>
      <c r="O220" s="9"/>
      <c r="P220" s="9"/>
      <c r="Q220" s="9">
        <v>3</v>
      </c>
      <c r="R220" s="9">
        <v>1</v>
      </c>
      <c r="S220" s="9">
        <v>4</v>
      </c>
      <c r="T220" s="14">
        <f t="shared" si="9"/>
        <v>0.12864880163641276</v>
      </c>
      <c r="U220" s="14">
        <f t="shared" si="10"/>
        <v>0.51459520654565105</v>
      </c>
      <c r="V220" s="14">
        <f t="shared" si="11"/>
        <v>0.38594640490923826</v>
      </c>
      <c r="W220" s="9"/>
      <c r="X220" s="9"/>
      <c r="Y220" s="9"/>
      <c r="Z220" s="9"/>
      <c r="AA220" s="9"/>
      <c r="AB220" s="9"/>
      <c r="AC220" s="9"/>
      <c r="AD220" s="9"/>
      <c r="AE220" s="9"/>
      <c r="AF220" s="9"/>
    </row>
    <row r="221" spans="1:32" ht="43.5">
      <c r="A221" s="3" t="s">
        <v>1806</v>
      </c>
      <c r="B221" s="3" t="s">
        <v>8200</v>
      </c>
      <c r="C221" s="3" t="s">
        <v>8201</v>
      </c>
      <c r="F221" t="s">
        <v>3884</v>
      </c>
      <c r="G221" s="9" t="s">
        <v>8729</v>
      </c>
      <c r="H221" s="9"/>
      <c r="I221" s="9"/>
      <c r="J221" s="9"/>
      <c r="K221" s="9"/>
      <c r="L221" s="9"/>
      <c r="M221" s="9"/>
      <c r="N221" s="10"/>
      <c r="O221" s="9"/>
      <c r="P221" s="9"/>
      <c r="Q221" s="9">
        <v>2193</v>
      </c>
      <c r="R221" s="9">
        <v>1485</v>
      </c>
      <c r="S221" s="9">
        <v>3678</v>
      </c>
      <c r="T221" s="14">
        <f t="shared" si="9"/>
        <v>191.04347043007292</v>
      </c>
      <c r="U221" s="14">
        <f t="shared" si="10"/>
        <v>473.17029241872609</v>
      </c>
      <c r="V221" s="14">
        <f t="shared" si="11"/>
        <v>282.12682198865321</v>
      </c>
      <c r="W221" s="9"/>
      <c r="X221" s="9"/>
      <c r="Y221" s="9"/>
      <c r="Z221" s="9"/>
      <c r="AA221" s="9"/>
      <c r="AB221" s="9"/>
      <c r="AC221" s="9"/>
      <c r="AD221" s="9"/>
      <c r="AE221" s="9"/>
      <c r="AF221" s="9"/>
    </row>
    <row r="222" spans="1:32" ht="43.5">
      <c r="A222" s="3" t="s">
        <v>1808</v>
      </c>
      <c r="B222" s="4" t="s">
        <v>8206</v>
      </c>
      <c r="C222" s="3" t="s">
        <v>8207</v>
      </c>
      <c r="D222" t="s">
        <v>4196</v>
      </c>
      <c r="F222" t="s">
        <v>3884</v>
      </c>
      <c r="G222" s="9" t="s">
        <v>8729</v>
      </c>
      <c r="H222" s="9"/>
      <c r="I222" s="9"/>
      <c r="J222" s="9"/>
      <c r="K222" s="9"/>
      <c r="L222" s="9"/>
      <c r="M222" s="9"/>
      <c r="N222" s="10"/>
      <c r="O222" s="9"/>
      <c r="P222" s="9"/>
      <c r="Q222" s="9">
        <v>-22</v>
      </c>
      <c r="R222" s="9">
        <v>54</v>
      </c>
      <c r="S222" s="9">
        <v>32</v>
      </c>
      <c r="T222" s="14">
        <f t="shared" si="9"/>
        <v>6.9470352883662887</v>
      </c>
      <c r="U222" s="14">
        <f t="shared" si="10"/>
        <v>4.1167616523652084</v>
      </c>
      <c r="V222" s="14">
        <f t="shared" si="11"/>
        <v>-2.8302736360010803</v>
      </c>
      <c r="W222" s="9"/>
      <c r="X222" s="9"/>
      <c r="Y222" s="9"/>
      <c r="Z222" s="9"/>
      <c r="AA222" s="9"/>
      <c r="AB222" s="9"/>
      <c r="AC222" s="9"/>
      <c r="AD222" s="9"/>
      <c r="AE222" s="9"/>
      <c r="AF222" s="9"/>
    </row>
    <row r="223" spans="1:32" ht="43.5">
      <c r="A223" s="3" t="s">
        <v>1812</v>
      </c>
      <c r="B223" s="3" t="s">
        <v>8226</v>
      </c>
      <c r="C223" s="3" t="s">
        <v>8227</v>
      </c>
      <c r="G223" s="9" t="s">
        <v>8729</v>
      </c>
      <c r="H223" s="9"/>
      <c r="I223" s="9"/>
      <c r="J223" s="9"/>
      <c r="K223" s="9"/>
      <c r="L223" s="9"/>
      <c r="M223" s="9"/>
      <c r="N223" s="10"/>
      <c r="O223" s="9"/>
      <c r="P223" s="9"/>
      <c r="Q223" s="9">
        <v>3</v>
      </c>
      <c r="R223" s="9">
        <v>0</v>
      </c>
      <c r="S223" s="9">
        <v>3</v>
      </c>
      <c r="T223" s="14">
        <f t="shared" si="9"/>
        <v>0</v>
      </c>
      <c r="U223" s="14">
        <f t="shared" si="10"/>
        <v>0.38594640490923826</v>
      </c>
      <c r="V223" s="14">
        <f t="shared" si="11"/>
        <v>0.38594640490923826</v>
      </c>
      <c r="W223" s="9"/>
      <c r="X223" s="9"/>
      <c r="Y223" s="9"/>
      <c r="Z223" s="9"/>
      <c r="AA223" s="9"/>
      <c r="AB223" s="9"/>
      <c r="AC223" s="9"/>
      <c r="AD223" s="9"/>
      <c r="AE223" s="9"/>
      <c r="AF223" s="9"/>
    </row>
    <row r="224" spans="1:32" ht="58">
      <c r="A224" s="3" t="s">
        <v>1814</v>
      </c>
      <c r="B224" s="3" t="s">
        <v>8236</v>
      </c>
      <c r="C224" s="3" t="s">
        <v>8237</v>
      </c>
      <c r="F224" t="s">
        <v>3884</v>
      </c>
      <c r="G224" s="9" t="s">
        <v>8729</v>
      </c>
      <c r="H224" s="9"/>
      <c r="I224" s="9"/>
      <c r="J224" s="9"/>
      <c r="K224" s="9"/>
      <c r="L224" s="9"/>
      <c r="M224" s="9"/>
      <c r="N224" s="10"/>
      <c r="O224" s="9"/>
      <c r="P224" s="9"/>
      <c r="Q224" s="9">
        <v>-32</v>
      </c>
      <c r="R224" s="9">
        <v>54</v>
      </c>
      <c r="S224" s="9">
        <v>22</v>
      </c>
      <c r="T224" s="14">
        <f t="shared" si="9"/>
        <v>6.9470352883662887</v>
      </c>
      <c r="U224" s="14">
        <f t="shared" si="10"/>
        <v>2.8302736360010807</v>
      </c>
      <c r="V224" s="14">
        <f t="shared" si="11"/>
        <v>-4.1167616523652075</v>
      </c>
      <c r="W224" s="9"/>
      <c r="X224" s="9"/>
      <c r="Y224" s="9"/>
      <c r="Z224" s="9"/>
      <c r="AA224" s="9"/>
      <c r="AB224" s="9"/>
      <c r="AC224" s="9"/>
      <c r="AD224" s="9"/>
      <c r="AE224" s="9"/>
      <c r="AF224" s="9"/>
    </row>
    <row r="225" spans="1:32" ht="43.5">
      <c r="A225" s="3" t="s">
        <v>1820</v>
      </c>
      <c r="B225" s="3" t="s">
        <v>8017</v>
      </c>
      <c r="C225" s="3" t="s">
        <v>8018</v>
      </c>
      <c r="F225" t="s">
        <v>3884</v>
      </c>
      <c r="G225" s="9" t="s">
        <v>8729</v>
      </c>
      <c r="H225" s="9"/>
      <c r="I225" s="9"/>
      <c r="J225" s="9"/>
      <c r="K225" s="9"/>
      <c r="L225" s="9"/>
      <c r="M225" s="9"/>
      <c r="N225" s="10"/>
      <c r="O225" s="9"/>
      <c r="P225" s="9"/>
      <c r="Q225" s="9">
        <v>-78</v>
      </c>
      <c r="R225" s="9">
        <v>128</v>
      </c>
      <c r="S225" s="9">
        <v>50</v>
      </c>
      <c r="T225" s="14">
        <f t="shared" si="9"/>
        <v>16.467046609460834</v>
      </c>
      <c r="U225" s="14">
        <f t="shared" si="10"/>
        <v>6.432440081820638</v>
      </c>
      <c r="V225" s="14">
        <f t="shared" si="11"/>
        <v>-10.034606527640197</v>
      </c>
      <c r="W225" s="9"/>
      <c r="X225" s="9"/>
      <c r="Y225" s="9"/>
      <c r="Z225" s="9"/>
      <c r="AA225" s="9"/>
      <c r="AB225" s="9"/>
      <c r="AC225" s="9"/>
      <c r="AD225" s="9"/>
      <c r="AE225" s="9"/>
      <c r="AF225" s="9"/>
    </row>
    <row r="226" spans="1:32" ht="58">
      <c r="A226" s="3" t="s">
        <v>1828</v>
      </c>
      <c r="B226" s="3" t="s">
        <v>8304</v>
      </c>
      <c r="C226" s="3" t="s">
        <v>8305</v>
      </c>
      <c r="F226" t="s">
        <v>3884</v>
      </c>
      <c r="G226" s="9" t="s">
        <v>8729</v>
      </c>
      <c r="H226" s="9"/>
      <c r="I226" s="9"/>
      <c r="J226" s="9"/>
      <c r="K226" s="9"/>
      <c r="L226" s="9"/>
      <c r="M226" s="9"/>
      <c r="N226" s="10"/>
      <c r="O226" s="9"/>
      <c r="P226" s="9"/>
      <c r="Q226" s="9">
        <v>114</v>
      </c>
      <c r="R226" s="9">
        <v>91</v>
      </c>
      <c r="S226" s="9">
        <v>205</v>
      </c>
      <c r="T226" s="14">
        <f t="shared" si="9"/>
        <v>11.70704094891356</v>
      </c>
      <c r="U226" s="14">
        <f t="shared" si="10"/>
        <v>26.373004335464618</v>
      </c>
      <c r="V226" s="14">
        <f t="shared" si="11"/>
        <v>14.665963386551057</v>
      </c>
      <c r="W226" s="9"/>
      <c r="X226" s="9"/>
      <c r="Y226" s="9"/>
      <c r="Z226" s="9"/>
      <c r="AA226" s="9"/>
      <c r="AB226" s="9"/>
      <c r="AC226" s="9"/>
      <c r="AD226" s="9"/>
      <c r="AE226" s="9"/>
      <c r="AF226" s="9"/>
    </row>
    <row r="227" spans="1:32" ht="43.5">
      <c r="A227" s="3" t="s">
        <v>1838</v>
      </c>
      <c r="B227" s="3" t="s">
        <v>8327</v>
      </c>
      <c r="C227" s="3" t="s">
        <v>8328</v>
      </c>
      <c r="G227" s="9" t="s">
        <v>8729</v>
      </c>
      <c r="H227" s="9"/>
      <c r="I227" s="9"/>
      <c r="J227" s="9"/>
      <c r="K227" s="9"/>
      <c r="L227" s="9"/>
      <c r="M227" s="9"/>
      <c r="N227" s="10"/>
      <c r="O227" s="9"/>
      <c r="P227" s="9"/>
      <c r="Q227" s="9">
        <v>-22</v>
      </c>
      <c r="R227" s="9">
        <v>24</v>
      </c>
      <c r="S227" s="9">
        <v>2</v>
      </c>
      <c r="T227" s="14">
        <f t="shared" si="9"/>
        <v>3.0875712392739061</v>
      </c>
      <c r="U227" s="14">
        <f t="shared" si="10"/>
        <v>0.25729760327282553</v>
      </c>
      <c r="V227" s="14">
        <f t="shared" si="11"/>
        <v>-2.8302736360010807</v>
      </c>
      <c r="W227" s="9"/>
      <c r="X227" s="9"/>
      <c r="Y227" s="9"/>
      <c r="Z227" s="9"/>
      <c r="AA227" s="9"/>
      <c r="AB227" s="9"/>
      <c r="AC227" s="9"/>
      <c r="AD227" s="9"/>
      <c r="AE227" s="9"/>
      <c r="AF227" s="9"/>
    </row>
    <row r="228" spans="1:32" ht="87">
      <c r="A228" s="3" t="s">
        <v>1846</v>
      </c>
      <c r="B228" s="3" t="s">
        <v>8368</v>
      </c>
      <c r="C228" s="3" t="s">
        <v>8369</v>
      </c>
      <c r="G228" s="9" t="s">
        <v>8729</v>
      </c>
      <c r="H228" s="9"/>
      <c r="I228" s="9"/>
      <c r="J228" s="9"/>
      <c r="K228" s="9"/>
      <c r="L228" s="9"/>
      <c r="M228" s="9"/>
      <c r="N228" s="10"/>
      <c r="O228" s="9"/>
      <c r="P228" s="9"/>
      <c r="Q228" s="9">
        <v>-543</v>
      </c>
      <c r="R228" s="9">
        <v>872</v>
      </c>
      <c r="S228" s="9">
        <v>329</v>
      </c>
      <c r="T228" s="14">
        <f t="shared" si="9"/>
        <v>112.18175502695193</v>
      </c>
      <c r="U228" s="14">
        <f t="shared" si="10"/>
        <v>42.325455738379794</v>
      </c>
      <c r="V228" s="14">
        <f t="shared" si="11"/>
        <v>-69.856299288572131</v>
      </c>
      <c r="W228" s="9"/>
      <c r="X228" s="9"/>
      <c r="Y228" s="9"/>
      <c r="Z228" s="9"/>
      <c r="AA228" s="9"/>
      <c r="AB228" s="9"/>
      <c r="AC228" s="9"/>
      <c r="AD228" s="9"/>
      <c r="AE228" s="9"/>
      <c r="AF228" s="9"/>
    </row>
    <row r="229" spans="1:32" ht="29">
      <c r="A229" s="3" t="s">
        <v>1850</v>
      </c>
      <c r="B229" s="3" t="s">
        <v>8394</v>
      </c>
      <c r="C229" s="3" t="s">
        <v>8395</v>
      </c>
      <c r="G229" s="9" t="s">
        <v>8729</v>
      </c>
      <c r="H229" s="9"/>
      <c r="I229" s="9"/>
      <c r="J229" s="9"/>
      <c r="K229" s="9"/>
      <c r="L229" s="9"/>
      <c r="M229" s="9"/>
      <c r="N229" s="10"/>
      <c r="O229" s="9"/>
      <c r="P229" s="9"/>
      <c r="Q229" s="9">
        <v>-1</v>
      </c>
      <c r="R229" s="9">
        <v>1</v>
      </c>
      <c r="S229" s="9">
        <v>0</v>
      </c>
      <c r="T229" s="14">
        <f t="shared" si="9"/>
        <v>0.12864880163641276</v>
      </c>
      <c r="U229" s="14">
        <f t="shared" si="10"/>
        <v>0</v>
      </c>
      <c r="V229" s="14">
        <f t="shared" si="11"/>
        <v>-0.12864880163641276</v>
      </c>
      <c r="W229" s="9"/>
      <c r="X229" s="9"/>
      <c r="Y229" s="9"/>
      <c r="Z229" s="9"/>
      <c r="AA229" s="9"/>
      <c r="AB229" s="9"/>
      <c r="AC229" s="9"/>
      <c r="AD229" s="9"/>
      <c r="AE229" s="9"/>
      <c r="AF229" s="9"/>
    </row>
    <row r="230" spans="1:32" ht="29">
      <c r="A230" s="3" t="s">
        <v>1872</v>
      </c>
      <c r="B230" s="3" t="s">
        <v>8472</v>
      </c>
      <c r="C230" s="3" t="s">
        <v>8473</v>
      </c>
      <c r="G230" s="9" t="s">
        <v>8729</v>
      </c>
      <c r="H230" s="9"/>
      <c r="I230" s="9"/>
      <c r="J230" s="9"/>
      <c r="K230" s="9"/>
      <c r="L230" s="9"/>
      <c r="M230" s="9"/>
      <c r="N230" s="10"/>
      <c r="O230" s="9"/>
      <c r="P230" s="9"/>
      <c r="Q230" s="9">
        <v>-159</v>
      </c>
      <c r="R230" s="9">
        <v>242</v>
      </c>
      <c r="S230" s="9">
        <v>83</v>
      </c>
      <c r="T230" s="14">
        <f t="shared" si="9"/>
        <v>31.133009996011886</v>
      </c>
      <c r="U230" s="14">
        <f t="shared" si="10"/>
        <v>10.677850535822259</v>
      </c>
      <c r="V230" s="14">
        <f t="shared" si="11"/>
        <v>-20.455159460189627</v>
      </c>
      <c r="W230" s="9"/>
      <c r="X230" s="9"/>
      <c r="Y230" s="9"/>
      <c r="Z230" s="9"/>
      <c r="AA230" s="9"/>
      <c r="AB230" s="9"/>
      <c r="AC230" s="9"/>
      <c r="AD230" s="9"/>
      <c r="AE230" s="9"/>
      <c r="AF230" s="9"/>
    </row>
    <row r="231" spans="1:32" ht="58">
      <c r="A231" s="3" t="s">
        <v>1907</v>
      </c>
      <c r="B231" s="3" t="s">
        <v>8597</v>
      </c>
      <c r="C231" s="3" t="s">
        <v>8598</v>
      </c>
      <c r="G231" s="9" t="s">
        <v>8729</v>
      </c>
      <c r="H231" s="9"/>
      <c r="I231" s="9"/>
      <c r="J231" s="9"/>
      <c r="K231" s="9"/>
      <c r="L231" s="9"/>
      <c r="M231" s="9"/>
      <c r="N231" s="10"/>
      <c r="O231" s="9"/>
      <c r="P231" s="9"/>
      <c r="Q231" s="9">
        <v>65</v>
      </c>
      <c r="R231" s="9">
        <v>0</v>
      </c>
      <c r="S231" s="9">
        <v>65</v>
      </c>
      <c r="T231" s="14">
        <f t="shared" si="9"/>
        <v>0</v>
      </c>
      <c r="U231" s="14">
        <f t="shared" si="10"/>
        <v>8.3621721063668293</v>
      </c>
      <c r="V231" s="14">
        <f t="shared" si="11"/>
        <v>8.3621721063668293</v>
      </c>
      <c r="W231" s="9"/>
      <c r="X231" s="9"/>
      <c r="Y231" s="9"/>
      <c r="Z231" s="9"/>
      <c r="AA231" s="9"/>
      <c r="AB231" s="9"/>
      <c r="AC231" s="9"/>
      <c r="AD231" s="9"/>
      <c r="AE231" s="9"/>
      <c r="AF231" s="9"/>
    </row>
    <row r="232" spans="1:32" ht="58">
      <c r="A232" s="3" t="s">
        <v>1910</v>
      </c>
      <c r="B232" s="3" t="s">
        <v>9180</v>
      </c>
      <c r="C232" s="3" t="s">
        <v>9181</v>
      </c>
      <c r="G232" s="9" t="s">
        <v>8729</v>
      </c>
      <c r="H232" s="9"/>
      <c r="I232" s="9"/>
      <c r="J232" s="9"/>
      <c r="K232" s="9"/>
      <c r="L232" s="9"/>
      <c r="M232" s="9"/>
      <c r="N232" s="10"/>
      <c r="O232" s="9"/>
      <c r="P232" s="9"/>
      <c r="Q232" s="9">
        <v>-2</v>
      </c>
      <c r="R232" s="9">
        <v>2</v>
      </c>
      <c r="S232" s="9">
        <v>0</v>
      </c>
      <c r="T232" s="14">
        <f t="shared" si="9"/>
        <v>0.25729760327282553</v>
      </c>
      <c r="U232" s="14">
        <f t="shared" si="10"/>
        <v>0</v>
      </c>
      <c r="V232" s="14">
        <f t="shared" si="11"/>
        <v>-0.25729760327282553</v>
      </c>
      <c r="W232" s="9"/>
      <c r="X232" s="9"/>
      <c r="Y232" s="9"/>
      <c r="Z232" s="9"/>
      <c r="AA232" s="9"/>
      <c r="AB232" s="9"/>
      <c r="AC232" s="9"/>
      <c r="AD232" s="9"/>
      <c r="AE232" s="9"/>
      <c r="AF232" s="9"/>
    </row>
    <row r="233" spans="1:32" ht="101.5">
      <c r="A233" s="3" t="s">
        <v>1910</v>
      </c>
      <c r="B233" s="3" t="s">
        <v>8613</v>
      </c>
      <c r="C233" s="3" t="s">
        <v>8615</v>
      </c>
      <c r="G233" s="9" t="s">
        <v>8729</v>
      </c>
      <c r="H233" s="9"/>
      <c r="I233" s="9"/>
      <c r="J233" s="9"/>
      <c r="K233" s="9"/>
      <c r="L233" s="9"/>
      <c r="M233" s="9"/>
      <c r="N233" s="10"/>
      <c r="O233" s="9"/>
      <c r="P233" s="9"/>
      <c r="Q233" s="9">
        <v>137</v>
      </c>
      <c r="R233" s="9">
        <v>4</v>
      </c>
      <c r="S233" s="9">
        <v>141</v>
      </c>
      <c r="T233" s="14">
        <f t="shared" si="9"/>
        <v>0.51459520654565105</v>
      </c>
      <c r="U233" s="14">
        <f t="shared" si="10"/>
        <v>18.139481030734199</v>
      </c>
      <c r="V233" s="14">
        <f t="shared" si="11"/>
        <v>17.624885824188549</v>
      </c>
      <c r="W233" s="9"/>
      <c r="X233" s="9"/>
      <c r="Y233" s="9"/>
      <c r="Z233" s="9"/>
      <c r="AA233" s="9"/>
      <c r="AB233" s="9"/>
      <c r="AC233" s="9"/>
      <c r="AD233" s="9"/>
      <c r="AE233" s="9"/>
      <c r="AF233" s="9"/>
    </row>
    <row r="234" spans="1:32" ht="43.5">
      <c r="A234" s="3" t="s">
        <v>1926</v>
      </c>
      <c r="B234" s="3" t="s">
        <v>8655</v>
      </c>
      <c r="C234" s="3" t="s">
        <v>8656</v>
      </c>
      <c r="F234" t="s">
        <v>3884</v>
      </c>
      <c r="G234" s="9" t="s">
        <v>8729</v>
      </c>
      <c r="H234" s="9"/>
      <c r="I234" s="9"/>
      <c r="J234" s="9"/>
      <c r="K234" s="9"/>
      <c r="L234" s="9"/>
      <c r="M234" s="9"/>
      <c r="N234" s="10"/>
      <c r="O234" s="9"/>
      <c r="P234" s="9"/>
      <c r="Q234" s="9">
        <v>1070</v>
      </c>
      <c r="R234" s="9">
        <v>872</v>
      </c>
      <c r="S234" s="9">
        <v>1942</v>
      </c>
      <c r="T234" s="14">
        <f t="shared" si="9"/>
        <v>112.18175502695193</v>
      </c>
      <c r="U234" s="14">
        <f t="shared" si="10"/>
        <v>249.83597277791355</v>
      </c>
      <c r="V234" s="14">
        <f t="shared" si="11"/>
        <v>137.65421775096161</v>
      </c>
      <c r="W234" s="9"/>
      <c r="X234" s="9"/>
      <c r="Y234" s="9"/>
      <c r="Z234" s="9"/>
      <c r="AA234" s="9"/>
      <c r="AB234" s="9"/>
      <c r="AC234" s="9"/>
      <c r="AD234" s="9"/>
      <c r="AE234" s="9"/>
      <c r="AF234" s="9"/>
    </row>
    <row r="237" spans="1:32">
      <c r="D237" t="s">
        <v>9318</v>
      </c>
      <c r="E237">
        <v>77731</v>
      </c>
    </row>
    <row r="240" spans="1:32">
      <c r="D240" t="s">
        <v>9336</v>
      </c>
      <c r="E240">
        <f>COUNTIF(Q:Q, "&gt;0")</f>
        <v>111</v>
      </c>
    </row>
    <row r="241" spans="4:5">
      <c r="D241" t="s">
        <v>9337</v>
      </c>
      <c r="E241">
        <f>COUNTIF(Q:Q, "&lt;0")</f>
        <v>116</v>
      </c>
    </row>
    <row r="242" spans="4:5">
      <c r="D242" t="s">
        <v>9338</v>
      </c>
      <c r="E242">
        <f>_xlfn.BINOM.DIST(MIN(E240,E241),(E240+E241),0.5,TRUE)*2</f>
        <v>0.79070278872670796</v>
      </c>
    </row>
    <row r="244" spans="4:5">
      <c r="D244" t="s">
        <v>9339</v>
      </c>
      <c r="E244">
        <f>AVERAGE(Q:Q)</f>
        <v>4.3448275862068968</v>
      </c>
    </row>
    <row r="245" spans="4:5">
      <c r="D245" t="s">
        <v>9340</v>
      </c>
      <c r="E245">
        <f>_xlfn.STDEV.S(Q:Q)</f>
        <v>2992.8784320701398</v>
      </c>
    </row>
    <row r="248" spans="4:5">
      <c r="D248" t="s">
        <v>9341</v>
      </c>
      <c r="E248">
        <f>AVERAGE(V:V)</f>
        <v>0.55895686228233687</v>
      </c>
    </row>
    <row r="249" spans="4:5">
      <c r="D249" t="s">
        <v>9342</v>
      </c>
      <c r="E249">
        <f>_xlfn.STDEV.S(V:V)</f>
        <v>385.0302237292895</v>
      </c>
    </row>
    <row r="252" spans="4:5">
      <c r="D252" t="s">
        <v>9344</v>
      </c>
      <c r="E252">
        <f>COUNT(V:V)</f>
        <v>232</v>
      </c>
    </row>
    <row r="253" spans="4:5">
      <c r="D253" t="s">
        <v>9345</v>
      </c>
      <c r="E253">
        <f>_xlfn.STDEV.P(V:V)</f>
        <v>384.19952109223806</v>
      </c>
    </row>
  </sheetData>
  <conditionalFormatting sqref="G2:G234">
    <cfRule type="expression" dxfId="45" priority="16">
      <formula>$I2&lt;&gt;""</formula>
    </cfRule>
    <cfRule type="expression" dxfId="44" priority="17">
      <formula>$I2=""</formula>
    </cfRule>
  </conditionalFormatting>
  <conditionalFormatting sqref="H2:L234 O2:P234">
    <cfRule type="expression" dxfId="43" priority="25">
      <formula>AND(OR($I2="Addition",$I2="Omission"), H2="")</formula>
    </cfRule>
    <cfRule type="expression" dxfId="42" priority="26">
      <formula>AND($I2&lt;&gt;"Addition",$I2&lt;&gt;"Omission",$I2&lt;&gt;"Substitution - Word")</formula>
    </cfRule>
  </conditionalFormatting>
  <conditionalFormatting sqref="H2:P234">
    <cfRule type="expression" dxfId="41" priority="24">
      <formula>AND(OR($I2="Addition",$I2="Omission"), H2&lt;&gt;"")</formula>
    </cfRule>
  </conditionalFormatting>
  <conditionalFormatting sqref="K2:K234">
    <cfRule type="expression" dxfId="40" priority="22">
      <formula>AND($K2&lt;&gt;"",$K2&gt;1)</formula>
    </cfRule>
  </conditionalFormatting>
  <conditionalFormatting sqref="M2:N234">
    <cfRule type="expression" dxfId="39" priority="18">
      <formula>$N2="Absent"</formula>
    </cfRule>
    <cfRule type="expression" dxfId="38" priority="19">
      <formula>$N2="NA"</formula>
    </cfRule>
    <cfRule type="expression" dxfId="37" priority="20">
      <formula>AND(OR($I2="Addition",$I2="Omission"), M2="")</formula>
    </cfRule>
    <cfRule type="expression" dxfId="36" priority="21">
      <formula>AND($I2&lt;&gt;"Addition",$I2&lt;&gt;"Omission")</formula>
    </cfRule>
  </conditionalFormatting>
  <conditionalFormatting sqref="O2:O234">
    <cfRule type="expression" dxfId="35" priority="23">
      <formula>OR($I2="Addition",$I2="Omission",$I2 = "Substitution - Word")</formula>
    </cfRule>
  </conditionalFormatting>
  <conditionalFormatting sqref="Q2:V234">
    <cfRule type="expression" dxfId="34" priority="1">
      <formula>AND(AND(LEFT($I2,3)="Sub", RIGHT($I2,4)&lt;&gt;"Form"),$S2&lt;&gt;"")</formula>
    </cfRule>
    <cfRule type="expression" dxfId="33" priority="2">
      <formula>AND(AND(LEFT($I2,3)="Sub", RIGHT($I2,4)&lt;&gt;"Form"),$S2="")</formula>
    </cfRule>
    <cfRule type="expression" dxfId="32" priority="3">
      <formula>"&lt;&gt;AND(LEFT($J2,3)=""Sub"", RIGHT($J2,4)&lt;&gt;""Form"")"</formula>
    </cfRule>
  </conditionalFormatting>
  <conditionalFormatting sqref="W2:W234">
    <cfRule type="expression" dxfId="31" priority="27">
      <formula>AND($Y2&lt;&gt;"",OR($AF2="Yes",$AG2&lt;&gt;""))</formula>
    </cfRule>
    <cfRule type="expression" dxfId="30" priority="28">
      <formula>OR($AF2="Yes",$AG2&lt;&gt;"")</formula>
    </cfRule>
    <cfRule type="expression" dxfId="29" priority="34">
      <formula>AND($AF2&lt;&gt;"Yes",$AG2="")</formula>
    </cfRule>
  </conditionalFormatting>
  <conditionalFormatting sqref="W2:AF234">
    <cfRule type="expression" dxfId="28" priority="32">
      <formula>AND($I2&lt;&gt;"",$I2&lt;&gt;"Unclear due to correction")</formula>
    </cfRule>
    <cfRule type="expression" dxfId="27" priority="33">
      <formula>OR($I2="",$I2="Unclear due to correction")</formula>
    </cfRule>
  </conditionalFormatting>
  <conditionalFormatting sqref="X2:X234">
    <cfRule type="expression" dxfId="26" priority="38">
      <formula>AND($I2&lt;&gt;"",$I2&lt;&gt;"Unclear due to correction",$Z2="")</formula>
    </cfRule>
  </conditionalFormatting>
  <conditionalFormatting sqref="Y2:Y234">
    <cfRule type="expression" dxfId="25" priority="29">
      <formula>AND($Z2="Yes",$AA2="")</formula>
    </cfRule>
    <cfRule type="expression" dxfId="24" priority="30">
      <formula>$Z2=""</formula>
    </cfRule>
  </conditionalFormatting>
  <conditionalFormatting sqref="AD2:AD234">
    <cfRule type="expression" dxfId="23" priority="31">
      <formula>AND(OR($AD2&lt;&gt;"",$AE2&lt;&gt;""),$AF2="")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xr:uid="{E36AC839-25F6-4ABB-AF00-3732A4C3A938}">
          <x14:formula1>
            <xm:f>'Data Regularization'!$A$2:$A$1048576</xm:f>
          </x14:formula1>
          <xm:sqref>D2:D234</xm:sqref>
        </x14:dataValidation>
        <x14:dataValidation type="list" allowBlank="1" showInputMessage="1" showErrorMessage="1" xr:uid="{77C3101C-28B3-4A9D-9FBF-E5E50B2BF2C9}">
          <x14:formula1>
            <xm:f>'Data Regularization'!$C$2:$C$1048576</xm:f>
          </x14:formula1>
          <xm:sqref>F2:F234</xm:sqref>
        </x14:dataValidation>
        <x14:dataValidation type="list" allowBlank="1" showInputMessage="1" showErrorMessage="1" xr:uid="{E3996269-392C-41C3-A71A-22E24FFCA9A1}">
          <x14:formula1>
            <xm:f>'Data Regularization'!$B$2:$B$1048576</xm:f>
          </x14:formula1>
          <xm:sqref>E2:E234</xm:sqref>
        </x14:dataValidation>
        <x14:dataValidation type="list" allowBlank="1" showInputMessage="1" showErrorMessage="1" xr:uid="{ACDE28CF-C91E-426A-B14B-DA7A82ABD9EB}">
          <x14:formula1>
            <xm:f>'Data Regularization'!$D$2:$D$1048576</xm:f>
          </x14:formula1>
          <xm:sqref>G2:G234</xm:sqref>
        </x14:dataValidation>
        <x14:dataValidation type="list" allowBlank="1" showInputMessage="1" showErrorMessage="1" xr:uid="{9FB82895-89AA-47BF-BA15-DDA02171C2B4}">
          <x14:formula1>
            <xm:f>'Data Regularization'!$E$2:$E$1048576</xm:f>
          </x14:formula1>
          <xm:sqref>K2:K234</xm:sqref>
        </x14:dataValidation>
        <x14:dataValidation type="list" allowBlank="1" showInputMessage="1" showErrorMessage="1" xr:uid="{7EB7A6E9-2F51-4270-935A-845D6D71D6D5}">
          <x14:formula1>
            <xm:f>'Data Regularization'!$F$2:$F$1048576</xm:f>
          </x14:formula1>
          <xm:sqref>L2:L234</xm:sqref>
        </x14:dataValidation>
        <x14:dataValidation type="list" allowBlank="1" showInputMessage="1" showErrorMessage="1" xr:uid="{A23A8369-7100-4A49-9FE2-6BADBD76EFEC}">
          <x14:formula1>
            <xm:f>'Data Regularization'!$G$2:$G$1048576</xm:f>
          </x14:formula1>
          <xm:sqref>O2:O234</xm:sqref>
        </x14:dataValidation>
        <x14:dataValidation type="list" allowBlank="1" showInputMessage="1" showErrorMessage="1" xr:uid="{57290F99-109C-4A20-87DA-FF8888B5B929}">
          <x14:formula1>
            <xm:f>'Data Regularization'!$J$2:$J$1048576</xm:f>
          </x14:formula1>
          <xm:sqref>Y2:Y234</xm:sqref>
        </x14:dataValidation>
        <x14:dataValidation type="list" allowBlank="1" showInputMessage="1" showErrorMessage="1" xr:uid="{49635F96-29B5-405B-BB3A-BB66E2B8A288}">
          <x14:formula1>
            <xm:f>'Data Regularization'!$K$2:$K$1048576</xm:f>
          </x14:formula1>
          <xm:sqref>Z2:Z234</xm:sqref>
        </x14:dataValidation>
        <x14:dataValidation type="list" allowBlank="1" showInputMessage="1" showErrorMessage="1" xr:uid="{4F749218-FCFC-4413-8251-7FA8D9246A83}">
          <x14:formula1>
            <xm:f>'Data Regularization'!$L$2:$L$1048576</xm:f>
          </x14:formula1>
          <xm:sqref>AA2:AA234</xm:sqref>
        </x14:dataValidation>
        <x14:dataValidation type="list" allowBlank="1" showInputMessage="1" showErrorMessage="1" xr:uid="{2E3CB706-899F-46D1-82A2-6ECEE0C6FEE9}">
          <x14:formula1>
            <xm:f>'Data Regularization'!$M$2:$M$1048576</xm:f>
          </x14:formula1>
          <xm:sqref>AB2:AB234</xm:sqref>
        </x14:dataValidation>
        <x14:dataValidation type="list" allowBlank="1" showInputMessage="1" showErrorMessage="1" xr:uid="{D2F961CE-2FCB-48C5-B123-67D316146287}">
          <x14:formula1>
            <xm:f>'Data Regularization'!$N$2:$N$1048576</xm:f>
          </x14:formula1>
          <xm:sqref>AD2:AD234</xm:sqref>
        </x14:dataValidation>
        <x14:dataValidation type="list" allowBlank="1" showInputMessage="1" showErrorMessage="1" xr:uid="{FF930ED9-888B-4F65-A4FF-28B95BC9FEF6}">
          <x14:formula1>
            <xm:f>'Data Regularization'!$O$2:$O$1048576</xm:f>
          </x14:formula1>
          <xm:sqref>AE2:AE234</xm:sqref>
        </x14:dataValidation>
        <x14:dataValidation type="list" allowBlank="1" showInputMessage="1" showErrorMessage="1" xr:uid="{66177822-2959-4316-998B-282B430E1D09}">
          <x14:formula1>
            <xm:f>'Data Regularization'!$H$2:$H$1048576</xm:f>
          </x14:formula1>
          <xm:sqref>W2:W234</xm:sqref>
        </x14:dataValidation>
        <x14:dataValidation type="list" allowBlank="1" showInputMessage="1" xr:uid="{5C5F2E72-A883-4C3D-963A-55467F178DFA}">
          <x14:formula1>
            <xm:f>'Data Regularization'!$I$2:$I$1048576</xm:f>
          </x14:formula1>
          <xm:sqref>X2:X234</xm:sqref>
        </x14:dataValidation>
        <x14:dataValidation type="list" allowBlank="1" showInputMessage="1" showErrorMessage="1" xr:uid="{D53E3EE9-DB70-4CE0-9DEC-29755D7773EE}">
          <x14:formula1>
            <xm:f>'Data Regularization'!$P$2:$P$1048576</xm:f>
          </x14:formula1>
          <xm:sqref>AF2:AF234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AE3F-5B03-473D-A586-F128483E9175}">
  <dimension ref="A1:AD8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0" s="1" customFormat="1">
      <c r="A1" s="1" t="s">
        <v>0</v>
      </c>
      <c r="B1" s="1" t="s">
        <v>5</v>
      </c>
      <c r="C1" s="1" t="s">
        <v>6</v>
      </c>
      <c r="D1" s="1" t="s">
        <v>8711</v>
      </c>
      <c r="E1" s="1" t="s">
        <v>8712</v>
      </c>
      <c r="F1" s="1" t="s">
        <v>8713</v>
      </c>
      <c r="G1" s="1" t="s">
        <v>7</v>
      </c>
      <c r="H1" s="1" t="s">
        <v>3</v>
      </c>
      <c r="I1" s="1" t="s">
        <v>8714</v>
      </c>
      <c r="J1" s="1" t="s">
        <v>8715</v>
      </c>
      <c r="K1" s="1" t="s">
        <v>8716</v>
      </c>
      <c r="L1" s="1" t="s">
        <v>8717</v>
      </c>
      <c r="M1" s="1" t="s">
        <v>8677</v>
      </c>
      <c r="N1" s="1" t="s">
        <v>8718</v>
      </c>
      <c r="O1" s="8" t="s">
        <v>8719</v>
      </c>
      <c r="P1" s="1" t="s">
        <v>8678</v>
      </c>
      <c r="Q1" s="1" t="s">
        <v>8720</v>
      </c>
      <c r="R1" s="1" t="s">
        <v>8721</v>
      </c>
      <c r="S1" s="1" t="s">
        <v>9319</v>
      </c>
      <c r="T1" s="1" t="s">
        <v>9320</v>
      </c>
      <c r="U1" s="1" t="s">
        <v>8723</v>
      </c>
      <c r="V1" s="1" t="s">
        <v>8724</v>
      </c>
      <c r="W1" s="1" t="s">
        <v>8725</v>
      </c>
      <c r="X1" s="1" t="s">
        <v>8679</v>
      </c>
      <c r="Y1" s="1" t="s">
        <v>8680</v>
      </c>
      <c r="Z1" s="1" t="s">
        <v>8681</v>
      </c>
      <c r="AA1" s="1" t="s">
        <v>8722</v>
      </c>
      <c r="AB1" s="1" t="s">
        <v>8726</v>
      </c>
      <c r="AC1" s="1" t="s">
        <v>8682</v>
      </c>
      <c r="AD1" s="1" t="s">
        <v>8727</v>
      </c>
    </row>
    <row r="2" spans="1:30">
      <c r="A2" s="3" t="s">
        <v>17</v>
      </c>
      <c r="B2" t="s">
        <v>8744</v>
      </c>
      <c r="C2" t="s">
        <v>8743</v>
      </c>
      <c r="G2" t="s">
        <v>9184</v>
      </c>
      <c r="H2" s="9" t="s">
        <v>8729</v>
      </c>
      <c r="I2" s="9"/>
      <c r="J2" s="9"/>
      <c r="K2" s="9"/>
      <c r="L2" s="9"/>
      <c r="M2" s="9"/>
      <c r="N2" s="9"/>
      <c r="O2" s="10"/>
      <c r="P2" s="9"/>
      <c r="Q2" s="9"/>
      <c r="R2" s="9">
        <v>18</v>
      </c>
      <c r="S2" s="9">
        <v>70</v>
      </c>
      <c r="T2" s="9">
        <v>88</v>
      </c>
      <c r="U2" s="9" t="s">
        <v>8728</v>
      </c>
      <c r="V2" s="9"/>
      <c r="W2" s="9"/>
      <c r="X2" s="9"/>
      <c r="Y2" s="9"/>
      <c r="Z2" s="9"/>
      <c r="AA2" s="9"/>
      <c r="AB2" s="9"/>
      <c r="AC2" s="9"/>
      <c r="AD2" s="9"/>
    </row>
    <row r="3" spans="1:30" ht="29">
      <c r="A3" s="3" t="s">
        <v>38</v>
      </c>
      <c r="B3" t="s">
        <v>8761</v>
      </c>
      <c r="C3" t="s">
        <v>8762</v>
      </c>
      <c r="G3" t="s">
        <v>9185</v>
      </c>
      <c r="H3" s="9" t="s">
        <v>3889</v>
      </c>
      <c r="I3" s="9"/>
      <c r="J3" s="9">
        <v>1</v>
      </c>
      <c r="K3" s="9">
        <v>1</v>
      </c>
      <c r="L3" s="9" t="s">
        <v>8689</v>
      </c>
      <c r="M3" s="9" t="s">
        <v>8730</v>
      </c>
      <c r="N3" s="9"/>
      <c r="O3" s="10"/>
      <c r="P3" s="9"/>
      <c r="Q3" s="9">
        <v>10929</v>
      </c>
      <c r="R3" s="9"/>
      <c r="S3" s="9" t="s">
        <v>9321</v>
      </c>
      <c r="T3" s="9" t="s">
        <v>9321</v>
      </c>
      <c r="U3" s="9" t="s">
        <v>8728</v>
      </c>
      <c r="V3" s="9"/>
      <c r="W3" s="9"/>
      <c r="X3" s="9"/>
      <c r="Y3" s="9"/>
      <c r="Z3" s="9"/>
      <c r="AA3" s="9"/>
      <c r="AB3" s="9"/>
      <c r="AC3" s="9"/>
      <c r="AD3" s="9"/>
    </row>
    <row r="4" spans="1:30" ht="29">
      <c r="A4" s="3" t="s">
        <v>38</v>
      </c>
      <c r="B4" t="s">
        <v>8763</v>
      </c>
      <c r="C4" t="s">
        <v>8764</v>
      </c>
      <c r="G4" t="s">
        <v>9186</v>
      </c>
      <c r="H4" s="9" t="s">
        <v>3889</v>
      </c>
      <c r="I4" s="9"/>
      <c r="J4" s="9">
        <v>1</v>
      </c>
      <c r="K4" s="9">
        <v>1</v>
      </c>
      <c r="L4" s="9" t="s">
        <v>8689</v>
      </c>
      <c r="M4" s="9" t="s">
        <v>8730</v>
      </c>
      <c r="N4" s="9"/>
      <c r="O4" s="10"/>
      <c r="P4" s="9"/>
      <c r="Q4" s="9">
        <v>10929</v>
      </c>
      <c r="R4" s="9"/>
      <c r="S4" s="9" t="s">
        <v>9321</v>
      </c>
      <c r="T4" s="9" t="s">
        <v>9321</v>
      </c>
      <c r="U4" s="9" t="s">
        <v>8728</v>
      </c>
      <c r="V4" s="9"/>
      <c r="W4" s="9"/>
      <c r="X4" s="9"/>
      <c r="Y4" s="9"/>
      <c r="Z4" s="9"/>
      <c r="AA4" s="9"/>
      <c r="AB4" s="9"/>
      <c r="AC4" s="9"/>
      <c r="AD4" s="9"/>
    </row>
    <row r="5" spans="1:30" ht="29">
      <c r="A5" s="3" t="s">
        <v>86</v>
      </c>
      <c r="B5" s="3" t="s">
        <v>2083</v>
      </c>
      <c r="C5" s="3" t="s">
        <v>2084</v>
      </c>
      <c r="G5" t="s">
        <v>9187</v>
      </c>
      <c r="H5" s="9" t="s">
        <v>8731</v>
      </c>
      <c r="I5" s="9"/>
      <c r="J5" s="9"/>
      <c r="K5" s="9"/>
      <c r="L5" s="9"/>
      <c r="M5" s="9"/>
      <c r="N5" s="9"/>
      <c r="O5" s="10"/>
      <c r="P5" s="9"/>
      <c r="Q5" s="9"/>
      <c r="R5" s="9"/>
      <c r="S5" s="9" t="s">
        <v>9321</v>
      </c>
      <c r="T5" s="9" t="s">
        <v>9321</v>
      </c>
      <c r="U5" s="9" t="s">
        <v>8728</v>
      </c>
      <c r="V5" s="9"/>
      <c r="W5" s="9"/>
      <c r="X5" s="9"/>
      <c r="Y5" s="9"/>
      <c r="Z5" s="9"/>
      <c r="AA5" s="9"/>
      <c r="AB5" s="9"/>
      <c r="AC5" s="9"/>
      <c r="AD5" s="9"/>
    </row>
    <row r="6" spans="1:30" ht="29">
      <c r="A6" s="3" t="s">
        <v>92</v>
      </c>
      <c r="B6" s="3" t="s">
        <v>3983</v>
      </c>
      <c r="C6" s="3" t="s">
        <v>3984</v>
      </c>
      <c r="G6" t="s">
        <v>9188</v>
      </c>
      <c r="H6" s="9" t="s">
        <v>3889</v>
      </c>
      <c r="I6" s="9"/>
      <c r="J6" s="9">
        <v>1</v>
      </c>
      <c r="K6" s="9">
        <v>3</v>
      </c>
      <c r="L6" s="9" t="s">
        <v>8689</v>
      </c>
      <c r="M6" s="9" t="s">
        <v>8684</v>
      </c>
      <c r="N6" s="9" t="s">
        <v>8771</v>
      </c>
      <c r="O6" s="10" t="s">
        <v>8778</v>
      </c>
      <c r="P6" s="9"/>
      <c r="Q6" s="9">
        <v>10929</v>
      </c>
      <c r="R6" s="9"/>
      <c r="S6" s="9" t="s">
        <v>9321</v>
      </c>
      <c r="T6" s="9" t="s">
        <v>9321</v>
      </c>
      <c r="U6" s="9" t="s">
        <v>8728</v>
      </c>
      <c r="V6" s="9"/>
      <c r="W6" s="9"/>
      <c r="X6" s="9"/>
      <c r="Y6" s="9"/>
      <c r="Z6" s="9"/>
      <c r="AA6" s="9"/>
      <c r="AB6" s="9"/>
      <c r="AC6" s="9"/>
      <c r="AD6" s="9"/>
    </row>
    <row r="7" spans="1:30" ht="130.5">
      <c r="A7" s="3" t="s">
        <v>121</v>
      </c>
      <c r="B7" s="3" t="s">
        <v>9189</v>
      </c>
      <c r="C7" s="3" t="s">
        <v>9190</v>
      </c>
      <c r="G7" t="s">
        <v>9193</v>
      </c>
      <c r="H7" s="9" t="s">
        <v>3885</v>
      </c>
      <c r="I7" s="9"/>
      <c r="J7" s="9">
        <v>1</v>
      </c>
      <c r="K7" s="9">
        <v>2</v>
      </c>
      <c r="L7" s="9" t="s">
        <v>8689</v>
      </c>
      <c r="M7" s="9" t="s">
        <v>8730</v>
      </c>
      <c r="N7" s="9"/>
      <c r="O7" s="10"/>
      <c r="P7" s="9"/>
      <c r="Q7" s="9">
        <v>10929</v>
      </c>
      <c r="R7" s="9"/>
      <c r="S7" s="9" t="s">
        <v>9321</v>
      </c>
      <c r="T7" s="9" t="s">
        <v>9321</v>
      </c>
      <c r="U7" s="9" t="s">
        <v>4</v>
      </c>
      <c r="V7" s="9"/>
      <c r="W7" s="9"/>
      <c r="X7" s="9"/>
      <c r="Y7" s="9"/>
      <c r="Z7" s="9"/>
      <c r="AA7" s="9"/>
      <c r="AB7" s="9"/>
      <c r="AC7" s="9"/>
      <c r="AD7" s="9"/>
    </row>
    <row r="8" spans="1:30" ht="130.5">
      <c r="A8" s="3" t="s">
        <v>121</v>
      </c>
      <c r="B8" s="3" t="s">
        <v>9189</v>
      </c>
      <c r="C8" s="3" t="s">
        <v>9191</v>
      </c>
      <c r="F8" t="s">
        <v>3884</v>
      </c>
      <c r="G8" t="s">
        <v>9193</v>
      </c>
      <c r="H8" s="9" t="s">
        <v>3885</v>
      </c>
      <c r="I8" s="9"/>
      <c r="J8" s="9">
        <v>1</v>
      </c>
      <c r="K8" s="9">
        <v>3</v>
      </c>
      <c r="L8" s="9" t="s">
        <v>8689</v>
      </c>
      <c r="M8" s="9" t="s">
        <v>8690</v>
      </c>
      <c r="N8" s="9"/>
      <c r="O8" s="10"/>
      <c r="P8" s="9"/>
      <c r="Q8" s="9">
        <v>10929</v>
      </c>
      <c r="R8" s="9"/>
      <c r="S8" s="9" t="s">
        <v>9321</v>
      </c>
      <c r="T8" s="9" t="s">
        <v>9321</v>
      </c>
      <c r="U8" s="9" t="s">
        <v>4</v>
      </c>
      <c r="V8" s="9"/>
      <c r="W8" s="9"/>
      <c r="X8" s="9"/>
      <c r="Y8" s="9"/>
      <c r="Z8" s="9"/>
      <c r="AA8" s="9"/>
      <c r="AB8" s="9"/>
      <c r="AC8" s="9"/>
      <c r="AD8" s="9"/>
    </row>
    <row r="9" spans="1:30" ht="29">
      <c r="A9" s="3" t="s">
        <v>136</v>
      </c>
      <c r="B9" s="4" t="s">
        <v>2200</v>
      </c>
      <c r="C9" s="3" t="s">
        <v>2200</v>
      </c>
      <c r="D9" t="s">
        <v>4197</v>
      </c>
      <c r="G9" t="s">
        <v>9719</v>
      </c>
      <c r="H9" s="9" t="s">
        <v>8731</v>
      </c>
      <c r="I9" s="9"/>
      <c r="J9" s="9"/>
      <c r="K9" s="9"/>
      <c r="L9" s="9"/>
      <c r="M9" s="9"/>
      <c r="N9" s="9"/>
      <c r="O9" s="10"/>
      <c r="P9" s="9"/>
      <c r="Q9" s="9"/>
      <c r="R9" s="9"/>
      <c r="S9" s="9" t="s">
        <v>9321</v>
      </c>
      <c r="T9" s="9" t="s">
        <v>9321</v>
      </c>
      <c r="U9" s="9" t="s">
        <v>8728</v>
      </c>
      <c r="V9" s="9"/>
      <c r="W9" s="9"/>
      <c r="X9" s="9"/>
      <c r="Y9" s="9"/>
      <c r="Z9" s="9"/>
      <c r="AA9" s="9"/>
      <c r="AB9" s="9"/>
      <c r="AC9" s="9"/>
      <c r="AD9" s="9"/>
    </row>
    <row r="10" spans="1:30" ht="29">
      <c r="A10" s="3" t="s">
        <v>168</v>
      </c>
      <c r="B10" s="3" t="s">
        <v>4105</v>
      </c>
      <c r="C10" s="3" t="s">
        <v>4106</v>
      </c>
      <c r="F10" t="s">
        <v>3884</v>
      </c>
      <c r="G10" t="s">
        <v>9197</v>
      </c>
      <c r="H10" s="9" t="s">
        <v>8729</v>
      </c>
      <c r="I10" s="9"/>
      <c r="J10" s="9"/>
      <c r="K10" s="9"/>
      <c r="L10" s="9"/>
      <c r="M10" s="9"/>
      <c r="N10" s="9"/>
      <c r="O10" s="10"/>
      <c r="P10" s="9"/>
      <c r="Q10" s="9"/>
      <c r="R10" s="9">
        <v>-881</v>
      </c>
      <c r="S10" s="9">
        <v>886</v>
      </c>
      <c r="T10" s="9">
        <v>5</v>
      </c>
      <c r="U10" s="9" t="s">
        <v>8728</v>
      </c>
      <c r="V10" s="9"/>
      <c r="W10" s="9"/>
      <c r="X10" s="9"/>
      <c r="Y10" s="9"/>
      <c r="Z10" s="9"/>
      <c r="AA10" s="9"/>
      <c r="AB10" s="9"/>
      <c r="AC10" s="9"/>
      <c r="AD10" s="9"/>
    </row>
    <row r="11" spans="1:30" ht="29">
      <c r="A11" s="3" t="s">
        <v>175</v>
      </c>
      <c r="B11" s="3" t="s">
        <v>2159</v>
      </c>
      <c r="C11" s="3" t="s">
        <v>2175</v>
      </c>
      <c r="G11" t="s">
        <v>9198</v>
      </c>
      <c r="H11" s="9" t="s">
        <v>8731</v>
      </c>
      <c r="I11" s="9"/>
      <c r="J11" s="9"/>
      <c r="K11" s="9"/>
      <c r="L11" s="9"/>
      <c r="M11" s="9"/>
      <c r="N11" s="9"/>
      <c r="O11" s="10"/>
      <c r="P11" s="9"/>
      <c r="Q11" s="9"/>
      <c r="R11" s="9"/>
      <c r="S11" s="9" t="s">
        <v>9321</v>
      </c>
      <c r="T11" s="9" t="s">
        <v>9321</v>
      </c>
      <c r="U11" s="9" t="s">
        <v>8728</v>
      </c>
      <c r="V11" s="9"/>
      <c r="W11" s="9"/>
      <c r="X11" s="9"/>
      <c r="Y11" s="9"/>
      <c r="Z11" s="9"/>
      <c r="AA11" s="9"/>
      <c r="AB11" s="9"/>
      <c r="AC11" s="9"/>
      <c r="AD11" s="9"/>
    </row>
    <row r="12" spans="1:30" ht="58">
      <c r="A12" s="3" t="s">
        <v>192</v>
      </c>
      <c r="B12" s="3" t="s">
        <v>4130</v>
      </c>
      <c r="C12" s="3" t="s">
        <v>8863</v>
      </c>
      <c r="F12" t="s">
        <v>3888</v>
      </c>
      <c r="G12" t="s">
        <v>9720</v>
      </c>
      <c r="H12" s="9" t="s">
        <v>3885</v>
      </c>
      <c r="I12" s="9"/>
      <c r="J12" s="9">
        <v>1</v>
      </c>
      <c r="K12" s="9">
        <v>1</v>
      </c>
      <c r="L12" s="9" t="s">
        <v>8689</v>
      </c>
      <c r="M12" s="9" t="s">
        <v>8730</v>
      </c>
      <c r="N12" s="9"/>
      <c r="O12" s="10"/>
      <c r="P12" s="9"/>
      <c r="Q12" s="9">
        <v>10929</v>
      </c>
      <c r="R12" s="9"/>
      <c r="S12" s="9" t="s">
        <v>9321</v>
      </c>
      <c r="T12" s="9" t="s">
        <v>9321</v>
      </c>
      <c r="U12" s="9" t="s">
        <v>8728</v>
      </c>
      <c r="V12" s="9"/>
      <c r="W12" s="9"/>
      <c r="X12" s="9"/>
      <c r="Y12" s="9"/>
      <c r="Z12" s="9"/>
      <c r="AA12" s="9"/>
      <c r="AB12" s="9"/>
      <c r="AC12" s="9"/>
      <c r="AD12" s="9"/>
    </row>
    <row r="13" spans="1:30" ht="58">
      <c r="A13" s="3" t="s">
        <v>192</v>
      </c>
      <c r="B13" s="3" t="s">
        <v>8862</v>
      </c>
      <c r="C13" s="3" t="s">
        <v>8864</v>
      </c>
      <c r="G13" t="s">
        <v>9199</v>
      </c>
      <c r="H13" s="9" t="s">
        <v>3894</v>
      </c>
      <c r="I13" s="9"/>
      <c r="J13" s="9"/>
      <c r="K13" s="9"/>
      <c r="L13" s="9"/>
      <c r="M13" s="9"/>
      <c r="N13" s="9"/>
      <c r="O13" s="10"/>
      <c r="P13" s="9"/>
      <c r="Q13" s="9"/>
      <c r="R13" s="9"/>
      <c r="S13" s="9" t="s">
        <v>9321</v>
      </c>
      <c r="T13" s="9" t="s">
        <v>9321</v>
      </c>
      <c r="U13" s="9" t="s">
        <v>8728</v>
      </c>
      <c r="V13" s="9"/>
      <c r="W13" s="9"/>
      <c r="X13" s="9"/>
      <c r="Y13" s="9"/>
      <c r="Z13" s="9"/>
      <c r="AA13" s="9"/>
      <c r="AB13" s="9"/>
      <c r="AC13" s="9"/>
      <c r="AD13" s="9"/>
    </row>
    <row r="14" spans="1:30" ht="29">
      <c r="A14" s="3" t="s">
        <v>201</v>
      </c>
      <c r="B14" s="3" t="s">
        <v>4143</v>
      </c>
      <c r="C14" s="3" t="s">
        <v>4144</v>
      </c>
      <c r="G14" t="s">
        <v>9721</v>
      </c>
      <c r="H14" s="9" t="s">
        <v>3889</v>
      </c>
      <c r="I14" s="9"/>
      <c r="J14" s="9">
        <v>1</v>
      </c>
      <c r="K14" s="9">
        <v>2</v>
      </c>
      <c r="L14" s="9" t="s">
        <v>8689</v>
      </c>
      <c r="M14" s="9" t="s">
        <v>8730</v>
      </c>
      <c r="N14" s="9"/>
      <c r="O14" s="10"/>
      <c r="P14" s="9"/>
      <c r="Q14" s="9">
        <v>10929</v>
      </c>
      <c r="R14" s="9"/>
      <c r="S14" s="9" t="s">
        <v>9321</v>
      </c>
      <c r="T14" s="9" t="s">
        <v>9321</v>
      </c>
      <c r="U14" s="9" t="s">
        <v>8728</v>
      </c>
      <c r="V14" s="9"/>
      <c r="W14" s="9"/>
      <c r="X14" s="9"/>
      <c r="Y14" s="9"/>
      <c r="Z14" s="9"/>
      <c r="AA14" s="9"/>
      <c r="AB14" s="9"/>
      <c r="AC14" s="9"/>
      <c r="AD14" s="9"/>
    </row>
    <row r="15" spans="1:30" ht="29">
      <c r="A15" s="3" t="s">
        <v>202</v>
      </c>
      <c r="B15" s="3" t="s">
        <v>4143</v>
      </c>
      <c r="C15" s="3" t="s">
        <v>4144</v>
      </c>
      <c r="G15" t="s">
        <v>9722</v>
      </c>
      <c r="H15" s="9" t="s">
        <v>3889</v>
      </c>
      <c r="I15" s="9"/>
      <c r="J15" s="9">
        <v>1</v>
      </c>
      <c r="K15" s="9">
        <v>2</v>
      </c>
      <c r="L15" s="9" t="s">
        <v>8689</v>
      </c>
      <c r="M15" s="9" t="s">
        <v>8730</v>
      </c>
      <c r="N15" s="9"/>
      <c r="O15" s="10"/>
      <c r="P15" s="9"/>
      <c r="Q15" s="9">
        <v>10929</v>
      </c>
      <c r="R15" s="9"/>
      <c r="S15" s="9" t="s">
        <v>9321</v>
      </c>
      <c r="T15" s="9" t="s">
        <v>9321</v>
      </c>
      <c r="U15" s="9" t="s">
        <v>8728</v>
      </c>
      <c r="V15" s="9"/>
      <c r="W15" s="9"/>
      <c r="X15" s="9"/>
      <c r="Y15" s="9"/>
      <c r="Z15" s="9"/>
      <c r="AA15" s="9"/>
      <c r="AB15" s="9"/>
      <c r="AC15" s="9"/>
      <c r="AD15" s="9"/>
    </row>
    <row r="16" spans="1:30" ht="43.5">
      <c r="A16" s="3" t="s">
        <v>222</v>
      </c>
      <c r="B16" s="3" t="s">
        <v>8890</v>
      </c>
      <c r="C16" s="3" t="s">
        <v>8891</v>
      </c>
      <c r="G16" t="s">
        <v>9200</v>
      </c>
      <c r="H16" s="9" t="s">
        <v>3889</v>
      </c>
      <c r="I16" s="9"/>
      <c r="J16" s="9">
        <v>1</v>
      </c>
      <c r="K16" s="9">
        <v>3</v>
      </c>
      <c r="L16" s="9" t="s">
        <v>8689</v>
      </c>
      <c r="M16" s="9" t="s">
        <v>8690</v>
      </c>
      <c r="N16" s="9"/>
      <c r="O16" s="10"/>
      <c r="P16" s="9"/>
      <c r="Q16" s="9">
        <v>10929</v>
      </c>
      <c r="R16" s="9"/>
      <c r="S16" s="9" t="s">
        <v>9321</v>
      </c>
      <c r="T16" s="9" t="s">
        <v>9321</v>
      </c>
      <c r="U16" s="9" t="s">
        <v>8728</v>
      </c>
      <c r="V16" s="9"/>
      <c r="W16" s="9"/>
      <c r="X16" s="9"/>
      <c r="Y16" s="9"/>
      <c r="Z16" s="9"/>
      <c r="AA16" s="9"/>
      <c r="AB16" s="9"/>
      <c r="AC16" s="9"/>
      <c r="AD16" s="9"/>
    </row>
    <row r="17" spans="1:30" ht="101.5">
      <c r="A17" s="3" t="s">
        <v>238</v>
      </c>
      <c r="B17" s="3" t="s">
        <v>4177</v>
      </c>
      <c r="C17" s="3" t="s">
        <v>4178</v>
      </c>
      <c r="F17" t="s">
        <v>3888</v>
      </c>
      <c r="G17" t="s">
        <v>9723</v>
      </c>
      <c r="H17" s="9" t="s">
        <v>3885</v>
      </c>
      <c r="I17" s="9"/>
      <c r="J17" s="9">
        <v>3</v>
      </c>
      <c r="K17" s="9">
        <v>18</v>
      </c>
      <c r="L17" s="9"/>
      <c r="M17" s="9" t="s">
        <v>8690</v>
      </c>
      <c r="N17" s="9"/>
      <c r="O17" s="10"/>
      <c r="P17" s="9"/>
      <c r="Q17" s="9">
        <v>7</v>
      </c>
      <c r="R17" s="9"/>
      <c r="S17" s="9" t="s">
        <v>9321</v>
      </c>
      <c r="T17" s="9" t="s">
        <v>9321</v>
      </c>
      <c r="U17" s="9" t="s">
        <v>4</v>
      </c>
      <c r="V17" s="9"/>
      <c r="W17" s="9"/>
      <c r="X17" s="9"/>
      <c r="Y17" s="9"/>
      <c r="Z17" s="9"/>
      <c r="AA17" s="9"/>
      <c r="AB17" s="9"/>
      <c r="AC17" s="9"/>
      <c r="AD17" s="9"/>
    </row>
    <row r="18" spans="1:30" ht="43.5">
      <c r="A18" s="3" t="s">
        <v>267</v>
      </c>
      <c r="B18" s="3" t="s">
        <v>9445</v>
      </c>
      <c r="C18" s="3" t="s">
        <v>9446</v>
      </c>
      <c r="G18" t="s">
        <v>9201</v>
      </c>
      <c r="H18" s="9" t="s">
        <v>3889</v>
      </c>
      <c r="I18" s="9"/>
      <c r="J18" s="9">
        <v>1</v>
      </c>
      <c r="K18" s="9">
        <v>3</v>
      </c>
      <c r="L18" s="9" t="s">
        <v>8689</v>
      </c>
      <c r="M18" s="9" t="s">
        <v>8690</v>
      </c>
      <c r="N18" s="9"/>
      <c r="O18" s="10"/>
      <c r="P18" s="9"/>
      <c r="Q18" s="9">
        <v>10929</v>
      </c>
      <c r="R18" s="9"/>
      <c r="S18" s="9" t="s">
        <v>9321</v>
      </c>
      <c r="T18" s="9" t="s">
        <v>9321</v>
      </c>
      <c r="U18" s="9" t="s">
        <v>4</v>
      </c>
      <c r="V18" s="9"/>
      <c r="W18" s="9"/>
      <c r="X18" s="9"/>
      <c r="Y18" s="9"/>
      <c r="Z18" s="9"/>
      <c r="AA18" s="9"/>
      <c r="AB18" s="9"/>
      <c r="AC18" s="9"/>
      <c r="AD18" s="9"/>
    </row>
    <row r="19" spans="1:30" ht="43.5">
      <c r="A19" s="3" t="s">
        <v>274</v>
      </c>
      <c r="B19" s="3" t="s">
        <v>4256</v>
      </c>
      <c r="C19" s="3" t="s">
        <v>4257</v>
      </c>
      <c r="G19" t="s">
        <v>9202</v>
      </c>
      <c r="H19" s="9" t="s">
        <v>3885</v>
      </c>
      <c r="I19" s="9"/>
      <c r="J19" s="9">
        <v>1</v>
      </c>
      <c r="K19" s="9">
        <v>2</v>
      </c>
      <c r="L19" s="9" t="s">
        <v>8689</v>
      </c>
      <c r="M19" s="9" t="s">
        <v>8730</v>
      </c>
      <c r="N19" s="9"/>
      <c r="O19" s="10"/>
      <c r="P19" s="9" t="s">
        <v>8685</v>
      </c>
      <c r="Q19" s="9">
        <v>10929</v>
      </c>
      <c r="R19" s="9"/>
      <c r="S19" s="9" t="s">
        <v>9321</v>
      </c>
      <c r="T19" s="9" t="s">
        <v>9321</v>
      </c>
      <c r="U19" s="9" t="s">
        <v>4</v>
      </c>
      <c r="V19" s="9"/>
      <c r="W19" s="9"/>
      <c r="X19" s="9"/>
      <c r="Y19" s="9"/>
      <c r="Z19" s="9"/>
      <c r="AA19" s="9"/>
      <c r="AB19" s="9"/>
      <c r="AC19" s="9"/>
      <c r="AD19" s="9"/>
    </row>
    <row r="20" spans="1:30" ht="43.5">
      <c r="A20" s="3" t="s">
        <v>302</v>
      </c>
      <c r="B20" s="3" t="s">
        <v>4302</v>
      </c>
      <c r="C20" s="3" t="s">
        <v>4303</v>
      </c>
      <c r="G20" t="s">
        <v>9203</v>
      </c>
      <c r="H20" s="9" t="s">
        <v>3885</v>
      </c>
      <c r="I20" s="9"/>
      <c r="J20" s="9">
        <v>1</v>
      </c>
      <c r="K20" s="9">
        <v>1</v>
      </c>
      <c r="L20" s="9" t="s">
        <v>8689</v>
      </c>
      <c r="M20" s="9" t="s">
        <v>8730</v>
      </c>
      <c r="N20" s="9"/>
      <c r="O20" s="10"/>
      <c r="P20" s="9"/>
      <c r="Q20" s="9">
        <v>10929</v>
      </c>
      <c r="R20" s="9"/>
      <c r="S20" s="9" t="s">
        <v>9321</v>
      </c>
      <c r="T20" s="9" t="s">
        <v>9321</v>
      </c>
      <c r="U20" s="9" t="s">
        <v>8728</v>
      </c>
      <c r="V20" s="9"/>
      <c r="W20" s="9"/>
      <c r="X20" s="9"/>
      <c r="Y20" s="9"/>
      <c r="Z20" s="9"/>
      <c r="AA20" s="9"/>
      <c r="AB20" s="9"/>
      <c r="AC20" s="9"/>
      <c r="AD20" s="9"/>
    </row>
    <row r="21" spans="1:30" ht="29">
      <c r="A21" s="3" t="s">
        <v>344</v>
      </c>
      <c r="B21" s="3" t="s">
        <v>4393</v>
      </c>
      <c r="C21" s="3" t="s">
        <v>4394</v>
      </c>
      <c r="G21" t="s">
        <v>9205</v>
      </c>
      <c r="H21" s="9" t="s">
        <v>8731</v>
      </c>
      <c r="I21" s="9"/>
      <c r="J21" s="9"/>
      <c r="K21" s="9"/>
      <c r="L21" s="9"/>
      <c r="M21" s="9"/>
      <c r="N21" s="9"/>
      <c r="O21" s="10"/>
      <c r="P21" s="9"/>
      <c r="Q21" s="9"/>
      <c r="R21" s="9"/>
      <c r="S21" s="9" t="s">
        <v>9321</v>
      </c>
      <c r="T21" s="9" t="s">
        <v>9321</v>
      </c>
      <c r="U21" s="9" t="s">
        <v>8728</v>
      </c>
      <c r="V21" s="9"/>
      <c r="W21" s="9"/>
      <c r="X21" s="9"/>
      <c r="Y21" s="9"/>
      <c r="Z21" s="9"/>
      <c r="AA21" s="9"/>
      <c r="AB21" s="9"/>
      <c r="AC21" s="9"/>
      <c r="AD21" s="9"/>
    </row>
    <row r="22" spans="1:30" ht="43.5">
      <c r="A22" s="3" t="s">
        <v>344</v>
      </c>
      <c r="B22" s="3" t="s">
        <v>4395</v>
      </c>
      <c r="C22" s="3" t="s">
        <v>4396</v>
      </c>
      <c r="D22" t="s">
        <v>4397</v>
      </c>
      <c r="G22" t="s">
        <v>9206</v>
      </c>
      <c r="H22" s="9" t="s">
        <v>3885</v>
      </c>
      <c r="I22" s="9"/>
      <c r="J22" s="9">
        <v>1</v>
      </c>
      <c r="K22" s="9">
        <v>3</v>
      </c>
      <c r="L22" s="9" t="s">
        <v>8698</v>
      </c>
      <c r="M22" s="9" t="s">
        <v>8690</v>
      </c>
      <c r="N22" s="9"/>
      <c r="O22" s="10"/>
      <c r="P22" s="9"/>
      <c r="Q22" s="9">
        <v>4</v>
      </c>
      <c r="R22" s="9"/>
      <c r="S22" s="9" t="s">
        <v>9321</v>
      </c>
      <c r="T22" s="9" t="s">
        <v>9321</v>
      </c>
      <c r="U22" s="9" t="s">
        <v>8728</v>
      </c>
      <c r="V22" s="9"/>
      <c r="W22" s="9"/>
      <c r="X22" s="9"/>
      <c r="Y22" s="9"/>
      <c r="Z22" s="9"/>
      <c r="AA22" s="9"/>
      <c r="AB22" s="9"/>
      <c r="AC22" s="9"/>
      <c r="AD22" s="9"/>
    </row>
    <row r="23" spans="1:30" ht="43.5">
      <c r="A23" s="3" t="s">
        <v>353</v>
      </c>
      <c r="B23" s="3" t="s">
        <v>4407</v>
      </c>
      <c r="C23" s="3" t="s">
        <v>4408</v>
      </c>
      <c r="G23" t="s">
        <v>9207</v>
      </c>
      <c r="H23" s="9" t="s">
        <v>8729</v>
      </c>
      <c r="I23" s="9"/>
      <c r="J23" s="9"/>
      <c r="K23" s="9"/>
      <c r="L23" s="9"/>
      <c r="M23" s="9"/>
      <c r="N23" s="9"/>
      <c r="O23" s="10"/>
      <c r="P23" s="9"/>
      <c r="Q23" s="9"/>
      <c r="R23" s="9">
        <v>-238</v>
      </c>
      <c r="S23" s="9">
        <v>329</v>
      </c>
      <c r="T23" s="9">
        <v>91</v>
      </c>
      <c r="U23" s="9" t="s">
        <v>8728</v>
      </c>
      <c r="V23" s="9"/>
      <c r="W23" s="9"/>
      <c r="X23" s="9"/>
      <c r="Y23" s="9"/>
      <c r="Z23" s="9"/>
      <c r="AA23" s="9"/>
      <c r="AB23" s="9"/>
      <c r="AC23" s="9"/>
      <c r="AD23" s="9"/>
    </row>
    <row r="24" spans="1:30" ht="58">
      <c r="A24" s="3" t="s">
        <v>355</v>
      </c>
      <c r="B24" s="3" t="s">
        <v>4410</v>
      </c>
      <c r="C24" s="3" t="s">
        <v>4411</v>
      </c>
      <c r="F24" t="s">
        <v>3884</v>
      </c>
      <c r="G24" t="s">
        <v>9208</v>
      </c>
      <c r="H24" s="9" t="s">
        <v>3889</v>
      </c>
      <c r="I24" s="9"/>
      <c r="J24" s="9">
        <v>1</v>
      </c>
      <c r="K24" s="9">
        <v>6</v>
      </c>
      <c r="L24" s="9" t="s">
        <v>8703</v>
      </c>
      <c r="M24" s="9" t="s">
        <v>8690</v>
      </c>
      <c r="N24" s="9"/>
      <c r="O24" s="10"/>
      <c r="P24" s="9"/>
      <c r="Q24" s="9">
        <v>7</v>
      </c>
      <c r="R24" s="9"/>
      <c r="S24" s="9" t="s">
        <v>9321</v>
      </c>
      <c r="T24" s="9" t="s">
        <v>9321</v>
      </c>
      <c r="U24" s="9" t="s">
        <v>8728</v>
      </c>
      <c r="V24" s="9"/>
      <c r="W24" s="9"/>
      <c r="X24" s="9"/>
      <c r="Y24" s="9"/>
      <c r="Z24" s="9"/>
      <c r="AA24" s="9"/>
      <c r="AB24" s="9"/>
      <c r="AC24" s="9"/>
      <c r="AD24" s="9"/>
    </row>
    <row r="25" spans="1:30" ht="43.5">
      <c r="A25" s="3" t="s">
        <v>363</v>
      </c>
      <c r="B25" s="3" t="s">
        <v>4440</v>
      </c>
      <c r="C25" s="3" t="s">
        <v>4441</v>
      </c>
      <c r="G25" t="s">
        <v>9209</v>
      </c>
      <c r="H25" s="9" t="s">
        <v>3889</v>
      </c>
      <c r="I25" s="9"/>
      <c r="J25" s="9">
        <v>1</v>
      </c>
      <c r="K25" s="9">
        <v>7</v>
      </c>
      <c r="L25" s="9" t="s">
        <v>8703</v>
      </c>
      <c r="M25" s="9" t="s">
        <v>8690</v>
      </c>
      <c r="N25" s="9"/>
      <c r="O25" s="10"/>
      <c r="P25" s="9"/>
      <c r="Q25" s="9">
        <v>99</v>
      </c>
      <c r="R25" s="9"/>
      <c r="S25" s="9" t="s">
        <v>9321</v>
      </c>
      <c r="T25" s="9" t="s">
        <v>9321</v>
      </c>
      <c r="U25" s="9" t="s">
        <v>8728</v>
      </c>
      <c r="V25" s="9"/>
      <c r="W25" s="9"/>
      <c r="X25" s="9"/>
      <c r="Y25" s="9"/>
      <c r="Z25" s="9"/>
      <c r="AA25" s="9"/>
      <c r="AB25" s="9"/>
      <c r="AC25" s="9"/>
      <c r="AD25" s="9"/>
    </row>
    <row r="26" spans="1:30" ht="43.5">
      <c r="A26" s="3" t="s">
        <v>386</v>
      </c>
      <c r="B26" s="3" t="s">
        <v>4486</v>
      </c>
      <c r="C26" s="3" t="s">
        <v>4487</v>
      </c>
      <c r="G26" t="s">
        <v>9215</v>
      </c>
      <c r="H26" s="9" t="s">
        <v>3885</v>
      </c>
      <c r="I26" s="9"/>
      <c r="J26" s="9">
        <v>1</v>
      </c>
      <c r="K26" s="9">
        <v>2</v>
      </c>
      <c r="L26" s="9" t="s">
        <v>8689</v>
      </c>
      <c r="M26" s="9" t="s">
        <v>8730</v>
      </c>
      <c r="N26" s="9"/>
      <c r="O26" s="10"/>
      <c r="P26" s="9"/>
      <c r="Q26" s="9">
        <v>10929</v>
      </c>
      <c r="R26" s="9"/>
      <c r="S26" s="9" t="s">
        <v>9321</v>
      </c>
      <c r="T26" s="9" t="s">
        <v>9321</v>
      </c>
      <c r="U26" s="9" t="s">
        <v>8728</v>
      </c>
      <c r="V26" s="9"/>
      <c r="W26" s="9"/>
      <c r="X26" s="9"/>
      <c r="Y26" s="9"/>
      <c r="Z26" s="9"/>
      <c r="AA26" s="9"/>
      <c r="AB26" s="9"/>
      <c r="AC26" s="9"/>
      <c r="AD26" s="9"/>
    </row>
    <row r="27" spans="1:30" ht="43.5">
      <c r="A27" s="3" t="s">
        <v>455</v>
      </c>
      <c r="B27" s="3" t="s">
        <v>8966</v>
      </c>
      <c r="C27" s="3" t="s">
        <v>8967</v>
      </c>
      <c r="G27" t="s">
        <v>9217</v>
      </c>
      <c r="H27" s="9" t="s">
        <v>3885</v>
      </c>
      <c r="I27" s="9"/>
      <c r="J27" s="9">
        <v>1</v>
      </c>
      <c r="K27" s="9">
        <v>3</v>
      </c>
      <c r="L27" s="9" t="s">
        <v>8689</v>
      </c>
      <c r="M27" s="9" t="s">
        <v>8690</v>
      </c>
      <c r="N27" s="9"/>
      <c r="O27" s="10"/>
      <c r="P27" s="9"/>
      <c r="Q27" s="9">
        <v>10929</v>
      </c>
      <c r="R27" s="9"/>
      <c r="S27" s="9" t="s">
        <v>9321</v>
      </c>
      <c r="T27" s="9" t="s">
        <v>9321</v>
      </c>
      <c r="U27" s="9" t="s">
        <v>4</v>
      </c>
      <c r="V27" s="9"/>
      <c r="W27" s="9"/>
      <c r="X27" s="9"/>
      <c r="Y27" s="9"/>
      <c r="Z27" s="9"/>
      <c r="AA27" s="9"/>
      <c r="AB27" s="9"/>
      <c r="AC27" s="9"/>
      <c r="AD27" s="9"/>
    </row>
    <row r="28" spans="1:30" ht="101.5">
      <c r="A28" s="3" t="s">
        <v>515</v>
      </c>
      <c r="B28" s="3" t="s">
        <v>4716</v>
      </c>
      <c r="C28" s="3" t="s">
        <v>4717</v>
      </c>
      <c r="G28" t="s">
        <v>9218</v>
      </c>
      <c r="H28" s="9" t="s">
        <v>3885</v>
      </c>
      <c r="I28" s="9"/>
      <c r="J28" s="9">
        <v>2</v>
      </c>
      <c r="K28" s="9">
        <v>12</v>
      </c>
      <c r="L28" s="9"/>
      <c r="M28" s="9" t="s">
        <v>8684</v>
      </c>
      <c r="N28" s="9" t="s">
        <v>8777</v>
      </c>
      <c r="O28" s="10" t="s">
        <v>8982</v>
      </c>
      <c r="P28" s="9"/>
      <c r="Q28" s="9">
        <v>174</v>
      </c>
      <c r="R28" s="9"/>
      <c r="S28" s="9" t="s">
        <v>9321</v>
      </c>
      <c r="T28" s="9" t="s">
        <v>9321</v>
      </c>
      <c r="U28" s="9" t="s">
        <v>4</v>
      </c>
      <c r="V28" s="9"/>
      <c r="W28" s="9"/>
      <c r="X28" s="9"/>
      <c r="Y28" s="9"/>
      <c r="Z28" s="9"/>
      <c r="AA28" s="9"/>
      <c r="AB28" s="9"/>
      <c r="AC28" s="9"/>
      <c r="AD28" s="9"/>
    </row>
    <row r="29" spans="1:30" ht="29">
      <c r="A29" s="3" t="s">
        <v>517</v>
      </c>
      <c r="B29" s="3" t="s">
        <v>4718</v>
      </c>
      <c r="C29" s="3" t="s">
        <v>4719</v>
      </c>
      <c r="F29" t="s">
        <v>3884</v>
      </c>
      <c r="G29" t="s">
        <v>9219</v>
      </c>
      <c r="H29" s="9" t="s">
        <v>8731</v>
      </c>
      <c r="I29" s="9"/>
      <c r="J29" s="9"/>
      <c r="K29" s="9"/>
      <c r="L29" s="9"/>
      <c r="M29" s="9"/>
      <c r="N29" s="9"/>
      <c r="O29" s="10"/>
      <c r="P29" s="9"/>
      <c r="Q29" s="9"/>
      <c r="R29" s="9"/>
      <c r="S29" s="9" t="s">
        <v>9321</v>
      </c>
      <c r="T29" s="9" t="s">
        <v>9321</v>
      </c>
      <c r="U29" s="9" t="s">
        <v>8728</v>
      </c>
      <c r="V29" s="9"/>
      <c r="W29" s="9"/>
      <c r="X29" s="9"/>
      <c r="Y29" s="9"/>
      <c r="Z29" s="9"/>
      <c r="AA29" s="9"/>
      <c r="AB29" s="9"/>
      <c r="AC29" s="9"/>
      <c r="AD29" s="9"/>
    </row>
    <row r="30" spans="1:30" ht="29">
      <c r="A30" s="3" t="s">
        <v>555</v>
      </c>
      <c r="B30" s="3" t="s">
        <v>4802</v>
      </c>
      <c r="C30" s="3" t="s">
        <v>4803</v>
      </c>
      <c r="G30" t="s">
        <v>9220</v>
      </c>
      <c r="H30" s="9" t="s">
        <v>3889</v>
      </c>
      <c r="I30" s="9"/>
      <c r="J30" s="9">
        <v>1</v>
      </c>
      <c r="K30" s="9">
        <v>1</v>
      </c>
      <c r="L30" s="9" t="s">
        <v>8689</v>
      </c>
      <c r="M30" s="9" t="s">
        <v>8730</v>
      </c>
      <c r="N30" s="9"/>
      <c r="O30" s="10"/>
      <c r="P30" s="9"/>
      <c r="Q30" s="9">
        <v>10929</v>
      </c>
      <c r="R30" s="9"/>
      <c r="S30" s="9" t="s">
        <v>9321</v>
      </c>
      <c r="T30" s="9" t="s">
        <v>9321</v>
      </c>
      <c r="U30" s="9" t="s">
        <v>8728</v>
      </c>
      <c r="V30" s="9"/>
      <c r="W30" s="9"/>
      <c r="X30" s="9"/>
      <c r="Y30" s="9"/>
      <c r="Z30" s="9"/>
      <c r="AA30" s="9"/>
      <c r="AB30" s="9"/>
      <c r="AC30" s="9"/>
      <c r="AD30" s="9"/>
    </row>
    <row r="31" spans="1:30" ht="72.5">
      <c r="A31" s="3" t="s">
        <v>626</v>
      </c>
      <c r="B31" s="3" t="s">
        <v>9474</v>
      </c>
      <c r="C31" s="3" t="s">
        <v>9475</v>
      </c>
      <c r="G31" t="s">
        <v>9223</v>
      </c>
      <c r="H31" s="9" t="s">
        <v>8729</v>
      </c>
      <c r="I31" s="9"/>
      <c r="J31" s="9"/>
      <c r="K31" s="9"/>
      <c r="L31" s="9"/>
      <c r="M31" s="9"/>
      <c r="N31" s="9"/>
      <c r="O31" s="10"/>
      <c r="P31" s="9"/>
      <c r="Q31" s="9"/>
      <c r="R31" s="9">
        <v>139</v>
      </c>
      <c r="S31" s="9">
        <v>44</v>
      </c>
      <c r="T31" s="9">
        <v>183</v>
      </c>
      <c r="U31" s="9" t="s">
        <v>4</v>
      </c>
      <c r="V31" s="9"/>
      <c r="W31" s="9"/>
      <c r="X31" s="9"/>
      <c r="Y31" s="9"/>
      <c r="Z31" s="9"/>
      <c r="AA31" s="9"/>
      <c r="AB31" s="9"/>
      <c r="AC31" s="9"/>
      <c r="AD31" s="9"/>
    </row>
    <row r="32" spans="1:30" ht="29">
      <c r="A32" s="3" t="s">
        <v>658</v>
      </c>
      <c r="B32" s="3" t="s">
        <v>4999</v>
      </c>
      <c r="C32" s="3" t="s">
        <v>2926</v>
      </c>
      <c r="F32" t="s">
        <v>3884</v>
      </c>
      <c r="G32" t="s">
        <v>9224</v>
      </c>
      <c r="H32" s="9" t="s">
        <v>8729</v>
      </c>
      <c r="I32" s="9"/>
      <c r="J32" s="9"/>
      <c r="K32" s="9"/>
      <c r="L32" s="9"/>
      <c r="M32" s="9"/>
      <c r="N32" s="9"/>
      <c r="O32" s="10"/>
      <c r="P32" s="9"/>
      <c r="Q32" s="9"/>
      <c r="R32" s="9">
        <v>-2</v>
      </c>
      <c r="S32" s="9">
        <v>4</v>
      </c>
      <c r="T32" s="9">
        <v>2</v>
      </c>
      <c r="U32" s="9" t="s">
        <v>4</v>
      </c>
      <c r="V32" s="9"/>
      <c r="W32" s="9"/>
      <c r="X32" s="9"/>
      <c r="Y32" s="9"/>
      <c r="Z32" s="9"/>
      <c r="AA32" s="9"/>
      <c r="AB32" s="9"/>
      <c r="AC32" s="9"/>
      <c r="AD32" s="9"/>
    </row>
    <row r="33" spans="1:30" ht="43.5">
      <c r="A33" s="3" t="s">
        <v>696</v>
      </c>
      <c r="B33" s="3" t="s">
        <v>5086</v>
      </c>
      <c r="C33" s="3" t="s">
        <v>5087</v>
      </c>
      <c r="F33" t="s">
        <v>3884</v>
      </c>
      <c r="G33" t="s">
        <v>9225</v>
      </c>
      <c r="H33" s="9" t="s">
        <v>8729</v>
      </c>
      <c r="I33" s="9"/>
      <c r="J33" s="9"/>
      <c r="K33" s="9"/>
      <c r="L33" s="9"/>
      <c r="M33" s="9"/>
      <c r="N33" s="9"/>
      <c r="O33" s="10"/>
      <c r="P33" s="9"/>
      <c r="Q33" s="9"/>
      <c r="R33" s="9">
        <v>-12</v>
      </c>
      <c r="S33" s="9">
        <v>12</v>
      </c>
      <c r="T33" s="9">
        <v>0</v>
      </c>
      <c r="U33" s="9" t="s">
        <v>8728</v>
      </c>
      <c r="V33" s="9"/>
      <c r="W33" s="9"/>
      <c r="X33" s="9"/>
      <c r="Y33" s="9"/>
      <c r="Z33" s="9"/>
      <c r="AA33" s="9"/>
      <c r="AB33" s="9"/>
      <c r="AC33" s="9"/>
      <c r="AD33" s="9"/>
    </row>
    <row r="34" spans="1:30" ht="58">
      <c r="A34" s="3" t="s">
        <v>712</v>
      </c>
      <c r="B34" s="3" t="s">
        <v>5126</v>
      </c>
      <c r="C34" s="3" t="s">
        <v>5124</v>
      </c>
      <c r="G34" t="s">
        <v>9226</v>
      </c>
      <c r="H34" s="9" t="s">
        <v>3889</v>
      </c>
      <c r="I34" s="9"/>
      <c r="J34" s="9">
        <v>1</v>
      </c>
      <c r="K34" s="9">
        <v>3</v>
      </c>
      <c r="L34" s="9" t="s">
        <v>8705</v>
      </c>
      <c r="M34" s="9" t="s">
        <v>8690</v>
      </c>
      <c r="N34" s="9"/>
      <c r="O34" s="10"/>
      <c r="P34" s="9"/>
      <c r="Q34" s="9">
        <v>1485</v>
      </c>
      <c r="R34" s="9"/>
      <c r="S34" s="9" t="s">
        <v>9321</v>
      </c>
      <c r="T34" s="9" t="s">
        <v>9321</v>
      </c>
      <c r="U34" s="9" t="s">
        <v>8728</v>
      </c>
      <c r="V34" s="9"/>
      <c r="W34" s="9"/>
      <c r="X34" s="9"/>
      <c r="Y34" s="9"/>
      <c r="Z34" s="9"/>
      <c r="AA34" s="9"/>
      <c r="AB34" s="9"/>
      <c r="AC34" s="9"/>
      <c r="AD34" s="9"/>
    </row>
    <row r="35" spans="1:30" ht="43.5">
      <c r="A35" s="3" t="s">
        <v>753</v>
      </c>
      <c r="B35" s="3" t="s">
        <v>5234</v>
      </c>
      <c r="C35" s="3" t="s">
        <v>5235</v>
      </c>
      <c r="G35" t="s">
        <v>9227</v>
      </c>
      <c r="H35" s="9" t="s">
        <v>3889</v>
      </c>
      <c r="I35" s="9"/>
      <c r="J35" s="9">
        <v>1</v>
      </c>
      <c r="K35" s="9">
        <v>1</v>
      </c>
      <c r="L35" s="9" t="s">
        <v>8689</v>
      </c>
      <c r="M35" s="9" t="s">
        <v>8730</v>
      </c>
      <c r="N35" s="9"/>
      <c r="O35" s="10"/>
      <c r="P35" s="9"/>
      <c r="Q35" s="9">
        <v>10929</v>
      </c>
      <c r="R35" s="9"/>
      <c r="S35" s="9" t="s">
        <v>9321</v>
      </c>
      <c r="T35" s="9" t="s">
        <v>9321</v>
      </c>
      <c r="U35" s="9" t="s">
        <v>8728</v>
      </c>
      <c r="V35" s="9"/>
      <c r="W35" s="9"/>
      <c r="X35" s="9"/>
      <c r="Y35" s="9"/>
      <c r="Z35" s="9"/>
      <c r="AA35" s="9"/>
      <c r="AB35" s="9"/>
      <c r="AC35" s="9"/>
      <c r="AD35" s="9"/>
    </row>
    <row r="36" spans="1:30" ht="43.5">
      <c r="A36" s="3" t="s">
        <v>762</v>
      </c>
      <c r="B36" s="3" t="s">
        <v>5259</v>
      </c>
      <c r="C36" s="3" t="s">
        <v>5260</v>
      </c>
      <c r="F36" t="s">
        <v>3884</v>
      </c>
      <c r="G36" t="s">
        <v>9228</v>
      </c>
      <c r="H36" s="9" t="s">
        <v>3889</v>
      </c>
      <c r="I36" s="9"/>
      <c r="J36" s="9">
        <v>1</v>
      </c>
      <c r="K36" s="9">
        <v>2</v>
      </c>
      <c r="L36" s="9" t="s">
        <v>8689</v>
      </c>
      <c r="M36" s="9" t="s">
        <v>8730</v>
      </c>
      <c r="N36" s="9"/>
      <c r="O36" s="10"/>
      <c r="P36" s="9"/>
      <c r="Q36" s="9">
        <v>10929</v>
      </c>
      <c r="R36" s="9"/>
      <c r="S36" s="9" t="s">
        <v>9321</v>
      </c>
      <c r="T36" s="9" t="s">
        <v>9321</v>
      </c>
      <c r="U36" s="9" t="s">
        <v>8728</v>
      </c>
      <c r="V36" s="9"/>
      <c r="W36" s="9"/>
      <c r="X36" s="9"/>
      <c r="Y36" s="9"/>
      <c r="Z36" s="9"/>
      <c r="AA36" s="9"/>
      <c r="AB36" s="9"/>
      <c r="AC36" s="9"/>
      <c r="AD36" s="9"/>
    </row>
    <row r="37" spans="1:30" ht="43.5">
      <c r="A37" s="3" t="s">
        <v>772</v>
      </c>
      <c r="B37" s="3" t="s">
        <v>5292</v>
      </c>
      <c r="C37" s="3" t="s">
        <v>5293</v>
      </c>
      <c r="G37" t="s">
        <v>9230</v>
      </c>
      <c r="H37" s="9" t="s">
        <v>3889</v>
      </c>
      <c r="I37" s="9"/>
      <c r="J37" s="9">
        <v>1</v>
      </c>
      <c r="K37" s="9">
        <v>2</v>
      </c>
      <c r="L37" s="9" t="s">
        <v>8734</v>
      </c>
      <c r="M37" s="9" t="s">
        <v>8730</v>
      </c>
      <c r="N37" s="9"/>
      <c r="O37" s="10"/>
      <c r="P37" s="9"/>
      <c r="Q37" s="9">
        <v>120</v>
      </c>
      <c r="R37" s="9"/>
      <c r="S37" s="9" t="s">
        <v>9321</v>
      </c>
      <c r="T37" s="9" t="s">
        <v>9321</v>
      </c>
      <c r="U37" s="9" t="s">
        <v>4</v>
      </c>
      <c r="V37" s="9"/>
      <c r="W37" s="9"/>
      <c r="X37" s="9"/>
      <c r="Y37" s="9"/>
      <c r="Z37" s="9"/>
      <c r="AA37" s="9"/>
      <c r="AB37" s="9"/>
      <c r="AC37" s="9"/>
      <c r="AD37" s="9"/>
    </row>
    <row r="38" spans="1:30" ht="29">
      <c r="A38" s="3" t="s">
        <v>774</v>
      </c>
      <c r="B38" s="3" t="s">
        <v>5297</v>
      </c>
      <c r="C38" s="3" t="s">
        <v>5298</v>
      </c>
      <c r="G38" t="s">
        <v>9231</v>
      </c>
      <c r="H38" s="9" t="s">
        <v>3889</v>
      </c>
      <c r="I38" s="9"/>
      <c r="J38" s="9">
        <v>1</v>
      </c>
      <c r="K38" s="9">
        <v>3</v>
      </c>
      <c r="L38" s="9" t="s">
        <v>8689</v>
      </c>
      <c r="M38" s="9" t="s">
        <v>8690</v>
      </c>
      <c r="N38" s="9"/>
      <c r="O38" s="10"/>
      <c r="P38" s="9"/>
      <c r="Q38" s="9">
        <v>10929</v>
      </c>
      <c r="R38" s="9"/>
      <c r="S38" s="9" t="s">
        <v>9321</v>
      </c>
      <c r="T38" s="9" t="s">
        <v>9321</v>
      </c>
      <c r="U38" s="9" t="s">
        <v>8728</v>
      </c>
      <c r="V38" s="9"/>
      <c r="W38" s="9"/>
      <c r="X38" s="9"/>
      <c r="Y38" s="9"/>
      <c r="Z38" s="9"/>
      <c r="AA38" s="9"/>
      <c r="AB38" s="9"/>
      <c r="AC38" s="9"/>
      <c r="AD38" s="9"/>
    </row>
    <row r="39" spans="1:30" ht="43.5">
      <c r="A39" s="3" t="s">
        <v>778</v>
      </c>
      <c r="B39" s="3" t="s">
        <v>5312</v>
      </c>
      <c r="C39" s="3" t="s">
        <v>5311</v>
      </c>
      <c r="H39" s="9" t="s">
        <v>3885</v>
      </c>
      <c r="I39" s="9"/>
      <c r="J39" s="9">
        <v>1</v>
      </c>
      <c r="K39" s="9">
        <v>1</v>
      </c>
      <c r="L39" s="9" t="s">
        <v>8705</v>
      </c>
      <c r="M39" s="9" t="s">
        <v>8730</v>
      </c>
      <c r="N39" s="9"/>
      <c r="O39" s="10"/>
      <c r="P39" s="9"/>
      <c r="Q39" s="9">
        <v>615</v>
      </c>
      <c r="R39" s="9"/>
      <c r="S39" s="9" t="s">
        <v>9321</v>
      </c>
      <c r="T39" s="9" t="s">
        <v>9321</v>
      </c>
      <c r="U39" s="9" t="s">
        <v>4</v>
      </c>
      <c r="V39" s="9"/>
      <c r="W39" s="9"/>
      <c r="X39" s="9"/>
      <c r="Y39" s="9"/>
      <c r="Z39" s="9"/>
      <c r="AA39" s="9"/>
      <c r="AB39" s="9"/>
      <c r="AC39" s="9"/>
      <c r="AD39" s="9"/>
    </row>
    <row r="40" spans="1:30" ht="58">
      <c r="A40" s="3" t="s">
        <v>813</v>
      </c>
      <c r="B40" s="3" t="s">
        <v>5431</v>
      </c>
      <c r="C40" s="3" t="s">
        <v>5432</v>
      </c>
      <c r="G40" t="s">
        <v>9234</v>
      </c>
      <c r="H40" s="9" t="s">
        <v>8729</v>
      </c>
      <c r="I40" s="9"/>
      <c r="J40" s="9"/>
      <c r="K40" s="9"/>
      <c r="L40" s="9"/>
      <c r="M40" s="9"/>
      <c r="N40" s="9"/>
      <c r="O40" s="10"/>
      <c r="P40" s="9"/>
      <c r="Q40" s="9"/>
      <c r="R40" s="9">
        <v>-96</v>
      </c>
      <c r="S40" s="9">
        <v>202</v>
      </c>
      <c r="T40" s="9">
        <v>106</v>
      </c>
      <c r="U40" s="9" t="s">
        <v>4</v>
      </c>
      <c r="V40" s="9"/>
      <c r="W40" s="9"/>
      <c r="X40" s="9"/>
      <c r="Y40" s="9"/>
      <c r="Z40" s="9"/>
      <c r="AA40" s="9"/>
      <c r="AB40" s="9"/>
      <c r="AC40" s="9"/>
      <c r="AD40" s="9"/>
    </row>
    <row r="41" spans="1:30" ht="58">
      <c r="A41" s="3" t="s">
        <v>906</v>
      </c>
      <c r="B41" s="3" t="s">
        <v>5617</v>
      </c>
      <c r="C41" s="3" t="s">
        <v>5618</v>
      </c>
      <c r="F41" t="s">
        <v>3884</v>
      </c>
      <c r="G41" t="s">
        <v>9235</v>
      </c>
      <c r="H41" s="9" t="s">
        <v>3889</v>
      </c>
      <c r="I41" s="9"/>
      <c r="J41" s="9">
        <v>1</v>
      </c>
      <c r="K41" s="9">
        <v>3</v>
      </c>
      <c r="L41" s="9" t="s">
        <v>8689</v>
      </c>
      <c r="M41" s="9" t="s">
        <v>8690</v>
      </c>
      <c r="N41" s="9"/>
      <c r="O41" s="10"/>
      <c r="P41" s="9"/>
      <c r="Q41" s="9">
        <v>10929</v>
      </c>
      <c r="R41" s="9"/>
      <c r="S41" s="9" t="s">
        <v>9321</v>
      </c>
      <c r="T41" s="9" t="s">
        <v>9321</v>
      </c>
      <c r="U41" s="9" t="s">
        <v>8728</v>
      </c>
      <c r="V41" s="9"/>
      <c r="W41" s="9"/>
      <c r="X41" s="9"/>
      <c r="Y41" s="9"/>
      <c r="Z41" s="9"/>
      <c r="AA41" s="9"/>
      <c r="AB41" s="9"/>
      <c r="AC41" s="9"/>
      <c r="AD41" s="9"/>
    </row>
    <row r="42" spans="1:30" ht="58">
      <c r="A42" s="3" t="s">
        <v>1012</v>
      </c>
      <c r="B42" s="3" t="s">
        <v>5845</v>
      </c>
      <c r="C42" s="3" t="s">
        <v>5844</v>
      </c>
      <c r="G42" t="s">
        <v>9239</v>
      </c>
      <c r="H42" s="9" t="s">
        <v>3889</v>
      </c>
      <c r="I42" s="9"/>
      <c r="J42" s="9">
        <v>1</v>
      </c>
      <c r="K42" s="9">
        <v>8</v>
      </c>
      <c r="L42" s="9" t="s">
        <v>8703</v>
      </c>
      <c r="M42" s="9" t="s">
        <v>8684</v>
      </c>
      <c r="N42" s="9" t="s">
        <v>8771</v>
      </c>
      <c r="O42" s="10" t="s">
        <v>8778</v>
      </c>
      <c r="P42" s="9"/>
      <c r="Q42" s="9">
        <v>1056</v>
      </c>
      <c r="R42" s="9"/>
      <c r="S42" s="9" t="s">
        <v>9321</v>
      </c>
      <c r="T42" s="9" t="s">
        <v>9321</v>
      </c>
      <c r="U42" s="9" t="s">
        <v>4</v>
      </c>
      <c r="V42" s="9"/>
      <c r="W42" s="9"/>
      <c r="X42" s="9"/>
      <c r="Y42" s="9"/>
      <c r="Z42" s="9"/>
      <c r="AA42" s="9"/>
      <c r="AB42" s="9"/>
      <c r="AC42" s="9"/>
      <c r="AD42" s="9"/>
    </row>
    <row r="43" spans="1:30" ht="29">
      <c r="A43" s="3" t="s">
        <v>1045</v>
      </c>
      <c r="B43" s="3" t="s">
        <v>5921</v>
      </c>
      <c r="C43" s="3" t="s">
        <v>5922</v>
      </c>
      <c r="F43" t="s">
        <v>3884</v>
      </c>
      <c r="G43" t="s">
        <v>9241</v>
      </c>
      <c r="H43" s="9" t="s">
        <v>8731</v>
      </c>
      <c r="I43" s="9"/>
      <c r="J43" s="9"/>
      <c r="K43" s="9"/>
      <c r="L43" s="9"/>
      <c r="M43" s="9"/>
      <c r="N43" s="9"/>
      <c r="O43" s="10"/>
      <c r="P43" s="9"/>
      <c r="Q43" s="9"/>
      <c r="R43" s="9"/>
      <c r="S43" s="9" t="s">
        <v>9321</v>
      </c>
      <c r="T43" s="9" t="s">
        <v>9321</v>
      </c>
      <c r="U43" s="9" t="s">
        <v>8728</v>
      </c>
      <c r="V43" s="9"/>
      <c r="W43" s="9"/>
      <c r="X43" s="9"/>
      <c r="Y43" s="9"/>
      <c r="Z43" s="9"/>
      <c r="AA43" s="9"/>
      <c r="AB43" s="9"/>
      <c r="AC43" s="9"/>
      <c r="AD43" s="9"/>
    </row>
    <row r="44" spans="1:30" ht="43.5">
      <c r="A44" s="3" t="s">
        <v>1048</v>
      </c>
      <c r="B44" s="3" t="s">
        <v>5925</v>
      </c>
      <c r="C44" s="3" t="s">
        <v>5926</v>
      </c>
      <c r="G44" t="s">
        <v>9240</v>
      </c>
      <c r="H44" s="9" t="s">
        <v>8729</v>
      </c>
      <c r="I44" s="9"/>
      <c r="J44" s="9"/>
      <c r="K44" s="9"/>
      <c r="L44" s="9"/>
      <c r="M44" s="9"/>
      <c r="N44" s="9"/>
      <c r="O44" s="10"/>
      <c r="P44" s="9"/>
      <c r="Q44" s="9"/>
      <c r="R44" s="9">
        <v>10276</v>
      </c>
      <c r="S44" s="9">
        <v>653</v>
      </c>
      <c r="T44" s="9">
        <v>10929</v>
      </c>
      <c r="U44" s="9" t="s">
        <v>8728</v>
      </c>
      <c r="V44" s="9"/>
      <c r="W44" s="9"/>
      <c r="X44" s="9"/>
      <c r="Y44" s="9"/>
      <c r="Z44" s="9"/>
      <c r="AA44" s="9"/>
      <c r="AB44" s="9"/>
      <c r="AC44" s="9"/>
      <c r="AD44" s="9"/>
    </row>
    <row r="45" spans="1:30" ht="29">
      <c r="A45" s="3" t="s">
        <v>1048</v>
      </c>
      <c r="B45" s="3" t="s">
        <v>5921</v>
      </c>
      <c r="C45" s="3" t="s">
        <v>5922</v>
      </c>
      <c r="F45" t="s">
        <v>3884</v>
      </c>
      <c r="G45" t="s">
        <v>9240</v>
      </c>
      <c r="H45" s="9" t="s">
        <v>8731</v>
      </c>
      <c r="I45" s="9"/>
      <c r="J45" s="9"/>
      <c r="K45" s="9"/>
      <c r="L45" s="9"/>
      <c r="M45" s="9"/>
      <c r="N45" s="9"/>
      <c r="O45" s="10"/>
      <c r="P45" s="9"/>
      <c r="Q45" s="9"/>
      <c r="R45" s="9"/>
      <c r="S45" s="9" t="s">
        <v>9321</v>
      </c>
      <c r="T45" s="9" t="s">
        <v>9321</v>
      </c>
      <c r="U45" s="9" t="s">
        <v>8728</v>
      </c>
      <c r="V45" s="9"/>
      <c r="W45" s="9"/>
      <c r="X45" s="9"/>
      <c r="Y45" s="9"/>
      <c r="Z45" s="9"/>
      <c r="AA45" s="9"/>
      <c r="AB45" s="9"/>
      <c r="AC45" s="9"/>
      <c r="AD45" s="9"/>
    </row>
    <row r="46" spans="1:30" ht="29">
      <c r="A46" s="3" t="s">
        <v>1087</v>
      </c>
      <c r="B46" s="3" t="s">
        <v>6023</v>
      </c>
      <c r="C46" s="3" t="s">
        <v>6024</v>
      </c>
      <c r="G46" t="s">
        <v>9242</v>
      </c>
      <c r="H46" s="9" t="s">
        <v>8731</v>
      </c>
      <c r="I46" s="9"/>
      <c r="J46" s="9"/>
      <c r="K46" s="9"/>
      <c r="L46" s="9"/>
      <c r="M46" s="9"/>
      <c r="N46" s="9"/>
      <c r="O46" s="10"/>
      <c r="P46" s="9"/>
      <c r="Q46" s="9"/>
      <c r="R46" s="9"/>
      <c r="S46" s="9" t="s">
        <v>9321</v>
      </c>
      <c r="T46" s="9" t="s">
        <v>9321</v>
      </c>
      <c r="U46" s="9" t="s">
        <v>4</v>
      </c>
      <c r="V46" s="9"/>
      <c r="W46" s="9"/>
      <c r="X46" s="9"/>
      <c r="Y46" s="9"/>
      <c r="Z46" s="9"/>
      <c r="AA46" s="9"/>
      <c r="AB46" s="9"/>
      <c r="AC46" s="9"/>
      <c r="AD46" s="9"/>
    </row>
    <row r="47" spans="1:30" ht="43.5">
      <c r="A47" s="3" t="s">
        <v>1137</v>
      </c>
      <c r="B47" s="3" t="s">
        <v>6163</v>
      </c>
      <c r="C47" s="3" t="s">
        <v>6164</v>
      </c>
      <c r="G47" t="s">
        <v>9244</v>
      </c>
      <c r="H47" s="9" t="s">
        <v>3889</v>
      </c>
      <c r="I47" s="9"/>
      <c r="J47" s="9">
        <v>1</v>
      </c>
      <c r="K47" s="9">
        <v>2</v>
      </c>
      <c r="L47" s="9" t="s">
        <v>8689</v>
      </c>
      <c r="M47" s="9" t="s">
        <v>8730</v>
      </c>
      <c r="N47" s="9"/>
      <c r="O47" s="10"/>
      <c r="P47" s="9"/>
      <c r="Q47" s="9">
        <v>10929</v>
      </c>
      <c r="R47" s="9"/>
      <c r="S47" s="9" t="s">
        <v>9321</v>
      </c>
      <c r="T47" s="9" t="s">
        <v>9321</v>
      </c>
      <c r="U47" s="9" t="s">
        <v>8728</v>
      </c>
      <c r="V47" s="9"/>
      <c r="W47" s="9"/>
      <c r="X47" s="9"/>
      <c r="Y47" s="9"/>
      <c r="Z47" s="9"/>
      <c r="AA47" s="9"/>
      <c r="AB47" s="9"/>
      <c r="AC47" s="9"/>
      <c r="AD47" s="9"/>
    </row>
    <row r="48" spans="1:30" ht="29">
      <c r="A48" s="3" t="s">
        <v>1230</v>
      </c>
      <c r="B48" s="3" t="s">
        <v>3407</v>
      </c>
      <c r="C48" s="3" t="s">
        <v>3408</v>
      </c>
      <c r="G48" t="s">
        <v>9245</v>
      </c>
      <c r="H48" s="9" t="s">
        <v>8729</v>
      </c>
      <c r="I48" s="9"/>
      <c r="J48" s="9"/>
      <c r="K48" s="9"/>
      <c r="L48" s="9"/>
      <c r="M48" s="9"/>
      <c r="N48" s="9"/>
      <c r="O48" s="10"/>
      <c r="P48" s="9"/>
      <c r="Q48" s="9"/>
      <c r="R48" s="9">
        <v>-15</v>
      </c>
      <c r="S48" s="9">
        <v>15</v>
      </c>
      <c r="T48" s="9">
        <v>0</v>
      </c>
      <c r="U48" s="9" t="s">
        <v>8728</v>
      </c>
      <c r="V48" s="9"/>
      <c r="W48" s="9"/>
      <c r="X48" s="9"/>
      <c r="Y48" s="9"/>
      <c r="Z48" s="9"/>
      <c r="AA48" s="9"/>
      <c r="AB48" s="9"/>
      <c r="AC48" s="9"/>
      <c r="AD48" s="9"/>
    </row>
    <row r="49" spans="1:30" ht="29">
      <c r="A49" s="3" t="s">
        <v>1300</v>
      </c>
      <c r="B49" s="3" t="s">
        <v>6573</v>
      </c>
      <c r="C49" s="3" t="s">
        <v>6574</v>
      </c>
      <c r="F49" t="s">
        <v>3884</v>
      </c>
      <c r="G49" t="s">
        <v>9246</v>
      </c>
      <c r="H49" s="9" t="s">
        <v>3885</v>
      </c>
      <c r="I49" s="9"/>
      <c r="J49" s="9">
        <v>1</v>
      </c>
      <c r="K49" s="9">
        <v>1</v>
      </c>
      <c r="L49" s="9" t="s">
        <v>8698</v>
      </c>
      <c r="M49" s="9" t="s">
        <v>8730</v>
      </c>
      <c r="N49" s="9"/>
      <c r="O49" s="10"/>
      <c r="P49" s="9"/>
      <c r="Q49" s="9">
        <v>1</v>
      </c>
      <c r="R49" s="9"/>
      <c r="S49" s="9" t="s">
        <v>9321</v>
      </c>
      <c r="T49" s="9" t="s">
        <v>9321</v>
      </c>
      <c r="U49" s="9" t="s">
        <v>8728</v>
      </c>
      <c r="V49" s="9"/>
      <c r="W49" s="9"/>
      <c r="X49" s="9"/>
      <c r="Y49" s="9"/>
      <c r="Z49" s="9"/>
      <c r="AA49" s="9"/>
      <c r="AB49" s="9"/>
      <c r="AC49" s="9"/>
      <c r="AD49" s="9"/>
    </row>
    <row r="50" spans="1:30" ht="29">
      <c r="A50" s="3" t="s">
        <v>1321</v>
      </c>
      <c r="B50" s="3" t="s">
        <v>6625</v>
      </c>
      <c r="C50" s="3" t="s">
        <v>6626</v>
      </c>
      <c r="G50" t="s">
        <v>9247</v>
      </c>
      <c r="H50" s="9" t="s">
        <v>8731</v>
      </c>
      <c r="I50" s="9"/>
      <c r="J50" s="9"/>
      <c r="K50" s="9"/>
      <c r="L50" s="9"/>
      <c r="M50" s="9"/>
      <c r="N50" s="9"/>
      <c r="O50" s="10"/>
      <c r="P50" s="9"/>
      <c r="Q50" s="9"/>
      <c r="R50" s="9"/>
      <c r="S50" s="9" t="s">
        <v>9321</v>
      </c>
      <c r="T50" s="9" t="s">
        <v>9321</v>
      </c>
      <c r="U50" s="9" t="s">
        <v>4</v>
      </c>
      <c r="V50" s="9"/>
      <c r="W50" s="9"/>
      <c r="X50" s="9"/>
      <c r="Y50" s="9"/>
      <c r="Z50" s="9"/>
      <c r="AA50" s="9"/>
      <c r="AB50" s="9"/>
      <c r="AC50" s="9"/>
      <c r="AD50" s="9"/>
    </row>
    <row r="51" spans="1:30" ht="43.5">
      <c r="A51" s="3" t="s">
        <v>1331</v>
      </c>
      <c r="B51" s="3" t="s">
        <v>6655</v>
      </c>
      <c r="C51" s="3" t="s">
        <v>6656</v>
      </c>
      <c r="G51" t="s">
        <v>9249</v>
      </c>
      <c r="H51" s="9" t="s">
        <v>3889</v>
      </c>
      <c r="I51" s="9"/>
      <c r="J51" s="9">
        <v>1</v>
      </c>
      <c r="K51" s="9">
        <v>2</v>
      </c>
      <c r="L51" s="9" t="s">
        <v>8705</v>
      </c>
      <c r="M51" s="9" t="s">
        <v>8730</v>
      </c>
      <c r="N51" s="9"/>
      <c r="O51" s="10"/>
      <c r="P51" s="9"/>
      <c r="Q51" s="9">
        <v>231</v>
      </c>
      <c r="R51" s="9"/>
      <c r="S51" s="9" t="s">
        <v>9321</v>
      </c>
      <c r="T51" s="9" t="s">
        <v>9321</v>
      </c>
      <c r="U51" s="9" t="s">
        <v>4</v>
      </c>
      <c r="V51" s="9"/>
      <c r="W51" s="9"/>
      <c r="X51" s="9"/>
      <c r="Y51" s="9"/>
      <c r="Z51" s="9"/>
      <c r="AA51" s="9"/>
      <c r="AB51" s="9"/>
      <c r="AC51" s="9"/>
      <c r="AD51" s="9"/>
    </row>
    <row r="52" spans="1:30" ht="43.5">
      <c r="A52" s="3" t="s">
        <v>1388</v>
      </c>
      <c r="B52" s="3" t="s">
        <v>6862</v>
      </c>
      <c r="C52" s="3" t="s">
        <v>6863</v>
      </c>
      <c r="G52" t="s">
        <v>9250</v>
      </c>
      <c r="H52" s="9" t="s">
        <v>8731</v>
      </c>
      <c r="I52" s="9"/>
      <c r="J52" s="9"/>
      <c r="K52" s="9"/>
      <c r="L52" s="9"/>
      <c r="M52" s="9"/>
      <c r="N52" s="9"/>
      <c r="O52" s="10"/>
      <c r="P52" s="9"/>
      <c r="Q52" s="9"/>
      <c r="R52" s="9"/>
      <c r="S52" s="9" t="s">
        <v>9321</v>
      </c>
      <c r="T52" s="9" t="s">
        <v>9321</v>
      </c>
      <c r="U52" s="9" t="s">
        <v>8728</v>
      </c>
      <c r="V52" s="9"/>
      <c r="W52" s="9"/>
      <c r="X52" s="9"/>
      <c r="Y52" s="9"/>
      <c r="Z52" s="9"/>
      <c r="AA52" s="9"/>
      <c r="AB52" s="9"/>
      <c r="AC52" s="9"/>
      <c r="AD52" s="9"/>
    </row>
    <row r="53" spans="1:30" ht="43.5">
      <c r="A53" s="3" t="s">
        <v>1393</v>
      </c>
      <c r="B53" s="3" t="s">
        <v>6879</v>
      </c>
      <c r="C53" s="3" t="s">
        <v>6880</v>
      </c>
      <c r="F53" t="s">
        <v>3884</v>
      </c>
      <c r="G53" t="s">
        <v>9724</v>
      </c>
      <c r="H53" s="9" t="s">
        <v>8729</v>
      </c>
      <c r="I53" s="9"/>
      <c r="J53" s="9"/>
      <c r="K53" s="9"/>
      <c r="L53" s="9"/>
      <c r="M53" s="9"/>
      <c r="N53" s="9"/>
      <c r="O53" s="10"/>
      <c r="P53" s="9"/>
      <c r="Q53" s="9"/>
      <c r="R53" s="9">
        <v>625</v>
      </c>
      <c r="S53" s="9">
        <v>2</v>
      </c>
      <c r="T53" s="9">
        <v>627</v>
      </c>
      <c r="U53" s="9" t="s">
        <v>8728</v>
      </c>
      <c r="V53" s="9"/>
      <c r="W53" s="9"/>
      <c r="X53" s="9"/>
      <c r="Y53" s="9"/>
      <c r="Z53" s="9"/>
      <c r="AA53" s="9"/>
      <c r="AB53" s="9"/>
      <c r="AC53" s="9"/>
      <c r="AD53" s="9" t="s">
        <v>3884</v>
      </c>
    </row>
    <row r="54" spans="1:30" ht="29">
      <c r="A54" s="3" t="s">
        <v>1398</v>
      </c>
      <c r="B54" s="3" t="s">
        <v>6890</v>
      </c>
      <c r="C54" s="3" t="s">
        <v>6891</v>
      </c>
      <c r="F54" t="s">
        <v>3884</v>
      </c>
      <c r="G54" t="s">
        <v>9251</v>
      </c>
      <c r="H54" s="9" t="s">
        <v>3889</v>
      </c>
      <c r="I54" s="9"/>
      <c r="J54" s="9">
        <v>1</v>
      </c>
      <c r="K54" s="9">
        <v>2</v>
      </c>
      <c r="L54" s="9" t="s">
        <v>8689</v>
      </c>
      <c r="M54" s="9" t="s">
        <v>8730</v>
      </c>
      <c r="N54" s="9"/>
      <c r="O54" s="10"/>
      <c r="P54" s="9"/>
      <c r="Q54" s="9">
        <v>10929</v>
      </c>
      <c r="R54" s="9"/>
      <c r="S54" s="9" t="s">
        <v>9321</v>
      </c>
      <c r="T54" s="9" t="s">
        <v>9321</v>
      </c>
      <c r="U54" s="9" t="s">
        <v>8728</v>
      </c>
      <c r="V54" s="9"/>
      <c r="W54" s="9"/>
      <c r="X54" s="9"/>
      <c r="Y54" s="9"/>
      <c r="Z54" s="9"/>
      <c r="AA54" s="9"/>
      <c r="AB54" s="9"/>
      <c r="AC54" s="9"/>
      <c r="AD54" s="9"/>
    </row>
    <row r="55" spans="1:30" ht="58">
      <c r="A55" s="3" t="s">
        <v>1418</v>
      </c>
      <c r="B55" s="3" t="s">
        <v>6958</v>
      </c>
      <c r="C55" s="3" t="s">
        <v>6961</v>
      </c>
      <c r="F55" t="s">
        <v>3884</v>
      </c>
      <c r="G55" t="s">
        <v>9252</v>
      </c>
      <c r="H55" s="9" t="s">
        <v>3885</v>
      </c>
      <c r="I55" s="9"/>
      <c r="J55" s="9">
        <v>1</v>
      </c>
      <c r="K55" s="9">
        <v>4</v>
      </c>
      <c r="L55" s="9" t="s">
        <v>8703</v>
      </c>
      <c r="M55" s="9" t="s">
        <v>8690</v>
      </c>
      <c r="N55" s="9"/>
      <c r="O55" s="10"/>
      <c r="P55" s="9"/>
      <c r="Q55" s="9">
        <v>797</v>
      </c>
      <c r="R55" s="9"/>
      <c r="S55" s="9" t="s">
        <v>9321</v>
      </c>
      <c r="T55" s="9" t="s">
        <v>9321</v>
      </c>
      <c r="U55" s="9" t="s">
        <v>8728</v>
      </c>
      <c r="V55" s="9"/>
      <c r="W55" s="9"/>
      <c r="X55" s="9"/>
      <c r="Y55" s="9"/>
      <c r="Z55" s="9"/>
      <c r="AA55" s="9"/>
      <c r="AB55" s="9"/>
      <c r="AC55" s="9"/>
      <c r="AD55" s="9"/>
    </row>
    <row r="56" spans="1:30" ht="101.5">
      <c r="A56" s="3" t="s">
        <v>1436</v>
      </c>
      <c r="B56" s="3" t="s">
        <v>9363</v>
      </c>
      <c r="C56" s="3" t="s">
        <v>9364</v>
      </c>
      <c r="F56" t="s">
        <v>3884</v>
      </c>
      <c r="G56" t="s">
        <v>9725</v>
      </c>
      <c r="H56" s="9" t="s">
        <v>3885</v>
      </c>
      <c r="I56" s="9"/>
      <c r="J56" s="9">
        <v>1</v>
      </c>
      <c r="K56" s="9">
        <v>8</v>
      </c>
      <c r="L56" s="9" t="s">
        <v>8683</v>
      </c>
      <c r="M56" s="9" t="s">
        <v>8684</v>
      </c>
      <c r="N56" s="9" t="s">
        <v>8771</v>
      </c>
      <c r="O56" s="10" t="s">
        <v>8983</v>
      </c>
      <c r="P56" s="9" t="s">
        <v>8685</v>
      </c>
      <c r="Q56" s="9">
        <v>59</v>
      </c>
      <c r="R56" s="9"/>
      <c r="S56" s="9" t="s">
        <v>9321</v>
      </c>
      <c r="T56" s="9" t="s">
        <v>9321</v>
      </c>
      <c r="U56" s="9" t="s">
        <v>8728</v>
      </c>
      <c r="V56" s="9"/>
      <c r="W56" s="9"/>
      <c r="X56" s="9"/>
      <c r="Y56" s="9"/>
      <c r="Z56" s="9"/>
      <c r="AA56" s="9"/>
      <c r="AB56" s="9"/>
      <c r="AC56" s="9"/>
      <c r="AD56" s="9"/>
    </row>
    <row r="57" spans="1:30" ht="29">
      <c r="A57" s="3" t="s">
        <v>1443</v>
      </c>
      <c r="B57" s="3" t="s">
        <v>7060</v>
      </c>
      <c r="C57" s="3" t="s">
        <v>7061</v>
      </c>
      <c r="G57" t="s">
        <v>9253</v>
      </c>
      <c r="H57" s="9" t="s">
        <v>3889</v>
      </c>
      <c r="I57" s="9"/>
      <c r="J57" s="9">
        <v>1</v>
      </c>
      <c r="K57" s="9">
        <v>3</v>
      </c>
      <c r="L57" s="9" t="s">
        <v>8689</v>
      </c>
      <c r="M57" s="9" t="s">
        <v>8690</v>
      </c>
      <c r="N57" s="9"/>
      <c r="O57" s="10"/>
      <c r="P57" s="9"/>
      <c r="Q57" s="9">
        <v>10929</v>
      </c>
      <c r="R57" s="9"/>
      <c r="S57" s="9" t="s">
        <v>9321</v>
      </c>
      <c r="T57" s="9" t="s">
        <v>9321</v>
      </c>
      <c r="U57" s="9" t="s">
        <v>8728</v>
      </c>
      <c r="V57" s="9"/>
      <c r="W57" s="9"/>
      <c r="X57" s="9"/>
      <c r="Y57" s="9"/>
      <c r="Z57" s="9"/>
      <c r="AA57" s="9"/>
      <c r="AB57" s="9"/>
      <c r="AC57" s="9"/>
      <c r="AD57" s="9"/>
    </row>
    <row r="58" spans="1:30" ht="58">
      <c r="A58" s="3" t="s">
        <v>1491</v>
      </c>
      <c r="B58" s="3" t="s">
        <v>7220</v>
      </c>
      <c r="C58" s="3" t="s">
        <v>7221</v>
      </c>
      <c r="G58" t="s">
        <v>9254</v>
      </c>
      <c r="H58" s="9" t="s">
        <v>3889</v>
      </c>
      <c r="I58" s="9"/>
      <c r="J58" s="9">
        <v>2</v>
      </c>
      <c r="K58" s="9">
        <v>11</v>
      </c>
      <c r="L58" s="9"/>
      <c r="M58" s="9" t="s">
        <v>8684</v>
      </c>
      <c r="N58" s="9" t="s">
        <v>9082</v>
      </c>
      <c r="O58" s="10" t="s">
        <v>8778</v>
      </c>
      <c r="P58" s="9"/>
      <c r="Q58" s="9">
        <v>152</v>
      </c>
      <c r="R58" s="9"/>
      <c r="S58" s="9" t="s">
        <v>9321</v>
      </c>
      <c r="T58" s="9" t="s">
        <v>9321</v>
      </c>
      <c r="U58" s="9" t="s">
        <v>8728</v>
      </c>
      <c r="V58" s="9"/>
      <c r="W58" s="9"/>
      <c r="X58" s="9"/>
      <c r="Y58" s="9"/>
      <c r="Z58" s="9"/>
      <c r="AA58" s="9"/>
      <c r="AB58" s="9"/>
      <c r="AC58" s="9"/>
      <c r="AD58" s="9"/>
    </row>
    <row r="59" spans="1:30" ht="43.5">
      <c r="A59" s="3" t="s">
        <v>1519</v>
      </c>
      <c r="B59" s="3" t="s">
        <v>7316</v>
      </c>
      <c r="C59" s="3" t="s">
        <v>7317</v>
      </c>
      <c r="G59" t="s">
        <v>9255</v>
      </c>
      <c r="H59" s="9" t="s">
        <v>3885</v>
      </c>
      <c r="I59" s="9"/>
      <c r="J59" s="9">
        <v>1</v>
      </c>
      <c r="K59" s="9">
        <v>1</v>
      </c>
      <c r="L59" s="9" t="s">
        <v>8689</v>
      </c>
      <c r="M59" s="9" t="s">
        <v>8730</v>
      </c>
      <c r="N59" s="9"/>
      <c r="O59" s="10"/>
      <c r="P59" s="9"/>
      <c r="Q59" s="9">
        <v>10929</v>
      </c>
      <c r="R59" s="9"/>
      <c r="S59" s="9" t="s">
        <v>9321</v>
      </c>
      <c r="T59" s="9" t="s">
        <v>9321</v>
      </c>
      <c r="U59" s="9" t="s">
        <v>4</v>
      </c>
      <c r="V59" s="9"/>
      <c r="W59" s="9"/>
      <c r="X59" s="9"/>
      <c r="Y59" s="9"/>
      <c r="Z59" s="9"/>
      <c r="AA59" s="9"/>
      <c r="AB59" s="9"/>
      <c r="AC59" s="9"/>
      <c r="AD59" s="9"/>
    </row>
    <row r="60" spans="1:30" ht="58">
      <c r="A60" s="3" t="s">
        <v>1548</v>
      </c>
      <c r="B60" s="3" t="s">
        <v>7416</v>
      </c>
      <c r="C60" s="3" t="s">
        <v>7417</v>
      </c>
      <c r="G60" t="s">
        <v>9256</v>
      </c>
      <c r="H60" s="9" t="s">
        <v>8729</v>
      </c>
      <c r="I60" s="9"/>
      <c r="J60" s="9"/>
      <c r="K60" s="9"/>
      <c r="L60" s="9"/>
      <c r="M60" s="9"/>
      <c r="N60" s="9"/>
      <c r="O60" s="10"/>
      <c r="P60" s="9"/>
      <c r="Q60" s="9"/>
      <c r="R60" s="9">
        <v>9</v>
      </c>
      <c r="S60" s="9">
        <v>2</v>
      </c>
      <c r="T60" s="9">
        <v>11</v>
      </c>
      <c r="U60" s="9" t="s">
        <v>8728</v>
      </c>
      <c r="V60" s="9"/>
      <c r="W60" s="9"/>
      <c r="X60" s="9"/>
      <c r="Y60" s="9"/>
      <c r="Z60" s="9"/>
      <c r="AA60" s="9"/>
      <c r="AB60" s="9"/>
      <c r="AC60" s="9"/>
      <c r="AD60" s="9"/>
    </row>
    <row r="61" spans="1:30" ht="58">
      <c r="A61" s="3" t="s">
        <v>1577</v>
      </c>
      <c r="B61" s="3" t="s">
        <v>7500</v>
      </c>
      <c r="C61" s="3" t="s">
        <v>7501</v>
      </c>
      <c r="G61" t="s">
        <v>9257</v>
      </c>
      <c r="H61" s="9" t="s">
        <v>8731</v>
      </c>
      <c r="I61" s="9"/>
      <c r="J61" s="9"/>
      <c r="K61" s="9"/>
      <c r="L61" s="9"/>
      <c r="M61" s="9"/>
      <c r="N61" s="9"/>
      <c r="O61" s="10"/>
      <c r="P61" s="9"/>
      <c r="Q61" s="9"/>
      <c r="R61" s="9"/>
      <c r="S61" s="9" t="s">
        <v>9321</v>
      </c>
      <c r="T61" s="9" t="s">
        <v>9321</v>
      </c>
      <c r="U61" s="9" t="s">
        <v>4</v>
      </c>
      <c r="V61" s="9"/>
      <c r="W61" s="9"/>
      <c r="X61" s="9"/>
      <c r="Y61" s="9"/>
      <c r="Z61" s="9"/>
      <c r="AA61" s="9"/>
      <c r="AB61" s="9"/>
      <c r="AC61" s="9"/>
      <c r="AD61" s="9"/>
    </row>
    <row r="62" spans="1:30" ht="43.5">
      <c r="A62" s="3" t="s">
        <v>1585</v>
      </c>
      <c r="B62" s="3" t="s">
        <v>7526</v>
      </c>
      <c r="C62" s="3" t="s">
        <v>7527</v>
      </c>
      <c r="F62" t="s">
        <v>3884</v>
      </c>
      <c r="G62" t="s">
        <v>9726</v>
      </c>
      <c r="H62" s="9" t="s">
        <v>3885</v>
      </c>
      <c r="I62" s="9"/>
      <c r="J62" s="9">
        <v>1</v>
      </c>
      <c r="K62" s="9">
        <v>1</v>
      </c>
      <c r="L62" s="9" t="s">
        <v>8683</v>
      </c>
      <c r="M62" s="9" t="s">
        <v>8730</v>
      </c>
      <c r="N62" s="9"/>
      <c r="O62" s="10"/>
      <c r="P62" s="9"/>
      <c r="Q62" s="9">
        <v>1</v>
      </c>
      <c r="R62" s="9"/>
      <c r="S62" s="9" t="s">
        <v>9321</v>
      </c>
      <c r="T62" s="9" t="s">
        <v>9321</v>
      </c>
      <c r="U62" s="9" t="s">
        <v>8728</v>
      </c>
      <c r="V62" s="9"/>
      <c r="W62" s="9"/>
      <c r="X62" s="9"/>
      <c r="Y62" s="9"/>
      <c r="Z62" s="9"/>
      <c r="AA62" s="9"/>
      <c r="AB62" s="9"/>
      <c r="AC62" s="9"/>
      <c r="AD62" s="9"/>
    </row>
    <row r="63" spans="1:30" ht="43.5">
      <c r="A63" s="3" t="s">
        <v>1599</v>
      </c>
      <c r="B63" s="3" t="s">
        <v>7566</v>
      </c>
      <c r="C63" s="3" t="s">
        <v>7567</v>
      </c>
      <c r="G63" t="s">
        <v>9258</v>
      </c>
      <c r="H63" s="9" t="s">
        <v>3889</v>
      </c>
      <c r="I63" s="9"/>
      <c r="J63" s="9">
        <v>1</v>
      </c>
      <c r="K63" s="9">
        <v>3</v>
      </c>
      <c r="L63" s="9" t="s">
        <v>8689</v>
      </c>
      <c r="M63" s="9" t="s">
        <v>8690</v>
      </c>
      <c r="N63" s="9"/>
      <c r="O63" s="10"/>
      <c r="P63" s="9"/>
      <c r="Q63" s="9">
        <v>10929</v>
      </c>
      <c r="R63" s="9"/>
      <c r="S63" s="9" t="s">
        <v>9321</v>
      </c>
      <c r="T63" s="9" t="s">
        <v>9321</v>
      </c>
      <c r="U63" s="9" t="s">
        <v>8728</v>
      </c>
      <c r="V63" s="9"/>
      <c r="W63" s="9"/>
      <c r="X63" s="9"/>
      <c r="Y63" s="9"/>
      <c r="Z63" s="9"/>
      <c r="AA63" s="9"/>
      <c r="AB63" s="9"/>
      <c r="AC63" s="9"/>
      <c r="AD63" s="9"/>
    </row>
    <row r="64" spans="1:30" ht="72.5">
      <c r="A64" s="3" t="s">
        <v>1614</v>
      </c>
      <c r="B64" s="3" t="s">
        <v>7604</v>
      </c>
      <c r="C64" s="3" t="s">
        <v>7605</v>
      </c>
      <c r="G64" t="s">
        <v>9259</v>
      </c>
      <c r="H64" s="9" t="s">
        <v>3885</v>
      </c>
      <c r="I64" s="9"/>
      <c r="J64" s="9">
        <v>1</v>
      </c>
      <c r="K64" s="9">
        <v>3</v>
      </c>
      <c r="L64" s="9" t="s">
        <v>8689</v>
      </c>
      <c r="M64" s="9" t="s">
        <v>8690</v>
      </c>
      <c r="N64" s="9"/>
      <c r="O64" s="10"/>
      <c r="P64" s="9"/>
      <c r="Q64" s="9">
        <v>10929</v>
      </c>
      <c r="R64" s="9"/>
      <c r="S64" s="9" t="s">
        <v>9321</v>
      </c>
      <c r="T64" s="9" t="s">
        <v>9321</v>
      </c>
      <c r="U64" s="9" t="s">
        <v>8728</v>
      </c>
      <c r="V64" s="9"/>
      <c r="W64" s="9"/>
      <c r="X64" s="9"/>
      <c r="Y64" s="9"/>
      <c r="Z64" s="9"/>
      <c r="AA64" s="9"/>
      <c r="AB64" s="9"/>
      <c r="AC64" s="9"/>
      <c r="AD64" s="9"/>
    </row>
    <row r="65" spans="1:30" ht="43.5">
      <c r="A65" s="3" t="s">
        <v>1617</v>
      </c>
      <c r="B65" s="3" t="s">
        <v>7618</v>
      </c>
      <c r="C65" s="3" t="s">
        <v>7619</v>
      </c>
      <c r="F65" t="s">
        <v>3884</v>
      </c>
      <c r="G65" t="s">
        <v>9260</v>
      </c>
      <c r="H65" s="9" t="s">
        <v>3885</v>
      </c>
      <c r="I65" s="9"/>
      <c r="J65" s="9">
        <v>1</v>
      </c>
      <c r="K65" s="9">
        <v>1</v>
      </c>
      <c r="L65" s="9" t="s">
        <v>8698</v>
      </c>
      <c r="M65" s="9" t="s">
        <v>8730</v>
      </c>
      <c r="N65" s="9"/>
      <c r="O65" s="10"/>
      <c r="P65" s="9"/>
      <c r="Q65" s="9">
        <v>1</v>
      </c>
      <c r="R65" s="9"/>
      <c r="S65" s="9" t="s">
        <v>9321</v>
      </c>
      <c r="T65" s="9" t="s">
        <v>9321</v>
      </c>
      <c r="U65" s="9" t="s">
        <v>8728</v>
      </c>
      <c r="V65" s="9"/>
      <c r="W65" s="9"/>
      <c r="X65" s="9"/>
      <c r="Y65" s="9"/>
      <c r="Z65" s="9"/>
      <c r="AA65" s="9"/>
      <c r="AB65" s="9"/>
      <c r="AC65" s="9"/>
      <c r="AD65" s="9"/>
    </row>
    <row r="66" spans="1:30" ht="58">
      <c r="A66" s="3" t="s">
        <v>1627</v>
      </c>
      <c r="B66" s="3" t="s">
        <v>9142</v>
      </c>
      <c r="C66" s="3" t="s">
        <v>9143</v>
      </c>
      <c r="G66" t="s">
        <v>9261</v>
      </c>
      <c r="H66" s="9" t="s">
        <v>8731</v>
      </c>
      <c r="I66" s="9"/>
      <c r="J66" s="9"/>
      <c r="K66" s="9"/>
      <c r="L66" s="9"/>
      <c r="M66" s="9"/>
      <c r="N66" s="9"/>
      <c r="O66" s="10"/>
      <c r="P66" s="9"/>
      <c r="Q66" s="9"/>
      <c r="R66" s="9"/>
      <c r="S66" s="9" t="s">
        <v>9321</v>
      </c>
      <c r="T66" s="9" t="s">
        <v>9321</v>
      </c>
      <c r="U66" s="9" t="s">
        <v>8728</v>
      </c>
      <c r="V66" s="9"/>
      <c r="W66" s="9"/>
      <c r="X66" s="9"/>
      <c r="Y66" s="9"/>
      <c r="Z66" s="9"/>
      <c r="AA66" s="9"/>
      <c r="AB66" s="9"/>
      <c r="AC66" s="9"/>
      <c r="AD66" s="9"/>
    </row>
    <row r="67" spans="1:30" ht="43.5">
      <c r="A67" s="3" t="s">
        <v>1647</v>
      </c>
      <c r="B67" s="3" t="s">
        <v>7705</v>
      </c>
      <c r="C67" s="3" t="s">
        <v>7706</v>
      </c>
      <c r="F67" t="s">
        <v>3884</v>
      </c>
      <c r="G67" t="s">
        <v>9262</v>
      </c>
      <c r="H67" s="9" t="s">
        <v>3889</v>
      </c>
      <c r="I67" s="9"/>
      <c r="J67" s="9">
        <v>1</v>
      </c>
      <c r="K67" s="9">
        <v>2</v>
      </c>
      <c r="L67" s="9" t="s">
        <v>8703</v>
      </c>
      <c r="M67" s="9" t="s">
        <v>8730</v>
      </c>
      <c r="N67" s="9"/>
      <c r="O67" s="10"/>
      <c r="P67" s="9"/>
      <c r="Q67" s="9">
        <v>1225</v>
      </c>
      <c r="R67" s="9"/>
      <c r="S67" s="9" t="s">
        <v>9321</v>
      </c>
      <c r="T67" s="9" t="s">
        <v>9321</v>
      </c>
      <c r="U67" s="9" t="s">
        <v>8728</v>
      </c>
      <c r="V67" s="9"/>
      <c r="W67" s="9"/>
      <c r="X67" s="9"/>
      <c r="Y67" s="9"/>
      <c r="Z67" s="9"/>
      <c r="AA67" s="9"/>
      <c r="AB67" s="9"/>
      <c r="AC67" s="9"/>
      <c r="AD67" s="9"/>
    </row>
    <row r="68" spans="1:30" ht="58">
      <c r="A68" s="3" t="s">
        <v>1676</v>
      </c>
      <c r="B68" s="3" t="s">
        <v>7767</v>
      </c>
      <c r="C68" s="3" t="s">
        <v>7768</v>
      </c>
      <c r="F68" t="s">
        <v>3884</v>
      </c>
      <c r="G68" t="s">
        <v>9263</v>
      </c>
      <c r="H68" s="9" t="s">
        <v>8729</v>
      </c>
      <c r="I68" s="9"/>
      <c r="J68" s="9"/>
      <c r="K68" s="9"/>
      <c r="L68" s="9"/>
      <c r="M68" s="9"/>
      <c r="N68" s="9"/>
      <c r="O68" s="10"/>
      <c r="P68" s="9"/>
      <c r="Q68" s="9"/>
      <c r="R68" s="9">
        <v>323</v>
      </c>
      <c r="S68" s="9">
        <v>9</v>
      </c>
      <c r="T68" s="9">
        <v>332</v>
      </c>
      <c r="U68" s="9" t="s">
        <v>8728</v>
      </c>
      <c r="V68" s="9"/>
      <c r="W68" s="9"/>
      <c r="X68" s="9"/>
      <c r="Y68" s="9"/>
      <c r="Z68" s="9"/>
      <c r="AA68" s="9"/>
      <c r="AB68" s="9"/>
      <c r="AC68" s="9"/>
      <c r="AD68" s="9"/>
    </row>
    <row r="69" spans="1:30" ht="43.5">
      <c r="A69" s="3" t="s">
        <v>1702</v>
      </c>
      <c r="B69" s="3" t="s">
        <v>7834</v>
      </c>
      <c r="C69" s="3" t="s">
        <v>7835</v>
      </c>
      <c r="G69" t="s">
        <v>9264</v>
      </c>
      <c r="H69" s="9" t="s">
        <v>8729</v>
      </c>
      <c r="I69" s="9"/>
      <c r="J69" s="9"/>
      <c r="K69" s="9"/>
      <c r="L69" s="9"/>
      <c r="M69" s="9"/>
      <c r="N69" s="9"/>
      <c r="O69" s="10"/>
      <c r="P69" s="9"/>
      <c r="Q69" s="9"/>
      <c r="R69" s="9">
        <v>-190</v>
      </c>
      <c r="S69" s="9">
        <v>519</v>
      </c>
      <c r="T69" s="9">
        <v>329</v>
      </c>
      <c r="U69" s="9" t="s">
        <v>8728</v>
      </c>
      <c r="V69" s="9"/>
      <c r="W69" s="9"/>
      <c r="X69" s="9"/>
      <c r="Y69" s="9"/>
      <c r="Z69" s="9"/>
      <c r="AA69" s="9"/>
      <c r="AB69" s="9"/>
      <c r="AC69" s="9"/>
      <c r="AD69" s="9"/>
    </row>
    <row r="70" spans="1:30" ht="29">
      <c r="A70" s="3" t="s">
        <v>1703</v>
      </c>
      <c r="B70" s="3" t="s">
        <v>7836</v>
      </c>
      <c r="C70" s="3" t="s">
        <v>7837</v>
      </c>
      <c r="G70" t="s">
        <v>9265</v>
      </c>
      <c r="H70" s="9" t="s">
        <v>8729</v>
      </c>
      <c r="I70" s="9"/>
      <c r="J70" s="9"/>
      <c r="K70" s="9"/>
      <c r="L70" s="9"/>
      <c r="M70" s="9"/>
      <c r="N70" s="9"/>
      <c r="O70" s="10"/>
      <c r="P70" s="9"/>
      <c r="Q70" s="9"/>
      <c r="R70" s="9">
        <v>3599</v>
      </c>
      <c r="S70" s="9">
        <v>79</v>
      </c>
      <c r="T70" s="9">
        <v>3678</v>
      </c>
      <c r="U70" s="9" t="s">
        <v>8728</v>
      </c>
      <c r="V70" s="9"/>
      <c r="W70" s="9"/>
      <c r="X70" s="9"/>
      <c r="Y70" s="9"/>
      <c r="Z70" s="9"/>
      <c r="AA70" s="9"/>
      <c r="AB70" s="9"/>
      <c r="AC70" s="9"/>
      <c r="AD70" s="9"/>
    </row>
    <row r="71" spans="1:30" ht="409.5">
      <c r="A71" s="3" t="s">
        <v>1717</v>
      </c>
      <c r="B71" s="3" t="s">
        <v>7884</v>
      </c>
      <c r="C71" s="3" t="s">
        <v>7883</v>
      </c>
      <c r="G71" t="s">
        <v>9266</v>
      </c>
      <c r="H71" s="9" t="s">
        <v>8729</v>
      </c>
      <c r="I71" s="9"/>
      <c r="J71" s="9"/>
      <c r="K71" s="9"/>
      <c r="L71" s="9"/>
      <c r="M71" s="9"/>
      <c r="N71" s="9"/>
      <c r="O71" s="10"/>
      <c r="P71" s="9"/>
      <c r="Q71" s="9"/>
      <c r="R71" s="9">
        <v>-4</v>
      </c>
      <c r="S71" s="9">
        <v>8</v>
      </c>
      <c r="T71" s="9">
        <v>4</v>
      </c>
      <c r="U71" s="9" t="s">
        <v>8728</v>
      </c>
      <c r="V71" s="9"/>
      <c r="W71" s="9"/>
      <c r="X71" s="9"/>
      <c r="Y71" s="9"/>
      <c r="Z71" s="9"/>
      <c r="AA71" s="9"/>
      <c r="AB71" s="9"/>
      <c r="AC71" s="9"/>
      <c r="AD71" s="9"/>
    </row>
    <row r="72" spans="1:30">
      <c r="A72" s="3" t="s">
        <v>1770</v>
      </c>
      <c r="B72" s="3" t="s">
        <v>8089</v>
      </c>
      <c r="C72" s="3" t="s">
        <v>8090</v>
      </c>
      <c r="G72" t="s">
        <v>9267</v>
      </c>
      <c r="H72" s="9" t="s">
        <v>8732</v>
      </c>
      <c r="I72" s="9"/>
      <c r="J72" s="9"/>
      <c r="K72" s="9"/>
      <c r="L72" s="9"/>
      <c r="M72" s="9"/>
      <c r="N72" s="9"/>
      <c r="O72" s="10"/>
      <c r="P72" s="9"/>
      <c r="Q72" s="9"/>
      <c r="R72" s="9">
        <v>88</v>
      </c>
      <c r="S72" s="9">
        <v>12</v>
      </c>
      <c r="T72" s="9">
        <v>100</v>
      </c>
      <c r="U72" s="9" t="s">
        <v>4</v>
      </c>
      <c r="V72" s="9"/>
      <c r="W72" s="9"/>
      <c r="X72" s="9"/>
      <c r="Y72" s="9"/>
      <c r="Z72" s="9"/>
      <c r="AA72" s="9"/>
      <c r="AB72" s="9"/>
      <c r="AC72" s="9"/>
      <c r="AD72" s="9"/>
    </row>
    <row r="73" spans="1:30" ht="29">
      <c r="A73" s="3" t="s">
        <v>1772</v>
      </c>
      <c r="B73" s="3" t="s">
        <v>8093</v>
      </c>
      <c r="C73" s="3" t="s">
        <v>8094</v>
      </c>
      <c r="G73" t="s">
        <v>9268</v>
      </c>
      <c r="H73" s="9" t="s">
        <v>8731</v>
      </c>
      <c r="I73" s="9"/>
      <c r="J73" s="9"/>
      <c r="K73" s="9"/>
      <c r="L73" s="9"/>
      <c r="M73" s="9"/>
      <c r="N73" s="9"/>
      <c r="O73" s="10"/>
      <c r="P73" s="9"/>
      <c r="Q73" s="9"/>
      <c r="R73" s="9"/>
      <c r="S73" s="9" t="s">
        <v>9321</v>
      </c>
      <c r="T73" s="9" t="s">
        <v>9321</v>
      </c>
      <c r="U73" s="9" t="s">
        <v>8728</v>
      </c>
      <c r="V73" s="9"/>
      <c r="W73" s="9"/>
      <c r="X73" s="9"/>
      <c r="Y73" s="9"/>
      <c r="Z73" s="9"/>
      <c r="AA73" s="9"/>
      <c r="AB73" s="9"/>
      <c r="AC73" s="9"/>
      <c r="AD73" s="9"/>
    </row>
    <row r="74" spans="1:30" ht="43.5">
      <c r="A74" s="3" t="s">
        <v>1784</v>
      </c>
      <c r="B74" s="3" t="s">
        <v>8129</v>
      </c>
      <c r="C74" s="3" t="s">
        <v>8130</v>
      </c>
      <c r="F74" t="s">
        <v>3884</v>
      </c>
      <c r="G74" t="s">
        <v>9271</v>
      </c>
      <c r="H74" s="9" t="s">
        <v>3885</v>
      </c>
      <c r="I74" s="9"/>
      <c r="J74" s="9">
        <v>1</v>
      </c>
      <c r="K74" s="9">
        <v>6</v>
      </c>
      <c r="L74" s="9" t="s">
        <v>8703</v>
      </c>
      <c r="M74" s="9" t="s">
        <v>8684</v>
      </c>
      <c r="N74" s="9" t="s">
        <v>8771</v>
      </c>
      <c r="O74" s="10" t="s">
        <v>8778</v>
      </c>
      <c r="P74" s="9"/>
      <c r="Q74" s="9">
        <v>627</v>
      </c>
      <c r="R74" s="9"/>
      <c r="S74" s="9" t="s">
        <v>9321</v>
      </c>
      <c r="T74" s="9" t="s">
        <v>9321</v>
      </c>
      <c r="U74" s="9" t="s">
        <v>8728</v>
      </c>
      <c r="V74" s="9"/>
      <c r="W74" s="9"/>
      <c r="X74" s="9"/>
      <c r="Y74" s="9"/>
      <c r="Z74" s="9"/>
      <c r="AA74" s="9"/>
      <c r="AB74" s="9"/>
      <c r="AC74" s="9"/>
      <c r="AD74" s="9"/>
    </row>
    <row r="75" spans="1:30" ht="58">
      <c r="A75" s="3" t="s">
        <v>1785</v>
      </c>
      <c r="B75" s="3" t="s">
        <v>8133</v>
      </c>
      <c r="C75" s="3" t="s">
        <v>8134</v>
      </c>
      <c r="F75" t="s">
        <v>3884</v>
      </c>
      <c r="G75" t="s">
        <v>9272</v>
      </c>
      <c r="H75" s="9" t="s">
        <v>3889</v>
      </c>
      <c r="I75" s="9"/>
      <c r="J75" s="9">
        <v>1</v>
      </c>
      <c r="K75" s="9">
        <v>5</v>
      </c>
      <c r="L75" s="9" t="s">
        <v>8703</v>
      </c>
      <c r="M75" s="9" t="s">
        <v>8690</v>
      </c>
      <c r="N75" s="9"/>
      <c r="O75" s="10"/>
      <c r="P75" s="9"/>
      <c r="Q75" s="9">
        <v>21</v>
      </c>
      <c r="R75" s="9"/>
      <c r="S75" s="9" t="s">
        <v>9321</v>
      </c>
      <c r="T75" s="9" t="s">
        <v>9321</v>
      </c>
      <c r="U75" s="9" t="s">
        <v>8728</v>
      </c>
      <c r="V75" s="9"/>
      <c r="W75" s="9"/>
      <c r="X75" s="9"/>
      <c r="Y75" s="9"/>
      <c r="Z75" s="9"/>
      <c r="AA75" s="9"/>
      <c r="AB75" s="9"/>
      <c r="AC75" s="9"/>
      <c r="AD75" s="9"/>
    </row>
    <row r="76" spans="1:30" ht="29">
      <c r="A76" s="3" t="s">
        <v>1791</v>
      </c>
      <c r="B76" s="3" t="s">
        <v>2379</v>
      </c>
      <c r="C76" s="3" t="s">
        <v>2380</v>
      </c>
      <c r="G76" t="s">
        <v>9273</v>
      </c>
      <c r="H76" s="9" t="s">
        <v>8731</v>
      </c>
      <c r="I76" s="9"/>
      <c r="J76" s="9"/>
      <c r="K76" s="9"/>
      <c r="L76" s="9"/>
      <c r="M76" s="9"/>
      <c r="N76" s="9"/>
      <c r="O76" s="10"/>
      <c r="P76" s="9"/>
      <c r="Q76" s="9"/>
      <c r="R76" s="9"/>
      <c r="S76" s="9" t="s">
        <v>9321</v>
      </c>
      <c r="T76" s="9" t="s">
        <v>9321</v>
      </c>
      <c r="U76" s="9" t="s">
        <v>8728</v>
      </c>
      <c r="V76" s="9"/>
      <c r="W76" s="9"/>
      <c r="X76" s="9"/>
      <c r="Y76" s="9"/>
      <c r="Z76" s="9"/>
      <c r="AA76" s="9"/>
      <c r="AB76" s="9"/>
      <c r="AC76" s="9"/>
      <c r="AD76" s="9"/>
    </row>
    <row r="77" spans="1:30" ht="116">
      <c r="A77" s="3" t="s">
        <v>1822</v>
      </c>
      <c r="B77" s="3" t="s">
        <v>8273</v>
      </c>
      <c r="C77" s="3" t="s">
        <v>8272</v>
      </c>
      <c r="F77" t="s">
        <v>3884</v>
      </c>
      <c r="G77" t="s">
        <v>9276</v>
      </c>
      <c r="H77" s="9" t="s">
        <v>3889</v>
      </c>
      <c r="I77" s="9"/>
      <c r="J77" s="9">
        <v>1</v>
      </c>
      <c r="K77" s="9">
        <v>3</v>
      </c>
      <c r="L77" s="9" t="s">
        <v>8698</v>
      </c>
      <c r="M77" s="9" t="s">
        <v>8690</v>
      </c>
      <c r="N77" s="9"/>
      <c r="O77" s="10"/>
      <c r="P77" s="9"/>
      <c r="Q77" s="9">
        <v>9418</v>
      </c>
      <c r="R77" s="9"/>
      <c r="S77" s="9" t="s">
        <v>9321</v>
      </c>
      <c r="T77" s="9" t="s">
        <v>9321</v>
      </c>
      <c r="U77" s="9" t="s">
        <v>8728</v>
      </c>
      <c r="V77" s="9"/>
      <c r="W77" s="9"/>
      <c r="X77" s="9"/>
      <c r="Y77" s="9"/>
      <c r="Z77" s="9"/>
      <c r="AA77" s="9"/>
      <c r="AB77" s="9"/>
      <c r="AC77" s="9"/>
      <c r="AD77" s="9"/>
    </row>
    <row r="78" spans="1:30" ht="29">
      <c r="A78" s="3" t="s">
        <v>1877</v>
      </c>
      <c r="B78" s="3" t="s">
        <v>3841</v>
      </c>
      <c r="C78" s="3" t="s">
        <v>3848</v>
      </c>
      <c r="G78" t="s">
        <v>9277</v>
      </c>
      <c r="H78" s="9" t="s">
        <v>8731</v>
      </c>
      <c r="I78" s="9"/>
      <c r="J78" s="9"/>
      <c r="K78" s="9"/>
      <c r="L78" s="9"/>
      <c r="M78" s="9"/>
      <c r="N78" s="9"/>
      <c r="O78" s="10"/>
      <c r="P78" s="9"/>
      <c r="Q78" s="9"/>
      <c r="R78" s="9"/>
      <c r="S78" s="9" t="s">
        <v>9321</v>
      </c>
      <c r="T78" s="9" t="s">
        <v>9321</v>
      </c>
      <c r="U78" s="9" t="s">
        <v>8728</v>
      </c>
      <c r="V78" s="9"/>
      <c r="W78" s="9"/>
      <c r="X78" s="9"/>
      <c r="Y78" s="9"/>
      <c r="Z78" s="9"/>
      <c r="AA78" s="9"/>
      <c r="AB78" s="9"/>
      <c r="AC78" s="9"/>
      <c r="AD78" s="9"/>
    </row>
    <row r="81" spans="4:5">
      <c r="D81" t="s">
        <v>9346</v>
      </c>
      <c r="E81">
        <f>COUNTIF(U:U, "Harmonizing")</f>
        <v>19</v>
      </c>
    </row>
    <row r="82" spans="4:5">
      <c r="D82" t="s">
        <v>9347</v>
      </c>
      <c r="E82">
        <f>COUNTIF(U:U, "Disharmonizing")</f>
        <v>58</v>
      </c>
    </row>
    <row r="83" spans="4:5">
      <c r="D83" t="s">
        <v>9348</v>
      </c>
      <c r="E83">
        <f>E81/(E81+E82)</f>
        <v>0.24675324675324675</v>
      </c>
    </row>
  </sheetData>
  <conditionalFormatting sqref="H2:H78">
    <cfRule type="expression" dxfId="22" priority="1">
      <formula>$J2&lt;&gt;""</formula>
    </cfRule>
    <cfRule type="expression" dxfId="21" priority="2">
      <formula>$J2=""</formula>
    </cfRule>
  </conditionalFormatting>
  <conditionalFormatting sqref="I2:M78 P2:Q78">
    <cfRule type="expression" dxfId="20" priority="10">
      <formula>AND(OR($J2="Addition",$J2="Omission"), I2="")</formula>
    </cfRule>
    <cfRule type="expression" dxfId="19" priority="11">
      <formula>AND($J2&lt;&gt;"Addition",$J2&lt;&gt;"Omission",$J2&lt;&gt;"Substitution - Word")</formula>
    </cfRule>
  </conditionalFormatting>
  <conditionalFormatting sqref="I2:Q78">
    <cfRule type="expression" dxfId="18" priority="9">
      <formula>AND(OR($J2="Addition",$J2="Omission"), I2&lt;&gt;"")</formula>
    </cfRule>
  </conditionalFormatting>
  <conditionalFormatting sqref="L2:L78">
    <cfRule type="expression" dxfId="17" priority="7">
      <formula>AND($L2&lt;&gt;"",$L2&gt;1)</formula>
    </cfRule>
  </conditionalFormatting>
  <conditionalFormatting sqref="N2:O78">
    <cfRule type="expression" dxfId="16" priority="3">
      <formula>$O2="Absent"</formula>
    </cfRule>
    <cfRule type="expression" dxfId="15" priority="4">
      <formula>$O2="NA"</formula>
    </cfRule>
    <cfRule type="expression" dxfId="14" priority="5">
      <formula>AND(OR($J2="Addition",$J2="Omission"), N2="")</formula>
    </cfRule>
    <cfRule type="expression" dxfId="13" priority="6">
      <formula>AND($J2&lt;&gt;"Addition",$J2&lt;&gt;"Omission")</formula>
    </cfRule>
  </conditionalFormatting>
  <conditionalFormatting sqref="P2:P78">
    <cfRule type="expression" dxfId="12" priority="8">
      <formula>OR($J2="Addition",$J2="Omission",$J2 = "Substitution - Word")</formula>
    </cfRule>
  </conditionalFormatting>
  <conditionalFormatting sqref="R2:T78">
    <cfRule type="expression" dxfId="11" priority="20">
      <formula>AND(AND(LEFT($J2,3)="Sub", RIGHT($J2,4)&lt;&gt;"Form"),$T2&lt;&gt;"")</formula>
    </cfRule>
    <cfRule type="expression" dxfId="10" priority="21">
      <formula>AND(AND(LEFT($J2,3)="Sub", RIGHT($J2,4)&lt;&gt;"Form"),$T2="")</formula>
    </cfRule>
    <cfRule type="expression" dxfId="9" priority="22">
      <formula>"&lt;&gt;AND(LEFT($J2,3)=""Sub"", RIGHT($J2,4)&lt;&gt;""Form"")"</formula>
    </cfRule>
  </conditionalFormatting>
  <conditionalFormatting sqref="U2:U78">
    <cfRule type="expression" dxfId="8" priority="12">
      <formula>AND($W2&lt;&gt;"",OR($AD2="Yes",$AE2&lt;&gt;""))</formula>
    </cfRule>
    <cfRule type="expression" dxfId="7" priority="13">
      <formula>OR($AD2="Yes",$AE2&lt;&gt;"")</formula>
    </cfRule>
    <cfRule type="expression" dxfId="6" priority="19">
      <formula>AND($AD2&lt;&gt;"Yes",$AE2="")</formula>
    </cfRule>
  </conditionalFormatting>
  <conditionalFormatting sqref="U2:AD78">
    <cfRule type="expression" dxfId="5" priority="17">
      <formula>AND($J2&lt;&gt;"",$J2&lt;&gt;"Unclear due to correction")</formula>
    </cfRule>
    <cfRule type="expression" dxfId="4" priority="18">
      <formula>OR($J2="",$J2="Unclear due to correction")</formula>
    </cfRule>
  </conditionalFormatting>
  <conditionalFormatting sqref="V2:V78">
    <cfRule type="expression" dxfId="3" priority="23">
      <formula>AND($J2&lt;&gt;"",$J2&lt;&gt;"Unclear due to correction",$X2="")</formula>
    </cfRule>
  </conditionalFormatting>
  <conditionalFormatting sqref="W2:W78">
    <cfRule type="expression" dxfId="2" priority="14">
      <formula>AND($X2="Yes",$Y2="")</formula>
    </cfRule>
    <cfRule type="expression" dxfId="1" priority="15">
      <formula>$X2=""</formula>
    </cfRule>
  </conditionalFormatting>
  <conditionalFormatting sqref="AB2:AB78">
    <cfRule type="expression" dxfId="0" priority="16">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xr:uid="{CAE94CAE-2B67-40A5-87A6-67D66847AB1B}">
          <x14:formula1>
            <xm:f>'Data Regularization'!$A$2:$A$1048576</xm:f>
          </x14:formula1>
          <xm:sqref>D2:D78</xm:sqref>
        </x14:dataValidation>
        <x14:dataValidation type="list" allowBlank="1" showInputMessage="1" showErrorMessage="1" xr:uid="{C0F275C4-C517-44FA-BFB4-7A2601F45EC7}">
          <x14:formula1>
            <xm:f>'Data Regularization'!$C$2:$C$1048576</xm:f>
          </x14:formula1>
          <xm:sqref>F2:F78</xm:sqref>
        </x14:dataValidation>
        <x14:dataValidation type="list" allowBlank="1" showInputMessage="1" showErrorMessage="1" xr:uid="{2487AC8A-8555-4902-A2E6-66A8776AC179}">
          <x14:formula1>
            <xm:f>'Data Regularization'!$B$2:$B$1048576</xm:f>
          </x14:formula1>
          <xm:sqref>E2:E78</xm:sqref>
        </x14:dataValidation>
        <x14:dataValidation type="list" allowBlank="1" showInputMessage="1" showErrorMessage="1" xr:uid="{AC5B233B-C929-4EDE-A6CF-03C01746EB73}">
          <x14:formula1>
            <xm:f>'Data Regularization'!$D$2:$D$1048576</xm:f>
          </x14:formula1>
          <xm:sqref>H2:H78</xm:sqref>
        </x14:dataValidation>
        <x14:dataValidation type="list" allowBlank="1" showInputMessage="1" showErrorMessage="1" xr:uid="{661A035A-176E-4DF8-B4CC-377A9ADCF957}">
          <x14:formula1>
            <xm:f>'Data Regularization'!$E$2:$E$1048576</xm:f>
          </x14:formula1>
          <xm:sqref>L2:L78</xm:sqref>
        </x14:dataValidation>
        <x14:dataValidation type="list" allowBlank="1" showInputMessage="1" showErrorMessage="1" xr:uid="{BF28FD8D-3AC1-4FE4-B86C-821DF6DF540A}">
          <x14:formula1>
            <xm:f>'Data Regularization'!$F$2:$F$1048576</xm:f>
          </x14:formula1>
          <xm:sqref>M2:M78</xm:sqref>
        </x14:dataValidation>
        <x14:dataValidation type="list" allowBlank="1" showInputMessage="1" showErrorMessage="1" xr:uid="{CE65DABC-7828-4666-A6DF-81C51340929E}">
          <x14:formula1>
            <xm:f>'Data Regularization'!$G$2:$G$1048576</xm:f>
          </x14:formula1>
          <xm:sqref>P2:P78</xm:sqref>
        </x14:dataValidation>
        <x14:dataValidation type="list" allowBlank="1" showInputMessage="1" showErrorMessage="1" xr:uid="{9D226F52-B1B1-4D83-B887-08F70848253C}">
          <x14:formula1>
            <xm:f>'Data Regularization'!$J$2:$J$1048576</xm:f>
          </x14:formula1>
          <xm:sqref>W2:W78</xm:sqref>
        </x14:dataValidation>
        <x14:dataValidation type="list" allowBlank="1" showInputMessage="1" showErrorMessage="1" xr:uid="{A45A38A4-A80D-46AD-83FA-646CD3D5E71F}">
          <x14:formula1>
            <xm:f>'Data Regularization'!$K$2:$K$1048576</xm:f>
          </x14:formula1>
          <xm:sqref>X2:X78</xm:sqref>
        </x14:dataValidation>
        <x14:dataValidation type="list" allowBlank="1" showInputMessage="1" showErrorMessage="1" xr:uid="{CFC5E2A2-89FF-4937-BF51-23DC0D5B560C}">
          <x14:formula1>
            <xm:f>'Data Regularization'!$L$2:$L$1048576</xm:f>
          </x14:formula1>
          <xm:sqref>Y2:Y78</xm:sqref>
        </x14:dataValidation>
        <x14:dataValidation type="list" allowBlank="1" showInputMessage="1" showErrorMessage="1" xr:uid="{3696F207-DE5E-449A-9ADD-BEE89E08421F}">
          <x14:formula1>
            <xm:f>'Data Regularization'!$M$2:$M$1048576</xm:f>
          </x14:formula1>
          <xm:sqref>Z2:Z78</xm:sqref>
        </x14:dataValidation>
        <x14:dataValidation type="list" allowBlank="1" showInputMessage="1" showErrorMessage="1" xr:uid="{FC2A739B-5918-4BD2-A017-443C9807C727}">
          <x14:formula1>
            <xm:f>'Data Regularization'!$N$2:$N$1048576</xm:f>
          </x14:formula1>
          <xm:sqref>AB2:AB78</xm:sqref>
        </x14:dataValidation>
        <x14:dataValidation type="list" allowBlank="1" showInputMessage="1" showErrorMessage="1" xr:uid="{0D5ECF37-0172-4E16-A29F-DCE36AB1EC59}">
          <x14:formula1>
            <xm:f>'Data Regularization'!$O$2:$O$1048576</xm:f>
          </x14:formula1>
          <xm:sqref>AC2:AC78</xm:sqref>
        </x14:dataValidation>
        <x14:dataValidation type="list" allowBlank="1" showInputMessage="1" showErrorMessage="1" xr:uid="{4DCB42E1-A208-4113-88BF-EDB3EB32023E}">
          <x14:formula1>
            <xm:f>'Data Regularization'!$H$2:$H$1048576</xm:f>
          </x14:formula1>
          <xm:sqref>U2:U78</xm:sqref>
        </x14:dataValidation>
        <x14:dataValidation type="list" allowBlank="1" showInputMessage="1" xr:uid="{56FFEB0D-7F54-40FB-8FDD-C98C042DE051}">
          <x14:formula1>
            <xm:f>'Data Regularization'!$I$2:$I$1048576</xm:f>
          </x14:formula1>
          <xm:sqref>V2:V78</xm:sqref>
        </x14:dataValidation>
        <x14:dataValidation type="list" allowBlank="1" showInputMessage="1" showErrorMessage="1" xr:uid="{98A28553-A0D5-4F60-8917-E7F15671457A}">
          <x14:formula1>
            <xm:f>'Data Regularization'!$P$2:$P$1048576</xm:f>
          </x14:formula1>
          <xm:sqref>AD2:AD78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0F6D-C3AF-40FC-98A9-C831726A0854}">
  <dimension ref="A1:B16"/>
  <sheetViews>
    <sheetView workbookViewId="0">
      <selection activeCell="B17" sqref="B17"/>
    </sheetView>
  </sheetViews>
  <sheetFormatPr defaultRowHeight="14.5"/>
  <cols>
    <col min="1" max="1" width="20.1796875" bestFit="1" customWidth="1"/>
  </cols>
  <sheetData>
    <row r="1" spans="1:2">
      <c r="A1" s="1" t="s">
        <v>9366</v>
      </c>
    </row>
    <row r="2" spans="1:2">
      <c r="A2" s="1" t="s">
        <v>9367</v>
      </c>
    </row>
    <row r="3" spans="1:2">
      <c r="A3" s="1" t="s">
        <v>9368</v>
      </c>
    </row>
    <row r="4" spans="1:2">
      <c r="A4" s="1" t="s">
        <v>9369</v>
      </c>
      <c r="B4" t="s">
        <v>9370</v>
      </c>
    </row>
    <row r="5" spans="1:2">
      <c r="A5" s="1" t="s">
        <v>9371</v>
      </c>
      <c r="B5">
        <v>82253</v>
      </c>
    </row>
    <row r="6" spans="1:2">
      <c r="A6" s="1" t="s">
        <v>9372</v>
      </c>
      <c r="B6">
        <v>156</v>
      </c>
    </row>
    <row r="7" spans="1:2">
      <c r="A7" s="1" t="s">
        <v>9373</v>
      </c>
      <c r="B7">
        <v>2</v>
      </c>
    </row>
    <row r="8" spans="1:2">
      <c r="A8" s="1" t="s">
        <v>9374</v>
      </c>
      <c r="B8">
        <v>49.37</v>
      </c>
    </row>
    <row r="9" spans="1:2">
      <c r="A9" s="1" t="s">
        <v>9375</v>
      </c>
      <c r="B9">
        <v>51</v>
      </c>
    </row>
    <row r="10" spans="1:2">
      <c r="A10" s="1" t="s">
        <v>9376</v>
      </c>
      <c r="B10">
        <v>5.05</v>
      </c>
    </row>
    <row r="11" spans="1:2">
      <c r="A11" s="1" t="s">
        <v>9377</v>
      </c>
      <c r="B11">
        <v>5.32</v>
      </c>
    </row>
    <row r="12" spans="1:2">
      <c r="A12" s="1" t="s">
        <v>9378</v>
      </c>
      <c r="B12">
        <v>5</v>
      </c>
    </row>
    <row r="13" spans="1:2">
      <c r="A13" s="1" t="s">
        <v>9379</v>
      </c>
      <c r="B13">
        <v>1.22</v>
      </c>
    </row>
    <row r="14" spans="1:2">
      <c r="A14" s="1" t="s">
        <v>9380</v>
      </c>
      <c r="B14">
        <v>23.45</v>
      </c>
    </row>
    <row r="15" spans="1:2">
      <c r="A15" s="1" t="s">
        <v>9381</v>
      </c>
      <c r="B15">
        <v>24</v>
      </c>
    </row>
    <row r="16" spans="1:2">
      <c r="A16" s="1" t="s">
        <v>9382</v>
      </c>
      <c r="B16">
        <v>3.3</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058D2-CF38-49B4-AF91-CDA6BA432B44}">
  <dimension ref="A1:L18"/>
  <sheetViews>
    <sheetView workbookViewId="0">
      <selection activeCell="H19" sqref="H19"/>
    </sheetView>
  </sheetViews>
  <sheetFormatPr defaultRowHeight="14.5"/>
  <cols>
    <col min="1" max="1" width="20.1796875" bestFit="1" customWidth="1"/>
    <col min="7" max="7" width="11.81640625" bestFit="1" customWidth="1"/>
  </cols>
  <sheetData>
    <row r="1" spans="1:12">
      <c r="A1" s="1" t="s">
        <v>9366</v>
      </c>
      <c r="G1" s="1" t="s">
        <v>9383</v>
      </c>
      <c r="H1" s="1" t="s">
        <v>9384</v>
      </c>
      <c r="I1" s="1" t="s">
        <v>9385</v>
      </c>
      <c r="J1" s="1" t="s">
        <v>9386</v>
      </c>
      <c r="K1" s="1" t="s">
        <v>9387</v>
      </c>
      <c r="L1" s="1" t="s">
        <v>9388</v>
      </c>
    </row>
    <row r="2" spans="1:12">
      <c r="A2" s="1" t="s">
        <v>9367</v>
      </c>
      <c r="H2" s="16" t="s">
        <v>9279</v>
      </c>
      <c r="I2" s="17"/>
      <c r="J2" s="17"/>
      <c r="K2" s="16">
        <v>32</v>
      </c>
      <c r="L2" s="16"/>
    </row>
    <row r="3" spans="1:12">
      <c r="A3" s="1" t="s">
        <v>9368</v>
      </c>
      <c r="H3" s="16" t="s">
        <v>9285</v>
      </c>
      <c r="I3" s="17"/>
      <c r="J3" s="17"/>
      <c r="K3" s="16">
        <v>20</v>
      </c>
    </row>
    <row r="4" spans="1:12">
      <c r="A4" s="1" t="s">
        <v>9369</v>
      </c>
      <c r="B4" t="s">
        <v>9370</v>
      </c>
      <c r="H4" t="s">
        <v>9280</v>
      </c>
      <c r="K4">
        <v>74</v>
      </c>
    </row>
    <row r="5" spans="1:12">
      <c r="A5" s="1"/>
      <c r="H5" s="16" t="s">
        <v>9389</v>
      </c>
      <c r="I5" s="16" t="s">
        <v>9390</v>
      </c>
      <c r="J5" s="16" t="s">
        <v>9391</v>
      </c>
      <c r="K5" s="16">
        <v>255</v>
      </c>
    </row>
    <row r="6" spans="1:12">
      <c r="A6" s="1"/>
      <c r="B6" t="s">
        <v>9392</v>
      </c>
      <c r="C6" t="s">
        <v>9393</v>
      </c>
      <c r="H6" s="16" t="s">
        <v>9391</v>
      </c>
      <c r="I6" s="16" t="s">
        <v>9390</v>
      </c>
      <c r="J6" s="16" t="s">
        <v>1948</v>
      </c>
      <c r="K6" s="16">
        <v>13</v>
      </c>
      <c r="L6" s="16"/>
    </row>
    <row r="7" spans="1:12">
      <c r="A7" s="1" t="s">
        <v>9371</v>
      </c>
      <c r="B7">
        <v>71085</v>
      </c>
      <c r="C7">
        <v>8514</v>
      </c>
      <c r="H7" t="s">
        <v>9391</v>
      </c>
      <c r="I7" t="s">
        <v>9390</v>
      </c>
      <c r="J7" t="s">
        <v>9394</v>
      </c>
      <c r="K7">
        <v>33</v>
      </c>
    </row>
    <row r="8" spans="1:12">
      <c r="A8" s="1" t="s">
        <v>9372</v>
      </c>
      <c r="B8">
        <v>293</v>
      </c>
      <c r="C8">
        <v>26</v>
      </c>
      <c r="H8" t="s">
        <v>1948</v>
      </c>
      <c r="I8" t="s">
        <v>9390</v>
      </c>
      <c r="J8" t="s">
        <v>9395</v>
      </c>
      <c r="K8">
        <v>535</v>
      </c>
    </row>
    <row r="9" spans="1:12">
      <c r="A9" s="1" t="s">
        <v>9373</v>
      </c>
      <c r="B9">
        <v>1</v>
      </c>
      <c r="C9">
        <v>1</v>
      </c>
      <c r="H9" t="s">
        <v>9395</v>
      </c>
      <c r="I9" t="s">
        <v>9390</v>
      </c>
      <c r="J9" t="s">
        <v>9394</v>
      </c>
      <c r="K9">
        <v>15</v>
      </c>
    </row>
    <row r="10" spans="1:12">
      <c r="A10" s="1" t="s">
        <v>9374</v>
      </c>
      <c r="B10">
        <v>25.9</v>
      </c>
      <c r="C10">
        <v>28.4</v>
      </c>
      <c r="H10" t="s">
        <v>9396</v>
      </c>
      <c r="I10" t="s">
        <v>9390</v>
      </c>
      <c r="J10" t="s">
        <v>9397</v>
      </c>
      <c r="K10">
        <v>46</v>
      </c>
    </row>
    <row r="11" spans="1:12">
      <c r="A11" s="1" t="s">
        <v>9375</v>
      </c>
      <c r="B11">
        <v>31</v>
      </c>
      <c r="C11">
        <v>28</v>
      </c>
    </row>
    <row r="12" spans="1:12">
      <c r="A12" s="1" t="s">
        <v>9376</v>
      </c>
      <c r="B12">
        <v>8.6999999999999993</v>
      </c>
      <c r="C12">
        <v>9.1</v>
      </c>
    </row>
    <row r="13" spans="1:12">
      <c r="A13" s="1" t="s">
        <v>9377</v>
      </c>
      <c r="B13">
        <v>9.4</v>
      </c>
      <c r="C13">
        <v>11.4</v>
      </c>
    </row>
    <row r="14" spans="1:12">
      <c r="A14" s="1" t="s">
        <v>9378</v>
      </c>
      <c r="B14">
        <v>10</v>
      </c>
      <c r="C14">
        <v>12</v>
      </c>
    </row>
    <row r="15" spans="1:12">
      <c r="A15" s="1" t="s">
        <v>9379</v>
      </c>
      <c r="B15">
        <v>2.2999999999999998</v>
      </c>
      <c r="C15">
        <v>2.4</v>
      </c>
    </row>
    <row r="16" spans="1:12">
      <c r="A16" s="1" t="s">
        <v>9380</v>
      </c>
      <c r="B16">
        <v>43.8</v>
      </c>
      <c r="C16">
        <v>55.1</v>
      </c>
    </row>
    <row r="17" spans="1:3">
      <c r="A17" s="1" t="s">
        <v>9381</v>
      </c>
      <c r="B17">
        <v>46</v>
      </c>
      <c r="C17">
        <v>57</v>
      </c>
    </row>
    <row r="18" spans="1:3">
      <c r="A18" s="1" t="s">
        <v>9382</v>
      </c>
      <c r="B18">
        <v>9.5</v>
      </c>
      <c r="C18">
        <v>10.4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Unfiltered Data</vt:lpstr>
      <vt:lpstr>Gen-filters</vt:lpstr>
      <vt:lpstr>AddOmits</vt:lpstr>
      <vt:lpstr>WF_AO_LM</vt:lpstr>
      <vt:lpstr>WF_AO_HM</vt:lpstr>
      <vt:lpstr>WF_SUB</vt:lpstr>
      <vt:lpstr>Harmonization</vt:lpstr>
      <vt:lpstr>Autograph Details</vt:lpstr>
      <vt:lpstr>Apograph Details</vt:lpstr>
      <vt:lpstr>Gen-Error-Rates</vt:lpstr>
      <vt:lpstr>Corrections</vt:lpstr>
      <vt:lpstr>Data Regularization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Wilken</dc:creator>
  <cp:lastModifiedBy>Jonathan Wilken</cp:lastModifiedBy>
  <dcterms:created xsi:type="dcterms:W3CDTF">2022-11-18T18:06:54Z</dcterms:created>
  <dcterms:modified xsi:type="dcterms:W3CDTF">2025-10-23T16:58:49Z</dcterms:modified>
</cp:coreProperties>
</file>