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9.xml" ContentType="application/vnd.ms-excel.threadedcomments+xml"/>
  <Override PartName="/xl/comments11.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MS Variant Spreadsheets/"/>
    </mc:Choice>
  </mc:AlternateContent>
  <xr:revisionPtr revIDLastSave="613" documentId="8_{A1E3DC43-97D5-4570-A6A9-533187A98BC6}" xr6:coauthVersionLast="47" xr6:coauthVersionMax="47" xr10:uidLastSave="{B1734D7C-1486-4B99-94C9-A3CF7613E7C6}"/>
  <bookViews>
    <workbookView xWindow="-110" yWindow="-110" windowWidth="25820" windowHeight="15500" xr2:uid="{5BB4D106-A247-41F8-A104-83D51E35EC09}"/>
  </bookViews>
  <sheets>
    <sheet name="Unfiltered Data" sheetId="1" r:id="rId1"/>
    <sheet name="Gen-filters" sheetId="7" r:id="rId2"/>
    <sheet name="AddOmits" sheetId="8" r:id="rId3"/>
    <sheet name="WF_AO_LM" sheetId="11" r:id="rId4"/>
    <sheet name="WF_AO_HM" sheetId="10" r:id="rId5"/>
    <sheet name="WF_SUB" sheetId="12" r:id="rId6"/>
    <sheet name="Harmonization" sheetId="13" r:id="rId7"/>
    <sheet name="Autograph Details" sheetId="16" r:id="rId8"/>
    <sheet name="Apograph Details" sheetId="17" r:id="rId9"/>
    <sheet name="Gen-Error-Rates" sheetId="14" r:id="rId10"/>
    <sheet name="Corrections" sheetId="18" r:id="rId11"/>
    <sheet name="Data Regularization" sheetId="2" r:id="rId12"/>
  </sheets>
  <definedNames>
    <definedName name="_xlnm._FilterDatabase" localSheetId="2" hidden="1">AddOmits!$A$1:$AD$80</definedName>
    <definedName name="_xlnm._FilterDatabase" localSheetId="1" hidden="1">'Gen-filters'!$A$1:$XFA$274</definedName>
    <definedName name="_xlnm._FilterDatabase" localSheetId="0" hidden="1">'Unfiltered Data'!$A$1:$AF$1061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8" l="1"/>
  <c r="B11" i="18"/>
  <c r="B10" i="18"/>
  <c r="B4" i="18"/>
  <c r="B3" i="18"/>
  <c r="D12" i="18" l="1"/>
  <c r="D10" i="18"/>
  <c r="D11" i="18"/>
  <c r="B5" i="18"/>
  <c r="U103" i="12"/>
  <c r="T103" i="12"/>
  <c r="U102" i="12"/>
  <c r="T102" i="12"/>
  <c r="U101" i="12"/>
  <c r="T101" i="12"/>
  <c r="U100" i="12"/>
  <c r="T100" i="12"/>
  <c r="U99" i="12"/>
  <c r="T99" i="12"/>
  <c r="U98" i="12"/>
  <c r="T98" i="12"/>
  <c r="U97" i="12"/>
  <c r="T97" i="12"/>
  <c r="U96" i="12"/>
  <c r="T96" i="12"/>
  <c r="U95" i="12"/>
  <c r="T95" i="12"/>
  <c r="U94" i="12"/>
  <c r="T94" i="12"/>
  <c r="U93" i="12"/>
  <c r="T93" i="12"/>
  <c r="U92" i="12"/>
  <c r="T92" i="12"/>
  <c r="U91" i="12"/>
  <c r="T91" i="12"/>
  <c r="U90" i="12"/>
  <c r="T90" i="12"/>
  <c r="U89" i="12"/>
  <c r="T89" i="12"/>
  <c r="U88" i="12"/>
  <c r="T88" i="12"/>
  <c r="U87" i="12"/>
  <c r="T87" i="12"/>
  <c r="U86" i="12"/>
  <c r="T86" i="12"/>
  <c r="U85" i="12"/>
  <c r="T85" i="12"/>
  <c r="U84" i="12"/>
  <c r="T84" i="12"/>
  <c r="U83" i="12"/>
  <c r="T83" i="12"/>
  <c r="U82" i="12"/>
  <c r="V82" i="12" s="1"/>
  <c r="T82" i="12"/>
  <c r="U81" i="12"/>
  <c r="T81" i="12"/>
  <c r="U80" i="12"/>
  <c r="T80" i="12"/>
  <c r="U79" i="12"/>
  <c r="T79" i="12"/>
  <c r="U78" i="12"/>
  <c r="T78" i="12"/>
  <c r="U77" i="12"/>
  <c r="T77" i="12"/>
  <c r="U76" i="12"/>
  <c r="T76" i="12"/>
  <c r="U75" i="12"/>
  <c r="T75" i="12"/>
  <c r="U74" i="12"/>
  <c r="T74" i="12"/>
  <c r="U73" i="12"/>
  <c r="T73" i="12"/>
  <c r="U72" i="12"/>
  <c r="T72" i="12"/>
  <c r="U71" i="12"/>
  <c r="T71" i="12"/>
  <c r="U70" i="12"/>
  <c r="T70" i="12"/>
  <c r="U69" i="12"/>
  <c r="V69" i="12" s="1"/>
  <c r="T69" i="12"/>
  <c r="U68" i="12"/>
  <c r="T68" i="12"/>
  <c r="U67" i="12"/>
  <c r="V67" i="12" s="1"/>
  <c r="T67" i="12"/>
  <c r="U66" i="12"/>
  <c r="T66" i="12"/>
  <c r="U65" i="12"/>
  <c r="T65" i="12"/>
  <c r="U64" i="12"/>
  <c r="T64" i="12"/>
  <c r="U63" i="12"/>
  <c r="T63" i="12"/>
  <c r="U62" i="12"/>
  <c r="T62" i="12"/>
  <c r="U61" i="12"/>
  <c r="V61" i="12" s="1"/>
  <c r="T61" i="12"/>
  <c r="U60" i="12"/>
  <c r="T60" i="12"/>
  <c r="U59" i="12"/>
  <c r="T59" i="12"/>
  <c r="U58" i="12"/>
  <c r="T58" i="12"/>
  <c r="U57" i="12"/>
  <c r="T57" i="12"/>
  <c r="U56" i="12"/>
  <c r="T56" i="12"/>
  <c r="U55" i="12"/>
  <c r="T55" i="12"/>
  <c r="U54" i="12"/>
  <c r="T54" i="12"/>
  <c r="U53" i="12"/>
  <c r="T53" i="12"/>
  <c r="U52" i="12"/>
  <c r="T52" i="12"/>
  <c r="U51" i="12"/>
  <c r="T51" i="12"/>
  <c r="U50" i="12"/>
  <c r="V50" i="12" s="1"/>
  <c r="T50" i="12"/>
  <c r="U49" i="12"/>
  <c r="T49" i="12"/>
  <c r="U48" i="12"/>
  <c r="T48" i="12"/>
  <c r="U47" i="12"/>
  <c r="T47" i="12"/>
  <c r="U46" i="12"/>
  <c r="T46" i="12"/>
  <c r="U45" i="12"/>
  <c r="T45" i="12"/>
  <c r="U44" i="12"/>
  <c r="T44" i="12"/>
  <c r="U43" i="12"/>
  <c r="T43" i="12"/>
  <c r="U42" i="12"/>
  <c r="T42" i="12"/>
  <c r="U41" i="12"/>
  <c r="T41" i="12"/>
  <c r="U40" i="12"/>
  <c r="T40" i="12"/>
  <c r="U39" i="12"/>
  <c r="T39" i="12"/>
  <c r="U38" i="12"/>
  <c r="T38" i="12"/>
  <c r="U37" i="12"/>
  <c r="T37" i="12"/>
  <c r="U36" i="12"/>
  <c r="V36" i="12" s="1"/>
  <c r="T36" i="12"/>
  <c r="U35" i="12"/>
  <c r="T35" i="12"/>
  <c r="U34" i="12"/>
  <c r="T34" i="12"/>
  <c r="U33" i="12"/>
  <c r="T33" i="12"/>
  <c r="U32" i="12"/>
  <c r="T32" i="12"/>
  <c r="U31" i="12"/>
  <c r="T31" i="12"/>
  <c r="U30" i="12"/>
  <c r="T30" i="12"/>
  <c r="U29" i="12"/>
  <c r="T29" i="12"/>
  <c r="U28" i="12"/>
  <c r="T28" i="12"/>
  <c r="U27" i="12"/>
  <c r="T27" i="12"/>
  <c r="U26" i="12"/>
  <c r="T26" i="12"/>
  <c r="U25" i="12"/>
  <c r="T25" i="12"/>
  <c r="U24" i="12"/>
  <c r="T24" i="12"/>
  <c r="U23" i="12"/>
  <c r="T23" i="12"/>
  <c r="U22" i="12"/>
  <c r="T22" i="12"/>
  <c r="U21" i="12"/>
  <c r="T21" i="12"/>
  <c r="U20" i="12"/>
  <c r="T20" i="12"/>
  <c r="U19" i="12"/>
  <c r="T19" i="12"/>
  <c r="U18" i="12"/>
  <c r="V18" i="12" s="1"/>
  <c r="T18" i="12"/>
  <c r="U17" i="12"/>
  <c r="T17" i="12"/>
  <c r="U16" i="12"/>
  <c r="T16" i="12"/>
  <c r="U15" i="12"/>
  <c r="T15" i="12"/>
  <c r="U14" i="12"/>
  <c r="T14" i="12"/>
  <c r="U13" i="12"/>
  <c r="T13" i="12"/>
  <c r="U12" i="12"/>
  <c r="T12" i="12"/>
  <c r="U11" i="12"/>
  <c r="T11" i="12"/>
  <c r="U10" i="12"/>
  <c r="T10" i="12"/>
  <c r="U9" i="12"/>
  <c r="T9" i="12"/>
  <c r="U8" i="12"/>
  <c r="T8" i="12"/>
  <c r="U7" i="12"/>
  <c r="T7" i="12"/>
  <c r="U6" i="12"/>
  <c r="T6" i="12"/>
  <c r="U5" i="12"/>
  <c r="T5" i="12"/>
  <c r="U4" i="12"/>
  <c r="T4" i="12"/>
  <c r="U3" i="12"/>
  <c r="T3" i="12"/>
  <c r="U2" i="12"/>
  <c r="T2" i="12"/>
  <c r="V2" i="12"/>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Q2" i="8"/>
  <c r="T873" i="1"/>
  <c r="T248" i="1"/>
  <c r="T24" i="1"/>
  <c r="T756" i="1"/>
  <c r="U376" i="1"/>
  <c r="V376" i="1"/>
  <c r="U756" i="1"/>
  <c r="V756" i="1"/>
  <c r="V99" i="12" l="1"/>
  <c r="V21" i="12"/>
  <c r="V68" i="12"/>
  <c r="V6" i="12"/>
  <c r="V22" i="12"/>
  <c r="V5" i="12"/>
  <c r="V83" i="12"/>
  <c r="V38" i="12"/>
  <c r="V7" i="12"/>
  <c r="V54" i="12"/>
  <c r="V85" i="12"/>
  <c r="V101" i="12"/>
  <c r="V23" i="12"/>
  <c r="V39" i="12"/>
  <c r="V70" i="12"/>
  <c r="V8" i="12"/>
  <c r="V55" i="12"/>
  <c r="V86" i="12"/>
  <c r="V102" i="12"/>
  <c r="V24" i="12"/>
  <c r="V40" i="12"/>
  <c r="V71" i="12"/>
  <c r="V9" i="12"/>
  <c r="V56" i="12"/>
  <c r="V87" i="12"/>
  <c r="V103" i="12"/>
  <c r="V25" i="12"/>
  <c r="V72" i="12"/>
  <c r="V10" i="12"/>
  <c r="V57" i="12"/>
  <c r="V88" i="12"/>
  <c r="V26" i="12"/>
  <c r="V42" i="12"/>
  <c r="V11" i="12"/>
  <c r="V58" i="12"/>
  <c r="V89" i="12"/>
  <c r="V27" i="12"/>
  <c r="V43" i="12"/>
  <c r="V74" i="12"/>
  <c r="V12" i="12"/>
  <c r="V59" i="12"/>
  <c r="V90" i="12"/>
  <c r="V28" i="12"/>
  <c r="V44" i="12"/>
  <c r="V75" i="12"/>
  <c r="V13" i="12"/>
  <c r="V60" i="12"/>
  <c r="V91" i="12"/>
  <c r="V29" i="12"/>
  <c r="V45" i="12"/>
  <c r="V76" i="12"/>
  <c r="V14" i="12"/>
  <c r="V92" i="12"/>
  <c r="V30" i="12"/>
  <c r="V46" i="12"/>
  <c r="V77" i="12"/>
  <c r="V15" i="12"/>
  <c r="V93" i="12"/>
  <c r="V31" i="12"/>
  <c r="V47" i="12"/>
  <c r="V62" i="12"/>
  <c r="V78" i="12"/>
  <c r="V16" i="12"/>
  <c r="V94" i="12"/>
  <c r="V32" i="12"/>
  <c r="V48" i="12"/>
  <c r="V63" i="12"/>
  <c r="V79" i="12"/>
  <c r="V17" i="12"/>
  <c r="V95" i="12"/>
  <c r="V33" i="12"/>
  <c r="V49" i="12"/>
  <c r="V64" i="12"/>
  <c r="V80" i="12"/>
  <c r="V96" i="12"/>
  <c r="V34" i="12"/>
  <c r="V65" i="12"/>
  <c r="V81" i="12"/>
  <c r="V3" i="12"/>
  <c r="V97" i="12"/>
  <c r="V19" i="12"/>
  <c r="V35" i="12"/>
  <c r="V66" i="12"/>
  <c r="V4" i="12"/>
  <c r="V51" i="12"/>
  <c r="V98" i="12"/>
  <c r="V53" i="12"/>
  <c r="V100" i="12"/>
  <c r="V37" i="12"/>
  <c r="V20" i="12"/>
  <c r="V52" i="12"/>
  <c r="V84" i="12"/>
  <c r="V41" i="12"/>
  <c r="V73" i="12"/>
  <c r="B3" i="14"/>
  <c r="B6" i="14" s="1"/>
  <c r="B2" i="14"/>
  <c r="B5" i="14" l="1"/>
  <c r="C10" i="18"/>
  <c r="C11" i="18"/>
  <c r="C12" i="18"/>
  <c r="E9" i="13"/>
  <c r="E8" i="13"/>
  <c r="E10" i="13" s="1"/>
  <c r="E114" i="12" l="1"/>
  <c r="E113" i="12"/>
  <c r="E110" i="12"/>
  <c r="E109" i="12"/>
  <c r="E72" i="11"/>
  <c r="E71" i="11"/>
  <c r="E70" i="11"/>
  <c r="E59" i="11"/>
  <c r="E66" i="11" s="1"/>
  <c r="E18" i="10"/>
  <c r="E22" i="10" s="1"/>
  <c r="V1060" i="1"/>
  <c r="U1060" i="1"/>
  <c r="V1059" i="1"/>
  <c r="U1059" i="1"/>
  <c r="V1058" i="1"/>
  <c r="U1058" i="1"/>
  <c r="V1057" i="1"/>
  <c r="U1057" i="1"/>
  <c r="V1056" i="1"/>
  <c r="U1056" i="1"/>
  <c r="V1055" i="1"/>
  <c r="U1055" i="1"/>
  <c r="V1054" i="1"/>
  <c r="U1054" i="1"/>
  <c r="V1053" i="1"/>
  <c r="U1053" i="1"/>
  <c r="V1052" i="1"/>
  <c r="U1052" i="1"/>
  <c r="V1050" i="1"/>
  <c r="U1050" i="1"/>
  <c r="V1049" i="1"/>
  <c r="U1049" i="1"/>
  <c r="V1048" i="1"/>
  <c r="U1048" i="1"/>
  <c r="V1047" i="1"/>
  <c r="U1047" i="1"/>
  <c r="V1046" i="1"/>
  <c r="U1046" i="1"/>
  <c r="V1044" i="1"/>
  <c r="U1044" i="1"/>
  <c r="V1043" i="1"/>
  <c r="U1043" i="1"/>
  <c r="V1042" i="1"/>
  <c r="U1042" i="1"/>
  <c r="V1040" i="1"/>
  <c r="U1040" i="1"/>
  <c r="V1038" i="1"/>
  <c r="U1038" i="1"/>
  <c r="V1037" i="1"/>
  <c r="U1037" i="1"/>
  <c r="V1036" i="1"/>
  <c r="U1036" i="1"/>
  <c r="V1035" i="1"/>
  <c r="U1035" i="1"/>
  <c r="V1032" i="1"/>
  <c r="U1032" i="1"/>
  <c r="V1031" i="1"/>
  <c r="U1031" i="1"/>
  <c r="V1030" i="1"/>
  <c r="U1030" i="1"/>
  <c r="V1029" i="1"/>
  <c r="U1029" i="1"/>
  <c r="V1028" i="1"/>
  <c r="U1028" i="1"/>
  <c r="V1026" i="1"/>
  <c r="U1026" i="1"/>
  <c r="V1025" i="1"/>
  <c r="U1025" i="1"/>
  <c r="V1024" i="1"/>
  <c r="U1024" i="1"/>
  <c r="V1023" i="1"/>
  <c r="U1023" i="1"/>
  <c r="V1022" i="1"/>
  <c r="U1022" i="1"/>
  <c r="V1021" i="1"/>
  <c r="U1021" i="1"/>
  <c r="V1020" i="1"/>
  <c r="U1020" i="1"/>
  <c r="V1019" i="1"/>
  <c r="U1019" i="1"/>
  <c r="V1018" i="1"/>
  <c r="U1018" i="1"/>
  <c r="V1017" i="1"/>
  <c r="U1017" i="1"/>
  <c r="V1016" i="1"/>
  <c r="U1016" i="1"/>
  <c r="V1015" i="1"/>
  <c r="U1015" i="1"/>
  <c r="V1013" i="1"/>
  <c r="U1013" i="1"/>
  <c r="V1012" i="1"/>
  <c r="U1012" i="1"/>
  <c r="V1011" i="1"/>
  <c r="U1011" i="1"/>
  <c r="V1010" i="1"/>
  <c r="U1010" i="1"/>
  <c r="V1009" i="1"/>
  <c r="U1009" i="1"/>
  <c r="V1008" i="1"/>
  <c r="U1008" i="1"/>
  <c r="V1007" i="1"/>
  <c r="U1007" i="1"/>
  <c r="V1006" i="1"/>
  <c r="U1006" i="1"/>
  <c r="V1005" i="1"/>
  <c r="U1005" i="1"/>
  <c r="V1004" i="1"/>
  <c r="U1004" i="1"/>
  <c r="V1003" i="1"/>
  <c r="U1003" i="1"/>
  <c r="V1002" i="1"/>
  <c r="U1002" i="1"/>
  <c r="V1001" i="1"/>
  <c r="U1001" i="1"/>
  <c r="V1000" i="1"/>
  <c r="U1000" i="1"/>
  <c r="V999" i="1"/>
  <c r="U999" i="1"/>
  <c r="V998" i="1"/>
  <c r="U998" i="1"/>
  <c r="V997" i="1"/>
  <c r="U997" i="1"/>
  <c r="V996" i="1"/>
  <c r="U996" i="1"/>
  <c r="V995" i="1"/>
  <c r="U995" i="1"/>
  <c r="V994" i="1"/>
  <c r="U994" i="1"/>
  <c r="V992" i="1"/>
  <c r="U992" i="1"/>
  <c r="V991" i="1"/>
  <c r="U991" i="1"/>
  <c r="V990" i="1"/>
  <c r="U990" i="1"/>
  <c r="V989" i="1"/>
  <c r="U989" i="1"/>
  <c r="V988" i="1"/>
  <c r="U988" i="1"/>
  <c r="V986" i="1"/>
  <c r="U986" i="1"/>
  <c r="V985" i="1"/>
  <c r="U985" i="1"/>
  <c r="V984" i="1"/>
  <c r="U984" i="1"/>
  <c r="V983" i="1"/>
  <c r="U983" i="1"/>
  <c r="V982" i="1"/>
  <c r="U982" i="1"/>
  <c r="V981" i="1"/>
  <c r="U981" i="1"/>
  <c r="V980" i="1"/>
  <c r="U980" i="1"/>
  <c r="V979" i="1"/>
  <c r="U979" i="1"/>
  <c r="V978" i="1"/>
  <c r="U978" i="1"/>
  <c r="V974" i="1"/>
  <c r="U974" i="1"/>
  <c r="V973" i="1"/>
  <c r="U973" i="1"/>
  <c r="V972" i="1"/>
  <c r="U972" i="1"/>
  <c r="V971" i="1"/>
  <c r="U971" i="1"/>
  <c r="V969" i="1"/>
  <c r="U969" i="1"/>
  <c r="V968" i="1"/>
  <c r="U968" i="1"/>
  <c r="V967" i="1"/>
  <c r="U967" i="1"/>
  <c r="V966" i="1"/>
  <c r="U966" i="1"/>
  <c r="V965" i="1"/>
  <c r="U965" i="1"/>
  <c r="V964" i="1"/>
  <c r="U964" i="1"/>
  <c r="V962" i="1"/>
  <c r="U962" i="1"/>
  <c r="V960" i="1"/>
  <c r="U960" i="1"/>
  <c r="V959" i="1"/>
  <c r="U959" i="1"/>
  <c r="V958" i="1"/>
  <c r="U958" i="1"/>
  <c r="V957" i="1"/>
  <c r="U957" i="1"/>
  <c r="V956" i="1"/>
  <c r="U956" i="1"/>
  <c r="V955" i="1"/>
  <c r="U955" i="1"/>
  <c r="V954" i="1"/>
  <c r="U954" i="1"/>
  <c r="V953" i="1"/>
  <c r="U953" i="1"/>
  <c r="V952" i="1"/>
  <c r="U952" i="1"/>
  <c r="V950" i="1"/>
  <c r="U950" i="1"/>
  <c r="V949" i="1"/>
  <c r="U949" i="1"/>
  <c r="V948" i="1"/>
  <c r="U948" i="1"/>
  <c r="V947" i="1"/>
  <c r="U947" i="1"/>
  <c r="V946" i="1"/>
  <c r="U946" i="1"/>
  <c r="V945" i="1"/>
  <c r="U945" i="1"/>
  <c r="V944" i="1"/>
  <c r="U944" i="1"/>
  <c r="V943" i="1"/>
  <c r="U943" i="1"/>
  <c r="V942" i="1"/>
  <c r="U942" i="1"/>
  <c r="V941" i="1"/>
  <c r="U941" i="1"/>
  <c r="V940" i="1"/>
  <c r="U940" i="1"/>
  <c r="V939" i="1"/>
  <c r="U939" i="1"/>
  <c r="V938" i="1"/>
  <c r="U938" i="1"/>
  <c r="V937" i="1"/>
  <c r="U937" i="1"/>
  <c r="V936" i="1"/>
  <c r="U936" i="1"/>
  <c r="V933" i="1"/>
  <c r="U933" i="1"/>
  <c r="V932" i="1"/>
  <c r="U932" i="1"/>
  <c r="V931" i="1"/>
  <c r="U931" i="1"/>
  <c r="V930" i="1"/>
  <c r="U930" i="1"/>
  <c r="V929" i="1"/>
  <c r="U929" i="1"/>
  <c r="V928" i="1"/>
  <c r="U928" i="1"/>
  <c r="V927" i="1"/>
  <c r="U927" i="1"/>
  <c r="V926" i="1"/>
  <c r="U926" i="1"/>
  <c r="V925" i="1"/>
  <c r="U925" i="1"/>
  <c r="V924" i="1"/>
  <c r="U924" i="1"/>
  <c r="V923" i="1"/>
  <c r="U923" i="1"/>
  <c r="V922" i="1"/>
  <c r="U922" i="1"/>
  <c r="V921" i="1"/>
  <c r="U921" i="1"/>
  <c r="V920" i="1"/>
  <c r="U920" i="1"/>
  <c r="V918" i="1"/>
  <c r="U918" i="1"/>
  <c r="V916" i="1"/>
  <c r="U916" i="1"/>
  <c r="V915" i="1"/>
  <c r="U915" i="1"/>
  <c r="V914" i="1"/>
  <c r="U914" i="1"/>
  <c r="V913" i="1"/>
  <c r="U913" i="1"/>
  <c r="V912" i="1"/>
  <c r="U912" i="1"/>
  <c r="V911" i="1"/>
  <c r="U911" i="1"/>
  <c r="V910" i="1"/>
  <c r="U910" i="1"/>
  <c r="V909" i="1"/>
  <c r="U909" i="1"/>
  <c r="V908" i="1"/>
  <c r="U908" i="1"/>
  <c r="V907" i="1"/>
  <c r="U907" i="1"/>
  <c r="V906" i="1"/>
  <c r="U906" i="1"/>
  <c r="V905" i="1"/>
  <c r="U905" i="1"/>
  <c r="V904" i="1"/>
  <c r="U904" i="1"/>
  <c r="V902" i="1"/>
  <c r="U902" i="1"/>
  <c r="V901" i="1"/>
  <c r="U901" i="1"/>
  <c r="V900" i="1"/>
  <c r="U900" i="1"/>
  <c r="V899" i="1"/>
  <c r="U899" i="1"/>
  <c r="V898" i="1"/>
  <c r="U898" i="1"/>
  <c r="V897" i="1"/>
  <c r="U897" i="1"/>
  <c r="V896" i="1"/>
  <c r="U896" i="1"/>
  <c r="V895" i="1"/>
  <c r="U895" i="1"/>
  <c r="V894" i="1"/>
  <c r="U894" i="1"/>
  <c r="V893" i="1"/>
  <c r="U893" i="1"/>
  <c r="V892" i="1"/>
  <c r="U892" i="1"/>
  <c r="V890" i="1"/>
  <c r="U890" i="1"/>
  <c r="V889" i="1"/>
  <c r="U889" i="1"/>
  <c r="V888" i="1"/>
  <c r="U888" i="1"/>
  <c r="V887" i="1"/>
  <c r="U887" i="1"/>
  <c r="V886" i="1"/>
  <c r="U886" i="1"/>
  <c r="V885" i="1"/>
  <c r="U885" i="1"/>
  <c r="V884" i="1"/>
  <c r="U884" i="1"/>
  <c r="V883" i="1"/>
  <c r="U883" i="1"/>
  <c r="V882" i="1"/>
  <c r="U882" i="1"/>
  <c r="V881" i="1"/>
  <c r="U881" i="1"/>
  <c r="V880" i="1"/>
  <c r="U880" i="1"/>
  <c r="V879" i="1"/>
  <c r="U879" i="1"/>
  <c r="V878" i="1"/>
  <c r="U878" i="1"/>
  <c r="V877" i="1"/>
  <c r="U877" i="1"/>
  <c r="V876" i="1"/>
  <c r="U876" i="1"/>
  <c r="V875" i="1"/>
  <c r="U875" i="1"/>
  <c r="V874" i="1"/>
  <c r="U874" i="1"/>
  <c r="V870" i="1"/>
  <c r="U870" i="1"/>
  <c r="V869" i="1"/>
  <c r="U869" i="1"/>
  <c r="V868" i="1"/>
  <c r="U868" i="1"/>
  <c r="V865" i="1"/>
  <c r="U865" i="1"/>
  <c r="V864" i="1"/>
  <c r="U864" i="1"/>
  <c r="V863" i="1"/>
  <c r="U863" i="1"/>
  <c r="V862" i="1"/>
  <c r="U862" i="1"/>
  <c r="V861" i="1"/>
  <c r="U861" i="1"/>
  <c r="V860" i="1"/>
  <c r="U860" i="1"/>
  <c r="V859" i="1"/>
  <c r="U859" i="1"/>
  <c r="V858" i="1"/>
  <c r="U858" i="1"/>
  <c r="V857" i="1"/>
  <c r="U857" i="1"/>
  <c r="V856" i="1"/>
  <c r="U856" i="1"/>
  <c r="V855" i="1"/>
  <c r="U855" i="1"/>
  <c r="V853" i="1"/>
  <c r="U853" i="1"/>
  <c r="V851" i="1"/>
  <c r="U851" i="1"/>
  <c r="V850" i="1"/>
  <c r="U850" i="1"/>
  <c r="V849" i="1"/>
  <c r="U849" i="1"/>
  <c r="V848" i="1"/>
  <c r="U848" i="1"/>
  <c r="V847" i="1"/>
  <c r="U847" i="1"/>
  <c r="V846" i="1"/>
  <c r="U846" i="1"/>
  <c r="V845" i="1"/>
  <c r="U845" i="1"/>
  <c r="V844" i="1"/>
  <c r="U844" i="1"/>
  <c r="V843" i="1"/>
  <c r="U843" i="1"/>
  <c r="V842" i="1"/>
  <c r="U842" i="1"/>
  <c r="V841" i="1"/>
  <c r="U841" i="1"/>
  <c r="V840" i="1"/>
  <c r="U840" i="1"/>
  <c r="V839" i="1"/>
  <c r="U839" i="1"/>
  <c r="V838" i="1"/>
  <c r="U838" i="1"/>
  <c r="V837" i="1"/>
  <c r="U837" i="1"/>
  <c r="V836" i="1"/>
  <c r="U836" i="1"/>
  <c r="V835" i="1"/>
  <c r="U835" i="1"/>
  <c r="V834" i="1"/>
  <c r="U834" i="1"/>
  <c r="V833" i="1"/>
  <c r="U833" i="1"/>
  <c r="V832" i="1"/>
  <c r="U832" i="1"/>
  <c r="V831" i="1"/>
  <c r="U831" i="1"/>
  <c r="V830" i="1"/>
  <c r="U830" i="1"/>
  <c r="V829" i="1"/>
  <c r="U829" i="1"/>
  <c r="V827" i="1"/>
  <c r="U827" i="1"/>
  <c r="V823" i="1"/>
  <c r="U823" i="1"/>
  <c r="V822" i="1"/>
  <c r="U822" i="1"/>
  <c r="V821" i="1"/>
  <c r="U821" i="1"/>
  <c r="V820" i="1"/>
  <c r="U820" i="1"/>
  <c r="V818" i="1"/>
  <c r="U818" i="1"/>
  <c r="V816" i="1"/>
  <c r="U816" i="1"/>
  <c r="V815" i="1"/>
  <c r="U815" i="1"/>
  <c r="V813" i="1"/>
  <c r="U813" i="1"/>
  <c r="V812" i="1"/>
  <c r="U812" i="1"/>
  <c r="V810" i="1"/>
  <c r="U810" i="1"/>
  <c r="V809" i="1"/>
  <c r="U809" i="1"/>
  <c r="V808" i="1"/>
  <c r="U808" i="1"/>
  <c r="V807" i="1"/>
  <c r="U807" i="1"/>
  <c r="V806" i="1"/>
  <c r="U806" i="1"/>
  <c r="V804" i="1"/>
  <c r="U804" i="1"/>
  <c r="V802" i="1"/>
  <c r="U802" i="1"/>
  <c r="V801" i="1"/>
  <c r="U801" i="1"/>
  <c r="V800" i="1"/>
  <c r="U800" i="1"/>
  <c r="V798" i="1"/>
  <c r="U798" i="1"/>
  <c r="V796" i="1"/>
  <c r="U796" i="1"/>
  <c r="V795" i="1"/>
  <c r="U795" i="1"/>
  <c r="V794" i="1"/>
  <c r="U794" i="1"/>
  <c r="V793" i="1"/>
  <c r="U793" i="1"/>
  <c r="V791" i="1"/>
  <c r="U791" i="1"/>
  <c r="V790" i="1"/>
  <c r="U790" i="1"/>
  <c r="V789" i="1"/>
  <c r="U789" i="1"/>
  <c r="V788" i="1"/>
  <c r="U788" i="1"/>
  <c r="V787" i="1"/>
  <c r="U787" i="1"/>
  <c r="V786" i="1"/>
  <c r="U786" i="1"/>
  <c r="V784" i="1"/>
  <c r="U784" i="1"/>
  <c r="V783" i="1"/>
  <c r="U783" i="1"/>
  <c r="V782" i="1"/>
  <c r="U782" i="1"/>
  <c r="V781" i="1"/>
  <c r="U781" i="1"/>
  <c r="V780" i="1"/>
  <c r="U780" i="1"/>
  <c r="V779" i="1"/>
  <c r="U779" i="1"/>
  <c r="V778" i="1"/>
  <c r="U778" i="1"/>
  <c r="V777" i="1"/>
  <c r="U777" i="1"/>
  <c r="V776" i="1"/>
  <c r="U776" i="1"/>
  <c r="V775" i="1"/>
  <c r="U775" i="1"/>
  <c r="V774" i="1"/>
  <c r="U774" i="1"/>
  <c r="V773" i="1"/>
  <c r="U773" i="1"/>
  <c r="V772" i="1"/>
  <c r="U772" i="1"/>
  <c r="V771" i="1"/>
  <c r="U771" i="1"/>
  <c r="V770" i="1"/>
  <c r="U770" i="1"/>
  <c r="V769" i="1"/>
  <c r="U769" i="1"/>
  <c r="V768" i="1"/>
  <c r="U768" i="1"/>
  <c r="V767" i="1"/>
  <c r="U767" i="1"/>
  <c r="V765" i="1"/>
  <c r="U765" i="1"/>
  <c r="V764" i="1"/>
  <c r="U764" i="1"/>
  <c r="V763" i="1"/>
  <c r="U763" i="1"/>
  <c r="V762" i="1"/>
  <c r="U762" i="1"/>
  <c r="V760" i="1"/>
  <c r="U760" i="1"/>
  <c r="V759" i="1"/>
  <c r="U759" i="1"/>
  <c r="V758" i="1"/>
  <c r="U758" i="1"/>
  <c r="V757" i="1"/>
  <c r="U757" i="1"/>
  <c r="V755" i="1"/>
  <c r="U755" i="1"/>
  <c r="V754" i="1"/>
  <c r="U754" i="1"/>
  <c r="V753" i="1"/>
  <c r="U753" i="1"/>
  <c r="V752" i="1"/>
  <c r="U752" i="1"/>
  <c r="V751" i="1"/>
  <c r="U751" i="1"/>
  <c r="V750" i="1"/>
  <c r="U750" i="1"/>
  <c r="V749" i="1"/>
  <c r="U749" i="1"/>
  <c r="V748" i="1"/>
  <c r="U748" i="1"/>
  <c r="V746" i="1"/>
  <c r="U746" i="1"/>
  <c r="V745" i="1"/>
  <c r="U745" i="1"/>
  <c r="V743" i="1"/>
  <c r="U743" i="1"/>
  <c r="V742" i="1"/>
  <c r="U742" i="1"/>
  <c r="V741" i="1"/>
  <c r="U741" i="1"/>
  <c r="V740" i="1"/>
  <c r="U740" i="1"/>
  <c r="V739" i="1"/>
  <c r="U739" i="1"/>
  <c r="V738" i="1"/>
  <c r="U738" i="1"/>
  <c r="V737" i="1"/>
  <c r="U737" i="1"/>
  <c r="V736" i="1"/>
  <c r="U736" i="1"/>
  <c r="V735" i="1"/>
  <c r="U735" i="1"/>
  <c r="V734" i="1"/>
  <c r="U734" i="1"/>
  <c r="V732" i="1"/>
  <c r="U732" i="1"/>
  <c r="V731" i="1"/>
  <c r="U731" i="1"/>
  <c r="V730" i="1"/>
  <c r="U730" i="1"/>
  <c r="V729" i="1"/>
  <c r="U729" i="1"/>
  <c r="V728" i="1"/>
  <c r="U728" i="1"/>
  <c r="V727" i="1"/>
  <c r="U727" i="1"/>
  <c r="V726" i="1"/>
  <c r="U726" i="1"/>
  <c r="V725" i="1"/>
  <c r="U725" i="1"/>
  <c r="V723" i="1"/>
  <c r="U723" i="1"/>
  <c r="V722" i="1"/>
  <c r="U722" i="1"/>
  <c r="V721" i="1"/>
  <c r="U721" i="1"/>
  <c r="V720" i="1"/>
  <c r="U720" i="1"/>
  <c r="V719" i="1"/>
  <c r="U719" i="1"/>
  <c r="V718" i="1"/>
  <c r="U718" i="1"/>
  <c r="V717" i="1"/>
  <c r="U717" i="1"/>
  <c r="V716" i="1"/>
  <c r="U716" i="1"/>
  <c r="V715" i="1"/>
  <c r="U715" i="1"/>
  <c r="V714" i="1"/>
  <c r="U714" i="1"/>
  <c r="V713" i="1"/>
  <c r="U713" i="1"/>
  <c r="V711" i="1"/>
  <c r="U711" i="1"/>
  <c r="V709" i="1"/>
  <c r="U709" i="1"/>
  <c r="V708" i="1"/>
  <c r="U708" i="1"/>
  <c r="V707" i="1"/>
  <c r="U707" i="1"/>
  <c r="V706" i="1"/>
  <c r="U706" i="1"/>
  <c r="V705" i="1"/>
  <c r="U705" i="1"/>
  <c r="V704" i="1"/>
  <c r="U704" i="1"/>
  <c r="V703" i="1"/>
  <c r="U703" i="1"/>
  <c r="V702" i="1"/>
  <c r="U702" i="1"/>
  <c r="V701" i="1"/>
  <c r="U701" i="1"/>
  <c r="V700" i="1"/>
  <c r="U700" i="1"/>
  <c r="V699" i="1"/>
  <c r="U699" i="1"/>
  <c r="V698" i="1"/>
  <c r="U698" i="1"/>
  <c r="V697" i="1"/>
  <c r="U697" i="1"/>
  <c r="V696" i="1"/>
  <c r="U696" i="1"/>
  <c r="V695" i="1"/>
  <c r="U695" i="1"/>
  <c r="V693" i="1"/>
  <c r="U693" i="1"/>
  <c r="V692" i="1"/>
  <c r="U692" i="1"/>
  <c r="V689" i="1"/>
  <c r="U689" i="1"/>
  <c r="V688" i="1"/>
  <c r="U688" i="1"/>
  <c r="V687" i="1"/>
  <c r="U687" i="1"/>
  <c r="V686" i="1"/>
  <c r="U686" i="1"/>
  <c r="V684" i="1"/>
  <c r="U684" i="1"/>
  <c r="V683" i="1"/>
  <c r="U683" i="1"/>
  <c r="V679" i="1"/>
  <c r="U679" i="1"/>
  <c r="V678" i="1"/>
  <c r="U678" i="1"/>
  <c r="V677" i="1"/>
  <c r="U677" i="1"/>
  <c r="V676" i="1"/>
  <c r="U676" i="1"/>
  <c r="V675" i="1"/>
  <c r="U675" i="1"/>
  <c r="V674" i="1"/>
  <c r="U674" i="1"/>
  <c r="V673" i="1"/>
  <c r="U673" i="1"/>
  <c r="V672" i="1"/>
  <c r="U672" i="1"/>
  <c r="V671" i="1"/>
  <c r="U671" i="1"/>
  <c r="V670" i="1"/>
  <c r="U670" i="1"/>
  <c r="V669" i="1"/>
  <c r="U669" i="1"/>
  <c r="V668" i="1"/>
  <c r="U668" i="1"/>
  <c r="V667" i="1"/>
  <c r="U667" i="1"/>
  <c r="V666" i="1"/>
  <c r="U666" i="1"/>
  <c r="V665" i="1"/>
  <c r="U665" i="1"/>
  <c r="V663" i="1"/>
  <c r="U663" i="1"/>
  <c r="V662" i="1"/>
  <c r="U662" i="1"/>
  <c r="V661" i="1"/>
  <c r="U661" i="1"/>
  <c r="V660" i="1"/>
  <c r="U660" i="1"/>
  <c r="V659" i="1"/>
  <c r="U659" i="1"/>
  <c r="V658" i="1"/>
  <c r="U658" i="1"/>
  <c r="V657" i="1"/>
  <c r="U657" i="1"/>
  <c r="V656" i="1"/>
  <c r="U656" i="1"/>
  <c r="V655" i="1"/>
  <c r="U655" i="1"/>
  <c r="V652" i="1"/>
  <c r="U652" i="1"/>
  <c r="V651" i="1"/>
  <c r="U651" i="1"/>
  <c r="V650" i="1"/>
  <c r="U650" i="1"/>
  <c r="V649" i="1"/>
  <c r="U649" i="1"/>
  <c r="V648" i="1"/>
  <c r="U648" i="1"/>
  <c r="V647" i="1"/>
  <c r="U647" i="1"/>
  <c r="V646" i="1"/>
  <c r="U646" i="1"/>
  <c r="V645" i="1"/>
  <c r="U645" i="1"/>
  <c r="V644" i="1"/>
  <c r="U644" i="1"/>
  <c r="V643" i="1"/>
  <c r="U643" i="1"/>
  <c r="V642" i="1"/>
  <c r="U642" i="1"/>
  <c r="V641" i="1"/>
  <c r="U641" i="1"/>
  <c r="V640" i="1"/>
  <c r="U640" i="1"/>
  <c r="V639" i="1"/>
  <c r="U639" i="1"/>
  <c r="V637" i="1"/>
  <c r="U637" i="1"/>
  <c r="V635" i="1"/>
  <c r="U635" i="1"/>
  <c r="V634" i="1"/>
  <c r="U634" i="1"/>
  <c r="V633" i="1"/>
  <c r="U633" i="1"/>
  <c r="V632" i="1"/>
  <c r="U632" i="1"/>
  <c r="V630" i="1"/>
  <c r="U630" i="1"/>
  <c r="V628" i="1"/>
  <c r="U628" i="1"/>
  <c r="V627" i="1"/>
  <c r="U627" i="1"/>
  <c r="V626" i="1"/>
  <c r="U626" i="1"/>
  <c r="V625" i="1"/>
  <c r="U625" i="1"/>
  <c r="V624" i="1"/>
  <c r="U624" i="1"/>
  <c r="V623" i="1"/>
  <c r="U623" i="1"/>
  <c r="V622" i="1"/>
  <c r="U622" i="1"/>
  <c r="V621" i="1"/>
  <c r="U621" i="1"/>
  <c r="V620" i="1"/>
  <c r="U620" i="1"/>
  <c r="V618" i="1"/>
  <c r="U618" i="1"/>
  <c r="V616" i="1"/>
  <c r="U616" i="1"/>
  <c r="V615" i="1"/>
  <c r="U615" i="1"/>
  <c r="V614" i="1"/>
  <c r="U614" i="1"/>
  <c r="V613" i="1"/>
  <c r="U613" i="1"/>
  <c r="V611" i="1"/>
  <c r="U611" i="1"/>
  <c r="V610" i="1"/>
  <c r="U610" i="1"/>
  <c r="V609" i="1"/>
  <c r="U609" i="1"/>
  <c r="V608" i="1"/>
  <c r="U608" i="1"/>
  <c r="V607" i="1"/>
  <c r="U607" i="1"/>
  <c r="V606" i="1"/>
  <c r="U606" i="1"/>
  <c r="V605" i="1"/>
  <c r="U605" i="1"/>
  <c r="V603" i="1"/>
  <c r="U603" i="1"/>
  <c r="V602" i="1"/>
  <c r="U602" i="1"/>
  <c r="V601" i="1"/>
  <c r="U601" i="1"/>
  <c r="V599" i="1"/>
  <c r="U599" i="1"/>
  <c r="V597" i="1"/>
  <c r="U597" i="1"/>
  <c r="V596" i="1"/>
  <c r="U596" i="1"/>
  <c r="V594" i="1"/>
  <c r="U594" i="1"/>
  <c r="V593" i="1"/>
  <c r="U593" i="1"/>
  <c r="V591" i="1"/>
  <c r="U591" i="1"/>
  <c r="V590" i="1"/>
  <c r="U590" i="1"/>
  <c r="V589" i="1"/>
  <c r="U589" i="1"/>
  <c r="V588" i="1"/>
  <c r="U588" i="1"/>
  <c r="V587" i="1"/>
  <c r="U587" i="1"/>
  <c r="V586" i="1"/>
  <c r="U586" i="1"/>
  <c r="V585" i="1"/>
  <c r="U585" i="1"/>
  <c r="V584" i="1"/>
  <c r="U584" i="1"/>
  <c r="V583" i="1"/>
  <c r="U583" i="1"/>
  <c r="V581" i="1"/>
  <c r="U581" i="1"/>
  <c r="V580" i="1"/>
  <c r="U580" i="1"/>
  <c r="V579" i="1"/>
  <c r="U579" i="1"/>
  <c r="V578" i="1"/>
  <c r="U578" i="1"/>
  <c r="V577" i="1"/>
  <c r="U577" i="1"/>
  <c r="V576" i="1"/>
  <c r="U576" i="1"/>
  <c r="V575" i="1"/>
  <c r="U575" i="1"/>
  <c r="V574" i="1"/>
  <c r="U574" i="1"/>
  <c r="V573" i="1"/>
  <c r="U573" i="1"/>
  <c r="V572" i="1"/>
  <c r="U572" i="1"/>
  <c r="V571" i="1"/>
  <c r="U571" i="1"/>
  <c r="V570" i="1"/>
  <c r="U570" i="1"/>
  <c r="V569" i="1"/>
  <c r="U569" i="1"/>
  <c r="V568" i="1"/>
  <c r="U568" i="1"/>
  <c r="V567" i="1"/>
  <c r="U567" i="1"/>
  <c r="V566" i="1"/>
  <c r="U566" i="1"/>
  <c r="V565" i="1"/>
  <c r="U565" i="1"/>
  <c r="V563" i="1"/>
  <c r="U563" i="1"/>
  <c r="V562" i="1"/>
  <c r="U562" i="1"/>
  <c r="V559" i="1"/>
  <c r="U559" i="1"/>
  <c r="V557" i="1"/>
  <c r="U557" i="1"/>
  <c r="V556" i="1"/>
  <c r="U556" i="1"/>
  <c r="V555" i="1"/>
  <c r="U555" i="1"/>
  <c r="V554" i="1"/>
  <c r="U554" i="1"/>
  <c r="V553" i="1"/>
  <c r="U553" i="1"/>
  <c r="V552" i="1"/>
  <c r="U552" i="1"/>
  <c r="V551" i="1"/>
  <c r="U551" i="1"/>
  <c r="V550" i="1"/>
  <c r="U550" i="1"/>
  <c r="V549" i="1"/>
  <c r="U549" i="1"/>
  <c r="V548" i="1"/>
  <c r="U548" i="1"/>
  <c r="V547" i="1"/>
  <c r="U547" i="1"/>
  <c r="V546" i="1"/>
  <c r="U546" i="1"/>
  <c r="V545" i="1"/>
  <c r="U545" i="1"/>
  <c r="V544" i="1"/>
  <c r="U544" i="1"/>
  <c r="V543" i="1"/>
  <c r="U543" i="1"/>
  <c r="V542" i="1"/>
  <c r="U542" i="1"/>
  <c r="V541" i="1"/>
  <c r="U541" i="1"/>
  <c r="V540" i="1"/>
  <c r="U540" i="1"/>
  <c r="V537" i="1"/>
  <c r="U537" i="1"/>
  <c r="V536" i="1"/>
  <c r="U536" i="1"/>
  <c r="V535" i="1"/>
  <c r="U535" i="1"/>
  <c r="V534" i="1"/>
  <c r="U534" i="1"/>
  <c r="V533" i="1"/>
  <c r="U533" i="1"/>
  <c r="V531" i="1"/>
  <c r="U531" i="1"/>
  <c r="V528" i="1"/>
  <c r="U528" i="1"/>
  <c r="V527" i="1"/>
  <c r="U527" i="1"/>
  <c r="V526" i="1"/>
  <c r="U526" i="1"/>
  <c r="V525" i="1"/>
  <c r="U525" i="1"/>
  <c r="V524" i="1"/>
  <c r="U524" i="1"/>
  <c r="V523" i="1"/>
  <c r="U523" i="1"/>
  <c r="V522" i="1"/>
  <c r="U522" i="1"/>
  <c r="V519" i="1"/>
  <c r="U519" i="1"/>
  <c r="V518" i="1"/>
  <c r="U518" i="1"/>
  <c r="V517" i="1"/>
  <c r="U517" i="1"/>
  <c r="V516" i="1"/>
  <c r="U516" i="1"/>
  <c r="V515" i="1"/>
  <c r="U515" i="1"/>
  <c r="V514" i="1"/>
  <c r="U514" i="1"/>
  <c r="V513" i="1"/>
  <c r="U513" i="1"/>
  <c r="V512" i="1"/>
  <c r="U512" i="1"/>
  <c r="V511" i="1"/>
  <c r="U511" i="1"/>
  <c r="V510" i="1"/>
  <c r="U510" i="1"/>
  <c r="V509" i="1"/>
  <c r="U509" i="1"/>
  <c r="V508" i="1"/>
  <c r="U508" i="1"/>
  <c r="V506" i="1"/>
  <c r="U506" i="1"/>
  <c r="V505" i="1"/>
  <c r="U505" i="1"/>
  <c r="V504" i="1"/>
  <c r="U504" i="1"/>
  <c r="V503" i="1"/>
  <c r="U503" i="1"/>
  <c r="V502" i="1"/>
  <c r="U502" i="1"/>
  <c r="V501" i="1"/>
  <c r="U501" i="1"/>
  <c r="V499" i="1"/>
  <c r="U499" i="1"/>
  <c r="V498" i="1"/>
  <c r="U498" i="1"/>
  <c r="V497" i="1"/>
  <c r="U497" i="1"/>
  <c r="V496" i="1"/>
  <c r="U496" i="1"/>
  <c r="V495" i="1"/>
  <c r="U495" i="1"/>
  <c r="V494" i="1"/>
  <c r="U494" i="1"/>
  <c r="V493" i="1"/>
  <c r="U493" i="1"/>
  <c r="V492" i="1"/>
  <c r="U492" i="1"/>
  <c r="V491" i="1"/>
  <c r="U491" i="1"/>
  <c r="V490" i="1"/>
  <c r="U490" i="1"/>
  <c r="V489" i="1"/>
  <c r="U489" i="1"/>
  <c r="V488" i="1"/>
  <c r="U488" i="1"/>
  <c r="V487" i="1"/>
  <c r="U487" i="1"/>
  <c r="V486" i="1"/>
  <c r="U486" i="1"/>
  <c r="V485" i="1"/>
  <c r="U485" i="1"/>
  <c r="V484" i="1"/>
  <c r="U484" i="1"/>
  <c r="V483" i="1"/>
  <c r="U483" i="1"/>
  <c r="V482" i="1"/>
  <c r="U482" i="1"/>
  <c r="V481" i="1"/>
  <c r="U481" i="1"/>
  <c r="V479" i="1"/>
  <c r="U479" i="1"/>
  <c r="V477" i="1"/>
  <c r="U477" i="1"/>
  <c r="V476" i="1"/>
  <c r="U476" i="1"/>
  <c r="V475" i="1"/>
  <c r="U475" i="1"/>
  <c r="V474" i="1"/>
  <c r="U474" i="1"/>
  <c r="V472" i="1"/>
  <c r="U472" i="1"/>
  <c r="V471" i="1"/>
  <c r="U471" i="1"/>
  <c r="V470" i="1"/>
  <c r="U470" i="1"/>
  <c r="V469" i="1"/>
  <c r="U469" i="1"/>
  <c r="V468" i="1"/>
  <c r="U468" i="1"/>
  <c r="V467" i="1"/>
  <c r="U467" i="1"/>
  <c r="V466" i="1"/>
  <c r="U466" i="1"/>
  <c r="V465" i="1"/>
  <c r="U465" i="1"/>
  <c r="V464" i="1"/>
  <c r="U464" i="1"/>
  <c r="V463" i="1"/>
  <c r="U463" i="1"/>
  <c r="V460" i="1"/>
  <c r="U460" i="1"/>
  <c r="V459" i="1"/>
  <c r="U459" i="1"/>
  <c r="V458" i="1"/>
  <c r="U458" i="1"/>
  <c r="V457" i="1"/>
  <c r="U457" i="1"/>
  <c r="V456" i="1"/>
  <c r="U456" i="1"/>
  <c r="V455" i="1"/>
  <c r="U455" i="1"/>
  <c r="V454" i="1"/>
  <c r="U454" i="1"/>
  <c r="V453" i="1"/>
  <c r="U453" i="1"/>
  <c r="V452" i="1"/>
  <c r="U452" i="1"/>
  <c r="V450" i="1"/>
  <c r="U450" i="1"/>
  <c r="V449" i="1"/>
  <c r="U449" i="1"/>
  <c r="V448" i="1"/>
  <c r="U448" i="1"/>
  <c r="V447" i="1"/>
  <c r="U447" i="1"/>
  <c r="V446" i="1"/>
  <c r="U446" i="1"/>
  <c r="V445" i="1"/>
  <c r="U445" i="1"/>
  <c r="V443" i="1"/>
  <c r="U443" i="1"/>
  <c r="V442" i="1"/>
  <c r="U442" i="1"/>
  <c r="V441" i="1"/>
  <c r="U441" i="1"/>
  <c r="V440" i="1"/>
  <c r="U440" i="1"/>
  <c r="V439" i="1"/>
  <c r="U439" i="1"/>
  <c r="V438" i="1"/>
  <c r="U438" i="1"/>
  <c r="V437" i="1"/>
  <c r="U437" i="1"/>
  <c r="V436" i="1"/>
  <c r="U436" i="1"/>
  <c r="V435" i="1"/>
  <c r="U435" i="1"/>
  <c r="V433" i="1"/>
  <c r="U433" i="1"/>
  <c r="V432" i="1"/>
  <c r="U432" i="1"/>
  <c r="V431" i="1"/>
  <c r="U431" i="1"/>
  <c r="V430" i="1"/>
  <c r="U430" i="1"/>
  <c r="V429" i="1"/>
  <c r="U429" i="1"/>
  <c r="V428" i="1"/>
  <c r="U428" i="1"/>
  <c r="V427" i="1"/>
  <c r="U427" i="1"/>
  <c r="V426" i="1"/>
  <c r="U426" i="1"/>
  <c r="V425" i="1"/>
  <c r="U425" i="1"/>
  <c r="V424" i="1"/>
  <c r="U424" i="1"/>
  <c r="V423" i="1"/>
  <c r="U423" i="1"/>
  <c r="V422" i="1"/>
  <c r="U422" i="1"/>
  <c r="V420" i="1"/>
  <c r="U420" i="1"/>
  <c r="V419" i="1"/>
  <c r="U419" i="1"/>
  <c r="V418" i="1"/>
  <c r="U418" i="1"/>
  <c r="V417" i="1"/>
  <c r="U417" i="1"/>
  <c r="V416" i="1"/>
  <c r="U416" i="1"/>
  <c r="V414" i="1"/>
  <c r="U414" i="1"/>
  <c r="V413" i="1"/>
  <c r="U413" i="1"/>
  <c r="V412" i="1"/>
  <c r="U412" i="1"/>
  <c r="V411" i="1"/>
  <c r="U411" i="1"/>
  <c r="V410" i="1"/>
  <c r="U410" i="1"/>
  <c r="V409" i="1"/>
  <c r="U409" i="1"/>
  <c r="V407" i="1"/>
  <c r="U407" i="1"/>
  <c r="V406" i="1"/>
  <c r="U406" i="1"/>
  <c r="V405" i="1"/>
  <c r="U405" i="1"/>
  <c r="V403" i="1"/>
  <c r="U403" i="1"/>
  <c r="V401" i="1"/>
  <c r="U401" i="1"/>
  <c r="V398" i="1"/>
  <c r="U398" i="1"/>
  <c r="V397" i="1"/>
  <c r="U397" i="1"/>
  <c r="V396" i="1"/>
  <c r="U396" i="1"/>
  <c r="V395" i="1"/>
  <c r="U395" i="1"/>
  <c r="V394" i="1"/>
  <c r="U394" i="1"/>
  <c r="V393" i="1"/>
  <c r="U393" i="1"/>
  <c r="V392" i="1"/>
  <c r="U392" i="1"/>
  <c r="V391" i="1"/>
  <c r="U391" i="1"/>
  <c r="V390" i="1"/>
  <c r="U390" i="1"/>
  <c r="V389" i="1"/>
  <c r="U389" i="1"/>
  <c r="V388" i="1"/>
  <c r="U388" i="1"/>
  <c r="V387" i="1"/>
  <c r="U387" i="1"/>
  <c r="V386" i="1"/>
  <c r="U386" i="1"/>
  <c r="V384" i="1"/>
  <c r="U384" i="1"/>
  <c r="V383" i="1"/>
  <c r="U383" i="1"/>
  <c r="V382" i="1"/>
  <c r="U382" i="1"/>
  <c r="V381" i="1"/>
  <c r="U381" i="1"/>
  <c r="V380" i="1"/>
  <c r="U380" i="1"/>
  <c r="V379" i="1"/>
  <c r="U379" i="1"/>
  <c r="V378" i="1"/>
  <c r="U378" i="1"/>
  <c r="V377" i="1"/>
  <c r="U377"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6" i="1"/>
  <c r="U346" i="1"/>
  <c r="V345" i="1"/>
  <c r="U345" i="1"/>
  <c r="V344" i="1"/>
  <c r="U344" i="1"/>
  <c r="V343" i="1"/>
  <c r="U343"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5" i="1"/>
  <c r="U315" i="1"/>
  <c r="V314" i="1"/>
  <c r="U314" i="1"/>
  <c r="V313" i="1"/>
  <c r="U313" i="1"/>
  <c r="V312" i="1"/>
  <c r="U312" i="1"/>
  <c r="V310" i="1"/>
  <c r="U310" i="1"/>
  <c r="V309" i="1"/>
  <c r="U309" i="1"/>
  <c r="V308" i="1"/>
  <c r="U308" i="1"/>
  <c r="V307" i="1"/>
  <c r="U307" i="1"/>
  <c r="V306" i="1"/>
  <c r="U306" i="1"/>
  <c r="V305" i="1"/>
  <c r="U305" i="1"/>
  <c r="V304" i="1"/>
  <c r="U304" i="1"/>
  <c r="V303" i="1"/>
  <c r="U303" i="1"/>
  <c r="V302" i="1"/>
  <c r="U302" i="1"/>
  <c r="V301" i="1"/>
  <c r="U301" i="1"/>
  <c r="V300" i="1"/>
  <c r="U300" i="1"/>
  <c r="V299" i="1"/>
  <c r="U299" i="1"/>
  <c r="V298" i="1"/>
  <c r="U298" i="1"/>
  <c r="V297" i="1"/>
  <c r="U297" i="1"/>
  <c r="V296" i="1"/>
  <c r="U296" i="1"/>
  <c r="V295" i="1"/>
  <c r="U295" i="1"/>
  <c r="V293" i="1"/>
  <c r="U293" i="1"/>
  <c r="V291" i="1"/>
  <c r="U291" i="1"/>
  <c r="V290" i="1"/>
  <c r="U290" i="1"/>
  <c r="V289" i="1"/>
  <c r="U289" i="1"/>
  <c r="V288" i="1"/>
  <c r="U288" i="1"/>
  <c r="V287" i="1"/>
  <c r="U287" i="1"/>
  <c r="V286" i="1"/>
  <c r="U286" i="1"/>
  <c r="V285" i="1"/>
  <c r="U285" i="1"/>
  <c r="V284" i="1"/>
  <c r="U284" i="1"/>
  <c r="V282" i="1"/>
  <c r="U282" i="1"/>
  <c r="V281" i="1"/>
  <c r="U281" i="1"/>
  <c r="V280" i="1"/>
  <c r="U280" i="1"/>
  <c r="V279" i="1"/>
  <c r="U279" i="1"/>
  <c r="V278" i="1"/>
  <c r="U278" i="1"/>
  <c r="V277" i="1"/>
  <c r="U277" i="1"/>
  <c r="V276" i="1"/>
  <c r="U276" i="1"/>
  <c r="V275" i="1"/>
  <c r="U275" i="1"/>
  <c r="V274" i="1"/>
  <c r="U274" i="1"/>
  <c r="V273" i="1"/>
  <c r="U273" i="1"/>
  <c r="V272" i="1"/>
  <c r="U272" i="1"/>
  <c r="V270" i="1"/>
  <c r="U270" i="1"/>
  <c r="V269" i="1"/>
  <c r="U269" i="1"/>
  <c r="V268" i="1"/>
  <c r="U268" i="1"/>
  <c r="V264" i="1"/>
  <c r="U264" i="1"/>
  <c r="V263" i="1"/>
  <c r="U263" i="1"/>
  <c r="V262" i="1"/>
  <c r="U262" i="1"/>
  <c r="V261" i="1"/>
  <c r="U261" i="1"/>
  <c r="V260" i="1"/>
  <c r="U260" i="1"/>
  <c r="V259" i="1"/>
  <c r="U259" i="1"/>
  <c r="V256" i="1"/>
  <c r="U256" i="1"/>
  <c r="V255" i="1"/>
  <c r="U255" i="1"/>
  <c r="V254" i="1"/>
  <c r="U254" i="1"/>
  <c r="V253" i="1"/>
  <c r="U253" i="1"/>
  <c r="V252" i="1"/>
  <c r="U252" i="1"/>
  <c r="V251" i="1"/>
  <c r="U251" i="1"/>
  <c r="V250" i="1"/>
  <c r="U250" i="1"/>
  <c r="V249" i="1"/>
  <c r="U249" i="1"/>
  <c r="V247" i="1"/>
  <c r="U247" i="1"/>
  <c r="V246" i="1"/>
  <c r="U246" i="1"/>
  <c r="V245" i="1"/>
  <c r="U245" i="1"/>
  <c r="V244" i="1"/>
  <c r="U244" i="1"/>
  <c r="V242" i="1"/>
  <c r="U242" i="1"/>
  <c r="V241" i="1"/>
  <c r="U241" i="1"/>
  <c r="V240" i="1"/>
  <c r="U240" i="1"/>
  <c r="V239" i="1"/>
  <c r="U239" i="1"/>
  <c r="V238" i="1"/>
  <c r="U238" i="1"/>
  <c r="V237" i="1"/>
  <c r="U237" i="1"/>
  <c r="V236" i="1"/>
  <c r="U236" i="1"/>
  <c r="V235" i="1"/>
  <c r="U235" i="1"/>
  <c r="V233" i="1"/>
  <c r="U233" i="1"/>
  <c r="V232" i="1"/>
  <c r="U232" i="1"/>
  <c r="V231" i="1"/>
  <c r="U231" i="1"/>
  <c r="V229" i="1"/>
  <c r="U229" i="1"/>
  <c r="V228" i="1"/>
  <c r="U228" i="1"/>
  <c r="V226" i="1"/>
  <c r="U226" i="1"/>
  <c r="V225" i="1"/>
  <c r="U225" i="1"/>
  <c r="V224" i="1"/>
  <c r="U224" i="1"/>
  <c r="V223" i="1"/>
  <c r="U223" i="1"/>
  <c r="V221" i="1"/>
  <c r="U221" i="1"/>
  <c r="V220" i="1"/>
  <c r="U220" i="1"/>
  <c r="V218" i="1"/>
  <c r="U218" i="1"/>
  <c r="V217" i="1"/>
  <c r="U217" i="1"/>
  <c r="V216" i="1"/>
  <c r="U216" i="1"/>
  <c r="V215" i="1"/>
  <c r="U215" i="1"/>
  <c r="V214" i="1"/>
  <c r="U214" i="1"/>
  <c r="V213" i="1"/>
  <c r="U213" i="1"/>
  <c r="V212" i="1"/>
  <c r="U212" i="1"/>
  <c r="V211" i="1"/>
  <c r="U211" i="1"/>
  <c r="V210" i="1"/>
  <c r="U210" i="1"/>
  <c r="V209" i="1"/>
  <c r="U209" i="1"/>
  <c r="V208" i="1"/>
  <c r="U208" i="1"/>
  <c r="V206" i="1"/>
  <c r="U206" i="1"/>
  <c r="V204" i="1"/>
  <c r="U204" i="1"/>
  <c r="V203" i="1"/>
  <c r="U203" i="1"/>
  <c r="V202" i="1"/>
  <c r="U202" i="1"/>
  <c r="V201" i="1"/>
  <c r="U201" i="1"/>
  <c r="V200" i="1"/>
  <c r="U200" i="1"/>
  <c r="V198" i="1"/>
  <c r="U198" i="1"/>
  <c r="V197" i="1"/>
  <c r="U197" i="1"/>
  <c r="V196" i="1"/>
  <c r="U196" i="1"/>
  <c r="V194" i="1"/>
  <c r="U194" i="1"/>
  <c r="V193" i="1"/>
  <c r="U193" i="1"/>
  <c r="V192" i="1"/>
  <c r="U192" i="1"/>
  <c r="V191" i="1"/>
  <c r="U191" i="1"/>
  <c r="V190" i="1"/>
  <c r="U190" i="1"/>
  <c r="V188" i="1"/>
  <c r="U188" i="1"/>
  <c r="V187" i="1"/>
  <c r="U187" i="1"/>
  <c r="V186" i="1"/>
  <c r="U186" i="1"/>
  <c r="V185" i="1"/>
  <c r="U185" i="1"/>
  <c r="V184" i="1"/>
  <c r="U184" i="1"/>
  <c r="V183" i="1"/>
  <c r="U183" i="1"/>
  <c r="V182" i="1"/>
  <c r="U182" i="1"/>
  <c r="V181" i="1"/>
  <c r="U181" i="1"/>
  <c r="V180" i="1"/>
  <c r="U180" i="1"/>
  <c r="V179" i="1"/>
  <c r="U179" i="1"/>
  <c r="V178" i="1"/>
  <c r="U178" i="1"/>
  <c r="V177" i="1"/>
  <c r="U177" i="1"/>
  <c r="V176" i="1"/>
  <c r="U176" i="1"/>
  <c r="V175" i="1"/>
  <c r="U175" i="1"/>
  <c r="V174" i="1"/>
  <c r="U174" i="1"/>
  <c r="V173" i="1"/>
  <c r="U173" i="1"/>
  <c r="V172" i="1"/>
  <c r="U172" i="1"/>
  <c r="V171" i="1"/>
  <c r="U171" i="1"/>
  <c r="V170" i="1"/>
  <c r="U170" i="1"/>
  <c r="V169" i="1"/>
  <c r="U169" i="1"/>
  <c r="V168" i="1"/>
  <c r="U168" i="1"/>
  <c r="V167" i="1"/>
  <c r="U167" i="1"/>
  <c r="V166" i="1"/>
  <c r="U166" i="1"/>
  <c r="V165" i="1"/>
  <c r="U165" i="1"/>
  <c r="V163" i="1"/>
  <c r="U163" i="1"/>
  <c r="V161" i="1"/>
  <c r="U161" i="1"/>
  <c r="V159" i="1"/>
  <c r="U159" i="1"/>
  <c r="V158" i="1"/>
  <c r="U158" i="1"/>
  <c r="V157" i="1"/>
  <c r="U157" i="1"/>
  <c r="V156" i="1"/>
  <c r="U156" i="1"/>
  <c r="V155" i="1"/>
  <c r="U155" i="1"/>
  <c r="V154" i="1"/>
  <c r="U154" i="1"/>
  <c r="V153" i="1"/>
  <c r="U153" i="1"/>
  <c r="V152" i="1"/>
  <c r="U152" i="1"/>
  <c r="V151" i="1"/>
  <c r="U151" i="1"/>
  <c r="V149" i="1"/>
  <c r="U149" i="1"/>
  <c r="V148" i="1"/>
  <c r="U148" i="1"/>
  <c r="V147" i="1"/>
  <c r="U147" i="1"/>
  <c r="V146" i="1"/>
  <c r="U146" i="1"/>
  <c r="V145" i="1"/>
  <c r="U145" i="1"/>
  <c r="V144" i="1"/>
  <c r="U144" i="1"/>
  <c r="V143" i="1"/>
  <c r="U143" i="1"/>
  <c r="V141" i="1"/>
  <c r="U141" i="1"/>
  <c r="V140" i="1"/>
  <c r="U140" i="1"/>
  <c r="V139" i="1"/>
  <c r="U139" i="1"/>
  <c r="V138" i="1"/>
  <c r="U138" i="1"/>
  <c r="V137" i="1"/>
  <c r="U137" i="1"/>
  <c r="V136" i="1"/>
  <c r="U136" i="1"/>
  <c r="V135" i="1"/>
  <c r="U135" i="1"/>
  <c r="V133" i="1"/>
  <c r="U133" i="1"/>
  <c r="V132" i="1"/>
  <c r="U132" i="1"/>
  <c r="V131" i="1"/>
  <c r="U131" i="1"/>
  <c r="V130" i="1"/>
  <c r="U130" i="1"/>
  <c r="V129" i="1"/>
  <c r="U129" i="1"/>
  <c r="V128" i="1"/>
  <c r="U128" i="1"/>
  <c r="V127" i="1"/>
  <c r="U127" i="1"/>
  <c r="V125" i="1"/>
  <c r="U125" i="1"/>
  <c r="V124" i="1"/>
  <c r="U124" i="1"/>
  <c r="V123" i="1"/>
  <c r="U123" i="1"/>
  <c r="V122" i="1"/>
  <c r="U122" i="1"/>
  <c r="V121" i="1"/>
  <c r="U121" i="1"/>
  <c r="V120" i="1"/>
  <c r="U120" i="1"/>
  <c r="V119" i="1"/>
  <c r="U119" i="1"/>
  <c r="V118" i="1"/>
  <c r="U118" i="1"/>
  <c r="V117" i="1"/>
  <c r="U117" i="1"/>
  <c r="V116" i="1"/>
  <c r="U116" i="1"/>
  <c r="V115" i="1"/>
  <c r="U115" i="1"/>
  <c r="V114" i="1"/>
  <c r="U114" i="1"/>
  <c r="V113" i="1"/>
  <c r="U113" i="1"/>
  <c r="V110" i="1"/>
  <c r="U110" i="1"/>
  <c r="V109" i="1"/>
  <c r="U109" i="1"/>
  <c r="V107" i="1"/>
  <c r="U107" i="1"/>
  <c r="V106" i="1"/>
  <c r="U106" i="1"/>
  <c r="V105" i="1"/>
  <c r="U105" i="1"/>
  <c r="V104" i="1"/>
  <c r="U104" i="1"/>
  <c r="V103" i="1"/>
  <c r="U103" i="1"/>
  <c r="V102" i="1"/>
  <c r="U102" i="1"/>
  <c r="V101" i="1"/>
  <c r="U101" i="1"/>
  <c r="V100" i="1"/>
  <c r="U100" i="1"/>
  <c r="V99" i="1"/>
  <c r="U99" i="1"/>
  <c r="V98" i="1"/>
  <c r="U98" i="1"/>
  <c r="V97" i="1"/>
  <c r="U97" i="1"/>
  <c r="V96" i="1"/>
  <c r="U96" i="1"/>
  <c r="V95" i="1"/>
  <c r="U95" i="1"/>
  <c r="V94" i="1"/>
  <c r="U94" i="1"/>
  <c r="V93" i="1"/>
  <c r="U93" i="1"/>
  <c r="V91" i="1"/>
  <c r="U91" i="1"/>
  <c r="V89" i="1"/>
  <c r="U89" i="1"/>
  <c r="V88" i="1"/>
  <c r="U88" i="1"/>
  <c r="V87" i="1"/>
  <c r="U87" i="1"/>
  <c r="V86" i="1"/>
  <c r="U86" i="1"/>
  <c r="V85" i="1"/>
  <c r="U85" i="1"/>
  <c r="V84" i="1"/>
  <c r="U84" i="1"/>
  <c r="V83" i="1"/>
  <c r="U83" i="1"/>
  <c r="V82" i="1"/>
  <c r="U82" i="1"/>
  <c r="V80" i="1"/>
  <c r="U80" i="1"/>
  <c r="V79" i="1"/>
  <c r="U79" i="1"/>
  <c r="V78" i="1"/>
  <c r="U78" i="1"/>
  <c r="V77" i="1"/>
  <c r="U77" i="1"/>
  <c r="V76" i="1"/>
  <c r="U76" i="1"/>
  <c r="V75" i="1"/>
  <c r="U75" i="1"/>
  <c r="V74" i="1"/>
  <c r="U74" i="1"/>
  <c r="V72" i="1"/>
  <c r="U72" i="1"/>
  <c r="V71" i="1"/>
  <c r="U71" i="1"/>
  <c r="V70" i="1"/>
  <c r="U70" i="1"/>
  <c r="V69" i="1"/>
  <c r="U69" i="1"/>
  <c r="V68" i="1"/>
  <c r="U68" i="1"/>
  <c r="V67" i="1"/>
  <c r="U67" i="1"/>
  <c r="V66" i="1"/>
  <c r="U66" i="1"/>
  <c r="V65" i="1"/>
  <c r="U65" i="1"/>
  <c r="V64" i="1"/>
  <c r="U64" i="1"/>
  <c r="V63" i="1"/>
  <c r="U63" i="1"/>
  <c r="V62" i="1"/>
  <c r="U62" i="1"/>
  <c r="V61" i="1"/>
  <c r="U61" i="1"/>
  <c r="V60" i="1"/>
  <c r="U60" i="1"/>
  <c r="V59" i="1"/>
  <c r="U59" i="1"/>
  <c r="V58" i="1"/>
  <c r="U58" i="1"/>
  <c r="V57" i="1"/>
  <c r="U57" i="1"/>
  <c r="V56" i="1"/>
  <c r="U56" i="1"/>
  <c r="V54" i="1"/>
  <c r="U54" i="1"/>
  <c r="V53" i="1"/>
  <c r="U53" i="1"/>
  <c r="V52" i="1"/>
  <c r="U52" i="1"/>
  <c r="V51" i="1"/>
  <c r="U51" i="1"/>
  <c r="V50" i="1"/>
  <c r="U50" i="1"/>
  <c r="V49" i="1"/>
  <c r="U49" i="1"/>
  <c r="V48" i="1"/>
  <c r="U48" i="1"/>
  <c r="V47" i="1"/>
  <c r="U47" i="1"/>
  <c r="V46" i="1"/>
  <c r="U46" i="1"/>
  <c r="V44" i="1"/>
  <c r="U44" i="1"/>
  <c r="V43" i="1"/>
  <c r="U43" i="1"/>
  <c r="V42" i="1"/>
  <c r="U42" i="1"/>
  <c r="V41" i="1"/>
  <c r="U41" i="1"/>
  <c r="V40" i="1"/>
  <c r="U40" i="1"/>
  <c r="V39" i="1"/>
  <c r="U39" i="1"/>
  <c r="V38" i="1"/>
  <c r="U38" i="1"/>
  <c r="V37" i="1"/>
  <c r="U37" i="1"/>
  <c r="V36" i="1"/>
  <c r="U36" i="1"/>
  <c r="V35" i="1"/>
  <c r="U35" i="1"/>
  <c r="V33" i="1"/>
  <c r="U33" i="1"/>
  <c r="V32" i="1"/>
  <c r="U32" i="1"/>
  <c r="V31" i="1"/>
  <c r="U31" i="1"/>
  <c r="V30" i="1"/>
  <c r="U30" i="1"/>
  <c r="V29" i="1"/>
  <c r="U29" i="1"/>
  <c r="V28" i="1"/>
  <c r="U28" i="1"/>
  <c r="V27" i="1"/>
  <c r="U27" i="1"/>
  <c r="V26" i="1"/>
  <c r="U26" i="1"/>
  <c r="V25" i="1"/>
  <c r="U25" i="1"/>
  <c r="V23" i="1"/>
  <c r="U23" i="1"/>
  <c r="V22" i="1"/>
  <c r="U22" i="1"/>
  <c r="V21" i="1"/>
  <c r="U21" i="1"/>
  <c r="V20" i="1"/>
  <c r="U20" i="1"/>
  <c r="V19" i="1"/>
  <c r="U19" i="1"/>
  <c r="V17" i="1"/>
  <c r="U17" i="1"/>
  <c r="V16" i="1"/>
  <c r="U16" i="1"/>
  <c r="V15" i="1"/>
  <c r="U15" i="1"/>
  <c r="V14" i="1"/>
  <c r="U14" i="1"/>
  <c r="V13" i="1"/>
  <c r="U13" i="1"/>
  <c r="V12" i="1"/>
  <c r="U12" i="1"/>
  <c r="V11" i="1"/>
  <c r="U11" i="1"/>
  <c r="V9" i="1"/>
  <c r="U9" i="1"/>
  <c r="V8" i="1"/>
  <c r="U8" i="1"/>
  <c r="V7" i="1"/>
  <c r="U7" i="1"/>
  <c r="V6" i="1"/>
  <c r="U6" i="1"/>
  <c r="V5" i="1"/>
  <c r="U5" i="1"/>
  <c r="V4" i="1"/>
  <c r="U4" i="1"/>
  <c r="V2" i="1"/>
  <c r="U2" i="1"/>
  <c r="E129" i="8"/>
  <c r="D129" i="8"/>
  <c r="E128" i="8"/>
  <c r="D128" i="8"/>
  <c r="E127" i="8"/>
  <c r="D127" i="8"/>
  <c r="E126" i="8"/>
  <c r="D126" i="8"/>
  <c r="E125" i="8"/>
  <c r="D125" i="8"/>
  <c r="E25" i="10" l="1"/>
  <c r="E21" i="10"/>
  <c r="E23" i="10" s="1"/>
  <c r="E24" i="10"/>
  <c r="E26" i="10" s="1"/>
  <c r="E62" i="11"/>
  <c r="E63" i="11"/>
  <c r="E65" i="11"/>
  <c r="E67" i="11" s="1"/>
  <c r="E111" i="12"/>
  <c r="F125" i="8"/>
  <c r="F127" i="8"/>
  <c r="F128" i="8"/>
  <c r="F126" i="8"/>
  <c r="F129" i="8"/>
  <c r="E27" i="10" l="1"/>
  <c r="E64" i="11"/>
  <c r="E122" i="12"/>
  <c r="E121" i="12"/>
  <c r="E118" i="12"/>
  <c r="E117" i="12"/>
  <c r="E121" i="8"/>
  <c r="D121" i="8"/>
  <c r="E120" i="8"/>
  <c r="D120" i="8"/>
  <c r="E119" i="8"/>
  <c r="D119" i="8"/>
  <c r="F121" i="8" l="1"/>
  <c r="F119" i="8"/>
  <c r="F120" i="8"/>
  <c r="E114" i="8"/>
  <c r="D114" i="8"/>
  <c r="E113" i="8"/>
  <c r="D113" i="8"/>
  <c r="E108" i="8"/>
  <c r="D108" i="8"/>
  <c r="E107" i="8"/>
  <c r="D107" i="8"/>
  <c r="E102" i="8"/>
  <c r="D102" i="8"/>
  <c r="E101" i="8"/>
  <c r="D101" i="8"/>
  <c r="F94" i="8"/>
  <c r="F93" i="8"/>
  <c r="F89" i="8"/>
  <c r="F88" i="8"/>
  <c r="F95" i="8" l="1"/>
  <c r="F102" i="8"/>
  <c r="F108" i="8"/>
  <c r="F90" i="8"/>
  <c r="F107" i="8"/>
  <c r="D103" i="8"/>
  <c r="F113" i="8"/>
  <c r="E103" i="8"/>
  <c r="F114" i="8"/>
  <c r="F101" i="8"/>
  <c r="F84" i="8"/>
  <c r="F83" i="8"/>
  <c r="F109" i="8" l="1"/>
  <c r="F115" i="8"/>
  <c r="F96" i="8"/>
  <c r="F103" i="8"/>
  <c r="F85" i="8"/>
  <c r="T1061" i="1" l="1"/>
  <c r="T1051" i="1"/>
  <c r="T1045" i="1"/>
  <c r="T1041" i="1"/>
  <c r="T1039" i="1"/>
  <c r="T1034" i="1"/>
  <c r="T1033" i="1"/>
  <c r="T1027" i="1"/>
  <c r="T1014" i="1"/>
  <c r="T993" i="1"/>
  <c r="T987" i="1"/>
  <c r="T977" i="1"/>
  <c r="T976" i="1"/>
  <c r="T975" i="1"/>
  <c r="T970" i="1"/>
  <c r="T963" i="1"/>
  <c r="T961" i="1"/>
  <c r="T951" i="1"/>
  <c r="T935" i="1"/>
  <c r="T934" i="1"/>
  <c r="T919" i="1"/>
  <c r="T917" i="1"/>
  <c r="T903" i="1"/>
  <c r="T891" i="1"/>
  <c r="T872" i="1"/>
  <c r="T871" i="1"/>
  <c r="T867" i="1"/>
  <c r="T866" i="1"/>
  <c r="T854" i="1"/>
  <c r="T852" i="1"/>
  <c r="T828" i="1"/>
  <c r="T826" i="1"/>
  <c r="T825" i="1"/>
  <c r="T824" i="1"/>
  <c r="T819" i="1"/>
  <c r="T817" i="1"/>
  <c r="T814" i="1"/>
  <c r="T811" i="1"/>
  <c r="T805" i="1"/>
  <c r="T803" i="1"/>
  <c r="T799" i="1"/>
  <c r="T797" i="1"/>
  <c r="T792" i="1"/>
  <c r="T785" i="1"/>
  <c r="T766" i="1"/>
  <c r="T761" i="1"/>
  <c r="T747" i="1"/>
  <c r="T744" i="1"/>
  <c r="T733" i="1"/>
  <c r="T724" i="1"/>
  <c r="T712" i="1"/>
  <c r="T710" i="1"/>
  <c r="T694" i="1"/>
  <c r="T691" i="1"/>
  <c r="T690" i="1"/>
  <c r="T685" i="1"/>
  <c r="T682" i="1"/>
  <c r="T681" i="1"/>
  <c r="T680" i="1"/>
  <c r="T664" i="1"/>
  <c r="T654" i="1"/>
  <c r="T653" i="1"/>
  <c r="T638" i="1"/>
  <c r="T636" i="1"/>
  <c r="T631" i="1"/>
  <c r="T629" i="1"/>
  <c r="T619" i="1"/>
  <c r="T617" i="1"/>
  <c r="T612" i="1"/>
  <c r="T604" i="1"/>
  <c r="T600" i="1"/>
  <c r="T598" i="1"/>
  <c r="T595" i="1"/>
  <c r="T592" i="1"/>
  <c r="T582" i="1"/>
  <c r="T564" i="1"/>
  <c r="T561" i="1"/>
  <c r="T560" i="1"/>
  <c r="T558" i="1"/>
  <c r="T539" i="1"/>
  <c r="T538" i="1"/>
  <c r="T532" i="1"/>
  <c r="T530" i="1"/>
  <c r="T529" i="1"/>
  <c r="T521" i="1"/>
  <c r="T520" i="1"/>
  <c r="T507" i="1"/>
  <c r="T500" i="1"/>
  <c r="T480" i="1"/>
  <c r="T478" i="1"/>
  <c r="T473" i="1"/>
  <c r="T462" i="1"/>
  <c r="T461" i="1"/>
  <c r="T451" i="1"/>
  <c r="T444" i="1"/>
  <c r="T434" i="1"/>
  <c r="T421" i="1"/>
  <c r="T415" i="1"/>
  <c r="T408" i="1"/>
  <c r="T404" i="1"/>
  <c r="T402" i="1"/>
  <c r="T400" i="1"/>
  <c r="T399" i="1"/>
  <c r="T385" i="1"/>
  <c r="T347" i="1"/>
  <c r="T342" i="1"/>
  <c r="T311" i="1"/>
  <c r="T294" i="1"/>
  <c r="T292" i="1"/>
  <c r="T283" i="1"/>
  <c r="T271" i="1"/>
  <c r="T267" i="1"/>
  <c r="T266" i="1"/>
  <c r="T265" i="1"/>
  <c r="T258" i="1"/>
  <c r="T257" i="1"/>
  <c r="T243" i="1"/>
  <c r="T234" i="1"/>
  <c r="T230" i="1"/>
  <c r="T227" i="1"/>
  <c r="T222" i="1"/>
  <c r="T219" i="1"/>
  <c r="T207" i="1"/>
  <c r="T205" i="1"/>
  <c r="T199" i="1"/>
  <c r="T195" i="1"/>
  <c r="T189" i="1"/>
  <c r="T164" i="1"/>
  <c r="T162" i="1"/>
  <c r="T160" i="1"/>
  <c r="T150" i="1"/>
  <c r="T142" i="1"/>
  <c r="T134" i="1"/>
  <c r="T126" i="1"/>
  <c r="T112" i="1"/>
  <c r="T111" i="1"/>
  <c r="T108" i="1"/>
  <c r="T92" i="1"/>
  <c r="T81" i="1"/>
  <c r="T73" i="1"/>
  <c r="T45" i="1"/>
  <c r="T34" i="1"/>
  <c r="T18" i="1"/>
  <c r="T10" i="1"/>
  <c r="T3" i="1"/>
  <c r="E1065" i="1"/>
  <c r="E1064" i="1"/>
  <c r="V691" i="1"/>
  <c r="V993" i="1"/>
  <c r="V195" i="1"/>
  <c r="U638" i="1"/>
  <c r="V538" i="1"/>
  <c r="U871" i="1"/>
  <c r="U480" i="1"/>
  <c r="U199" i="1"/>
  <c r="V564" i="1"/>
  <c r="U604" i="1"/>
  <c r="U1033" i="1"/>
  <c r="U694" i="1"/>
  <c r="U799" i="1"/>
  <c r="U444" i="1"/>
  <c r="V617" i="1"/>
  <c r="V871" i="1"/>
  <c r="U257" i="1"/>
  <c r="V444" i="1"/>
  <c r="U342" i="1"/>
  <c r="V219" i="1"/>
  <c r="V385" i="1"/>
  <c r="U814" i="1"/>
  <c r="V797" i="1"/>
  <c r="U399" i="1"/>
  <c r="V811" i="1"/>
  <c r="V267" i="1"/>
  <c r="V408" i="1"/>
  <c r="U90" i="1"/>
  <c r="V342" i="1"/>
  <c r="U917" i="1"/>
  <c r="V234" i="1"/>
  <c r="U462" i="1"/>
  <c r="U538" i="1"/>
  <c r="V1041" i="1"/>
  <c r="V160" i="1"/>
  <c r="U560" i="1"/>
  <c r="V766" i="1"/>
  <c r="U248" i="1"/>
  <c r="V404" i="1"/>
  <c r="U243" i="1"/>
  <c r="U595" i="1"/>
  <c r="V963" i="1"/>
  <c r="V1045" i="1"/>
  <c r="U819" i="1"/>
  <c r="U582" i="1"/>
  <c r="V222" i="1"/>
  <c r="U824" i="1"/>
  <c r="U311" i="1"/>
  <c r="U811" i="1"/>
  <c r="V817" i="1"/>
  <c r="V347" i="1"/>
  <c r="V604" i="1"/>
  <c r="U150" i="1"/>
  <c r="V539" i="1"/>
  <c r="U598" i="1"/>
  <c r="V799" i="1"/>
  <c r="U81" i="1"/>
  <c r="U653" i="1"/>
  <c r="U975" i="1"/>
  <c r="V595" i="1"/>
  <c r="V592" i="1"/>
  <c r="V724" i="1"/>
  <c r="U785" i="1"/>
  <c r="V824" i="1"/>
  <c r="U160" i="1"/>
  <c r="U828" i="1"/>
  <c r="U283" i="1"/>
  <c r="U530" i="1"/>
  <c r="V785" i="1"/>
  <c r="U73" i="1"/>
  <c r="V682" i="1"/>
  <c r="V919" i="1"/>
  <c r="V600" i="1"/>
  <c r="U271" i="1"/>
  <c r="U227" i="1"/>
  <c r="V400" i="1"/>
  <c r="V266" i="1"/>
  <c r="V108" i="1"/>
  <c r="U826" i="1"/>
  <c r="U852" i="1"/>
  <c r="U162" i="1"/>
  <c r="V294" i="1"/>
  <c r="U733" i="1"/>
  <c r="V243" i="1"/>
  <c r="V685" i="1"/>
  <c r="V1027" i="1"/>
  <c r="V1061" i="1"/>
  <c r="U1041" i="1"/>
  <c r="U617" i="1"/>
  <c r="U507" i="1"/>
  <c r="V529" i="1"/>
  <c r="V73" i="1"/>
  <c r="V45" i="1"/>
  <c r="V271" i="1"/>
  <c r="V507" i="1"/>
  <c r="U825" i="1"/>
  <c r="V126" i="1"/>
  <c r="U600" i="1"/>
  <c r="V162" i="1"/>
  <c r="U803" i="1"/>
  <c r="V199" i="1"/>
  <c r="V1014" i="1"/>
  <c r="U747" i="1"/>
  <c r="V111" i="1"/>
  <c r="U408" i="1"/>
  <c r="U126" i="1"/>
  <c r="V976" i="1"/>
  <c r="V744" i="1"/>
  <c r="V205" i="1"/>
  <c r="U265" i="1"/>
  <c r="V558" i="1"/>
  <c r="U258" i="1"/>
  <c r="V520" i="1"/>
  <c r="V690" i="1"/>
  <c r="U34" i="1"/>
  <c r="U108" i="1"/>
  <c r="V258" i="1"/>
  <c r="U629" i="1"/>
  <c r="V1039" i="1"/>
  <c r="V977" i="1"/>
  <c r="V561" i="1"/>
  <c r="V867" i="1"/>
  <c r="U792" i="1"/>
  <c r="U111" i="1"/>
  <c r="V142" i="1"/>
  <c r="V283" i="1"/>
  <c r="V230" i="1"/>
  <c r="U766" i="1"/>
  <c r="V852" i="1"/>
  <c r="U866" i="1"/>
  <c r="U612" i="1"/>
  <c r="V473" i="1"/>
  <c r="U564" i="1"/>
  <c r="V631" i="1"/>
  <c r="V311" i="1"/>
  <c r="U685" i="1"/>
  <c r="V970" i="1"/>
  <c r="V134" i="1"/>
  <c r="U292" i="1"/>
  <c r="V1051" i="1"/>
  <c r="U935" i="1"/>
  <c r="U1045" i="1"/>
  <c r="V619" i="1"/>
  <c r="V10" i="1"/>
  <c r="V917" i="1"/>
  <c r="U164" i="1"/>
  <c r="V18" i="1"/>
  <c r="U112" i="1"/>
  <c r="V34" i="1"/>
  <c r="U872" i="1"/>
  <c r="V975" i="1"/>
  <c r="V654" i="1"/>
  <c r="U681" i="1"/>
  <c r="U654" i="1"/>
  <c r="V164" i="1"/>
  <c r="U680" i="1"/>
  <c r="V828" i="1"/>
  <c r="V951" i="1"/>
  <c r="V434" i="1"/>
  <c r="U993" i="1"/>
  <c r="U195" i="1"/>
  <c r="U724" i="1"/>
  <c r="V987" i="1"/>
  <c r="U461" i="1"/>
  <c r="U934" i="1"/>
  <c r="U1051" i="1"/>
  <c r="U400" i="1"/>
  <c r="U761" i="1"/>
  <c r="V207" i="1"/>
  <c r="U963" i="1"/>
  <c r="U222" i="1"/>
  <c r="U266" i="1"/>
  <c r="U294" i="1"/>
  <c r="U987" i="1"/>
  <c r="V3" i="1"/>
  <c r="V826" i="1"/>
  <c r="V582" i="1"/>
  <c r="V934" i="1"/>
  <c r="U636" i="1"/>
  <c r="V733" i="1"/>
  <c r="U712" i="1"/>
  <c r="V854" i="1"/>
  <c r="V257" i="1"/>
  <c r="U631" i="1"/>
  <c r="U539" i="1"/>
  <c r="U10" i="1"/>
  <c r="U561" i="1"/>
  <c r="V560" i="1"/>
  <c r="V451" i="1"/>
  <c r="V1034" i="1"/>
  <c r="V415" i="1"/>
  <c r="U817" i="1"/>
  <c r="V598" i="1"/>
  <c r="V961" i="1"/>
  <c r="U682" i="1"/>
  <c r="U500" i="1"/>
  <c r="U710" i="1"/>
  <c r="U797" i="1"/>
  <c r="V265" i="1"/>
  <c r="V825" i="1"/>
  <c r="V866" i="1"/>
  <c r="V792" i="1"/>
  <c r="U267" i="1"/>
  <c r="U520" i="1"/>
  <c r="V872" i="1"/>
  <c r="V227" i="1"/>
  <c r="U664" i="1"/>
  <c r="U434" i="1"/>
  <c r="V636" i="1"/>
  <c r="U347" i="1"/>
  <c r="U415" i="1"/>
  <c r="V81" i="1"/>
  <c r="U219" i="1"/>
  <c r="V664" i="1"/>
  <c r="U805" i="1"/>
  <c r="U970" i="1"/>
  <c r="U854" i="1"/>
  <c r="V803" i="1"/>
  <c r="V935" i="1"/>
  <c r="V532" i="1"/>
  <c r="U691" i="1"/>
  <c r="U592" i="1"/>
  <c r="U744" i="1"/>
  <c r="V805" i="1"/>
  <c r="U977" i="1"/>
  <c r="V500" i="1"/>
  <c r="U532" i="1"/>
  <c r="V92" i="1"/>
  <c r="V747" i="1"/>
  <c r="U404" i="1"/>
  <c r="U529" i="1"/>
  <c r="V653" i="1"/>
  <c r="U451" i="1"/>
  <c r="U142" i="1"/>
  <c r="V112" i="1"/>
  <c r="U189" i="1"/>
  <c r="U558" i="1"/>
  <c r="U1061" i="1"/>
  <c r="V521" i="1"/>
  <c r="V461" i="1"/>
  <c r="V694" i="1"/>
  <c r="U230" i="1"/>
  <c r="V292" i="1"/>
  <c r="U619" i="1"/>
  <c r="U134" i="1"/>
  <c r="U1034" i="1"/>
  <c r="U1014" i="1"/>
  <c r="V629" i="1"/>
  <c r="V462" i="1"/>
  <c r="U951" i="1"/>
  <c r="V402" i="1"/>
  <c r="U478" i="1"/>
  <c r="U961" i="1"/>
  <c r="U205" i="1"/>
  <c r="U891" i="1"/>
  <c r="V710" i="1"/>
  <c r="U919" i="1"/>
  <c r="U45" i="1"/>
  <c r="V761" i="1"/>
  <c r="U92" i="1"/>
  <c r="U385" i="1"/>
  <c r="U3" i="1"/>
  <c r="U903" i="1"/>
  <c r="V680" i="1"/>
  <c r="V480" i="1"/>
  <c r="U690" i="1"/>
  <c r="V478" i="1"/>
  <c r="U976" i="1"/>
  <c r="V903" i="1"/>
  <c r="V1033" i="1"/>
  <c r="V421" i="1"/>
  <c r="U521" i="1"/>
  <c r="U402" i="1"/>
  <c r="V612" i="1"/>
  <c r="U1039" i="1"/>
  <c r="V891" i="1"/>
  <c r="U234" i="1"/>
  <c r="U421" i="1"/>
  <c r="V399" i="1"/>
  <c r="V530" i="1"/>
  <c r="U867" i="1"/>
  <c r="U18" i="1"/>
  <c r="U473" i="1"/>
  <c r="V712" i="1"/>
  <c r="U1027" i="1"/>
  <c r="V189" i="1"/>
  <c r="V681" i="1"/>
  <c r="V638" i="1"/>
  <c r="U207" i="1"/>
  <c r="V819" i="1"/>
  <c r="V150" i="1"/>
  <c r="V8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tc={1467A761-0C32-46C7-83EB-8905463C172A}</author>
    <author>tc={F88350B5-6EFE-4B0B-ADD4-9C90D3C54504}</author>
  </authors>
  <commentList>
    <comment ref="B1" authorId="0" shapeId="0" xr:uid="{B7FC5002-B516-43AE-A5AE-6A20FFE92C50}">
      <text>
        <r>
          <rPr>
            <b/>
            <sz val="9"/>
            <color indexed="81"/>
            <rFont val="Tahoma"/>
            <family val="2"/>
          </rPr>
          <t>Jonathan Wilken:</t>
        </r>
        <r>
          <rPr>
            <sz val="9"/>
            <color indexed="81"/>
            <rFont val="Tahoma"/>
            <family val="2"/>
          </rPr>
          <t xml:space="preserve">
Page.Column.line range of autograph reading</t>
        </r>
      </text>
    </comment>
    <comment ref="C1" authorId="0" shapeId="0" xr:uid="{85B84403-5B26-485E-A598-AD848B24CD88}">
      <text>
        <r>
          <rPr>
            <b/>
            <sz val="9"/>
            <color indexed="81"/>
            <rFont val="Tahoma"/>
            <family val="2"/>
          </rPr>
          <t>Jonathan Wilken:</t>
        </r>
        <r>
          <rPr>
            <sz val="9"/>
            <color indexed="81"/>
            <rFont val="Tahoma"/>
            <family val="2"/>
          </rPr>
          <t xml:space="preserve">
Page.Column.line range of apograph reading</t>
        </r>
      </text>
    </comment>
    <comment ref="D1" authorId="0" shapeId="0" xr:uid="{3A972AC1-445A-499F-AB32-A3B3E3AC0716}">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3A51F464-FA4F-4125-8622-332AB608F9A3}">
      <text>
        <r>
          <rPr>
            <b/>
            <sz val="9"/>
            <color indexed="81"/>
            <rFont val="Tahoma"/>
            <family val="2"/>
          </rPr>
          <t>Jonathan Wilken:</t>
        </r>
        <r>
          <rPr>
            <sz val="9"/>
            <color indexed="81"/>
            <rFont val="Tahoma"/>
            <family val="2"/>
          </rPr>
          <t xml:space="preserve">
Reading from apograph (i.e., younger copy)</t>
        </r>
      </text>
    </comment>
    <comment ref="F1" authorId="0" shapeId="0" xr:uid="{4E8CB6A4-26FB-4D3C-B762-FEEEEB03C1F0}">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B97AFF51-2903-48E9-8E39-66309A68B3F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13939DCD-DA37-4758-BFB6-BA6F9B0087B0}">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0A482C45-922B-48A1-8467-3A95BE44521C}">
      <text>
        <r>
          <rPr>
            <b/>
            <sz val="9"/>
            <color indexed="81"/>
            <rFont val="Tahoma"/>
            <family val="2"/>
          </rPr>
          <t>Jonathan Wilken:</t>
        </r>
        <r>
          <rPr>
            <sz val="9"/>
            <color indexed="81"/>
            <rFont val="Tahoma"/>
            <family val="2"/>
          </rPr>
          <t xml:space="preserve">
Add, omit, transposition, substitution, combo</t>
        </r>
      </text>
    </comment>
    <comment ref="K1" authorId="0" shapeId="0" xr:uid="{3B3BE4D6-1215-40D6-A599-BEAD47D88A24}">
      <text>
        <r>
          <rPr>
            <b/>
            <sz val="9"/>
            <color indexed="81"/>
            <rFont val="Tahoma"/>
            <family val="2"/>
          </rPr>
          <t>Jonathan Wilken:</t>
        </r>
        <r>
          <rPr>
            <sz val="9"/>
            <color indexed="81"/>
            <rFont val="Tahoma"/>
            <family val="2"/>
          </rPr>
          <t xml:space="preserve">
For add/omits. Should only be used if complete phrases &gt;= 1. Set to 0 for &lt; 1.
</t>
        </r>
      </text>
    </comment>
    <comment ref="L1" authorId="0" shapeId="0" xr:uid="{EEF72756-6944-44F1-B91B-81F18A9BE6DC}">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M1" authorId="0" shapeId="0" xr:uid="{8BBAFD3F-26CC-4DD1-B6AD-78D10AE7C3ED}">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N1" authorId="0" shapeId="0" xr:uid="{52194BA4-E0A9-4702-AAD8-1230E124E449}">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O1" authorId="0" shapeId="0" xr:uid="{1177A74E-0CFA-43AA-8428-C5220FFCC999}">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P1" authorId="0" shapeId="0" xr:uid="{6C877ADD-4B25-4A41-AF03-60F06B1F9409}">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Q1" authorId="0" shapeId="0" xr:uid="{BEF566F2-B0F8-4860-A2A6-BE5E837D7FFD}">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R1" authorId="0" shapeId="0" xr:uid="{214086A7-792B-41D1-9318-5C6A097E0AF6}">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S1" authorId="0" shapeId="0" xr:uid="{EDB0EE5F-A1E1-4DE3-BD2B-F7D5A415ACCC}">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T1" authorId="0" shapeId="0" xr:uid="{83548074-7B15-41E1-B72C-EC3029854F7A}">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U1" authorId="1" shapeId="0" xr:uid="{1467A761-0C32-46C7-83EB-8905463C172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V1" authorId="2" shapeId="0" xr:uid="{F88350B5-6EFE-4B0B-ADD4-9C90D3C5450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CFE3A901-83E6-42C5-85FC-652C731E9A8B}">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DD3A67A7-C408-454A-A040-2FC21E169C33}">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24BBF60B-F9E5-4106-8B09-C85639278C27}">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FE32EE4D-A49D-4EAE-8C08-E4F75205E1A1}">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5124BF36-D0E4-4A55-AED0-2B141A3C4B80}">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725D1B0D-2F22-4A10-8CFD-D37A3D48650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42830667-6D6E-457E-882E-88D984DE9DAB}">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tc={9A989A6A-1368-4859-92D3-6AE9FC27C1C8}</author>
    <author>tc={74F350D6-45E3-4500-B697-5A71AE1C63B9}</author>
    <author>tc={E760EC32-DBBD-4D68-B375-A274C9E552EF}</author>
    <author>tc={1FC84653-7074-445D-8A9F-59B716E0862D}</author>
    <author>tc={9B09073D-7D4A-4890-A15C-B121F060DCD2}</author>
  </authors>
  <commentList>
    <comment ref="A1" authorId="0" shapeId="0" xr:uid="{9A989A6A-1368-4859-92D3-6AE9FC27C1C8}">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74F350D6-45E3-4500-B697-5A71AE1C63B9}">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E760EC32-DBBD-4D68-B375-A274C9E552EF}">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1FC84653-7074-445D-8A9F-59B716E0862D}">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9B09073D-7D4A-4890-A15C-B121F060DCD2}">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Jonathan Wilken</author>
    <author>tc={BF967794-738C-424E-B652-4B492059C75A}</author>
    <author>tc={885AA624-78F0-4221-83DA-AD399A5BED03}</author>
    <author>tc={F8DEE427-22BC-4312-9223-DBB9E2E82E69}</author>
    <author>tc={1D07D086-05C8-4E77-A7AB-C6201EF4F2DE}</author>
  </authors>
  <commentList>
    <comment ref="A1" authorId="0" shapeId="0" xr:uid="{8405E814-D6A7-4548-BDBB-50B45F9F5BBF}">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442CEA40-3BB7-4306-88EE-33F722B03B29}">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5A4182C0-8170-461B-A4E6-70CC27C99EA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B5C7D12D-5BBE-4577-8002-B0BDF50F8E54}">
      <text>
        <r>
          <rPr>
            <b/>
            <sz val="9"/>
            <color indexed="81"/>
            <rFont val="Tahoma"/>
            <family val="2"/>
          </rPr>
          <t>Jonathan Wilken:</t>
        </r>
        <r>
          <rPr>
            <sz val="9"/>
            <color indexed="81"/>
            <rFont val="Tahoma"/>
            <family val="2"/>
          </rPr>
          <t xml:space="preserve">
Add, omit, transposition, substitution, combo</t>
        </r>
      </text>
    </comment>
    <comment ref="K3" authorId="1" shapeId="0" xr:uid="{BF967794-738C-424E-B652-4B492059C75A}">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885AA624-78F0-4221-83DA-AD399A5BED03}">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F8DEE427-22BC-4312-9223-DBB9E2E82E69}">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1D07D086-05C8-4E77-A7AB-C6201EF4F2DE}">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tc={B2143497-55F6-4447-AB9B-5B347DB6B939}</author>
    <author>tc={E85F920A-C4DB-486E-962B-B9DE19066002}</author>
  </authors>
  <commentList>
    <comment ref="B1" authorId="0" shapeId="0" xr:uid="{EAA76C10-6E8B-42EF-8F14-3199A586A4B0}">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FCE2F05B-F441-471C-8011-943A715FBB37}">
      <text>
        <r>
          <rPr>
            <b/>
            <sz val="9"/>
            <color indexed="81"/>
            <rFont val="Tahoma"/>
            <family val="2"/>
          </rPr>
          <t>Jonathan Wilken:</t>
        </r>
        <r>
          <rPr>
            <sz val="9"/>
            <color indexed="81"/>
            <rFont val="Tahoma"/>
            <family val="2"/>
          </rPr>
          <t xml:space="preserve">
Reading from apograph (i.e., younger copy)</t>
        </r>
      </text>
    </comment>
    <comment ref="D1" authorId="0" shapeId="0" xr:uid="{438735FD-22B7-4A81-AD00-32DCFA5ED293}">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6975EC57-A1B2-41F7-B540-BD65F6C588C5}">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3270AED7-EF53-499F-9BE0-14505C8D7BC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C6650569-E90D-4CC5-8BD4-F4648D4B91F5}">
      <text>
        <r>
          <rPr>
            <b/>
            <sz val="9"/>
            <color indexed="81"/>
            <rFont val="Tahoma"/>
            <family val="2"/>
          </rPr>
          <t>Jonathan Wilken:</t>
        </r>
        <r>
          <rPr>
            <sz val="9"/>
            <color indexed="81"/>
            <rFont val="Tahoma"/>
            <family val="2"/>
          </rPr>
          <t xml:space="preserve">
Add, omit, transposition, substitution, combo</t>
        </r>
      </text>
    </comment>
    <comment ref="H1" authorId="0" shapeId="0" xr:uid="{A3E6789C-0319-4029-89D5-08E5B666E018}">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B0F6063A-01E0-4775-844A-6E04AF2030B4}">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97BB7103-5E94-4174-9AB3-54F992BA2C76}">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C651E7A4-DBB1-4C4B-B1CC-CF388D378889}">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0AF0E8C2-1C43-4B83-9883-877952123C83}">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2181E996-B4B6-4538-B8DA-EFDC33FF6A2C}">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361536A5-EF4F-4C0A-8DE4-8C6D39DE49CE}">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D7BF5A3E-9C02-44A6-8888-46B9AE49153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44F75BE-E40D-499D-887B-276C4A074499}">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E19FA8E9-B80E-4413-80DF-02A609AE7863}">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B2143497-55F6-4447-AB9B-5B347DB6B93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E85F920A-C4DB-486E-962B-B9DE19066002}">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E6D985A6-E131-4485-A71C-E4B81E56759E}">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9B9A2453-D95E-4C7E-A825-7D43848B3C2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82D29C67-6307-44DE-BC35-80717ACA891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A8AA8732-4556-4EE7-8ED9-B4866DB91AD6}">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C365039E-6CA4-47A8-9938-C856C79BABCE}">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21CED387-474A-44F9-A528-0C60C9D7BD22}">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630D03C5-D93D-4081-A1E5-AE40B200A932}">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tc={B731B45C-38A8-4C1E-A008-3237B9D955EC}</author>
    <author>tc={B12326D2-8410-4179-86E6-87DEBBB33834}</author>
    <author>tc={A38E141B-E151-4A3E-B15C-F2704F985476}</author>
    <author>tc={3FFE8AE7-06D8-4A9D-AD31-707E4885BCA1}</author>
    <author>tc={EB7D60FD-0402-42C2-A054-F68C5FB88EE3}</author>
    <author>tc={F7DF3DE3-E2D9-4A5C-9DDB-496221E1B6A7}</author>
    <author>tc={D8A5A878-1B17-41EC-8A9B-AF1E104881FF}</author>
    <author>tc={B70F66D9-AE9F-4C66-A03C-FC0377B984F0}</author>
    <author>tc={B87CA771-0FAE-4483-BC46-D8B3F3A9F3F2}</author>
    <author>tc={4ABBECF8-CA65-479A-9468-CF39A5F53EDC}</author>
    <author>tc={6127FE6F-50A9-4298-A60F-6A651F30D64C}</author>
    <author>tc={EE840B5A-F793-4B65-8EFE-E717CEEAD0A0}</author>
    <author>tc={A2B26DF1-0E48-4D56-A2CF-6AA2CD2D7AA0}</author>
    <author>tc={1C2A3BD1-CB13-4517-92B3-01A492C6FD38}</author>
    <author>tc={AE80EDBE-5576-47AD-BDA5-0D96784F5D7A}</author>
    <author>tc={2AF25918-A89E-493A-BDB9-B32A24DC18EF}</author>
    <author>tc={61EF62D3-503B-44B7-94A2-ED67606F106D}</author>
    <author>tc={4D2B8655-B154-4661-AAA4-758CBAF60396}</author>
    <author>tc={2713E4A0-5A0B-40BB-86BE-CF149DF20975}</author>
    <author>tc={F82CF685-9217-4DDE-AD5F-55C7EB65F822}</author>
    <author>tc={78E4F790-7809-42B4-B080-A5A1D57565AE}</author>
    <author>tc={563379E5-FA5D-4E19-8821-34F76F4F3FC5}</author>
    <author>tc={BD29E509-3AB8-4650-9AE0-1E0468A52873}</author>
    <author>tc={24ABE1A1-24B8-44F0-9994-A345592C844B}</author>
    <author>tc={2D460BA1-8B2E-4D92-966A-87B4F98194DD}</author>
    <author>tc={73830C03-9500-4573-9AEA-7AA02C641450}</author>
    <author>tc={8B838E79-F016-4D50-9C16-82BB71B19FE4}</author>
    <author>tc={02511985-E27A-437D-AD68-D57F56B5BAE6}</author>
    <author>tc={EC232559-684C-4DD7-8830-8A0DC4F10769}</author>
    <author>tc={D5A3480B-B30F-4791-B936-B9927986AD60}</author>
    <author>tc={E6B2A83E-978E-4000-8D8B-2461F0F2F0B4}</author>
    <author>tc={9240F69C-2268-4555-BBBC-9957F1DEB510}</author>
    <author>tc={6E3BCF02-6F21-4549-9E01-B614C548F718}</author>
    <author>tc={9F00E45C-A3B8-4430-B0B5-53A424315AD3}</author>
    <author>tc={3A97A016-C6FA-45C0-A540-2CF429D56A2C}</author>
    <author>tc={0674F83C-889C-4F15-81AF-34E205AD1E9F}</author>
    <author>tc={95DB7FCD-F0A5-4477-9273-CDDB0358D4EC}</author>
    <author>tc={79A1D9B1-2232-4D53-B2A1-735D31617545}</author>
    <author>tc={99E8CCBC-BE02-417A-97DD-7ACA21449673}</author>
    <author>tc={23227FB7-4D38-45A3-92B2-A278C2F7B0B6}</author>
    <author>tc={A6DE83FA-AA1E-4561-B328-F0D4810AE183}</author>
    <author>tc={5BF830B6-CC7F-45EE-95F6-F4152E978D5A}</author>
    <author>tc={63D66909-3C87-4E53-BB76-3BBB31F3F75A}</author>
    <author>tc={A228923B-AEA5-485F-A814-D485A56F2803}</author>
    <author>tc={516F98D3-4AEC-4820-8B56-90D953A0ABFB}</author>
  </authors>
  <commentList>
    <comment ref="B1" authorId="0" shapeId="0" xr:uid="{F408BC45-A731-412C-993A-C8205A3F67F6}">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F64A9F82-3514-47D9-BAAC-31185FE6CC17}">
      <text>
        <r>
          <rPr>
            <b/>
            <sz val="9"/>
            <color indexed="81"/>
            <rFont val="Tahoma"/>
            <family val="2"/>
          </rPr>
          <t>Jonathan Wilken:</t>
        </r>
        <r>
          <rPr>
            <sz val="9"/>
            <color indexed="81"/>
            <rFont val="Tahoma"/>
            <family val="2"/>
          </rPr>
          <t xml:space="preserve">
Reading from apograph (i.e., younger copy)</t>
        </r>
      </text>
    </comment>
    <comment ref="D1" authorId="0" shapeId="0" xr:uid="{5B9114A2-7440-4D44-830E-735C51FFFD2F}">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5491D832-D458-4F3F-948E-52D74ED9776D}">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88A6E3BE-056D-4489-93B1-B87BEEED64EF}">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D8CC0169-08C1-492B-A45D-ECFBE6B7A5A8}">
      <text>
        <r>
          <rPr>
            <b/>
            <sz val="9"/>
            <color indexed="81"/>
            <rFont val="Tahoma"/>
            <family val="2"/>
          </rPr>
          <t>Jonathan Wilken:</t>
        </r>
        <r>
          <rPr>
            <sz val="9"/>
            <color indexed="81"/>
            <rFont val="Tahoma"/>
            <family val="2"/>
          </rPr>
          <t xml:space="preserve">
Add, omit, transposition, substitution, combo</t>
        </r>
      </text>
    </comment>
    <comment ref="H1" authorId="0" shapeId="0" xr:uid="{78432E16-F2BF-4360-B30D-B713A193DC39}">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8AA75874-BABB-4478-998B-117E8B83040A}">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1DE083CD-247C-48C0-B7AE-3B4A0369C476}">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38282CC5-4736-4213-B156-072A7CCDB213}">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AF83FF78-B746-4835-8AEC-CD649030014D}">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3BFB1B2C-0F51-4F83-B3AB-306405B7CEE1}">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AAA537B5-25AD-4609-89AF-FFEC54EB5487}">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C1D0E536-A84A-441D-BFB5-1A83589451BD}">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A3FB99FF-F893-4640-B68B-3DD8C0F888DC}">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B731B45C-38A8-4C1E-A008-3237B9D955EC}">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621575C8-69F6-472F-803A-FA6FE0E360D2}">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B12326D2-8410-4179-86E6-87DEBBB3383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A38E141B-E151-4A3E-B15C-F2704F98547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768A0AE-5038-4156-B441-5F1017BD8F5D}">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BCF66386-7CA6-404B-A804-91B24D684EA5}">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F563B22A-AA51-4959-9688-8BA355484463}">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B0DDA308-588A-4E08-820D-909D65A7A289}">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4BA90160-744A-4829-A7D5-A154AD8DDC98}">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823A05A6-7A55-43C6-97D9-5C37FA9C9A60}">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13CE530B-F110-465B-86C2-827D73729C0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83" authorId="4" shapeId="0" xr:uid="{3FFE8AE7-06D8-4A9D-AD31-707E4885BCA1}">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84" authorId="5" shapeId="0" xr:uid="{EB7D60FD-0402-42C2-A054-F68C5FB88EE3}">
      <text>
        <t>[Threaded comment]
Your version of Excel allows you to read this threaded comment; however, any edits to it will get removed if the file is opened in a newer version of Excel. Learn more: https://go.microsoft.com/fwlink/?linkid=870924
Comment:
    "Low Meaning" words</t>
      </text>
    </comment>
    <comment ref="C84" authorId="6" shapeId="0" xr:uid="{F7DF3DE3-E2D9-4A5C-9DDB-496221E1B6A7}">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84" authorId="7" shapeId="0" xr:uid="{D8A5A878-1B17-41EC-8A9B-AF1E104881FF}">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85" authorId="8" shapeId="0" xr:uid="{B70F66D9-AE9F-4C66-A03C-FC0377B984F0}">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88" authorId="9" shapeId="0" xr:uid="{B87CA771-0FAE-4483-BC46-D8B3F3A9F3F2}">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89" authorId="10" shapeId="0" xr:uid="{4ABBECF8-CA65-479A-9468-CF39A5F53EDC}">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90" authorId="11" shapeId="0" xr:uid="{6127FE6F-50A9-4298-A60F-6A651F30D64C}">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93" authorId="12" shapeId="0" xr:uid="{EE840B5A-F793-4B65-8EFE-E717CEEAD0A0}">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94" authorId="13" shapeId="0" xr:uid="{A2B26DF1-0E48-4D56-A2CF-6AA2CD2D7AA0}">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95" authorId="14" shapeId="0" xr:uid="{1C2A3BD1-CB13-4517-92B3-01A492C6FD38}">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101" authorId="15" shapeId="0" xr:uid="{AE80EDBE-5576-47AD-BDA5-0D96784F5D7A}">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101" authorId="16" shapeId="0" xr:uid="{2AF25918-A89E-493A-BDB9-B32A24DC18EF}">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101" authorId="17" shapeId="0" xr:uid="{61EF62D3-503B-44B7-94A2-ED67606F106D}">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102" authorId="18" shapeId="0" xr:uid="{4D2B8655-B154-4661-AAA4-758CBAF60396}">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102" authorId="19" shapeId="0" xr:uid="{2713E4A0-5A0B-40BB-86BE-CF149DF2097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102" authorId="20" shapeId="0" xr:uid="{F82CF685-9217-4DDE-AD5F-55C7EB65F822}">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103" authorId="21" shapeId="0" xr:uid="{78E4F790-7809-42B4-B080-A5A1D57565AE}">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103" authorId="22" shapeId="0" xr:uid="{563379E5-FA5D-4E19-8821-34F76F4F3FC5}">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103" authorId="23" shapeId="0" xr:uid="{BD29E509-3AB8-4650-9AE0-1E0468A52873}">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107" authorId="24" shapeId="0" xr:uid="{24ABE1A1-24B8-44F0-9994-A345592C844B}">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107" authorId="25" shapeId="0" xr:uid="{2D460BA1-8B2E-4D92-966A-87B4F98194DD}">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108" authorId="26" shapeId="0" xr:uid="{73830C03-9500-4573-9AEA-7AA02C641450}">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108" authorId="27" shapeId="0" xr:uid="{8B838E79-F016-4D50-9C16-82BB71B19FE4}">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113" authorId="28" shapeId="0" xr:uid="{02511985-E27A-437D-AD68-D57F56B5BAE6}">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113" authorId="29" shapeId="0" xr:uid="{EC232559-684C-4DD7-8830-8A0DC4F10769}">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114" authorId="30" shapeId="0" xr:uid="{D5A3480B-B30F-4791-B936-B9927986AD60}">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114" authorId="31" shapeId="0" xr:uid="{E6B2A83E-978E-4000-8D8B-2461F0F2F0B4}">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119" authorId="32" shapeId="0" xr:uid="{9240F69C-2268-4555-BBBC-9957F1DEB510}">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119" authorId="33" shapeId="0" xr:uid="{6E3BCF02-6F21-4549-9E01-B614C548F718}">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119" authorId="34" shapeId="0" xr:uid="{9F00E45C-A3B8-4430-B0B5-53A424315AD3}">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120" authorId="35" shapeId="0" xr:uid="{3A97A016-C6FA-45C0-A540-2CF429D56A2C}">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120" authorId="36" shapeId="0" xr:uid="{0674F83C-889C-4F15-81AF-34E205AD1E9F}">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120" authorId="37" shapeId="0" xr:uid="{95DB7FCD-F0A5-4477-9273-CDDB0358D4EC}">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121" authorId="38" shapeId="0" xr:uid="{79A1D9B1-2232-4D53-B2A1-735D31617545}">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121" authorId="39" shapeId="0" xr:uid="{99E8CCBC-BE02-417A-97DD-7ACA21449673}">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121" authorId="40" shapeId="0" xr:uid="{23227FB7-4D38-45A3-92B2-A278C2F7B0B6}">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124" authorId="41" shapeId="0" xr:uid="{A6DE83FA-AA1E-4561-B328-F0D4810AE183}">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124" authorId="42" shapeId="0" xr:uid="{5BF830B6-CC7F-45EE-95F6-F4152E978D5A}">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124" authorId="43" shapeId="0" xr:uid="{63D66909-3C87-4E53-BB76-3BBB31F3F75A}">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124" authorId="44" shapeId="0" xr:uid="{A228923B-AEA5-485F-A814-D485A56F2803}">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E132" authorId="45" shapeId="0" xr:uid="{516F98D3-4AEC-4820-8B56-90D953A0ABFB}">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tc={E7DEEA3E-C062-4F93-8ADA-B9897DFE73DE}</author>
    <author>tc={DA950235-7ECE-44B8-8C50-5ADD515D5980}</author>
    <author>tc={E1E3337B-9BCE-4E16-A594-65E0AC453549}</author>
    <author>tc={94778FC4-3BA9-4EC9-AC85-144D0D2C051A}</author>
    <author>tc={12BD5489-093F-4067-A99E-B0E8915A65BE}</author>
    <author>tc={626E6815-2CF7-4010-BE32-3D187EDDE3DC}</author>
    <author>tc={F03CEA11-956A-4956-8CAF-74AC685CAC57}</author>
    <author>tc={95434278-2029-4F91-A8C5-CA6A20E18D68}</author>
    <author>tc={CE2136B6-459E-448A-A001-4A5E834FCCB7}</author>
    <author>tc={1A900502-13E3-4DD4-986E-E4ECDC28F853}</author>
    <author>tc={9DBFB6CD-DB77-4090-AA17-88020228D987}</author>
    <author>tc={9661CF89-2269-432A-86A7-5E03516D3018}</author>
    <author>tc={6D2C1255-74C2-4323-B20F-E93CB215294F}</author>
    <author>tc={341460A6-4959-4BB3-83BB-A9DA6425BC07}</author>
  </authors>
  <commentList>
    <comment ref="B1" authorId="0" shapeId="0" xr:uid="{3BA86592-B7B0-4B77-9F6C-A3C5BB5E30A6}">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A4D51608-B9AE-48DD-9ABA-788BE0EC1AF3}">
      <text>
        <r>
          <rPr>
            <b/>
            <sz val="9"/>
            <color indexed="81"/>
            <rFont val="Tahoma"/>
            <family val="2"/>
          </rPr>
          <t>Jonathan Wilken:</t>
        </r>
        <r>
          <rPr>
            <sz val="9"/>
            <color indexed="81"/>
            <rFont val="Tahoma"/>
            <family val="2"/>
          </rPr>
          <t xml:space="preserve">
Reading from apograph (i.e., younger copy)</t>
        </r>
      </text>
    </comment>
    <comment ref="D1" authorId="0" shapeId="0" xr:uid="{33D4B65B-6ED6-411F-BDF1-947AA3279620}">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41518568-DEDF-4A09-84CC-329AED62654F}">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4265C9BB-989E-41A9-BC2B-22EABBA4910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5D993E68-5A92-4994-8090-861B02365F1B}">
      <text>
        <r>
          <rPr>
            <b/>
            <sz val="9"/>
            <color indexed="81"/>
            <rFont val="Tahoma"/>
            <family val="2"/>
          </rPr>
          <t>Jonathan Wilken:</t>
        </r>
        <r>
          <rPr>
            <sz val="9"/>
            <color indexed="81"/>
            <rFont val="Tahoma"/>
            <family val="2"/>
          </rPr>
          <t xml:space="preserve">
Add, omit, transposition, substitution, combo</t>
        </r>
      </text>
    </comment>
    <comment ref="H1" authorId="0" shapeId="0" xr:uid="{BA3FA283-B028-4761-8F9C-984FE99F6E0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7301778B-5C5A-4487-BE49-33000C0F297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B12509B2-0122-4B5E-8B18-D916B032CF13}">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9DF515FA-0908-4596-A612-DA9D2A14383A}">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C1A81423-FFF7-4C6C-A6A1-A6A839AC5BEB}">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6D767C29-48D6-4656-9D91-F062BA02CDD5}">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722BA9AC-D7F8-4D38-8D0F-950B5FEBBD88}">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72E3D30E-2BDF-4367-9144-D09AB81C2023}">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9CB91032-4482-4A34-9F64-13D30244A6EA}">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E7DEEA3E-C062-4F93-8ADA-B9897DFE73DE}">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BC6EC40C-392B-464C-B56D-32CB40ACC3C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DA950235-7ECE-44B8-8C50-5ADD515D5980}">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E1E3337B-9BCE-4E16-A594-65E0AC45354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8D543BE3-D8E1-4278-852B-7AC52450BEA6}">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09C36877-4382-4593-9648-6D6D5E5B9CEE}">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BFD412C2-B9E5-4125-B904-41BC8E4AF40F}">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8ACA64FC-4EFB-40A6-A4C1-5CB56A3B71DF}">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2B7C1DF6-5A0B-467F-9F74-229477778356}">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D81B8B9C-A72A-470B-9BCB-6018A11096A3}">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3B07441C-417F-45C8-8A31-FBDB6B8C7B29}">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58" authorId="4" shapeId="0" xr:uid="{94778FC4-3BA9-4EC9-AC85-144D0D2C051A}">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59" authorId="5" shapeId="0" xr:uid="{12BD5489-093F-4067-A99E-B0E8915A65BE}">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62" authorId="6" shapeId="0" xr:uid="{626E6815-2CF7-4010-BE32-3D187EDDE3DC}">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63" authorId="7" shapeId="0" xr:uid="{F03CEA11-956A-4956-8CAF-74AC685CAC57}">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64" authorId="8" shapeId="0" xr:uid="{95434278-2029-4F91-A8C5-CA6A20E18D68}">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65" authorId="9" shapeId="0" xr:uid="{CE2136B6-459E-448A-A001-4A5E834FCCB7}">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66" authorId="10" shapeId="0" xr:uid="{1A900502-13E3-4DD4-986E-E4ECDC28F853}">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67" authorId="11" shapeId="0" xr:uid="{9DBFB6CD-DB77-4090-AA17-88020228D987}">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70" authorId="12" shapeId="0" xr:uid="{9661CF89-2269-432A-86A7-5E03516D3018}">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71" authorId="13" shapeId="0" xr:uid="{6D2C1255-74C2-4323-B20F-E93CB215294F}">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72" authorId="14" shapeId="0" xr:uid="{341460A6-4959-4BB3-83BB-A9DA6425BC07}">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tc={585E57F8-D893-4556-9C75-0D2C9C0862E4}</author>
    <author>tc={7C7E38DA-8D46-433B-B92D-13A3BC210806}</author>
    <author>tc={0DA97930-BB4D-4623-928F-F2A85710DC88}</author>
    <author>tc={2F0D63BB-4E3F-40A0-BA11-86DB0DEDBAEA}</author>
    <author>tc={F93E4F8E-8267-4211-9D91-D11F38C9C3CB}</author>
    <author>tc={99C903CE-913E-4051-AF4F-329DA07A7EB1}</author>
    <author>tc={840BE332-5378-4A98-8F61-E20EE11FC196}</author>
    <author>tc={CEA16425-7609-4E4E-B157-7175FE05A7D3}</author>
    <author>tc={98ADD3B0-EE7D-414F-BF19-990C91F874D4}</author>
    <author>tc={D1B0E0E0-691B-40D2-BAF7-1C652583946E}</author>
    <author>tc={202A0A8B-2ADA-42DE-817B-076F8A730435}</author>
    <author>tc={36F95F3B-8314-4074-8870-7AEF063F37C6}</author>
  </authors>
  <commentList>
    <comment ref="B1" authorId="0" shapeId="0" xr:uid="{DA3DF05A-846C-4BB9-B886-4C14A2297009}">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ABFF14B4-7037-4924-8001-4CFDB9EAB1A0}">
      <text>
        <r>
          <rPr>
            <b/>
            <sz val="9"/>
            <color indexed="81"/>
            <rFont val="Tahoma"/>
            <family val="2"/>
          </rPr>
          <t>Jonathan Wilken:</t>
        </r>
        <r>
          <rPr>
            <sz val="9"/>
            <color indexed="81"/>
            <rFont val="Tahoma"/>
            <family val="2"/>
          </rPr>
          <t xml:space="preserve">
Reading from apograph (i.e., younger copy)</t>
        </r>
      </text>
    </comment>
    <comment ref="D1" authorId="0" shapeId="0" xr:uid="{E66B7EA4-5B64-4DF0-8818-238107E99A6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36EA0680-3AC9-4AA6-A47A-AA99CE987A8B}">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F591B704-C748-46C3-A9F8-59E74FECEBA7}">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0091A8F6-FB36-4BA1-BDEB-C262CEB530B4}">
      <text>
        <r>
          <rPr>
            <b/>
            <sz val="9"/>
            <color indexed="81"/>
            <rFont val="Tahoma"/>
            <family val="2"/>
          </rPr>
          <t>Jonathan Wilken:</t>
        </r>
        <r>
          <rPr>
            <sz val="9"/>
            <color indexed="81"/>
            <rFont val="Tahoma"/>
            <family val="2"/>
          </rPr>
          <t xml:space="preserve">
Add, omit, transposition, substitution, combo</t>
        </r>
      </text>
    </comment>
    <comment ref="H1" authorId="0" shapeId="0" xr:uid="{B67D55F9-E099-4460-9024-655CB5705C2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F29C16A6-BD5E-4B70-BF85-231715A67BFE}">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5A56581E-AE0E-4532-93BB-1494E3AF5146}">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CAACC22E-513E-4D2C-BF21-378BF6BE248E}">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465CED55-491E-40DF-99F5-9853298E6A0B}">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5B56FF92-91A6-4F86-83D7-FE5CA1E00FEF}">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4A331ED6-20BA-4A55-B17A-EB194133EEE2}">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9ED20E82-BA8A-4A27-9141-CB1B714B657F}">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70FBF90-5C26-40B9-97F6-C091A622FC80}">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585E57F8-D893-4556-9C75-0D2C9C0862E4}">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97C1B761-D7DB-409E-B041-48E7E54D9A74}">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7C7E38DA-8D46-433B-B92D-13A3BC21080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0DA97930-BB4D-4623-928F-F2A85710DC88}">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15BF387C-D4DF-4350-AC40-D8784753A9CE}">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697EDA50-B038-4715-9177-F851EBB8E99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52E98E6E-E5BE-45F9-9808-62EBA7593C2D}">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2B07D2DC-AA8C-48A2-8BEE-E3F08C78CF7D}">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25D1B30F-E50A-44A3-949F-B515D8C88701}">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4044069E-1FFD-43D6-902F-F32CC3304699}">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0A86650C-06C8-4A51-AD32-E5F97FD089A5}">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7" authorId="4" shapeId="0" xr:uid="{2F0D63BB-4E3F-40A0-BA11-86DB0DEDBAEA}">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18" authorId="5" shapeId="0" xr:uid="{F93E4F8E-8267-4211-9D91-D11F38C9C3CB}">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21" authorId="6" shapeId="0" xr:uid="{99C903CE-913E-4051-AF4F-329DA07A7EB1}">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22" authorId="7" shapeId="0" xr:uid="{840BE332-5378-4A98-8F61-E20EE11FC196}">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23" authorId="8" shapeId="0" xr:uid="{CEA16425-7609-4E4E-B157-7175FE05A7D3}">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24" authorId="9" shapeId="0" xr:uid="{98ADD3B0-EE7D-414F-BF19-990C91F874D4}">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25" authorId="10" shapeId="0" xr:uid="{D1B0E0E0-691B-40D2-BAF7-1C652583946E}">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26" authorId="11" shapeId="0" xr:uid="{202A0A8B-2ADA-42DE-817B-076F8A730435}">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27" authorId="12" shapeId="0" xr:uid="{36F95F3B-8314-4074-8870-7AEF063F37C6}">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tc={5B310634-4B4A-45F5-BF3C-E9BC098647BA}</author>
    <author>tc={061B88CF-50E9-4D42-A843-A7050F9D47D7}</author>
    <author>tc={76CA3755-D4A5-4330-A1D3-CCA712ACB115}</author>
    <author>tc={4CADE6C4-5CBA-4F75-B455-2B300B5CC30D}</author>
    <author>tc={9231815A-AB55-4D6E-BF92-7C7E4905D3A7}</author>
    <author>tc={F7BBF509-CD2D-4E0D-B56F-207889CBA865}</author>
    <author>tc={9EC7C110-6A1C-4C73-BEFE-E0B7EE3281D3}</author>
    <author>tc={0FD4EE7E-BB5C-409B-AA19-0663510E2EEB}</author>
    <author>tc={C98B720C-5D11-42BA-A644-DD4B6EE0B193}</author>
    <author>tc={3B3865BA-68B6-43F5-96F4-557BCC54E826}</author>
    <author>tc={89FE2022-2D61-41A8-8D5E-3C6D4C7F616A}</author>
    <author>tc={F641BE7D-BDC7-4E1F-BAA1-40355D09ACEB}</author>
    <author>tc={332BA84C-B82C-4D60-BD22-826A6587DF78}</author>
    <author>tc={3B726237-125A-4F8B-807C-F164BEE4AACB}</author>
    <author>tc={B4FA9444-C53C-4A08-AEA7-4BDBC32D44DD}</author>
  </authors>
  <commentList>
    <comment ref="B1" authorId="0" shapeId="0" xr:uid="{42FF9218-5F6F-40B5-AC1F-485984CEFDBD}">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11A60632-7F57-4E49-8E35-CCC84B91EF1B}">
      <text>
        <r>
          <rPr>
            <b/>
            <sz val="9"/>
            <color indexed="81"/>
            <rFont val="Tahoma"/>
            <family val="2"/>
          </rPr>
          <t>Jonathan Wilken:</t>
        </r>
        <r>
          <rPr>
            <sz val="9"/>
            <color indexed="81"/>
            <rFont val="Tahoma"/>
            <family val="2"/>
          </rPr>
          <t xml:space="preserve">
Reading from apograph (i.e., younger copy)</t>
        </r>
      </text>
    </comment>
    <comment ref="D1" authorId="0" shapeId="0" xr:uid="{B5068337-61E4-4004-B991-8D485AD58A32}">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0971C26A-DCD3-47F8-A162-186147C2260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7BD554C8-D05E-421C-83F0-6DD41B5B2D4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7109F0E2-5B6D-43F9-A174-29C59BA4FFF1}">
      <text>
        <r>
          <rPr>
            <b/>
            <sz val="9"/>
            <color indexed="81"/>
            <rFont val="Tahoma"/>
            <family val="2"/>
          </rPr>
          <t>Jonathan Wilken:</t>
        </r>
        <r>
          <rPr>
            <sz val="9"/>
            <color indexed="81"/>
            <rFont val="Tahoma"/>
            <family val="2"/>
          </rPr>
          <t xml:space="preserve">
Add, omit, transposition, substitution, combo</t>
        </r>
      </text>
    </comment>
    <comment ref="H1" authorId="0" shapeId="0" xr:uid="{0DEEBA74-567C-4A3F-AAAB-604FB8F3F37A}">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B3A70E4B-AE52-4CAD-BCA5-35E15954890D}">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BF00EA04-2746-415B-A769-B62E78D7259A}">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42A5719B-4B5B-42C1-8D07-F203957966F8}">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83CA585C-A91C-4DF6-A493-FDE7C7B5E7C8}">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7DA264A1-89DD-4E3E-9E7D-E87FA76C54EB}">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5FD0A296-3BA5-4D94-81AD-793171F8259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C3C3D859-EF24-4BF1-931E-58EA0B2F2B27}">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E21692E-F6EB-44ED-9F84-489E954A5CC3}">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9127E5D1-78C9-4132-810E-E7B64C881CE3}">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5B310634-4B4A-45F5-BF3C-E9BC098647B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061B88CF-50E9-4D42-A843-A7050F9D47D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76CA3755-D4A5-4330-A1D3-CCA712ACB115}">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4CADE6C4-5CBA-4F75-B455-2B300B5CC30D}">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9231815A-AB55-4D6E-BF92-7C7E4905D3A7}">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F48C4149-FBFC-4406-AD79-56A250CFDD0D}">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B4AF4952-AD93-4CD1-8587-C081441DB82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81975DF1-9660-4718-874F-64043BC15041}">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7CC5F3BC-09B2-44AD-A91E-CAEC7205516C}">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BC9BBC18-5C77-41EF-8FBD-9B45FF1EB54F}">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67DAE487-3703-43C0-AFDB-D549D29BEC60}">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4A30021D-1616-4C33-B83F-915912F5FCB3}">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06" authorId="6" shapeId="0" xr:uid="{F7BBF509-CD2D-4E0D-B56F-207889CBA865}">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109" authorId="7" shapeId="0" xr:uid="{9EC7C110-6A1C-4C73-BEFE-E0B7EE3281D3}">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110" authorId="8" shapeId="0" xr:uid="{0FD4EE7E-BB5C-409B-AA19-0663510E2EEB}">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111" authorId="9" shapeId="0" xr:uid="{C98B720C-5D11-42BA-A644-DD4B6EE0B193}">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113" authorId="10" shapeId="0" xr:uid="{3B3865BA-68B6-43F5-96F4-557BCC54E826}">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114" authorId="11" shapeId="0" xr:uid="{89FE2022-2D61-41A8-8D5E-3C6D4C7F616A}">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117" authorId="12" shapeId="0" xr:uid="{F641BE7D-BDC7-4E1F-BAA1-40355D09ACEB}">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118" authorId="13" shapeId="0" xr:uid="{332BA84C-B82C-4D60-BD22-826A6587DF78}">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121" authorId="14" shapeId="0" xr:uid="{3B726237-125A-4F8B-807C-F164BEE4AACB}">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122" authorId="15" shapeId="0" xr:uid="{B4FA9444-C53C-4A08-AEA7-4BDBC32D44DD}">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tc={B9BC609D-91C5-407A-9FD4-5EFCF0E13C4A}</author>
    <author>tc={27E269B1-1EFB-435C-9EED-344691B7DDB8}</author>
    <author>tc={98673F87-C481-451F-BF04-1747114C7272}</author>
    <author>tc={5EFC6D99-3340-4F1E-982F-002AB5D4AED4}</author>
    <author>tc={26D619E5-996E-48DC-877B-198F7F53DC45}</author>
  </authors>
  <commentList>
    <comment ref="B1" authorId="0" shapeId="0" xr:uid="{15BEABBB-814D-4ECA-9218-1781F8742227}">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83BAA74-3726-41B7-B8CC-CE111AC68133}">
      <text>
        <r>
          <rPr>
            <b/>
            <sz val="9"/>
            <color indexed="81"/>
            <rFont val="Tahoma"/>
            <family val="2"/>
          </rPr>
          <t>Jonathan Wilken:</t>
        </r>
        <r>
          <rPr>
            <sz val="9"/>
            <color indexed="81"/>
            <rFont val="Tahoma"/>
            <family val="2"/>
          </rPr>
          <t xml:space="preserve">
Reading from apograph (i.e., younger copy)</t>
        </r>
      </text>
    </comment>
    <comment ref="D1" authorId="0" shapeId="0" xr:uid="{AC767B3B-15E5-486D-A246-C3A994E8A413}">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884A43B6-7739-4060-ADBC-E01AD7DDB004}">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60D3749B-6150-4B35-9078-F877A4AA7B13}">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1BCE13D9-B7F1-4A24-86C3-6A8979E98E49}">
      <text>
        <r>
          <rPr>
            <b/>
            <sz val="9"/>
            <color indexed="81"/>
            <rFont val="Tahoma"/>
            <family val="2"/>
          </rPr>
          <t>Jonathan Wilken:</t>
        </r>
        <r>
          <rPr>
            <sz val="9"/>
            <color indexed="81"/>
            <rFont val="Tahoma"/>
            <family val="2"/>
          </rPr>
          <t xml:space="preserve">
Add, omit, transposition, substitution, combo</t>
        </r>
      </text>
    </comment>
    <comment ref="I1" authorId="0" shapeId="0" xr:uid="{FBAFF9A8-7699-4F96-BD88-3699B6664690}">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282032C6-4ED8-45C1-9CCC-818929825803}">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EBEA7912-4265-4B82-B211-C95BA5D0FA97}">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103CD6A8-44E2-4346-938B-F0550D9C9142}">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84847AB5-E56A-4DCF-97E8-2F8239E69E15}">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B1EC06F4-8F9D-403B-BC33-01EFEDBEF0D1}">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6D5E93F4-8D60-4D7F-9A20-2A411A24F682}">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DC13C7B6-9FF8-4189-B67D-5EDF4B4FD974}">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259B5239-5FDF-4AFC-820F-878B83EF06C4}">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D8555CEA-12F8-41F8-8BFA-507A5054E23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B9BC609D-91C5-407A-9FD4-5EFCF0E13C4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27E269B1-1EFB-435C-9EED-344691B7DDB8}">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0E7BA0E4-3AB9-4E99-A27B-1A5BA0D28B98}">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6A7F0526-CED8-4F24-91D1-1BAFB201FB18}">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B04F98FC-868A-45D6-AB42-32FFEC8A477B}">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426AC163-CE99-4AA8-A746-A813AF628F06}">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4192E986-96E1-4FCF-95ED-0AADADF8C9D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BDF454D6-3C8F-4E27-A306-503BAEDF195C}">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6EA4F151-DCC4-4748-87C1-9498B29368A8}">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8" authorId="3" shapeId="0" xr:uid="{98673F87-C481-451F-BF04-1747114C7272}">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9" authorId="4" shapeId="0" xr:uid="{5EFC6D99-3340-4F1E-982F-002AB5D4AED4}">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10" authorId="5" shapeId="0" xr:uid="{26D619E5-996E-48DC-877B-198F7F53DC45}">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Jonathan Wilken</author>
  </authors>
  <commentList>
    <comment ref="A5" authorId="0" shapeId="0" xr:uid="{0DB8D66E-E40B-4536-825B-0B132F16A868}">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7" authorId="0" shapeId="0" xr:uid="{DCB1C4DD-4E22-4B6D-9F78-A039F7CDC30E}">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tc={E79331FE-E1AE-4083-A66B-350D4F9E1027}</author>
    <author>tc={536CACBF-F4A9-49F3-B07F-12A68BCE4751}</author>
    <author>Jonathan Wilken</author>
  </authors>
  <commentList>
    <comment ref="H2" authorId="0" shapeId="0" xr:uid="{E79331FE-E1AE-4083-A66B-350D4F9E1027}">
      <text>
        <t>[Threaded comment]
Your version of Excel allows you to read this threaded comment; however, any edits to it will get removed if the file is opened in a newer version of Excel. Learn more: https://go.microsoft.com/fwlink/?linkid=870924
Comment:
    ="Change in aspiration" (Gignac, vol. 1) Interchange of aspirated and voiceless consonant forms</t>
      </text>
    </comment>
    <comment ref="H3" authorId="1" shapeId="0" xr:uid="{536CACBF-F4A9-49F3-B07F-12A68BCE4751}">
      <text>
        <t>[Threaded comment]
Your version of Excel allows you to read this threaded comment; however, any edits to it will get removed if the file is opened in a newer version of Excel. Learn more: https://go.microsoft.com/fwlink/?linkid=870924
Comment:
    = "Simplification or Gemination" (Gignac, vol. 1). The production or removal of duplicate consonants (e.g., σς &lt;-&gt; ς)</t>
      </text>
    </comment>
    <comment ref="A5" authorId="2" shapeId="0" xr:uid="{FEEE23A8-E73E-4E87-8B3B-D0A0C1C8DD28}">
      <text>
        <r>
          <rPr>
            <b/>
            <sz val="9"/>
            <color indexed="81"/>
            <rFont val="Tahoma"/>
            <family val="2"/>
          </rPr>
          <t>Jonathan Wilken:</t>
        </r>
        <r>
          <rPr>
            <sz val="9"/>
            <color indexed="81"/>
            <rFont val="Tahoma"/>
            <family val="2"/>
          </rPr>
          <t xml:space="preserve">
A sum of the words in each line. Calculated as the number of spaces in a line + 1. Will therefore miscount words that break across lines/columns</t>
        </r>
      </text>
    </comment>
    <comment ref="A7" authorId="2" shapeId="0" xr:uid="{CAA3025F-4BFD-44E9-9C21-FC135992DAD8}">
      <text>
        <r>
          <rPr>
            <b/>
            <sz val="9"/>
            <color indexed="81"/>
            <rFont val="Tahoma"/>
            <family val="2"/>
          </rPr>
          <t>Jonathan Wilken:</t>
        </r>
        <r>
          <rPr>
            <sz val="9"/>
            <color indexed="81"/>
            <rFont val="Tahoma"/>
            <family val="2"/>
          </rPr>
          <t xml:space="preserve">
Based on total number of columns / number of pages. Should visually confirm. (I think only the Grec 17 apographa used different numbers of columns for different pages.)</t>
        </r>
      </text>
    </comment>
  </commentList>
</comments>
</file>

<file path=xl/sharedStrings.xml><?xml version="1.0" encoding="utf-8"?>
<sst xmlns="http://schemas.openxmlformats.org/spreadsheetml/2006/main" count="10224" uniqueCount="2963">
  <si>
    <t>Verse Ref</t>
  </si>
  <si>
    <t>Phys Loc 1</t>
  </si>
  <si>
    <t>Phys Loc 2</t>
  </si>
  <si>
    <t>Basic Type</t>
  </si>
  <si>
    <t>Harmonizing</t>
  </si>
  <si>
    <t>Autograph</t>
  </si>
  <si>
    <t>Apograph</t>
  </si>
  <si>
    <t>Detail</t>
  </si>
  <si>
    <t>Exclusion grounds</t>
  </si>
  <si>
    <t>Corrector followed</t>
  </si>
  <si>
    <t>Apograph corrected</t>
  </si>
  <si>
    <t>Autograph unclear</t>
  </si>
  <si>
    <t>Autograph unclear (but clear enough)</t>
  </si>
  <si>
    <t>Autograph unclear (Apograph reading likely)</t>
  </si>
  <si>
    <t>Damage to autograph</t>
  </si>
  <si>
    <t>Not a variant: autograph transcript error</t>
  </si>
  <si>
    <t>Not a variant: apograph transcript error</t>
  </si>
  <si>
    <t>Apograph unclear</t>
  </si>
  <si>
    <t>Marked Regularization?</t>
  </si>
  <si>
    <t>Yes</t>
  </si>
  <si>
    <t>No</t>
  </si>
  <si>
    <t>Yes, but still an error</t>
  </si>
  <si>
    <t>Yes, partially</t>
  </si>
  <si>
    <t>Yes, to another error</t>
  </si>
  <si>
    <t>Addition</t>
  </si>
  <si>
    <t>Omission</t>
  </si>
  <si>
    <t>Transposition</t>
  </si>
  <si>
    <t>Multiple</t>
  </si>
  <si>
    <t>Apograph unclear (but clear enough)</t>
  </si>
  <si>
    <t>Apograph unclear (Autograph reading likely)</t>
  </si>
  <si>
    <t>Unclear due to correction</t>
  </si>
  <si>
    <t>Autograph transcript error, but still a variant</t>
  </si>
  <si>
    <t>Apograph transcript error, but still a variant</t>
  </si>
  <si>
    <t>Both transcripts in error, but still a variant</t>
  </si>
  <si>
    <t>Not a variant: error in both transcripts</t>
  </si>
  <si>
    <t>Not a variant, but correction is</t>
  </si>
  <si>
    <t>Other</t>
  </si>
  <si>
    <t>TReub.1.1</t>
  </si>
  <si>
    <t>ρουβιν</t>
  </si>
  <si>
    <t>TReub.1.2</t>
  </si>
  <si>
    <t>TReub.1.3</t>
  </si>
  <si>
    <t>αποθνησκω</t>
  </si>
  <si>
    <t>αποθνηκω</t>
  </si>
  <si>
    <t>TReub.1.4</t>
  </si>
  <si>
    <t>TReub.1.5</t>
  </si>
  <si>
    <t>TReub.1.7</t>
  </si>
  <si>
    <t>TReub.1.8</t>
  </si>
  <si>
    <t>TReub.1.10</t>
  </si>
  <si>
    <t>TReub.2.4</t>
  </si>
  <si>
    <t>γινεται</t>
  </si>
  <si>
    <t>TReub.2.5</t>
  </si>
  <si>
    <t>TReub.2.9</t>
  </si>
  <si>
    <t>TReub.3.1</t>
  </si>
  <si>
    <t>TReub.3.3</t>
  </si>
  <si>
    <t>απληστιας</t>
  </si>
  <si>
    <t>απληστειας</t>
  </si>
  <si>
    <t>TReub.3.4</t>
  </si>
  <si>
    <t>περιεργιας</t>
  </si>
  <si>
    <t>TReub.3.5</t>
  </si>
  <si>
    <t>TReub.3.6</t>
  </si>
  <si>
    <t>δοσοληψιας</t>
  </si>
  <si>
    <t>δολολειψιας</t>
  </si>
  <si>
    <t>TReub.3.8</t>
  </si>
  <si>
    <t>σκωτιζων</t>
  </si>
  <si>
    <t>σκοτιζων</t>
  </si>
  <si>
    <t>TReub.3.9</t>
  </si>
  <si>
    <t>ρουβιμ</t>
  </si>
  <si>
    <t>TReub.3.10</t>
  </si>
  <si>
    <t>γυναικιαν</t>
  </si>
  <si>
    <t>γυναικειαν</t>
  </si>
  <si>
    <t>περιεργαζεσθε</t>
  </si>
  <si>
    <t>περιεργαζεσθαι</t>
  </si>
  <si>
    <t>TReub.3.12</t>
  </si>
  <si>
    <t>TReub.3.13</t>
  </si>
  <si>
    <t>μεθιουσα</t>
  </si>
  <si>
    <t>μεθυουσαι</t>
  </si>
  <si>
    <t>κοινωμενη</t>
  </si>
  <si>
    <t>κοιμωμενη</t>
  </si>
  <si>
    <t>TReub.3.14</t>
  </si>
  <si>
    <t>ειδων</t>
  </si>
  <si>
    <t>TReub.3.15</t>
  </si>
  <si>
    <t>TReub.4.1</t>
  </si>
  <si>
    <t>TReub.4.2</t>
  </si>
  <si>
    <t>TReub.4.4</t>
  </si>
  <si>
    <t>TReub.4.6</t>
  </si>
  <si>
    <t>TReub.4.7</t>
  </si>
  <si>
    <t>TReub.4.9</t>
  </si>
  <si>
    <t>TReub.4.11</t>
  </si>
  <si>
    <t>TReub.5.1</t>
  </si>
  <si>
    <t>TReub.5.2</t>
  </si>
  <si>
    <t>ισχυουσι</t>
  </si>
  <si>
    <t>ισχυει</t>
  </si>
  <si>
    <t>TReub.5.3</t>
  </si>
  <si>
    <t>αιχμαλατιζουσαι</t>
  </si>
  <si>
    <t>αιχμαλωτιζουσαι</t>
  </si>
  <si>
    <t>TReub.5.5</t>
  </si>
  <si>
    <t>θυγατερασιν</t>
  </si>
  <si>
    <t>TReub.5.6</t>
  </si>
  <si>
    <t>TReub.5.7</t>
  </si>
  <si>
    <t>TReub.6.2</t>
  </si>
  <si>
    <t>TReub.6.3</t>
  </si>
  <si>
    <t>συντυχια</t>
  </si>
  <si>
    <t>συντυχιαι</t>
  </si>
  <si>
    <t>TReub.6.4</t>
  </si>
  <si>
    <t>ευσεβιαν</t>
  </si>
  <si>
    <t>ευσεβειαν</t>
  </si>
  <si>
    <t>TReub.6.5</t>
  </si>
  <si>
    <t>TReub.6.6</t>
  </si>
  <si>
    <t>TReub.6.7</t>
  </si>
  <si>
    <t>TReub.6.8</t>
  </si>
  <si>
    <t>διαστελει</t>
  </si>
  <si>
    <t>διαστελλει</t>
  </si>
  <si>
    <t>TReub.6.9</t>
  </si>
  <si>
    <t>ποιησας</t>
  </si>
  <si>
    <t>TReub.6.10</t>
  </si>
  <si>
    <t>δεξασθε</t>
  </si>
  <si>
    <t>δεξησθε</t>
  </si>
  <si>
    <t>TReub.6.11</t>
  </si>
  <si>
    <t>TReub.6.12</t>
  </si>
  <si>
    <t>TReub.7.1</t>
  </si>
  <si>
    <t>TReub.7.2</t>
  </si>
  <si>
    <t>TSim.1.1</t>
  </si>
  <si>
    <t>TSim.1.2</t>
  </si>
  <si>
    <t>TSim.2.6</t>
  </si>
  <si>
    <t>TSim.2.7</t>
  </si>
  <si>
    <t>TSim.2.8</t>
  </si>
  <si>
    <t>TSim.2.9</t>
  </si>
  <si>
    <t>εγκχρηζοντα</t>
  </si>
  <si>
    <t>εγχρηζοντα</t>
  </si>
  <si>
    <t>TSim.2.10</t>
  </si>
  <si>
    <t>TSim.2.12</t>
  </si>
  <si>
    <t>TSim.2.13</t>
  </si>
  <si>
    <t>αποσχωμαι</t>
  </si>
  <si>
    <t>αποσχομαι</t>
  </si>
  <si>
    <t>TSim.3.5</t>
  </si>
  <si>
    <t>TSim.4.1</t>
  </si>
  <si>
    <t>TSim.4.2</t>
  </si>
  <si>
    <t>TSim.4.3</t>
  </si>
  <si>
    <t>TSim.4.4</t>
  </si>
  <si>
    <t>TSim.4.5</t>
  </si>
  <si>
    <t>καρδιας</t>
  </si>
  <si>
    <t>TSim.4.6</t>
  </si>
  <si>
    <t>TSim.4.8</t>
  </si>
  <si>
    <t>αγριιοι</t>
  </si>
  <si>
    <t>αγριοι</t>
  </si>
  <si>
    <t>TSim.4.9</t>
  </si>
  <si>
    <t>ιοβολοον</t>
  </si>
  <si>
    <t>TSim.5.1</t>
  </si>
  <si>
    <t>ενοικησεν</t>
  </si>
  <si>
    <t>TSim.5.3</t>
  </si>
  <si>
    <t>φυλασσεεσε</t>
  </si>
  <si>
    <t>TSim.5.4</t>
  </si>
  <si>
    <t>TSim.5.6</t>
  </si>
  <si>
    <t>προσεφητευσεν</t>
  </si>
  <si>
    <t>TSim.6.1</t>
  </si>
  <si>
    <t>TSim.6.6</t>
  </si>
  <si>
    <t>TSim.6.7</t>
  </si>
  <si>
    <t>TSim.7.1</t>
  </si>
  <si>
    <t>λυθρωθησεσθε</t>
  </si>
  <si>
    <t>λυτρωθησεσθε</t>
  </si>
  <si>
    <t>TSim.7.2</t>
  </si>
  <si>
    <t>αναστηαναστησει</t>
  </si>
  <si>
    <t>αναστησει</t>
  </si>
  <si>
    <t>TSim.7.3</t>
  </si>
  <si>
    <t>TSim.8.1</t>
  </si>
  <si>
    <t>συνετελησε</t>
  </si>
  <si>
    <t>συνετελεσε</t>
  </si>
  <si>
    <t>εντελλομαι</t>
  </si>
  <si>
    <t>TSim.8.2</t>
  </si>
  <si>
    <t>ιωσηφ</t>
  </si>
  <si>
    <t>αιγυγτιων</t>
  </si>
  <si>
    <t>TSim.8.3</t>
  </si>
  <si>
    <t>βασιλειων</t>
  </si>
  <si>
    <t>βασιλεων</t>
  </si>
  <si>
    <t>TSim.8.4</t>
  </si>
  <si>
    <t>TSim.9.1</t>
  </si>
  <si>
    <t>TLev.1.1</t>
  </si>
  <si>
    <t>διαθετο</t>
  </si>
  <si>
    <t>TLev.1.2</t>
  </si>
  <si>
    <t>TLev.2.3</t>
  </si>
  <si>
    <t>εβελμαουλ</t>
  </si>
  <si>
    <t>αβελμαουλ</t>
  </si>
  <si>
    <t>TLev.2.6</t>
  </si>
  <si>
    <t>TLev.2.8</t>
  </si>
  <si>
    <t>φωτινοτερον</t>
  </si>
  <si>
    <t>φωτεινοτερον</t>
  </si>
  <si>
    <t>TLev.2.9</t>
  </si>
  <si>
    <t>TLev.3.1</t>
  </si>
  <si>
    <t>επιδη</t>
  </si>
  <si>
    <t>επειδη</t>
  </si>
  <si>
    <t>TLev.3.2</t>
  </si>
  <si>
    <t>TLev.3.4</t>
  </si>
  <si>
    <t>παντκαταλυει</t>
  </si>
  <si>
    <t>TLev.3.5</t>
  </si>
  <si>
    <t>TLev.3.8</t>
  </si>
  <si>
    <t>TLev.3.9</t>
  </si>
  <si>
    <t>σαλευσθησονται</t>
  </si>
  <si>
    <t>σαλευθησονται</t>
  </si>
  <si>
    <t>TLev.3.10</t>
  </si>
  <si>
    <t>TLev.4.1</t>
  </si>
  <si>
    <t>σχιζομενον</t>
  </si>
  <si>
    <t>καταπτεσσοντος</t>
  </si>
  <si>
    <t>καταπτησσοντος</t>
  </si>
  <si>
    <t>κλονουμενεις</t>
  </si>
  <si>
    <t>πνευπνευματων</t>
  </si>
  <si>
    <t>σκυλλομενου</t>
  </si>
  <si>
    <t>σκυλευομενου</t>
  </si>
  <si>
    <t>TLev.4.2</t>
  </si>
  <si>
    <t>γεννεσθαι</t>
  </si>
  <si>
    <t>γενεσθαι</t>
  </si>
  <si>
    <t>TLev.4.3</t>
  </si>
  <si>
    <t>TLev.4.4</t>
  </si>
  <si>
    <t>TLev.4.5</t>
  </si>
  <si>
    <t>TLev.4.6</t>
  </si>
  <si>
    <t>TLev.5.1</t>
  </si>
  <si>
    <t>TLev.5.3</t>
  </si>
  <si>
    <t>TLev.5.4</t>
  </si>
  <si>
    <t>TLev.5.5</t>
  </si>
  <si>
    <t>TLev.5.6</t>
  </si>
  <si>
    <t>αγγλλος</t>
  </si>
  <si>
    <t>TLev.6.1</t>
  </si>
  <si>
    <t>γελαλ</t>
  </si>
  <si>
    <t>TLev.6.3</t>
  </si>
  <si>
    <t>εποιησον</t>
  </si>
  <si>
    <t>εποιησαν</t>
  </si>
  <si>
    <t>TLev.6.9</t>
  </si>
  <si>
    <t>εδινξαν</t>
  </si>
  <si>
    <t>οιγογενη</t>
  </si>
  <si>
    <t>TLev.6.10</t>
  </si>
  <si>
    <t>εποιον</t>
  </si>
  <si>
    <t>εποιουν</t>
  </si>
  <si>
    <t>TLev.6.11</t>
  </si>
  <si>
    <t>TLev.7.1</t>
  </si>
  <si>
    <t>εξωδενωσει</t>
  </si>
  <si>
    <t>εξουδενωσει</t>
  </si>
  <si>
    <t>TLev.7.3</t>
  </si>
  <si>
    <t>αφροσυνιν</t>
  </si>
  <si>
    <t>αφροσυνην</t>
  </si>
  <si>
    <t>TLev.7.4</t>
  </si>
  <si>
    <t>TLev.8.1</t>
  </si>
  <si>
    <t>οραμα</t>
  </si>
  <si>
    <t>προτερον</t>
  </si>
  <si>
    <t>TLev.8.2</t>
  </si>
  <si>
    <t>ειδον</t>
  </si>
  <si>
    <t>ενδευσαι</t>
  </si>
  <si>
    <t>συνησεως</t>
  </si>
  <si>
    <t>TLev.8.3</t>
  </si>
  <si>
    <t>ιεραα</t>
  </si>
  <si>
    <t>TLev.8.5</t>
  </si>
  <si>
    <t>αγων</t>
  </si>
  <si>
    <t>αγιων</t>
  </si>
  <si>
    <t>TLev.8.8</t>
  </si>
  <si>
    <t>πιοτητος</t>
  </si>
  <si>
    <t>ποιοτητος</t>
  </si>
  <si>
    <t>TLev.8.12</t>
  </si>
  <si>
    <t>αυτον</t>
  </si>
  <si>
    <t>TLev.8.14</t>
  </si>
  <si>
    <t>TLev.8.15</t>
  </si>
  <si>
    <t>TLev.8.16</t>
  </si>
  <si>
    <t>TLev.8.19</t>
  </si>
  <si>
    <t>εκυψα</t>
  </si>
  <si>
    <t>TLev.9.1</t>
  </si>
  <si>
    <t>TLev.9.2</t>
  </si>
  <si>
    <t>TLev.9.3</t>
  </si>
  <si>
    <t>ορακα</t>
  </si>
  <si>
    <t>ιερεα</t>
  </si>
  <si>
    <t>TLev.9.6</t>
  </si>
  <si>
    <t>TLev.9.7</t>
  </si>
  <si>
    <t>ιεροσυνης</t>
  </si>
  <si>
    <t>ιερωσυνης</t>
  </si>
  <si>
    <t>TLev.9.8</t>
  </si>
  <si>
    <t>συνετιζων</t>
  </si>
  <si>
    <t>αισχολουμενος</t>
  </si>
  <si>
    <t>ασχολουμενος</t>
  </si>
  <si>
    <t>TLev.9.9</t>
  </si>
  <si>
    <t>ενδελεχει</t>
  </si>
  <si>
    <t>ενδελεχιει</t>
  </si>
  <si>
    <t>TLev.9.10</t>
  </si>
  <si>
    <t>μηδε</t>
  </si>
  <si>
    <t>μητε</t>
  </si>
  <si>
    <t>βεβελυιμενην</t>
  </si>
  <si>
    <t>βεβηλωμενην</t>
  </si>
  <si>
    <t>TLev.9.12</t>
  </si>
  <si>
    <t>TLev.9.13</t>
  </si>
  <si>
    <t>TLev.10.1</t>
  </si>
  <si>
    <t>TLev.10.2</t>
  </si>
  <si>
    <t>ασεβιιας</t>
  </si>
  <si>
    <t>TLev.10.3</t>
  </si>
  <si>
    <t>ασχημασυνην</t>
  </si>
  <si>
    <t>ασχημοσυνην</t>
  </si>
  <si>
    <t>TLev.10.5</t>
  </si>
  <si>
    <t>TLev.11.2</t>
  </si>
  <si>
    <t>γηρσοαμ</t>
  </si>
  <si>
    <t>γηρσαμ</t>
  </si>
  <si>
    <t>TLev.11.5</t>
  </si>
  <si>
    <t>TLev.11.7</t>
  </si>
  <si>
    <t>μεγαρην</t>
  </si>
  <si>
    <t>πιηρια</t>
  </si>
  <si>
    <t>πικρια</t>
  </si>
  <si>
    <t>TLev.11.8</t>
  </si>
  <si>
    <t>ιοχαβεθ</t>
  </si>
  <si>
    <t>ιωχαβεθ</t>
  </si>
  <si>
    <t>TLev.12.1</t>
  </si>
  <si>
    <t>TLev.12.3</t>
  </si>
  <si>
    <t>μεγαρι</t>
  </si>
  <si>
    <t>TLev.12.4</t>
  </si>
  <si>
    <t>TLev.12.5</t>
  </si>
  <si>
    <t>απεκτινα</t>
  </si>
  <si>
    <t>απεκτεινα</t>
  </si>
  <si>
    <t>TLev.12.6</t>
  </si>
  <si>
    <t>TLev.12.7</t>
  </si>
  <si>
    <t>TLev.13.1</t>
  </si>
  <si>
    <t>εντελομαι</t>
  </si>
  <si>
    <t>TLev.13.2</t>
  </si>
  <si>
    <t>TLev.13.4</t>
  </si>
  <si>
    <t>κτησεται</t>
  </si>
  <si>
    <t>κτησηται</t>
  </si>
  <si>
    <t>δοουλευσαι</t>
  </si>
  <si>
    <t>δουλευσαι</t>
  </si>
  <si>
    <t>TLev.13.6</t>
  </si>
  <si>
    <t>θεριζητε</t>
  </si>
  <si>
    <t>θερισετε</t>
  </si>
  <si>
    <t>TLev.13.7</t>
  </si>
  <si>
    <t>εξολοθρευωσι</t>
  </si>
  <si>
    <t>εξολοθρευθωσι</t>
  </si>
  <si>
    <t>απολλητα</t>
  </si>
  <si>
    <t>απολλληται</t>
  </si>
  <si>
    <t>πορωσις</t>
  </si>
  <si>
    <t>πηρωσις</t>
  </si>
  <si>
    <t>TLev.13.8</t>
  </si>
  <si>
    <t>πολεμισις</t>
  </si>
  <si>
    <t>πολεμιοις</t>
  </si>
  <si>
    <t>TLev.13.9</t>
  </si>
  <si>
    <t>TLev.14.2</t>
  </si>
  <si>
    <t>TLev.14.3</t>
  </si>
  <si>
    <t>TLev.14.4</t>
  </si>
  <si>
    <t>καττραν</t>
  </si>
  <si>
    <t>TLev.14.5</t>
  </si>
  <si>
    <t>εσθιαντες</t>
  </si>
  <si>
    <t>TLev.14.6</t>
  </si>
  <si>
    <t>διδαξατε</t>
  </si>
  <si>
    <t>μιαινειτε</t>
  </si>
  <si>
    <t>μιανειτε</t>
  </si>
  <si>
    <t>γενεται</t>
  </si>
  <si>
    <t>γομορρα</t>
  </si>
  <si>
    <t>γομορα</t>
  </si>
  <si>
    <t>TLev.15.1</t>
  </si>
  <si>
    <t>ακαθαρθια</t>
  </si>
  <si>
    <t>TLev.15.3</t>
  </si>
  <si>
    <t>φυξανται</t>
  </si>
  <si>
    <t>TLev.15.4</t>
  </si>
  <si>
    <t>TLev.16.1</t>
  </si>
  <si>
    <t>πλανηθησθε</t>
  </si>
  <si>
    <t>πλανηθησεσθε</t>
  </si>
  <si>
    <t>ιεροσυνην</t>
  </si>
  <si>
    <t>ιερωσυνην</t>
  </si>
  <si>
    <t>TLev.16.2</t>
  </si>
  <si>
    <t>διαστρωφη</t>
  </si>
  <si>
    <t>TLev.16.3</t>
  </si>
  <si>
    <t>νομισετε</t>
  </si>
  <si>
    <t>νομιζετε</t>
  </si>
  <si>
    <t>TLev.16.4</t>
  </si>
  <si>
    <t>TLev.16.5</t>
  </si>
  <si>
    <t>διασπορπισμον</t>
  </si>
  <si>
    <t>TLev.17.1</t>
  </si>
  <si>
    <t>εβδοματων</t>
  </si>
  <si>
    <t>εβδομαδων</t>
  </si>
  <si>
    <t>TLev.17.2</t>
  </si>
  <si>
    <t>ιωβηλαν</t>
  </si>
  <si>
    <t>ιωβηλαιον</t>
  </si>
  <si>
    <t>TLev.17.3</t>
  </si>
  <si>
    <t>TLev.17.4</t>
  </si>
  <si>
    <t>ιεριυς</t>
  </si>
  <si>
    <t>TLev.17.5</t>
  </si>
  <si>
    <t>TLev.17.10</t>
  </si>
  <si>
    <t>ερεμωσεως</t>
  </si>
  <si>
    <t>ερημωσεως</t>
  </si>
  <si>
    <t>TLev.17.11</t>
  </si>
  <si>
    <t>φιλαργυροι</t>
  </si>
  <si>
    <t>φυλαργυροι</t>
  </si>
  <si>
    <t>TLev.18.2</t>
  </si>
  <si>
    <t>αποκαλυφθησοκται</t>
  </si>
  <si>
    <t>TLev.18.3</t>
  </si>
  <si>
    <t>TLev.18.4</t>
  </si>
  <si>
    <t>TLev.18.5</t>
  </si>
  <si>
    <t>γωσις</t>
  </si>
  <si>
    <t>γνωσις</t>
  </si>
  <si>
    <t>εχυθησεται</t>
  </si>
  <si>
    <t>TLev.18.6</t>
  </si>
  <si>
    <t>αιγιασμα</t>
  </si>
  <si>
    <t>αγιασμα</t>
  </si>
  <si>
    <t>TLev.18.7</t>
  </si>
  <si>
    <t>συνεσεως</t>
  </si>
  <si>
    <t>TLev.18.8</t>
  </si>
  <si>
    <t>μεγαλοσυνην</t>
  </si>
  <si>
    <t>μεγαλωσυνην</t>
  </si>
  <si>
    <t>TLev.18.9</t>
  </si>
  <si>
    <t>γωσει</t>
  </si>
  <si>
    <t>γνωσει</t>
  </si>
  <si>
    <t>TLev.18.10</t>
  </si>
  <si>
    <t>TLev.18.11</t>
  </si>
  <si>
    <t>TLev.18.12</t>
  </si>
  <si>
    <t>TLev.18.13</t>
  </si>
  <si>
    <t>TLev.18.14</t>
  </si>
  <si>
    <t>καγω</t>
  </si>
  <si>
    <t>χαρισομαι</t>
  </si>
  <si>
    <t>δικαιοσυνην</t>
  </si>
  <si>
    <t>TLev.19.1</t>
  </si>
  <si>
    <t>TLev.19.2</t>
  </si>
  <si>
    <t>απεκριθομεν</t>
  </si>
  <si>
    <t>TLev.19.3</t>
  </si>
  <si>
    <t>μαρτς</t>
  </si>
  <si>
    <t>TLev.19.4</t>
  </si>
  <si>
    <t>TJud.1.1</t>
  </si>
  <si>
    <t>TJud.1.2</t>
  </si>
  <si>
    <t>TJud.1.3</t>
  </si>
  <si>
    <t>ανθομολογουμαι</t>
  </si>
  <si>
    <t>TJud.1.6</t>
  </si>
  <si>
    <t>TJud.2.1</t>
  </si>
  <si>
    <t>TJud.2.3</t>
  </si>
  <si>
    <t>TJud.2.4</t>
  </si>
  <si>
    <t>TJud.2.6</t>
  </si>
  <si>
    <t>TJud.2.7</t>
  </si>
  <si>
    <t>σκοτησας</t>
  </si>
  <si>
    <t>TJud.3.1</t>
  </si>
  <si>
    <t>TJud.3.2</t>
  </si>
  <si>
    <t>λααν</t>
  </si>
  <si>
    <t>λαον</t>
  </si>
  <si>
    <t>TJud.3.6</t>
  </si>
  <si>
    <t>TJud.3.7</t>
  </si>
  <si>
    <t>TJud.4.1</t>
  </si>
  <si>
    <t>πολεμος</t>
  </si>
  <si>
    <t>πολημος</t>
  </si>
  <si>
    <t>διακουσιους</t>
  </si>
  <si>
    <t>διακοσιους</t>
  </si>
  <si>
    <t>TJud.4.2</t>
  </si>
  <si>
    <t>TJud.4.3</t>
  </si>
  <si>
    <t>TJud.5.1</t>
  </si>
  <si>
    <t>TJud.5.2</t>
  </si>
  <si>
    <t>TJud.5.3</t>
  </si>
  <si>
    <t>αφειλκυσθησαν</t>
  </si>
  <si>
    <t>αφελκυσθησαν</t>
  </si>
  <si>
    <t>TJud.5.4</t>
  </si>
  <si>
    <t>TJud.5.5</t>
  </si>
  <si>
    <t>εμπρηξαντες</t>
  </si>
  <si>
    <t>εμπρησαντες</t>
  </si>
  <si>
    <t>TJud.5.7</t>
  </si>
  <si>
    <t>κακεινους</t>
  </si>
  <si>
    <t>TJud.6.3</t>
  </si>
  <si>
    <t>περιεγενωμεθα</t>
  </si>
  <si>
    <t>TJud.6.4</t>
  </si>
  <si>
    <t>TJud.7.3</t>
  </si>
  <si>
    <t>νυκτει</t>
  </si>
  <si>
    <t>νυκτι</t>
  </si>
  <si>
    <t>TJud.7.4</t>
  </si>
  <si>
    <t>αποσκενη</t>
  </si>
  <si>
    <t>αποσκευη</t>
  </si>
  <si>
    <t>TJud.7.5</t>
  </si>
  <si>
    <t>κορυφιν</t>
  </si>
  <si>
    <t>TJud.7.7</t>
  </si>
  <si>
    <t>TJud.7.8</t>
  </si>
  <si>
    <t>ουδεν</t>
  </si>
  <si>
    <t>TJud.8.1</t>
  </si>
  <si>
    <t>κτηηη</t>
  </si>
  <si>
    <t>TJud.8.2</t>
  </si>
  <si>
    <t>οδολαμ</t>
  </si>
  <si>
    <t>οδολομ</t>
  </si>
  <si>
    <t>TJud.8.3</t>
  </si>
  <si>
    <t>TJud.9.1</t>
  </si>
  <si>
    <t>TJud.9.3</t>
  </si>
  <si>
    <t>επαισαν</t>
  </si>
  <si>
    <t>επαισεν</t>
  </si>
  <si>
    <t>σικαρ</t>
  </si>
  <si>
    <t>σικρ</t>
  </si>
  <si>
    <t>επεθανεν</t>
  </si>
  <si>
    <t>TJud.9.4</t>
  </si>
  <si>
    <t>ηδηνηθημεν</t>
  </si>
  <si>
    <t>ηδευηθημεν</t>
  </si>
  <si>
    <t>εισηλθειν</t>
  </si>
  <si>
    <t>TJud.9.5</t>
  </si>
  <si>
    <t>ορωντες</t>
  </si>
  <si>
    <t>ορωντων</t>
  </si>
  <si>
    <t>TJud.9.6</t>
  </si>
  <si>
    <t>TJud.9.8</t>
  </si>
  <si>
    <t>TJud.10.2</t>
  </si>
  <si>
    <t>TJud.10.5</t>
  </si>
  <si>
    <t>TJud.10.6</t>
  </si>
  <si>
    <t>βησουε</t>
  </si>
  <si>
    <t>βισσουε</t>
  </si>
  <si>
    <t>TJud.11.2</t>
  </si>
  <si>
    <t>TJud.11.3</t>
  </si>
  <si>
    <t>TJud.12.1</t>
  </si>
  <si>
    <t>TJud.12.2</t>
  </si>
  <si>
    <t>TJud.12.4</t>
  </si>
  <si>
    <t>TJud.12.5</t>
  </si>
  <si>
    <t>TJud.12.6</t>
  </si>
  <si>
    <t>TJud.12.7</t>
  </si>
  <si>
    <t>TJud.12.9</t>
  </si>
  <si>
    <t>TJud.12.10</t>
  </si>
  <si>
    <t>TJud.13.1</t>
  </si>
  <si>
    <t>TJud.13.2</t>
  </si>
  <si>
    <t>TJud.13.3</t>
  </si>
  <si>
    <t>παραταξαντο</t>
  </si>
  <si>
    <t>παρεταξαντο</t>
  </si>
  <si>
    <t>μιρουε</t>
  </si>
  <si>
    <t>βισουε</t>
  </si>
  <si>
    <t>TJud.13.4</t>
  </si>
  <si>
    <t>συμβουλευσαμαι</t>
  </si>
  <si>
    <t>TJud.13.5</t>
  </si>
  <si>
    <t>εποιησεν</t>
  </si>
  <si>
    <t>TJud.13.6</t>
  </si>
  <si>
    <t>TJud.13.7</t>
  </si>
  <si>
    <t>TJud.13.8</t>
  </si>
  <si>
    <t>ηυφρανθιον</t>
  </si>
  <si>
    <t>TJud.14.2</t>
  </si>
  <si>
    <t>TJud.14.4</t>
  </si>
  <si>
    <t>TJud.14.5</t>
  </si>
  <si>
    <t>καμε</t>
  </si>
  <si>
    <t>καλυμνα</t>
  </si>
  <si>
    <t>καλυμμα</t>
  </si>
  <si>
    <t>TJud.14.7</t>
  </si>
  <si>
    <t>TJud.14.8</t>
  </si>
  <si>
    <t>αισχροχρημν</t>
  </si>
  <si>
    <t>αισχρορημονειν</t>
  </si>
  <si>
    <t>TJud.15.2</t>
  </si>
  <si>
    <t>TJud.15.4</t>
  </si>
  <si>
    <t>γηρας</t>
  </si>
  <si>
    <t>TJud.15.5</t>
  </si>
  <si>
    <t>βασιλεος</t>
  </si>
  <si>
    <t>βασιλεως</t>
  </si>
  <si>
    <t>πτωχου</t>
  </si>
  <si>
    <t>πτωχω</t>
  </si>
  <si>
    <t>κατακυρισωσωσι</t>
  </si>
  <si>
    <t>TJud.15.6</t>
  </si>
  <si>
    <t>TJud.16.1</t>
  </si>
  <si>
    <t>φυλασσασθε</t>
  </si>
  <si>
    <t>τεσσααα</t>
  </si>
  <si>
    <t>επιθυμιας</t>
  </si>
  <si>
    <t>επυθιμιας</t>
  </si>
  <si>
    <t>ασωτισς</t>
  </si>
  <si>
    <t>ασωτιας</t>
  </si>
  <si>
    <t>αιχροκερδιας</t>
  </si>
  <si>
    <t>αισχροκερδειας</t>
  </si>
  <si>
    <t>TJud.16.2</t>
  </si>
  <si>
    <t>TJud.16.3</t>
  </si>
  <si>
    <t>TJud.16.4</t>
  </si>
  <si>
    <t>TJud.17.1</t>
  </si>
  <si>
    <t>εντελλομι</t>
  </si>
  <si>
    <t>βληπειν</t>
  </si>
  <si>
    <t>βλεπειν</t>
  </si>
  <si>
    <t>TJud.17.3</t>
  </si>
  <si>
    <t>σμικρωθηναι</t>
  </si>
  <si>
    <t>σμικρυνθηναι</t>
  </si>
  <si>
    <t>TJud.18.2</t>
  </si>
  <si>
    <t>φυλαξατε</t>
  </si>
  <si>
    <t>φυλαξασθε</t>
  </si>
  <si>
    <t>TJud.18.3</t>
  </si>
  <si>
    <t>τευτα</t>
  </si>
  <si>
    <t>ταυτα</t>
  </si>
  <si>
    <t>TJud.18.4</t>
  </si>
  <si>
    <t>TJud.18.5</t>
  </si>
  <si>
    <t>μνημονευι</t>
  </si>
  <si>
    <t>προσοχθεζει</t>
  </si>
  <si>
    <t>TJud.18.6</t>
  </si>
  <si>
    <t>TJud.19.1</t>
  </si>
  <si>
    <t>φιλαργυρια</t>
  </si>
  <si>
    <t>φυλαργυρια</t>
  </si>
  <si>
    <t>TJud.21.1</t>
  </si>
  <si>
    <t>εξολοθρουθητε</t>
  </si>
  <si>
    <t>TJud.21.3</t>
  </si>
  <si>
    <t>TJud.21.4</t>
  </si>
  <si>
    <t>TJud.21.5</t>
  </si>
  <si>
    <t>TJud.21.6</t>
  </si>
  <si>
    <t>χλευαζονται</t>
  </si>
  <si>
    <t>χειμαζονται</t>
  </si>
  <si>
    <t>TJud.21.7</t>
  </si>
  <si>
    <t>αρπαζουσι</t>
  </si>
  <si>
    <t>TJud.21.8</t>
  </si>
  <si>
    <t>καρακες</t>
  </si>
  <si>
    <t>ιβλεις</t>
  </si>
  <si>
    <t>TJud.21.9</t>
  </si>
  <si>
    <t>ψευδοφροφηται</t>
  </si>
  <si>
    <t>ψευδοπροφηται</t>
  </si>
  <si>
    <t>TJud.22.1</t>
  </si>
  <si>
    <t>TJud.22.2</t>
  </si>
  <si>
    <t>TJud.23.1</t>
  </si>
  <si>
    <t>εξακολουουθουντες</t>
  </si>
  <si>
    <t>πλαλης</t>
  </si>
  <si>
    <t>TJud.23.2</t>
  </si>
  <si>
    <t>επιμμιγησεσθε</t>
  </si>
  <si>
    <t>επιμιγησεσθε</t>
  </si>
  <si>
    <t>TJud.23.3</t>
  </si>
  <si>
    <t>δολειαν</t>
  </si>
  <si>
    <t>TJud.23.5</t>
  </si>
  <si>
    <t>επιστρεψεται</t>
  </si>
  <si>
    <t>επεσκεψετε</t>
  </si>
  <si>
    <t>επισκεψετε</t>
  </si>
  <si>
    <t>TJud.24.1</t>
  </si>
  <si>
    <t>δικαιοσυνη</t>
  </si>
  <si>
    <t>TJud.24.2</t>
  </si>
  <si>
    <t>αναιγησονται</t>
  </si>
  <si>
    <t>TJud.26.1</t>
  </si>
  <si>
    <t>TJud.26.2</t>
  </si>
  <si>
    <t>TJud.26.3</t>
  </si>
  <si>
    <t>ενταφιασει</t>
  </si>
  <si>
    <t>ενταφιαση</t>
  </si>
  <si>
    <t>TIss.1.1</t>
  </si>
  <si>
    <t>αντιγραφα</t>
  </si>
  <si>
    <t>ντιγραφα</t>
  </si>
  <si>
    <t>TIss.1.2</t>
  </si>
  <si>
    <t>TIss.1.3</t>
  </si>
  <si>
    <t>ηνεγγε</t>
  </si>
  <si>
    <t>προδαπαντησας</t>
  </si>
  <si>
    <t>ελαβεν</t>
  </si>
  <si>
    <t>εβαλεν</t>
  </si>
  <si>
    <t>TIss.1.4</t>
  </si>
  <si>
    <t>φονη</t>
  </si>
  <si>
    <t>φωνη</t>
  </si>
  <si>
    <t>TIss.1.7</t>
  </si>
  <si>
    <t>TIss.1.9</t>
  </si>
  <si>
    <t>TIss.1.10</t>
  </si>
  <si>
    <t>προτεραν</t>
  </si>
  <si>
    <t>TIss.1.11</t>
  </si>
  <si>
    <t>προσχωρει</t>
  </si>
  <si>
    <t>προχωρει</t>
  </si>
  <si>
    <t>TIss.1.13</t>
  </si>
  <si>
    <t>TIss.1.14</t>
  </si>
  <si>
    <t>TIss.2.1</t>
  </si>
  <si>
    <t>TIss.2.2</t>
  </si>
  <si>
    <t>επεσκτπψατο</t>
  </si>
  <si>
    <t>TIss.2.4</t>
  </si>
  <si>
    <t>απεδατο</t>
  </si>
  <si>
    <t>απεδοτο</t>
  </si>
  <si>
    <t>TIss.2.5</t>
  </si>
  <si>
    <t>προσηνεγκουσα</t>
  </si>
  <si>
    <t>προσενεγκουσα</t>
  </si>
  <si>
    <t>TIss.3.1</t>
  </si>
  <si>
    <t>ηδρυνθεν</t>
  </si>
  <si>
    <t>ηδρυνθην</t>
  </si>
  <si>
    <t>TIss.3.3</t>
  </si>
  <si>
    <t>TIss.3.5</t>
  </si>
  <si>
    <t>κατεσθιε</t>
  </si>
  <si>
    <t>TIss.3.7</t>
  </si>
  <si>
    <t>εδιπλασιαζε</t>
  </si>
  <si>
    <t>εδιπλασιασε</t>
  </si>
  <si>
    <t>TIss.4.1</t>
  </si>
  <si>
    <t>ευαρεστασιν</t>
  </si>
  <si>
    <t>ευαρεστησιν</t>
  </si>
  <si>
    <t>TIss.4.2</t>
  </si>
  <si>
    <t>διαφοραν</t>
  </si>
  <si>
    <t>διαφορον</t>
  </si>
  <si>
    <t>TIss.4.3</t>
  </si>
  <si>
    <t>μαχρους</t>
  </si>
  <si>
    <t>μακρους</t>
  </si>
  <si>
    <t>TIss.4.5</t>
  </si>
  <si>
    <t>απληστεια</t>
  </si>
  <si>
    <t>απληστια</t>
  </si>
  <si>
    <t>TIss.4.6</t>
  </si>
  <si>
    <t>επιδεκομενος</t>
  </si>
  <si>
    <t>επιδεχομενος</t>
  </si>
  <si>
    <t>TIss.5.3</t>
  </si>
  <si>
    <t>υποτισθετε</t>
  </si>
  <si>
    <t>υποτιθετε</t>
  </si>
  <si>
    <t>εργαζεσθε</t>
  </si>
  <si>
    <t>TIss.5.4</t>
  </si>
  <si>
    <t>TIss.5.5</t>
  </si>
  <si>
    <t>TIss.5.6</t>
  </si>
  <si>
    <t>TIss.6.1</t>
  </si>
  <si>
    <t>TIss.6.2</t>
  </si>
  <si>
    <t>εξακουλουθησουσι</t>
  </si>
  <si>
    <t>εξακολουθησουσι</t>
  </si>
  <si>
    <t>δουλευσουσιν</t>
  </si>
  <si>
    <t>δουλευσωσιν</t>
  </si>
  <si>
    <t>TIss.6.3</t>
  </si>
  <si>
    <t>επιστρεψουσι</t>
  </si>
  <si>
    <t>επιστρεψωσι</t>
  </si>
  <si>
    <t>TIss.7.2</t>
  </si>
  <si>
    <t>μετεεωρισμω</t>
  </si>
  <si>
    <t>TIss.7.5</t>
  </si>
  <si>
    <t>οδυνωμιω</t>
  </si>
  <si>
    <t>οδυνωμενω</t>
  </si>
  <si>
    <t>TIss.7.6</t>
  </si>
  <si>
    <t>TIss.7.7</t>
  </si>
  <si>
    <t>κυριευσι</t>
  </si>
  <si>
    <t>κυριευσει</t>
  </si>
  <si>
    <t>καρδειας</t>
  </si>
  <si>
    <t>TIss.7.8</t>
  </si>
  <si>
    <t>θαψουσιν</t>
  </si>
  <si>
    <t>θαψωσιν</t>
  </si>
  <si>
    <t>TIss.7.9</t>
  </si>
  <si>
    <t>TZeb.1.1</t>
  </si>
  <si>
    <t>τεσσαρω</t>
  </si>
  <si>
    <t>τεσσαρεικοστω</t>
  </si>
  <si>
    <t>TZeb.1.2</t>
  </si>
  <si>
    <t>TZeb.1.3</t>
  </si>
  <si>
    <t>TZeb.1.6</t>
  </si>
  <si>
    <t>TZeb.2.1</t>
  </si>
  <si>
    <t>ελεγον</t>
  </si>
  <si>
    <t>ελεγεν</t>
  </si>
  <si>
    <t>TZeb.2.2</t>
  </si>
  <si>
    <t>TZeb.2.3</t>
  </si>
  <si>
    <t>επενεγκατε</t>
  </si>
  <si>
    <t>επενεγκητε</t>
  </si>
  <si>
    <t>TZeb.2.5</t>
  </si>
  <si>
    <t>εβομβα</t>
  </si>
  <si>
    <t>TZeb.2.6</t>
  </si>
  <si>
    <t>κακεινος</t>
  </si>
  <si>
    <t>TZeb.2.7</t>
  </si>
  <si>
    <t>TZeb.2.9</t>
  </si>
  <si>
    <t>ισραηλιταις</t>
  </si>
  <si>
    <t>TZeb.3.2</t>
  </si>
  <si>
    <t>TZeb.3.3</t>
  </si>
  <si>
    <t>TZeb.3.4</t>
  </si>
  <si>
    <t>εγγραφη</t>
  </si>
  <si>
    <t>υποδησασθαι</t>
  </si>
  <si>
    <t>υποδησεσθαι</t>
  </si>
  <si>
    <t>TZeb.3.5</t>
  </si>
  <si>
    <t>TZeb.3.6</t>
  </si>
  <si>
    <t>προσεκανησνν</t>
  </si>
  <si>
    <t>TZeb.4.6</t>
  </si>
  <si>
    <t>καταδραμων</t>
  </si>
  <si>
    <t>καταλαβων</t>
  </si>
  <si>
    <t>TZeb.4.8</t>
  </si>
  <si>
    <t>ειπομεν</t>
  </si>
  <si>
    <t>ειπωμεν</t>
  </si>
  <si>
    <t>TZeb.4.10</t>
  </si>
  <si>
    <t>TZeb.4.11</t>
  </si>
  <si>
    <t>ραμφαια</t>
  </si>
  <si>
    <t>TZeb.4.12</t>
  </si>
  <si>
    <t>ερρουμεν</t>
  </si>
  <si>
    <t>μονον</t>
  </si>
  <si>
    <t>μονος</t>
  </si>
  <si>
    <t>TZeb.5.1</t>
  </si>
  <si>
    <t>TZeb.5.4</t>
  </si>
  <si>
    <t>ισηφ</t>
  </si>
  <si>
    <t>TZeb.5.5</t>
  </si>
  <si>
    <t>TZeb.6.8</t>
  </si>
  <si>
    <t>εποιμανον</t>
  </si>
  <si>
    <t>εποιμαινον</t>
  </si>
  <si>
    <t>TZeb.8.4</t>
  </si>
  <si>
    <t>TZeb.9.1</t>
  </si>
  <si>
    <t>πορευονται</t>
  </si>
  <si>
    <t>πορευωνται</t>
  </si>
  <si>
    <t>TZeb.9.5</t>
  </si>
  <si>
    <t>εξακολουθησετε</t>
  </si>
  <si>
    <t>εξακολουθησεται</t>
  </si>
  <si>
    <t>TZeb.9.6</t>
  </si>
  <si>
    <t>αισθενειαις</t>
  </si>
  <si>
    <t>ασθενειαις</t>
  </si>
  <si>
    <t>TZeb.9.8</t>
  </si>
  <si>
    <t>TZeb.9.9</t>
  </si>
  <si>
    <t>TZeb.10.1</t>
  </si>
  <si>
    <t>λυπησθε</t>
  </si>
  <si>
    <t>λυπεισθε</t>
  </si>
  <si>
    <t>TZeb.10.4</t>
  </si>
  <si>
    <t>τεωε</t>
  </si>
  <si>
    <t>TZeb.10.5</t>
  </si>
  <si>
    <t>TZeb.10.6</t>
  </si>
  <si>
    <t>TDan.1.1</t>
  </si>
  <si>
    <t>TDan.1.4</t>
  </si>
  <si>
    <t>TDan.1.6</t>
  </si>
  <si>
    <t>αλαζονιας</t>
  </si>
  <si>
    <t>αλαζονειας</t>
  </si>
  <si>
    <t>TDan.1.7</t>
  </si>
  <si>
    <t>ανειλε</t>
  </si>
  <si>
    <t>TDan.1.9</t>
  </si>
  <si>
    <t>ειασε</t>
  </si>
  <si>
    <t>εασε</t>
  </si>
  <si>
    <t>TDan.2.1</t>
  </si>
  <si>
    <t>φυλαξετε</t>
  </si>
  <si>
    <t>αγαπησατε</t>
  </si>
  <si>
    <t>αγαπησητε</t>
  </si>
  <si>
    <t>TDan.2.5</t>
  </si>
  <si>
    <t>TDan.3.1</t>
  </si>
  <si>
    <t>TDan.3.2</t>
  </si>
  <si>
    <t>TDan.3.4</t>
  </si>
  <si>
    <t>μεινη</t>
  </si>
  <si>
    <t>μενη</t>
  </si>
  <si>
    <t>νικαν</t>
  </si>
  <si>
    <t>νικων</t>
  </si>
  <si>
    <t>TDan.3.5</t>
  </si>
  <si>
    <t>TDan.3.6</t>
  </si>
  <si>
    <t>TDan.4.1</t>
  </si>
  <si>
    <t>συνιησε</t>
  </si>
  <si>
    <t>TDan.4.3</t>
  </si>
  <si>
    <t>TDan.4.4</t>
  </si>
  <si>
    <t>TDan.4.5</t>
  </si>
  <si>
    <t>TDan.5.1</t>
  </si>
  <si>
    <t>TDan.5.2</t>
  </si>
  <si>
    <t>TDan.6.8</t>
  </si>
  <si>
    <t>αποτριψατε</t>
  </si>
  <si>
    <t>απορριψατε</t>
  </si>
  <si>
    <t>TDan.7.1</t>
  </si>
  <si>
    <t>κατεφιλησιν</t>
  </si>
  <si>
    <t>κατεφιλησεν</t>
  </si>
  <si>
    <t>TDan.7.2</t>
  </si>
  <si>
    <t>ανηνεγκειν</t>
  </si>
  <si>
    <t>TDan.7.3</t>
  </si>
  <si>
    <t>προεφειτησεν</t>
  </si>
  <si>
    <t>επιλωσθονται</t>
  </si>
  <si>
    <t>TNaph.1.1</t>
  </si>
  <si>
    <t>διεθετο</t>
  </si>
  <si>
    <t>TNaph.1.2</t>
  </si>
  <si>
    <t>λυκος</t>
  </si>
  <si>
    <t>TNaph.1.4</t>
  </si>
  <si>
    <t>εποιμαινε</t>
  </si>
  <si>
    <t>TNaph.1.5</t>
  </si>
  <si>
    <t>λεγων</t>
  </si>
  <si>
    <t>πλησιον</t>
  </si>
  <si>
    <t>TNaph.1.6</t>
  </si>
  <si>
    <t>βαλας</t>
  </si>
  <si>
    <t>TNaph.1.7</t>
  </si>
  <si>
    <t>εξηλομην</t>
  </si>
  <si>
    <t>αρκου</t>
  </si>
  <si>
    <t>λεγουσα</t>
  </si>
  <si>
    <t>TNaph.1.8</t>
  </si>
  <si>
    <t>διαπρασεως</t>
  </si>
  <si>
    <t>TNaph.1.9</t>
  </si>
  <si>
    <t>ηλεγξεν</t>
  </si>
  <si>
    <t>εσθιομεν</t>
  </si>
  <si>
    <t>θρεμματα</t>
  </si>
  <si>
    <t>TNaph.1.11</t>
  </si>
  <si>
    <t>TNaph.2.1</t>
  </si>
  <si>
    <t>TNaph.2.2</t>
  </si>
  <si>
    <t>TNaph.2.3</t>
  </si>
  <si>
    <t>ισμαηλιταις</t>
  </si>
  <si>
    <t>εκλειπων</t>
  </si>
  <si>
    <t>TNaph.2.8</t>
  </si>
  <si>
    <t>θημην</t>
  </si>
  <si>
    <t>TNaph.2.9</t>
  </si>
  <si>
    <t>TNaph.2.10</t>
  </si>
  <si>
    <t>δυνεισεσθε</t>
  </si>
  <si>
    <t>TNaph.3.1</t>
  </si>
  <si>
    <t>διαβολου</t>
  </si>
  <si>
    <t>μισων</t>
  </si>
  <si>
    <t>ταξιν</t>
  </si>
  <si>
    <t>TNaph.3.3</t>
  </si>
  <si>
    <t>καταλαλιαν</t>
  </si>
  <si>
    <t>εξακολοθησαντες</t>
  </si>
  <si>
    <t>πλανης</t>
  </si>
  <si>
    <t>TNaph.3.4</t>
  </si>
  <si>
    <t>γενεσθε</t>
  </si>
  <si>
    <t>γενησθε</t>
  </si>
  <si>
    <t>TNaph.3.5</t>
  </si>
  <si>
    <t>TNaph.4.1</t>
  </si>
  <si>
    <t>TNaph.4.3</t>
  </si>
  <si>
    <t>ολιγυνθηναι</t>
  </si>
  <si>
    <t>σπευδει</t>
  </si>
  <si>
    <t>TNaph.5.2</t>
  </si>
  <si>
    <t>προσδρακοντες</t>
  </si>
  <si>
    <t>κατησατε</t>
  </si>
  <si>
    <t>κρατησοντος</t>
  </si>
  <si>
    <t>κρατησαντος</t>
  </si>
  <si>
    <t>TNaph.5.3</t>
  </si>
  <si>
    <t>επιδρακομεν</t>
  </si>
  <si>
    <t>επεδραμομεν</t>
  </si>
  <si>
    <t>TNaph.5.4</t>
  </si>
  <si>
    <t>TNaph.5.5</t>
  </si>
  <si>
    <t>TNaph.5.6</t>
  </si>
  <si>
    <t>ταυρας</t>
  </si>
  <si>
    <t>TNaph.5.8</t>
  </si>
  <si>
    <t>λεγωνουσα</t>
  </si>
  <si>
    <t>χαλχαιοι</t>
  </si>
  <si>
    <t>χελκαιοι</t>
  </si>
  <si>
    <t>TNaph.6.1</t>
  </si>
  <si>
    <t>ιακνιας</t>
  </si>
  <si>
    <t>ιαμνιας</t>
  </si>
  <si>
    <t>TNaph.6.2</t>
  </si>
  <si>
    <t>TNaph.6.4</t>
  </si>
  <si>
    <t>TNaph.6.5</t>
  </si>
  <si>
    <t>χειμαζαμενοι</t>
  </si>
  <si>
    <t>χειμαζομενοι</t>
  </si>
  <si>
    <t>εφερoμεσθα</t>
  </si>
  <si>
    <t>εφερομεθα</t>
  </si>
  <si>
    <t>TNaph.6.6</t>
  </si>
  <si>
    <t>χθοριζομεσθα</t>
  </si>
  <si>
    <t>χωριζομεθα</t>
  </si>
  <si>
    <t>TNaph.6.7</t>
  </si>
  <si>
    <t>διεσπαρισαν</t>
  </si>
  <si>
    <t>διεσπαρησαν</t>
  </si>
  <si>
    <t>TNaph.7.3</t>
  </si>
  <si>
    <t>TNaph.7.4</t>
  </si>
  <si>
    <t>διακρυσαι</t>
  </si>
  <si>
    <t>δακρυσαι</t>
  </si>
  <si>
    <t>TNaph.8.1</t>
  </si>
  <si>
    <t>TNaph.8.4</t>
  </si>
  <si>
    <t>εργασησθε</t>
  </si>
  <si>
    <t>TNaph.8.5</t>
  </si>
  <si>
    <t>εκτρεψη</t>
  </si>
  <si>
    <t>εκθρεψη</t>
  </si>
  <si>
    <t>TNaph.8.6</t>
  </si>
  <si>
    <t>καταρασσανται</t>
  </si>
  <si>
    <t>TNaph.8.7</t>
  </si>
  <si>
    <t>TNaph.8.8</t>
  </si>
  <si>
    <t>TNaph.8.10</t>
  </si>
  <si>
    <t>TNaph.9.1</t>
  </si>
  <si>
    <t>αυταν</t>
  </si>
  <si>
    <t>TNaph.9.2</t>
  </si>
  <si>
    <t>TNaph.9.3</t>
  </si>
  <si>
    <t>TGad.2.1</t>
  </si>
  <si>
    <t>TGad.2.3</t>
  </si>
  <si>
    <t>TGad.3.1</t>
  </si>
  <si>
    <t>TGad.3.3</t>
  </si>
  <si>
    <t>καταλαλαιαν</t>
  </si>
  <si>
    <t>TGad.4.3</t>
  </si>
  <si>
    <t>σπευσει</t>
  </si>
  <si>
    <t>TGad.4.5</t>
  </si>
  <si>
    <t>TGad.4.6</t>
  </si>
  <si>
    <t>ανακαλεσεσθαι</t>
  </si>
  <si>
    <t>TGad.5.1</t>
  </si>
  <si>
    <t>ψευδι</t>
  </si>
  <si>
    <t>ψευδει</t>
  </si>
  <si>
    <t>ορνην</t>
  </si>
  <si>
    <t>οργην</t>
  </si>
  <si>
    <t>TGad.5.3</t>
  </si>
  <si>
    <t>δικαιοσυσνη</t>
  </si>
  <si>
    <t>TGad.5.4</t>
  </si>
  <si>
    <t>TGad.5.8</t>
  </si>
  <si>
    <t>TGad.5.9</t>
  </si>
  <si>
    <t>εφθασεν</t>
  </si>
  <si>
    <t>TGad.5.11</t>
  </si>
  <si>
    <t>TGad.6.1</t>
  </si>
  <si>
    <t>TGad.6.2</t>
  </si>
  <si>
    <t>TGad.7.7</t>
  </si>
  <si>
    <t>TGad.8.1</t>
  </si>
  <si>
    <t>TGad.8.4</t>
  </si>
  <si>
    <t>TAsh.1.1</t>
  </si>
  <si>
    <t>TAsh.1.2</t>
  </si>
  <si>
    <t>TAsh.1.3</t>
  </si>
  <si>
    <t>οδοους</t>
  </si>
  <si>
    <t>TAsh.1.5</t>
  </si>
  <si>
    <t>οσοι</t>
  </si>
  <si>
    <t>οδοι</t>
  </si>
  <si>
    <t>TAsh.1.6</t>
  </si>
  <si>
    <t>TAsh.1.8</t>
  </si>
  <si>
    <t>TAsh.1.9</t>
  </si>
  <si>
    <t>εναρξεται</t>
  </si>
  <si>
    <t>εναρξηται</t>
  </si>
  <si>
    <t>διαβουλιου</t>
  </si>
  <si>
    <t>TAsh.2.5</t>
  </si>
  <si>
    <t>αρπαζει</t>
  </si>
  <si>
    <t>αρπαξει</t>
  </si>
  <si>
    <t>διπροσωπον</t>
  </si>
  <si>
    <t>TAsh.2.7</t>
  </si>
  <si>
    <t>δδιπροσωπον</t>
  </si>
  <si>
    <t>TAsh.2.8</t>
  </si>
  <si>
    <t>TAsh.2.9</t>
  </si>
  <si>
    <t>TAsh.3.2</t>
  </si>
  <si>
    <t>αναιροντες</t>
  </si>
  <si>
    <t>TAsh.4.1</t>
  </si>
  <si>
    <t>διπρασωπων</t>
  </si>
  <si>
    <t>TAsh.4.2</t>
  </si>
  <si>
    <t>απωλεται</t>
  </si>
  <si>
    <t>απωλεσεν</t>
  </si>
  <si>
    <t>TAsh.4.3</t>
  </si>
  <si>
    <t>μισθων</t>
  </si>
  <si>
    <t>προσδευχομενος</t>
  </si>
  <si>
    <t>TAsh.4.4</t>
  </si>
  <si>
    <t>αιχρυνη</t>
  </si>
  <si>
    <t>TAsh.4.5</t>
  </si>
  <si>
    <t>TAsh.5.1</t>
  </si>
  <si>
    <t>TAsh.5.2</t>
  </si>
  <si>
    <t>αιωνιας</t>
  </si>
  <si>
    <t>αιωνιος</t>
  </si>
  <si>
    <t>TAsh.5.3</t>
  </si>
  <si>
    <t>TAsh.5.4</t>
  </si>
  <si>
    <t>μονοπροσωπον</t>
  </si>
  <si>
    <t>TAsh.6.2</t>
  </si>
  <si>
    <t>TAsh.6.3</t>
  </si>
  <si>
    <t>διιατηρειτε</t>
  </si>
  <si>
    <t>TAsh.6.4</t>
  </si>
  <si>
    <t>δικαιουσυνην</t>
  </si>
  <si>
    <t>γνωρισοντες</t>
  </si>
  <si>
    <t>TAsh.6.5</t>
  </si>
  <si>
    <t>TAsh.7.2</t>
  </si>
  <si>
    <t>τεσσερας</t>
  </si>
  <si>
    <t>εξουδενωμενοι</t>
  </si>
  <si>
    <t>εζουδενωμενοι</t>
  </si>
  <si>
    <t>TAsh.7.3</t>
  </si>
  <si>
    <t>επισκεψεται</t>
  </si>
  <si>
    <t>επισκεψηται</t>
  </si>
  <si>
    <t>ελθιων</t>
  </si>
  <si>
    <t>δρακονταιος</t>
  </si>
  <si>
    <t>TAsh.7.5</t>
  </si>
  <si>
    <t>ασεασεβουντες</t>
  </si>
  <si>
    <t>ασεβουντες</t>
  </si>
  <si>
    <t>TAsh.7.6</t>
  </si>
  <si>
    <t>TJos.1.1</t>
  </si>
  <si>
    <t>TJos.1.2</t>
  </si>
  <si>
    <t>TJos.1.4</t>
  </si>
  <si>
    <t>TJos.1.5</t>
  </si>
  <si>
    <t>TJos.1.6</t>
  </si>
  <si>
    <t>επισκεψατο</t>
  </si>
  <si>
    <t>επεσκεψατο</t>
  </si>
  <si>
    <t>TJos.2.1</t>
  </si>
  <si>
    <t>TJos.2.2</t>
  </si>
  <si>
    <t>ερρυσαατο</t>
  </si>
  <si>
    <t>ερρυσατε</t>
  </si>
  <si>
    <t>TJos.2.4</t>
  </si>
  <si>
    <t>TJos.2.5</t>
  </si>
  <si>
    <t>απωθειται</t>
  </si>
  <si>
    <t>αποθειται</t>
  </si>
  <si>
    <t>TJos.2.6</t>
  </si>
  <si>
    <t>περισταται</t>
  </si>
  <si>
    <t>παρισταται</t>
  </si>
  <si>
    <t>TJos.3.1</t>
  </si>
  <si>
    <t>TJos.3.2</t>
  </si>
  <si>
    <t>TJos.3.3</t>
  </si>
  <si>
    <t>προσηευχομεν</t>
  </si>
  <si>
    <t>TJos.3.4</t>
  </si>
  <si>
    <t>πρισλαμβανουσιν</t>
  </si>
  <si>
    <t>προσλαμβανουσιν</t>
  </si>
  <si>
    <t>TJos.3.5</t>
  </si>
  <si>
    <t>ελαμβανον</t>
  </si>
  <si>
    <t>TJos.3.7</t>
  </si>
  <si>
    <t>TJos.3.8</t>
  </si>
  <si>
    <t>εφειλκυετο</t>
  </si>
  <si>
    <t>εφελκυετο</t>
  </si>
  <si>
    <t>TJos.3.9</t>
  </si>
  <si>
    <t>TJos.3.10</t>
  </si>
  <si>
    <t>TJos.4.2</t>
  </si>
  <si>
    <t>TJos.4.3</t>
  </si>
  <si>
    <t>ρυσεται</t>
  </si>
  <si>
    <t>ρυσηται</t>
  </si>
  <si>
    <t>TJos.4.5</t>
  </si>
  <si>
    <t>πεισθω</t>
  </si>
  <si>
    <t>πεισω</t>
  </si>
  <si>
    <t>TJos.4.7</t>
  </si>
  <si>
    <t>εφιλονεικει</t>
  </si>
  <si>
    <t>εφειλονεικει</t>
  </si>
  <si>
    <t>TJos.4.8</t>
  </si>
  <si>
    <t>νειστειαν</t>
  </si>
  <si>
    <t>ρυσειται</t>
  </si>
  <si>
    <t>TJos.5.1</t>
  </si>
  <si>
    <t>χονω</t>
  </si>
  <si>
    <t>TJos.5.2</t>
  </si>
  <si>
    <t>TJos.5.4</t>
  </si>
  <si>
    <t>ανεχωρησα</t>
  </si>
  <si>
    <t>ανεχωρησε</t>
  </si>
  <si>
    <t>TJos.6.3</t>
  </si>
  <si>
    <t>TJos.6.4</t>
  </si>
  <si>
    <t>TJos.6.6</t>
  </si>
  <si>
    <t>TJos.6.7</t>
  </si>
  <si>
    <t>TJos.7.3</t>
  </si>
  <si>
    <t>TJos.7.4</t>
  </si>
  <si>
    <t>προσουξαμενος</t>
  </si>
  <si>
    <t>TJos.7.5</t>
  </si>
  <si>
    <t>TJos.7.8</t>
  </si>
  <si>
    <t>TJos.8.1</t>
  </si>
  <si>
    <t>TJos.8.2</t>
  </si>
  <si>
    <t>συνουδιαν</t>
  </si>
  <si>
    <t>TJos.8.3</t>
  </si>
  <si>
    <t>TJos.8.4</t>
  </si>
  <si>
    <t>TJos.8.5</t>
  </si>
  <si>
    <t>TJos.9.2</t>
  </si>
  <si>
    <t>TJos.9.3</t>
  </si>
  <si>
    <t>καμοι</t>
  </si>
  <si>
    <t>TJos.9.4</t>
  </si>
  <si>
    <t>πασακις</t>
  </si>
  <si>
    <t>TJos.9.5</t>
  </si>
  <si>
    <t>μαλλιστα</t>
  </si>
  <si>
    <t>μαλιστα</t>
  </si>
  <si>
    <t>TJos.10.1</t>
  </si>
  <si>
    <t>νειστειας</t>
  </si>
  <si>
    <t>TJos.10.3</t>
  </si>
  <si>
    <t>συκοφαντεια</t>
  </si>
  <si>
    <t>συκοφαντια</t>
  </si>
  <si>
    <t>TJos.10.4</t>
  </si>
  <si>
    <t>πανττως</t>
  </si>
  <si>
    <t>TJos.10.5</t>
  </si>
  <si>
    <t>παρελωσεται</t>
  </si>
  <si>
    <t>TJos.11.1</t>
  </si>
  <si>
    <t>πραξι</t>
  </si>
  <si>
    <t>πραξει</t>
  </si>
  <si>
    <t>TJos.11.3</t>
  </si>
  <si>
    <t>TJos.11.5</t>
  </si>
  <si>
    <t>εμποριας</t>
  </si>
  <si>
    <t>εμπορειας</t>
  </si>
  <si>
    <t>TJos.11.6</t>
  </si>
  <si>
    <t>TJos.11.8</t>
  </si>
  <si>
    <t>TJos.12.1</t>
  </si>
  <si>
    <t>TJos.12.2</t>
  </si>
  <si>
    <t>TJos.12.3</t>
  </si>
  <si>
    <t>TJos.13.1</t>
  </si>
  <si>
    <t>πασθεις</t>
  </si>
  <si>
    <t>TJos.13.5</t>
  </si>
  <si>
    <t>TJos.13.6</t>
  </si>
  <si>
    <t>TJos.13.8</t>
  </si>
  <si>
    <t>TJos.13.9</t>
  </si>
  <si>
    <t>TJos.14.2</t>
  </si>
  <si>
    <t>ελθουσιν</t>
  </si>
  <si>
    <t>TJos.14.6</t>
  </si>
  <si>
    <t>τεσσαρας</t>
  </si>
  <si>
    <t>TJos.15.3</t>
  </si>
  <si>
    <t>TJos.16.2</t>
  </si>
  <si>
    <t>TJos.16.4</t>
  </si>
  <si>
    <t>φεισησθε</t>
  </si>
  <si>
    <t>φεισασθε</t>
  </si>
  <si>
    <t>παμενος</t>
  </si>
  <si>
    <t>TJos.17.1</t>
  </si>
  <si>
    <t>TJos.17.2</t>
  </si>
  <si>
    <t>TJos.17.3</t>
  </si>
  <si>
    <t>TJos.17.4</t>
  </si>
  <si>
    <t>ωνειδησα</t>
  </si>
  <si>
    <t>TJos.17.5</t>
  </si>
  <si>
    <t>TJos.18.2</t>
  </si>
  <si>
    <t>TJos.19.2</t>
  </si>
  <si>
    <t>TJos.19.8</t>
  </si>
  <si>
    <t>ωρμων</t>
  </si>
  <si>
    <t>TJos.19.11</t>
  </si>
  <si>
    <t>TJos.19.12</t>
  </si>
  <si>
    <t>TJos.20.1</t>
  </si>
  <si>
    <t>θλιψουσιν</t>
  </si>
  <si>
    <t>θλιουσιν</t>
  </si>
  <si>
    <t>TJos.20.5</t>
  </si>
  <si>
    <t>TJos.20.6</t>
  </si>
  <si>
    <t>περισταμενος</t>
  </si>
  <si>
    <t>TBen.1.1</t>
  </si>
  <si>
    <t>TBen.1.2</t>
  </si>
  <si>
    <t>TBen.1.3</t>
  </si>
  <si>
    <t>TBen.1.5</t>
  </si>
  <si>
    <t>TBen.1.6</t>
  </si>
  <si>
    <t>βενιαμιν</t>
  </si>
  <si>
    <t>βενιαμην</t>
  </si>
  <si>
    <t>TBen.2.1</t>
  </si>
  <si>
    <t>TBen.2.2</t>
  </si>
  <si>
    <t>TBen.2.4</t>
  </si>
  <si>
    <t>TBen.2.5</t>
  </si>
  <si>
    <t>TBen.3.1</t>
  </si>
  <si>
    <t>TBen.3.2</t>
  </si>
  <si>
    <t>TBen.3.3</t>
  </si>
  <si>
    <t>εξοιτησωνται</t>
  </si>
  <si>
    <t>κατακυριευση</t>
  </si>
  <si>
    <t>κατακιριευση</t>
  </si>
  <si>
    <t>TBen.3.4</t>
  </si>
  <si>
    <t>TBen.3.5</t>
  </si>
  <si>
    <t>TBen.3.7</t>
  </si>
  <si>
    <t>TBen.4.1</t>
  </si>
  <si>
    <t>ευσπλαγχνειαν</t>
  </si>
  <si>
    <t>ευσπλαγχνιαν</t>
  </si>
  <si>
    <t>TBen.4.2</t>
  </si>
  <si>
    <t>TBen.4.3</t>
  </si>
  <si>
    <t>σκεπαζομενον</t>
  </si>
  <si>
    <t>σκεπομενος</t>
  </si>
  <si>
    <t>TBen.5.1</t>
  </si>
  <si>
    <t>TBen.5.2</t>
  </si>
  <si>
    <t>φευξεται</t>
  </si>
  <si>
    <t>φευξονται</t>
  </si>
  <si>
    <t>TBen.5.4</t>
  </si>
  <si>
    <t>λοιδωρον</t>
  </si>
  <si>
    <t>λοιδορον</t>
  </si>
  <si>
    <t>TBen.6.1</t>
  </si>
  <si>
    <t>πλανου</t>
  </si>
  <si>
    <t>TBen.6.2</t>
  </si>
  <si>
    <t>TBen.6.3</t>
  </si>
  <si>
    <t>TBen.6.4</t>
  </si>
  <si>
    <t>λοιδωριαν</t>
  </si>
  <si>
    <t>TBen.6.5</t>
  </si>
  <si>
    <t>λυπεις</t>
  </si>
  <si>
    <t>TBen.6.6</t>
  </si>
  <si>
    <t>TBen.7.1</t>
  </si>
  <si>
    <t>πειθομενοις</t>
  </si>
  <si>
    <t>τειθομενοις</t>
  </si>
  <si>
    <t>TBen.7.2</t>
  </si>
  <si>
    <t>TBen.7.4</t>
  </si>
  <si>
    <t>λαμαχ</t>
  </si>
  <si>
    <t>TBen.8.1</t>
  </si>
  <si>
    <t>TBen.8.2</t>
  </si>
  <si>
    <t>TBen.8.3</t>
  </si>
  <si>
    <t>ψυχει</t>
  </si>
  <si>
    <t>ψυγει</t>
  </si>
  <si>
    <t>TBen.9.1</t>
  </si>
  <si>
    <t>απωλεισθε</t>
  </si>
  <si>
    <t>απολεισθε</t>
  </si>
  <si>
    <t>TBen.9.2</t>
  </si>
  <si>
    <t>μεγιδι</t>
  </si>
  <si>
    <t>TBen.9.4</t>
  </si>
  <si>
    <t>απλαυμα</t>
  </si>
  <si>
    <t>απλωμα</t>
  </si>
  <si>
    <t>TBen.9.5</t>
  </si>
  <si>
    <t>TBen.10.1</t>
  </si>
  <si>
    <t>TBen.10.3</t>
  </si>
  <si>
    <t>πλησιν</t>
  </si>
  <si>
    <t>TBen.10.4</t>
  </si>
  <si>
    <t>κληρονομιαις</t>
  </si>
  <si>
    <t>TBen.10.5</t>
  </si>
  <si>
    <t>TBen.10.6</t>
  </si>
  <si>
    <t>αντισταμενους</t>
  </si>
  <si>
    <t>TBen.10.8</t>
  </si>
  <si>
    <t>επιστουσαν</t>
  </si>
  <si>
    <t>επιστευσαν</t>
  </si>
  <si>
    <t>TBen.10.10</t>
  </si>
  <si>
    <t>ειδωλολατρειας</t>
  </si>
  <si>
    <t>ειδωλολατριας</t>
  </si>
  <si>
    <t>TBen.10.11</t>
  </si>
  <si>
    <t>πορευεσθε</t>
  </si>
  <si>
    <t>πορευησθε</t>
  </si>
  <si>
    <t>TBen.11.1</t>
  </si>
  <si>
    <t>λυμος</t>
  </si>
  <si>
    <t>TBen.11.2</t>
  </si>
  <si>
    <t>φονην</t>
  </si>
  <si>
    <t>φωνην</t>
  </si>
  <si>
    <t>TBen.11.3</t>
  </si>
  <si>
    <t>TBen.12.2</t>
  </si>
  <si>
    <t>TBen.12.3</t>
  </si>
  <si>
    <t>TBen.12.4</t>
  </si>
  <si>
    <t>TGad.1.3</t>
  </si>
  <si>
    <t>TGad.1.4</t>
  </si>
  <si>
    <t>εποιμανε</t>
  </si>
  <si>
    <t>TGad.1.5</t>
  </si>
  <si>
    <t>TGad.1.6</t>
  </si>
  <si>
    <t>ροβιμ</t>
  </si>
  <si>
    <t>TGad.1.7</t>
  </si>
  <si>
    <t>εξειλομην</t>
  </si>
  <si>
    <t>TGad.1.8</t>
  </si>
  <si>
    <t>TGad.1.9</t>
  </si>
  <si>
    <t>ηλεγξαν</t>
  </si>
  <si>
    <t>εσθιωμεν</t>
  </si>
  <si>
    <t>θρεμμωτα</t>
  </si>
  <si>
    <t>πριν αποθανειν</t>
  </si>
  <si>
    <t>πριν α αποθανειν</t>
  </si>
  <si>
    <t>although unclear due to damage, Barocci reads πριν η αποθανειν, as does the corrected form of Smith</t>
  </si>
  <si>
    <t>αρρωστουντι ρουβιμ</t>
  </si>
  <si>
    <t>αρρωστουντος ρουβιμ</t>
  </si>
  <si>
    <t>τοις υιοις μου</t>
  </si>
  <si>
    <t>Barocci lists an alternate/correction reading υιοις -&gt; αδελφοις</t>
  </si>
  <si>
    <t>πληγη μεγαλη</t>
  </si>
  <si>
    <t>πληγην μεγαλη</t>
  </si>
  <si>
    <t>γενηται εν ισραηλ</t>
  </si>
  <si>
    <t>γενηται εις ισραηλ</t>
  </si>
  <si>
    <t>κινησις γινεται δευτερον</t>
  </si>
  <si>
    <t>κινησις κτιζεται δευτερον</t>
  </si>
  <si>
    <t>δεδομενη εις ολκην</t>
  </si>
  <si>
    <t>δεδομεναι εις ολκην</t>
  </si>
  <si>
    <t>τουτο εσχατον εστι</t>
  </si>
  <si>
    <t>τουτο εσχανον εστι</t>
  </si>
  <si>
    <t>τον νεωτερισμον οδηγει</t>
  </si>
  <si>
    <t>τον νεωτερον οδηγει</t>
  </si>
  <si>
    <t>και εικων του θανατου</t>
  </si>
  <si>
    <t>και ειχων του θανατου</t>
  </si>
  <si>
    <t>περι εργειας</t>
  </si>
  <si>
    <t>και μεγαλοφρονη εκτον</t>
  </si>
  <si>
    <t>και μεγαλαυχεται εκτον</t>
  </si>
  <si>
    <t>λογους αυτου απο</t>
  </si>
  <si>
    <t>λογους αυτους απο</t>
  </si>
  <si>
    <t>κλοπη και</t>
  </si>
  <si>
    <t>κλοπαι και</t>
  </si>
  <si>
    <t>Barocci was unclear in image</t>
  </si>
  <si>
    <r>
      <t xml:space="preserve">υμων (10) κ μη </t>
    </r>
    <r>
      <rPr>
        <b/>
        <sz val="11"/>
        <color theme="1"/>
        <rFont val="Calibri"/>
        <family val="2"/>
        <scheme val="minor"/>
      </rPr>
      <t>προσεχετ</t>
    </r>
    <r>
      <rPr>
        <sz val="11"/>
        <color theme="1"/>
        <rFont val="Calibri"/>
        <family val="2"/>
        <scheme val="minor"/>
      </rPr>
      <t xml:space="preserve"> εις οψιν</t>
    </r>
  </si>
  <si>
    <r>
      <t xml:space="preserve">υμων (10) μη </t>
    </r>
    <r>
      <rPr>
        <b/>
        <sz val="11"/>
        <color theme="1"/>
        <rFont val="Calibri"/>
        <family val="2"/>
        <scheme val="minor"/>
      </rPr>
      <t>προσεχετε</t>
    </r>
    <r>
      <rPr>
        <sz val="11"/>
        <color theme="1"/>
        <rFont val="Calibri"/>
        <family val="2"/>
        <scheme val="minor"/>
      </rPr>
      <t xml:space="preserve"> εις οψιν</t>
    </r>
  </si>
  <si>
    <t>μητε ιδιαζετε μετα</t>
  </si>
  <si>
    <t>γαρ η διανοια</t>
  </si>
  <si>
    <t>γαρ διανοια</t>
  </si>
  <si>
    <t>ευφραντα</t>
  </si>
  <si>
    <r>
      <rPr>
        <b/>
        <sz val="11"/>
        <color theme="1"/>
        <rFont val="Calibri"/>
        <family val="2"/>
        <scheme val="minor"/>
      </rPr>
      <t>ευφρανθα</t>
    </r>
    <r>
      <rPr>
        <sz val="11"/>
        <color theme="1"/>
        <rFont val="Calibri"/>
        <family val="2"/>
        <scheme val="minor"/>
      </rPr>
      <t xml:space="preserve"> οικου βηθλεεμ</t>
    </r>
  </si>
  <si>
    <r>
      <t xml:space="preserve">ευφρανθα </t>
    </r>
    <r>
      <rPr>
        <b/>
        <sz val="11"/>
        <color theme="1"/>
        <rFont val="Calibri"/>
        <family val="2"/>
        <scheme val="minor"/>
      </rPr>
      <t>οικου</t>
    </r>
    <r>
      <rPr>
        <sz val="11"/>
        <color theme="1"/>
        <rFont val="Calibri"/>
        <family val="2"/>
        <scheme val="minor"/>
      </rPr>
      <t xml:space="preserve"> βηθλεεμ</t>
    </r>
  </si>
  <si>
    <r>
      <rPr>
        <b/>
        <sz val="11"/>
        <color theme="1"/>
        <rFont val="Calibri"/>
        <family val="2"/>
        <scheme val="minor"/>
      </rPr>
      <t>ευφρανεια</t>
    </r>
    <r>
      <rPr>
        <sz val="11"/>
        <color theme="1"/>
        <rFont val="Calibri"/>
        <family val="2"/>
        <scheme val="minor"/>
      </rPr>
      <t xml:space="preserve"> εν βεθλεεμ</t>
    </r>
  </si>
  <si>
    <r>
      <t xml:space="preserve">ευφρανεια </t>
    </r>
    <r>
      <rPr>
        <b/>
        <sz val="11"/>
        <color theme="1"/>
        <rFont val="Calibri"/>
        <family val="2"/>
        <scheme val="minor"/>
      </rPr>
      <t>εν</t>
    </r>
    <r>
      <rPr>
        <sz val="11"/>
        <color theme="1"/>
        <rFont val="Calibri"/>
        <family val="2"/>
        <scheme val="minor"/>
      </rPr>
      <t xml:space="preserve"> βεθλεεμ</t>
    </r>
  </si>
  <si>
    <r>
      <t xml:space="preserve">ευφρανθα οικου </t>
    </r>
    <r>
      <rPr>
        <b/>
        <sz val="11"/>
        <color theme="1"/>
        <rFont val="Calibri"/>
        <family val="2"/>
        <scheme val="minor"/>
      </rPr>
      <t>βηθλεεμ</t>
    </r>
  </si>
  <si>
    <r>
      <t xml:space="preserve">ευφρανεια εν </t>
    </r>
    <r>
      <rPr>
        <b/>
        <sz val="11"/>
        <color theme="1"/>
        <rFont val="Calibri"/>
        <family val="2"/>
        <scheme val="minor"/>
      </rPr>
      <t>βεθλεεμ</t>
    </r>
  </si>
  <si>
    <t>και ιδων την γυμνωσιν</t>
  </si>
  <si>
    <t>και ειδων την γυμνωσιν</t>
  </si>
  <si>
    <t>επ εμε</t>
  </si>
  <si>
    <t>επ με</t>
  </si>
  <si>
    <t>μη ουν</t>
  </si>
  <si>
    <t>m μη ουν</t>
  </si>
  <si>
    <t>καλλει γυναικων</t>
  </si>
  <si>
    <t>καλλει ην γυναικων</t>
  </si>
  <si>
    <t>πρς ημων</t>
  </si>
  <si>
    <t>πατρος ηυμων</t>
  </si>
  <si>
    <t>ουχ ημαρτον</t>
  </si>
  <si>
    <t>ουκ ημαρτον</t>
  </si>
  <si>
    <t>δια της πορνειας χωριζουσα θυ και</t>
  </si>
  <si>
    <t>δια πορνειας χωριζουσα [] θεου και</t>
  </si>
  <si>
    <r>
      <t xml:space="preserve">δια </t>
    </r>
    <r>
      <rPr>
        <b/>
        <sz val="11"/>
        <color theme="1"/>
        <rFont val="Calibri"/>
        <family val="2"/>
        <scheme val="minor"/>
      </rPr>
      <t>της</t>
    </r>
    <r>
      <rPr>
        <sz val="11"/>
        <color theme="1"/>
        <rFont val="Calibri"/>
        <family val="2"/>
        <scheme val="minor"/>
      </rPr>
      <t xml:space="preserve"> πορνειας χωριζουσα θυ και</t>
    </r>
  </si>
  <si>
    <r>
      <t xml:space="preserve">δια πορνειας χωριζουσα </t>
    </r>
    <r>
      <rPr>
        <b/>
        <sz val="11"/>
        <color theme="1"/>
        <rFont val="Calibri"/>
        <family val="2"/>
        <scheme val="minor"/>
      </rPr>
      <t>[]</t>
    </r>
    <r>
      <rPr>
        <sz val="11"/>
        <color theme="1"/>
        <rFont val="Calibri"/>
        <family val="2"/>
        <scheme val="minor"/>
      </rPr>
      <t xml:space="preserve"> θεου και</t>
    </r>
  </si>
  <si>
    <t>τις γερων η ευγενης</t>
  </si>
  <si>
    <t>τις γερσιν η ευγενης</t>
  </si>
  <si>
    <r>
      <t xml:space="preserve">ουκ </t>
    </r>
    <r>
      <rPr>
        <b/>
        <sz val="11"/>
        <color theme="1"/>
        <rFont val="Calibri"/>
        <family val="2"/>
        <scheme val="minor"/>
      </rPr>
      <t>εδεξατο</t>
    </r>
    <r>
      <rPr>
        <sz val="11"/>
        <color theme="1"/>
        <rFont val="Calibri"/>
        <family val="2"/>
        <scheme val="minor"/>
      </rPr>
      <t xml:space="preserve"> το διαβουλιον </t>
    </r>
  </si>
  <si>
    <r>
      <t xml:space="preserve">ουκ </t>
    </r>
    <r>
      <rPr>
        <b/>
        <sz val="11"/>
        <color theme="1"/>
        <rFont val="Calibri"/>
        <family val="2"/>
        <scheme val="minor"/>
      </rPr>
      <t>εδεξατα</t>
    </r>
    <r>
      <rPr>
        <sz val="11"/>
        <color theme="1"/>
        <rFont val="Calibri"/>
        <family val="2"/>
        <scheme val="minor"/>
      </rPr>
      <t xml:space="preserve"> το διαβολιον </t>
    </r>
  </si>
  <si>
    <r>
      <t xml:space="preserve">ουκ εδεξατο το </t>
    </r>
    <r>
      <rPr>
        <b/>
        <sz val="11"/>
        <color theme="1"/>
        <rFont val="Calibri"/>
        <family val="2"/>
        <scheme val="minor"/>
      </rPr>
      <t>διαβουλιον</t>
    </r>
    <r>
      <rPr>
        <sz val="11"/>
        <color theme="1"/>
        <rFont val="Calibri"/>
        <family val="2"/>
        <scheme val="minor"/>
      </rPr>
      <t xml:space="preserve"> </t>
    </r>
  </si>
  <si>
    <r>
      <t xml:space="preserve">ουκ εδεξατα το </t>
    </r>
    <r>
      <rPr>
        <b/>
        <sz val="11"/>
        <color theme="1"/>
        <rFont val="Calibri"/>
        <family val="2"/>
        <scheme val="minor"/>
      </rPr>
      <t>διαβολιον</t>
    </r>
    <r>
      <rPr>
        <sz val="11"/>
        <color theme="1"/>
        <rFont val="Calibri"/>
        <family val="2"/>
        <scheme val="minor"/>
      </rPr>
      <t xml:space="preserve"> </t>
    </r>
  </si>
  <si>
    <t>κατισχυση η πορνεια</t>
  </si>
  <si>
    <t>κατισχυσει η πορνεια</t>
  </si>
  <si>
    <t>εχουσα εξουσιαν</t>
  </si>
  <si>
    <t>εχουσαι εξουσιαν</t>
  </si>
  <si>
    <t>οτι καιγε περι</t>
  </si>
  <si>
    <t>οτι τι μαι καιγε περι</t>
  </si>
  <si>
    <t>αγγελος του θυ</t>
  </si>
  <si>
    <t>αγγελος του κυριου θεου</t>
  </si>
  <si>
    <t>κατα των πνων</t>
  </si>
  <si>
    <t>κατα των πνευματων</t>
  </si>
  <si>
    <t>ενσπειρουσαι και</t>
  </si>
  <si>
    <t>ενσπειρουσα και</t>
  </si>
  <si>
    <t>θυγατρασιν</t>
  </si>
  <si>
    <t>συνεχως ορωντες αυτας</t>
  </si>
  <si>
    <t>συνεχως ορων τας αυτας</t>
  </si>
  <si>
    <t>εν επιθυμια αλληλων</t>
  </si>
  <si>
    <t>εν το ιονυμια αλληλων</t>
  </si>
  <si>
    <t>αυτων ετεκον γιγαντας εφαινοντο</t>
  </si>
  <si>
    <t>αυτων ετεκοντισανται εφαινοντο</t>
  </si>
  <si>
    <t>μη συνδοιαζειν ανοις</t>
  </si>
  <si>
    <t>μη συνδοιαξειν ανθρωποις</t>
  </si>
  <si>
    <r>
      <rPr>
        <b/>
        <sz val="11"/>
        <color theme="1"/>
        <rFont val="Calibri"/>
        <family val="2"/>
        <scheme val="minor"/>
      </rPr>
      <t>εστι</t>
    </r>
    <r>
      <rPr>
        <sz val="11"/>
        <color theme="1"/>
        <rFont val="Calibri"/>
        <family val="2"/>
        <scheme val="minor"/>
      </rPr>
      <t xml:space="preserve"> νοσος ανιατος</t>
    </r>
  </si>
  <si>
    <r>
      <rPr>
        <b/>
        <sz val="11"/>
        <color theme="1"/>
        <rFont val="Calibri"/>
        <family val="2"/>
        <scheme val="minor"/>
      </rPr>
      <t>εστιν</t>
    </r>
    <r>
      <rPr>
        <sz val="11"/>
        <color theme="1"/>
        <rFont val="Calibri"/>
        <family val="2"/>
        <scheme val="minor"/>
      </rPr>
      <t xml:space="preserve"> νοσας ανιατος</t>
    </r>
  </si>
  <si>
    <r>
      <t xml:space="preserve">εστιν </t>
    </r>
    <r>
      <rPr>
        <b/>
        <sz val="11"/>
        <color theme="1"/>
        <rFont val="Calibri"/>
        <family val="2"/>
        <scheme val="minor"/>
      </rPr>
      <t>νοσας</t>
    </r>
    <r>
      <rPr>
        <sz val="11"/>
        <color theme="1"/>
        <rFont val="Calibri"/>
        <family val="2"/>
        <scheme val="minor"/>
      </rPr>
      <t xml:space="preserve"> ανιατος</t>
    </r>
  </si>
  <si>
    <r>
      <t xml:space="preserve">εστι </t>
    </r>
    <r>
      <rPr>
        <b/>
        <sz val="11"/>
        <color theme="1"/>
        <rFont val="Calibri"/>
        <family val="2"/>
        <scheme val="minor"/>
      </rPr>
      <t>νοσος</t>
    </r>
    <r>
      <rPr>
        <sz val="11"/>
        <color theme="1"/>
        <rFont val="Calibri"/>
        <family val="2"/>
        <scheme val="minor"/>
      </rPr>
      <t xml:space="preserve"> ανιατος</t>
    </r>
  </si>
  <si>
    <t>ζηλοωσετε τοις υιοις λευι</t>
  </si>
  <si>
    <t>ζηλοωσετε τους υιους λευι</t>
  </si>
  <si>
    <t>εκδικησιν αυτων και</t>
  </si>
  <si>
    <t>εκ δικησιν αυτου και</t>
  </si>
  <si>
    <t>και τω ιουδα</t>
  </si>
  <si>
    <t>και την ιουδα</t>
  </si>
  <si>
    <t>οτι σωσετε νομον</t>
  </si>
  <si>
    <r>
      <t xml:space="preserve">οτι </t>
    </r>
    <r>
      <rPr>
        <b/>
        <sz val="11"/>
        <color theme="1"/>
        <rFont val="Calibri"/>
        <family val="2"/>
        <scheme val="minor"/>
      </rPr>
      <t>αυτος</t>
    </r>
    <r>
      <rPr>
        <sz val="11"/>
        <color theme="1"/>
        <rFont val="Calibri"/>
        <family val="2"/>
        <scheme val="minor"/>
      </rPr>
      <t xml:space="preserve"> γνωσετε νομον</t>
    </r>
  </si>
  <si>
    <r>
      <t xml:space="preserve">οτι αυτος </t>
    </r>
    <r>
      <rPr>
        <b/>
        <sz val="11"/>
        <color theme="1"/>
        <rFont val="Calibri"/>
        <family val="2"/>
        <scheme val="minor"/>
      </rPr>
      <t>γνωσετε</t>
    </r>
    <r>
      <rPr>
        <sz val="11"/>
        <color theme="1"/>
        <rFont val="Calibri"/>
        <family val="2"/>
        <scheme val="minor"/>
      </rPr>
      <t xml:space="preserve"> νομον</t>
    </r>
  </si>
  <si>
    <r>
      <t xml:space="preserve">οτι </t>
    </r>
    <r>
      <rPr>
        <b/>
        <sz val="11"/>
        <color theme="1"/>
        <rFont val="Calibri"/>
        <family val="2"/>
        <scheme val="minor"/>
      </rPr>
      <t>σωσετε</t>
    </r>
    <r>
      <rPr>
        <sz val="11"/>
        <color theme="1"/>
        <rFont val="Calibri"/>
        <family val="2"/>
        <scheme val="minor"/>
      </rPr>
      <t xml:space="preserve"> νομον</t>
    </r>
  </si>
  <si>
    <t>ουνου ποιησαι αληθειαν</t>
  </si>
  <si>
    <t>ουρανου ποιησας αληθειαν</t>
  </si>
  <si>
    <t>πλησιον αυτου και αγαπην</t>
  </si>
  <si>
    <t>πλησιον αυτ και αγαπην</t>
  </si>
  <si>
    <t>παντων των λαων</t>
  </si>
  <si>
    <t>παντων λαων</t>
  </si>
  <si>
    <t>υπερ ημων</t>
  </si>
  <si>
    <t>υπερ υμων</t>
  </si>
  <si>
    <t>αορατοις και εσται εν υμιν</t>
  </si>
  <si>
    <t>αορατοις εν υμιν</t>
  </si>
  <si>
    <t>εν τω σπηλαιω</t>
  </si>
  <si>
    <t>εν τω επηλαιω</t>
  </si>
  <si>
    <t>προ του αποθανειν</t>
  </si>
  <si>
    <t>προ τ αποθανειν</t>
  </si>
  <si>
    <t>ειπεν (2:1) ακουσατε</t>
  </si>
  <si>
    <t>ειπεν αυτοις (2:1) ακουσατε</t>
  </si>
  <si>
    <t>Barocci seems to be εζηλωσαν</t>
  </si>
  <si>
    <t>εξηλωσαν τω ιωσηφ</t>
  </si>
  <si>
    <r>
      <rPr>
        <b/>
        <sz val="11"/>
        <color theme="1"/>
        <rFont val="Calibri"/>
        <family val="2"/>
        <scheme val="minor"/>
      </rPr>
      <t>εζηλωσα</t>
    </r>
    <r>
      <rPr>
        <sz val="11"/>
        <color theme="1"/>
        <rFont val="Calibri"/>
        <family val="2"/>
        <scheme val="minor"/>
      </rPr>
      <t xml:space="preserve"> τον ιωσηφ</t>
    </r>
  </si>
  <si>
    <r>
      <t xml:space="preserve">εζηλωσα </t>
    </r>
    <r>
      <rPr>
        <b/>
        <sz val="11"/>
        <color theme="1"/>
        <rFont val="Calibri"/>
        <family val="2"/>
        <scheme val="minor"/>
      </rPr>
      <t>τον</t>
    </r>
    <r>
      <rPr>
        <sz val="11"/>
        <color theme="1"/>
        <rFont val="Calibri"/>
        <family val="2"/>
        <scheme val="minor"/>
      </rPr>
      <t xml:space="preserve"> ιωσηφ</t>
    </r>
  </si>
  <si>
    <r>
      <t xml:space="preserve">εξηλωσαν </t>
    </r>
    <r>
      <rPr>
        <b/>
        <sz val="11"/>
        <color theme="1"/>
        <rFont val="Calibri"/>
        <family val="2"/>
        <scheme val="minor"/>
      </rPr>
      <t>τω</t>
    </r>
    <r>
      <rPr>
        <sz val="11"/>
        <color theme="1"/>
        <rFont val="Calibri"/>
        <family val="2"/>
        <scheme val="minor"/>
      </rPr>
      <t xml:space="preserve"> ιωσηφ</t>
    </r>
  </si>
  <si>
    <t>πρι ημων</t>
  </si>
  <si>
    <t>πατρι υμων</t>
  </si>
  <si>
    <t>πνευμα του ζηλου</t>
  </si>
  <si>
    <t>πνα [] του ζηλου</t>
  </si>
  <si>
    <t>εξειλατο (9) ως γαρ</t>
  </si>
  <si>
    <t>δοθαι οπου</t>
  </si>
  <si>
    <t>δοθαιμ οπου</t>
  </si>
  <si>
    <t>ημερας ξ (13) και εγνων</t>
  </si>
  <si>
    <t>ημερας ξ ξ (13) και εγνων</t>
  </si>
  <si>
    <t>εαν γαρ τις</t>
  </si>
  <si>
    <t>καταφευγη αποτρεχει</t>
  </si>
  <si>
    <t>καταφυγειν αποτρεχει</t>
  </si>
  <si>
    <t>Smith corrects καταφυγειν -&gt; καταφυγει</t>
  </si>
  <si>
    <t>πνα απ αυτου</t>
  </si>
  <si>
    <t>πνευμα επ αυτου</t>
  </si>
  <si>
    <t>διανοια κουφη (6) και</t>
  </si>
  <si>
    <t>διανοια (6) και</t>
  </si>
  <si>
    <t>σκυθρωπον και ελεγον</t>
  </si>
  <si>
    <t>παρα παντας οτι</t>
  </si>
  <si>
    <t>παρα παντα οτι</t>
  </si>
  <si>
    <t>ουκ ελυπομην (4) ιωσηφ</t>
  </si>
  <si>
    <t>ουκ ελυπουμην (4) ιωσηφ</t>
  </si>
  <si>
    <t>και ελεημων ουκ εμνησικακησε</t>
  </si>
  <si>
    <r>
      <t xml:space="preserve">και </t>
    </r>
    <r>
      <rPr>
        <b/>
        <sz val="11"/>
        <color theme="1"/>
        <rFont val="Calibri"/>
        <family val="2"/>
        <scheme val="minor"/>
      </rPr>
      <t>ελεημων</t>
    </r>
    <r>
      <rPr>
        <sz val="11"/>
        <color theme="1"/>
        <rFont val="Calibri"/>
        <family val="2"/>
        <scheme val="minor"/>
      </rPr>
      <t xml:space="preserve"> ουκ εμνησικακησε</t>
    </r>
  </si>
  <si>
    <r>
      <t xml:space="preserve">και </t>
    </r>
    <r>
      <rPr>
        <b/>
        <sz val="11"/>
        <color theme="1"/>
        <rFont val="Calibri"/>
        <family val="2"/>
        <scheme val="minor"/>
      </rPr>
      <t>ελεημνν</t>
    </r>
    <r>
      <rPr>
        <sz val="11"/>
        <color theme="1"/>
        <rFont val="Calibri"/>
        <family val="2"/>
        <scheme val="minor"/>
      </rPr>
      <t xml:space="preserve"> και ουκ εμνησικακησε</t>
    </r>
  </si>
  <si>
    <r>
      <t xml:space="preserve">και ελεημνν </t>
    </r>
    <r>
      <rPr>
        <b/>
        <sz val="11"/>
        <color theme="1"/>
        <rFont val="Calibri"/>
        <family val="2"/>
        <scheme val="minor"/>
      </rPr>
      <t>και</t>
    </r>
    <r>
      <rPr>
        <sz val="11"/>
        <color theme="1"/>
        <rFont val="Calibri"/>
        <family val="2"/>
        <scheme val="minor"/>
      </rPr>
      <t xml:space="preserve"> ουκ εμνησικακησε</t>
    </r>
  </si>
  <si>
    <t>αγαθη καρδιας ινα</t>
  </si>
  <si>
    <t>αγαθ[η] καρδια ινα</t>
  </si>
  <si>
    <t>τους υιους</t>
  </si>
  <si>
    <t>τους υ υιους</t>
  </si>
  <si>
    <r>
      <t xml:space="preserve">και </t>
    </r>
    <r>
      <rPr>
        <b/>
        <sz val="11"/>
        <color theme="1"/>
        <rFont val="Calibri"/>
        <family val="2"/>
        <scheme val="minor"/>
      </rPr>
      <t>καρπους</t>
    </r>
    <r>
      <rPr>
        <sz val="11"/>
        <color theme="1"/>
        <rFont val="Calibri"/>
        <family val="2"/>
        <scheme val="minor"/>
      </rPr>
      <t xml:space="preserve"> εχαρισατο πασιν ημιν</t>
    </r>
  </si>
  <si>
    <r>
      <t xml:space="preserve">και </t>
    </r>
    <r>
      <rPr>
        <b/>
        <sz val="11"/>
        <color theme="1"/>
        <rFont val="Calibri"/>
        <family val="2"/>
        <scheme val="minor"/>
      </rPr>
      <t>καρπον</t>
    </r>
    <r>
      <rPr>
        <sz val="11"/>
        <color theme="1"/>
        <rFont val="Calibri"/>
        <family val="2"/>
        <scheme val="minor"/>
      </rPr>
      <t xml:space="preserve"> εχαρισατο πασι ημιν</t>
    </r>
  </si>
  <si>
    <r>
      <t xml:space="preserve">και καρπον εχαρισατο </t>
    </r>
    <r>
      <rPr>
        <b/>
        <sz val="11"/>
        <color theme="1"/>
        <rFont val="Calibri"/>
        <family val="2"/>
        <scheme val="minor"/>
      </rPr>
      <t>πασι</t>
    </r>
    <r>
      <rPr>
        <sz val="11"/>
        <color theme="1"/>
        <rFont val="Calibri"/>
        <family val="2"/>
        <scheme val="minor"/>
      </rPr>
      <t xml:space="preserve"> ημιν</t>
    </r>
  </si>
  <si>
    <r>
      <t xml:space="preserve">και καρπους εχαρισατο </t>
    </r>
    <r>
      <rPr>
        <b/>
        <sz val="11"/>
        <color theme="1"/>
        <rFont val="Calibri"/>
        <family val="2"/>
        <scheme val="minor"/>
      </rPr>
      <t>πασιν</t>
    </r>
    <r>
      <rPr>
        <sz val="11"/>
        <color theme="1"/>
        <rFont val="Calibri"/>
        <family val="2"/>
        <scheme val="minor"/>
      </rPr>
      <t xml:space="preserve"> ημιν</t>
    </r>
  </si>
  <si>
    <t>και φθειρει</t>
  </si>
  <si>
    <t>και οφθειρει</t>
  </si>
  <si>
    <t>αιματα παροξυνει και</t>
  </si>
  <si>
    <t>αιματα παροξυειει και</t>
  </si>
  <si>
    <t>ιοβολον</t>
  </si>
  <si>
    <t>πνευματος και προσωπον</t>
  </si>
  <si>
    <t>πνς το προσωπον</t>
  </si>
  <si>
    <t>φυλασσεσθε</t>
  </si>
  <si>
    <t>πορνεια μηρ εστι</t>
  </si>
  <si>
    <t>πορνεια κητηρ εστι</t>
  </si>
  <si>
    <t>υμας εν πορνεια</t>
  </si>
  <si>
    <t>υμας αν πορνεια</t>
  </si>
  <si>
    <t>λευι και εν τω ιουδα</t>
  </si>
  <si>
    <t>λευι εν εν τω ιουδα</t>
  </si>
  <si>
    <t>ουκ εσται εξ υμων</t>
  </si>
  <si>
    <t>ουκ εστι εξ υμων</t>
  </si>
  <si>
    <t>προεφητευσεν</t>
  </si>
  <si>
    <t>προειρηκα υμιν</t>
  </si>
  <si>
    <t>προειρηκας υμιν</t>
  </si>
  <si>
    <t>εν ευφροσυνη</t>
  </si>
  <si>
    <t>εν τη φροσυνη</t>
  </si>
  <si>
    <t>εσωσεν αυτους</t>
  </si>
  <si>
    <t>εσωσεν αυτοις</t>
  </si>
  <si>
    <t>αυτων ανατελει</t>
  </si>
  <si>
    <t>αυτων ενατελει</t>
  </si>
  <si>
    <t>ουτος σωσει</t>
  </si>
  <si>
    <t>ουτως σωσει</t>
  </si>
  <si>
    <t>φυλαξωσιν αυτα εις</t>
  </si>
  <si>
    <t>φυλαξωσιν αυτας εις</t>
  </si>
  <si>
    <t>συμεων εντελλομενος τοις</t>
  </si>
  <si>
    <t>συμεων εντελλομαι τοις</t>
  </si>
  <si>
    <t>των πρων αυτου</t>
  </si>
  <si>
    <t>των πνευματων αυτου</t>
  </si>
  <si>
    <t>οστα αυτου εν χεβρων</t>
  </si>
  <si>
    <t>οστα ιωσηφ αυτου εν χεβρων</t>
  </si>
  <si>
    <t>αιγυπτιων</t>
  </si>
  <si>
    <t>εκαστον τον αδελφον</t>
  </si>
  <si>
    <t>εκαστον αδελφον</t>
  </si>
  <si>
    <t>εως ημερας εξοδου</t>
  </si>
  <si>
    <t>εως ημερασας εξοδου</t>
  </si>
  <si>
    <t>χειρι μωυση (T Lev Ins.) λευι</t>
  </si>
  <si>
    <t>χειρι μωυσης (T Lev Ins.) λευι</t>
  </si>
  <si>
    <t>ην οτε εκαλεσεν</t>
  </si>
  <si>
    <t>ην οτι εκαλεσεν</t>
  </si>
  <si>
    <t>οτε δε συνηχθησαν</t>
  </si>
  <si>
    <t>οτε συνηχθησαν</t>
  </si>
  <si>
    <t>ειπε προς</t>
  </si>
  <si>
    <t>ειπει προς</t>
  </si>
  <si>
    <t>αγγελος κυριου θεου</t>
  </si>
  <si>
    <t>αγγελος θυ</t>
  </si>
  <si>
    <t>περι των επτα ουνων</t>
  </si>
  <si>
    <t>περι επτα ουρανων</t>
  </si>
  <si>
    <t>τα πνα των επαγαγων</t>
  </si>
  <si>
    <t>τα πνευματα των επαγαγων</t>
  </si>
  <si>
    <t>των ανων (3) εν τω</t>
  </si>
  <si>
    <t>των ανθρωπον (3) εν τω</t>
  </si>
  <si>
    <t>παντων καταλυει</t>
  </si>
  <si>
    <t xml:space="preserve">λειτουργουντες και εξιλασκομενοι </t>
  </si>
  <si>
    <t xml:space="preserve">λειτουργουντες εξιλασκομενοι </t>
  </si>
  <si>
    <t>ταις αγνοιαις</t>
  </si>
  <si>
    <t>ταις αγγοιας</t>
  </si>
  <si>
    <t>εν ω αει</t>
  </si>
  <si>
    <t>εν σ αει</t>
  </si>
  <si>
    <t>επιβλεψη ο κυριος</t>
  </si>
  <si>
    <t>επιβλεψη κς</t>
  </si>
  <si>
    <r>
      <t xml:space="preserve">παντες </t>
    </r>
    <r>
      <rPr>
        <b/>
        <sz val="11"/>
        <color theme="1"/>
        <rFont val="Calibri"/>
        <family val="2"/>
        <scheme val="minor"/>
      </rPr>
      <t>ημεις</t>
    </r>
    <r>
      <rPr>
        <sz val="11"/>
        <color theme="1"/>
        <rFont val="Calibri"/>
        <family val="2"/>
        <scheme val="minor"/>
      </rPr>
      <t xml:space="preserve"> σαλευομεθα</t>
    </r>
  </si>
  <si>
    <r>
      <t xml:space="preserve">παντες </t>
    </r>
    <r>
      <rPr>
        <b/>
        <sz val="11"/>
        <color theme="1"/>
        <rFont val="Calibri"/>
        <family val="2"/>
        <scheme val="minor"/>
      </rPr>
      <t>υμεις</t>
    </r>
    <r>
      <rPr>
        <sz val="11"/>
        <color theme="1"/>
        <rFont val="Calibri"/>
        <family val="2"/>
        <scheme val="minor"/>
      </rPr>
      <t xml:space="preserve"> σαλειομεθα</t>
    </r>
  </si>
  <si>
    <r>
      <t xml:space="preserve">παντες ημεις </t>
    </r>
    <r>
      <rPr>
        <b/>
        <sz val="11"/>
        <color theme="1"/>
        <rFont val="Calibri"/>
        <family val="2"/>
        <scheme val="minor"/>
      </rPr>
      <t>σαλευομεθα</t>
    </r>
  </si>
  <si>
    <r>
      <t xml:space="preserve">παντες υμεις </t>
    </r>
    <r>
      <rPr>
        <b/>
        <sz val="11"/>
        <color theme="1"/>
        <rFont val="Calibri"/>
        <family val="2"/>
        <scheme val="minor"/>
      </rPr>
      <t>σαλειομεθα</t>
    </r>
  </si>
  <si>
    <t>οι αβυσσοι</t>
  </si>
  <si>
    <t>αι αβυσσοι</t>
  </si>
  <si>
    <t>τους υιων των ανων</t>
  </si>
  <si>
    <t>τους υιους των ανθρωπων</t>
  </si>
  <si>
    <t>σχιζομενων</t>
  </si>
  <si>
    <t>κλονουμενης</t>
  </si>
  <si>
    <t>πνων</t>
  </si>
  <si>
    <t>υψιστου αι ανθρωποι</t>
  </si>
  <si>
    <t>υψιστου oι ανοι</t>
  </si>
  <si>
    <t>γνωσεως φωτιει</t>
  </si>
  <si>
    <t>γνωσεως φφτιει</t>
  </si>
  <si>
    <t>επ αυτον γε του</t>
  </si>
  <si>
    <t>επ αυτον σε του</t>
  </si>
  <si>
    <t>σου περι τουτου</t>
  </si>
  <si>
    <t>σου του περι τουτου</t>
  </si>
  <si>
    <r>
      <t xml:space="preserve">ευλογων </t>
    </r>
    <r>
      <rPr>
        <b/>
        <sz val="11"/>
        <color theme="1"/>
        <rFont val="Calibri"/>
        <family val="2"/>
        <scheme val="minor"/>
      </rPr>
      <t>αυτον</t>
    </r>
    <r>
      <rPr>
        <sz val="11"/>
        <color theme="1"/>
        <rFont val="Calibri"/>
        <family val="2"/>
        <scheme val="minor"/>
      </rPr>
      <t xml:space="preserve"> ευλογημενοι εσται</t>
    </r>
  </si>
  <si>
    <r>
      <t xml:space="preserve">ευλογων </t>
    </r>
    <r>
      <rPr>
        <b/>
        <sz val="11"/>
        <color theme="1"/>
        <rFont val="Calibri"/>
        <family val="2"/>
        <scheme val="minor"/>
      </rPr>
      <t>ααυτον</t>
    </r>
    <r>
      <rPr>
        <sz val="11"/>
        <color theme="1"/>
        <rFont val="Calibri"/>
        <family val="2"/>
        <scheme val="minor"/>
      </rPr>
      <t xml:space="preserve"> ευλογημεγοις εσται</t>
    </r>
  </si>
  <si>
    <r>
      <t xml:space="preserve">ευλογων ααυτον </t>
    </r>
    <r>
      <rPr>
        <b/>
        <sz val="11"/>
        <color theme="1"/>
        <rFont val="Calibri"/>
        <family val="2"/>
        <scheme val="minor"/>
      </rPr>
      <t>ευλογημεγοις</t>
    </r>
    <r>
      <rPr>
        <sz val="11"/>
        <color theme="1"/>
        <rFont val="Calibri"/>
        <family val="2"/>
        <scheme val="minor"/>
      </rPr>
      <t xml:space="preserve"> εσται</t>
    </r>
  </si>
  <si>
    <r>
      <t xml:space="preserve">ευλογων αυτον </t>
    </r>
    <r>
      <rPr>
        <b/>
        <sz val="11"/>
        <color theme="1"/>
        <rFont val="Calibri"/>
        <family val="2"/>
        <scheme val="minor"/>
      </rPr>
      <t>ευλογημενοι</t>
    </r>
    <r>
      <rPr>
        <sz val="11"/>
        <color theme="1"/>
        <rFont val="Calibri"/>
        <family val="2"/>
        <scheme val="minor"/>
      </rPr>
      <t xml:space="preserve"> εσται</t>
    </r>
  </si>
  <si>
    <t>επι θρονον δοξης</t>
  </si>
  <si>
    <t>επι θρονου δοξης</t>
  </si>
  <si>
    <t>ειπε ποιησον</t>
  </si>
  <si>
    <t>ειπε κοιησον</t>
  </si>
  <si>
    <t>κς απεστειλε</t>
  </si>
  <si>
    <t>κυριος α απεστειλε</t>
  </si>
  <si>
    <t>συνετελεσαι τω καιρω</t>
  </si>
  <si>
    <t>συνελελεσα τω καιρω</t>
  </si>
  <si>
    <t>Barocci seems to have corrected συνετελεσαι -&gt; συνετελεσα</t>
  </si>
  <si>
    <t>επικαλωμαι σε εν ημερα</t>
  </si>
  <si>
    <t>επικαλωμαι σει εν ημερα</t>
  </si>
  <si>
    <t>και ειπε εγω ειμι</t>
  </si>
  <si>
    <r>
      <t xml:space="preserve">και </t>
    </r>
    <r>
      <rPr>
        <b/>
        <sz val="11"/>
        <color theme="1"/>
        <rFont val="Calibri"/>
        <family val="2"/>
        <scheme val="minor"/>
      </rPr>
      <t>και</t>
    </r>
    <r>
      <rPr>
        <sz val="11"/>
        <color theme="1"/>
        <rFont val="Calibri"/>
        <family val="2"/>
        <scheme val="minor"/>
      </rPr>
      <t xml:space="preserve"> ειπε μοι εγω ειμι</t>
    </r>
  </si>
  <si>
    <r>
      <t xml:space="preserve">και και ειπε </t>
    </r>
    <r>
      <rPr>
        <b/>
        <sz val="11"/>
        <color theme="1"/>
        <rFont val="Calibri"/>
        <family val="2"/>
        <scheme val="minor"/>
      </rPr>
      <t>μοι</t>
    </r>
    <r>
      <rPr>
        <sz val="11"/>
        <color theme="1"/>
        <rFont val="Calibri"/>
        <family val="2"/>
        <scheme val="minor"/>
      </rPr>
      <t xml:space="preserve"> εγω ειμι</t>
    </r>
  </si>
  <si>
    <t>αγγελος</t>
  </si>
  <si>
    <t>ασπιδα χαλκην</t>
  </si>
  <si>
    <t>ασπιδα καλκην</t>
  </si>
  <si>
    <t>γεβαλ</t>
  </si>
  <si>
    <t>τω πρι μου και ρουβιμ</t>
  </si>
  <si>
    <r>
      <t xml:space="preserve">τω πρι </t>
    </r>
    <r>
      <rPr>
        <b/>
        <sz val="11"/>
        <color theme="1"/>
        <rFont val="Calibri"/>
        <family val="2"/>
        <scheme val="minor"/>
      </rPr>
      <t>μου</t>
    </r>
    <r>
      <rPr>
        <sz val="11"/>
        <color theme="1"/>
        <rFont val="Calibri"/>
        <family val="2"/>
        <scheme val="minor"/>
      </rPr>
      <t xml:space="preserve"> και ρουβιμ</t>
    </r>
  </si>
  <si>
    <r>
      <t xml:space="preserve">τω πατρι </t>
    </r>
    <r>
      <rPr>
        <b/>
        <sz val="11"/>
        <color theme="1"/>
        <rFont val="Calibri"/>
        <family val="2"/>
        <scheme val="minor"/>
      </rPr>
      <t>μους</t>
    </r>
    <r>
      <rPr>
        <sz val="11"/>
        <color theme="1"/>
        <rFont val="Calibri"/>
        <family val="2"/>
        <scheme val="minor"/>
      </rPr>
      <t xml:space="preserve"> και τω ρουβιμ</t>
    </r>
  </si>
  <si>
    <r>
      <t xml:space="preserve">τω πατρι μους και </t>
    </r>
    <r>
      <rPr>
        <b/>
        <sz val="11"/>
        <color theme="1"/>
        <rFont val="Calibri"/>
        <family val="2"/>
        <scheme val="minor"/>
      </rPr>
      <t>τω</t>
    </r>
    <r>
      <rPr>
        <sz val="11"/>
        <color theme="1"/>
        <rFont val="Calibri"/>
        <family val="2"/>
        <scheme val="minor"/>
      </rPr>
      <t xml:space="preserve"> ρουβιμ</t>
    </r>
  </si>
  <si>
    <t>εδιωξαν</t>
  </si>
  <si>
    <t>οικογενη</t>
  </si>
  <si>
    <r>
      <t xml:space="preserve">αρπαζοντες </t>
    </r>
    <r>
      <rPr>
        <b/>
        <sz val="11"/>
        <color theme="1"/>
        <rFont val="Calibri"/>
        <family val="2"/>
        <scheme val="minor"/>
      </rPr>
      <t>τας</t>
    </r>
    <r>
      <rPr>
        <sz val="11"/>
        <color theme="1"/>
        <rFont val="Calibri"/>
        <family val="2"/>
        <scheme val="minor"/>
      </rPr>
      <t xml:space="preserve"> ξενας και ξενηλατοιωτες (11) εφθασε </t>
    </r>
  </si>
  <si>
    <r>
      <t xml:space="preserve">αρπαζοντες </t>
    </r>
    <r>
      <rPr>
        <b/>
        <sz val="11"/>
        <color theme="1"/>
        <rFont val="Calibri"/>
        <family val="2"/>
        <scheme val="minor"/>
      </rPr>
      <t>τους</t>
    </r>
    <r>
      <rPr>
        <sz val="11"/>
        <color theme="1"/>
        <rFont val="Calibri"/>
        <family val="2"/>
        <scheme val="minor"/>
      </rPr>
      <t xml:space="preserve"> ξενας και ξενηλα (11) εφθασε </t>
    </r>
  </si>
  <si>
    <r>
      <t xml:space="preserve">αρπαζοντες τας ξενας και </t>
    </r>
    <r>
      <rPr>
        <b/>
        <sz val="11"/>
        <color theme="1"/>
        <rFont val="Calibri"/>
        <family val="2"/>
        <scheme val="minor"/>
      </rPr>
      <t>ξενηλατοιωτες</t>
    </r>
    <r>
      <rPr>
        <sz val="11"/>
        <color theme="1"/>
        <rFont val="Calibri"/>
        <family val="2"/>
        <scheme val="minor"/>
      </rPr>
      <t xml:space="preserve"> (11) εφθασε </t>
    </r>
  </si>
  <si>
    <r>
      <t xml:space="preserve">αρπαζοντες τους ξενας και </t>
    </r>
    <r>
      <rPr>
        <b/>
        <sz val="11"/>
        <color theme="1"/>
        <rFont val="Calibri"/>
        <family val="2"/>
        <scheme val="minor"/>
      </rPr>
      <t>ξενηλα</t>
    </r>
    <r>
      <rPr>
        <sz val="11"/>
        <color theme="1"/>
        <rFont val="Calibri"/>
        <family val="2"/>
        <scheme val="minor"/>
      </rPr>
      <t xml:space="preserve"> (11) εφθασε </t>
    </r>
  </si>
  <si>
    <t>Smith omits the word entirely</t>
  </si>
  <si>
    <t>οργη κυ</t>
  </si>
  <si>
    <t>ορκη κυριου</t>
  </si>
  <si>
    <t>και ειπον τω πρι μη οργιζου κε ιακωβ</t>
  </si>
  <si>
    <r>
      <t xml:space="preserve">και </t>
    </r>
    <r>
      <rPr>
        <b/>
        <sz val="11"/>
        <color theme="1"/>
        <rFont val="Calibri"/>
        <family val="2"/>
        <scheme val="minor"/>
      </rPr>
      <t>ειπον</t>
    </r>
    <r>
      <rPr>
        <sz val="11"/>
        <color theme="1"/>
        <rFont val="Calibri"/>
        <family val="2"/>
        <scheme val="minor"/>
      </rPr>
      <t xml:space="preserve"> τω πρι μη οργιζου κε ιακωβ</t>
    </r>
  </si>
  <si>
    <r>
      <t xml:space="preserve">και </t>
    </r>
    <r>
      <rPr>
        <b/>
        <sz val="11"/>
        <color theme="1"/>
        <rFont val="Calibri"/>
        <family val="2"/>
        <scheme val="minor"/>
      </rPr>
      <t>ειπε</t>
    </r>
    <r>
      <rPr>
        <sz val="11"/>
        <color theme="1"/>
        <rFont val="Calibri"/>
        <family val="2"/>
        <scheme val="minor"/>
      </rPr>
      <t xml:space="preserve"> τω πατρι μου μη οργιζου κατα ιακωβ</t>
    </r>
  </si>
  <si>
    <r>
      <t xml:space="preserve">και ειπε τω πατρι </t>
    </r>
    <r>
      <rPr>
        <b/>
        <sz val="11"/>
        <color theme="1"/>
        <rFont val="Calibri"/>
        <family val="2"/>
        <scheme val="minor"/>
      </rPr>
      <t>μου</t>
    </r>
    <r>
      <rPr>
        <sz val="11"/>
        <color theme="1"/>
        <rFont val="Calibri"/>
        <family val="2"/>
        <scheme val="minor"/>
      </rPr>
      <t xml:space="preserve"> μη οργιζου κατα ιακωβ</t>
    </r>
  </si>
  <si>
    <r>
      <t xml:space="preserve">και ειπον τω πρι μη οργιζου </t>
    </r>
    <r>
      <rPr>
        <b/>
        <sz val="11"/>
        <color theme="1"/>
        <rFont val="Calibri"/>
        <family val="2"/>
        <scheme val="minor"/>
      </rPr>
      <t>κε</t>
    </r>
    <r>
      <rPr>
        <sz val="11"/>
        <color theme="1"/>
        <rFont val="Calibri"/>
        <family val="2"/>
        <scheme val="minor"/>
      </rPr>
      <t xml:space="preserve"> ιακωβ</t>
    </r>
  </si>
  <si>
    <r>
      <t xml:space="preserve">και ειπε τω πατρι μου μη οργιζου </t>
    </r>
    <r>
      <rPr>
        <b/>
        <sz val="11"/>
        <color theme="1"/>
        <rFont val="Calibri"/>
        <family val="2"/>
        <scheme val="minor"/>
      </rPr>
      <t>κατα</t>
    </r>
    <r>
      <rPr>
        <sz val="11"/>
        <color theme="1"/>
        <rFont val="Calibri"/>
        <family val="2"/>
        <scheme val="minor"/>
      </rPr>
      <t xml:space="preserve"> ιακωβ</t>
    </r>
  </si>
  <si>
    <t>τους καναναιους</t>
  </si>
  <si>
    <t>τους χαναναιους</t>
  </si>
  <si>
    <t>επαραντες δε ηλθομεν</t>
  </si>
  <si>
    <t>επαραντες ηλθομεν</t>
  </si>
  <si>
    <t>(1) κακει παλιν ειδον οραμα ως το προτερον μετα το ποιησαι ημας εκει ημερας ο (2) και ειδον επτα</t>
  </si>
  <si>
    <t>(1) κακει παλιν ειδον (2) επτα</t>
  </si>
  <si>
    <t>ενδυσαι</t>
  </si>
  <si>
    <t>και τον ποδηρη</t>
  </si>
  <si>
    <t>και π ποδηρη</t>
  </si>
  <si>
    <t>υπερ αυτων</t>
  </si>
  <si>
    <t>εις τα εθνη παντα (15) η δε</t>
  </si>
  <si>
    <t>εις παντα τα εθνη (15) η δε</t>
  </si>
  <si>
    <t>ως προφητης</t>
  </si>
  <si>
    <t>ως φροφητης</t>
  </si>
  <si>
    <t>ωραιον ορασει</t>
  </si>
  <si>
    <t>την τραπεξαν κυ</t>
  </si>
  <si>
    <t>την τρυπεζεν κυ</t>
  </si>
  <si>
    <t>Barocci corrects τραπεξαν -&gt; τραπεζαν; Smith corrects τρυπεζεν -&gt; τρυπεζαν</t>
  </si>
  <si>
    <t>εκρυψα</t>
  </si>
  <si>
    <r>
      <t xml:space="preserve">ουκ </t>
    </r>
    <r>
      <rPr>
        <b/>
        <sz val="11"/>
        <color theme="1"/>
        <rFont val="Calibri"/>
        <family val="2"/>
        <scheme val="minor"/>
      </rPr>
      <t>ανηγγειλα</t>
    </r>
    <r>
      <rPr>
        <sz val="11"/>
        <color theme="1"/>
        <rFont val="Calibri"/>
        <family val="2"/>
        <scheme val="minor"/>
      </rPr>
      <t xml:space="preserve"> αυτω παντι</t>
    </r>
  </si>
  <si>
    <r>
      <t xml:space="preserve">ουκ </t>
    </r>
    <r>
      <rPr>
        <b/>
        <sz val="11"/>
        <color theme="1"/>
        <rFont val="Calibri"/>
        <family val="2"/>
        <scheme val="minor"/>
      </rPr>
      <t>αν εγιειλα</t>
    </r>
    <r>
      <rPr>
        <sz val="11"/>
        <color theme="1"/>
        <rFont val="Calibri"/>
        <family val="2"/>
        <scheme val="minor"/>
      </rPr>
      <t xml:space="preserve"> αυτον παντι</t>
    </r>
  </si>
  <si>
    <r>
      <t xml:space="preserve">ουκ αν εγιειλα </t>
    </r>
    <r>
      <rPr>
        <b/>
        <sz val="11"/>
        <color theme="1"/>
        <rFont val="Calibri"/>
        <family val="2"/>
        <scheme val="minor"/>
      </rPr>
      <t>αυτον</t>
    </r>
    <r>
      <rPr>
        <sz val="11"/>
        <color theme="1"/>
        <rFont val="Calibri"/>
        <family val="2"/>
        <scheme val="minor"/>
      </rPr>
      <t xml:space="preserve"> παντι</t>
    </r>
  </si>
  <si>
    <r>
      <t xml:space="preserve">ουκ ανηγγειλα </t>
    </r>
    <r>
      <rPr>
        <b/>
        <sz val="11"/>
        <color theme="1"/>
        <rFont val="Calibri"/>
        <family val="2"/>
        <scheme val="minor"/>
      </rPr>
      <t>αυτω</t>
    </r>
    <r>
      <rPr>
        <sz val="11"/>
        <color theme="1"/>
        <rFont val="Calibri"/>
        <family val="2"/>
        <scheme val="minor"/>
      </rPr>
      <t xml:space="preserve"> παντι</t>
    </r>
  </si>
  <si>
    <t>Smith corrects to ανηγιειλα</t>
  </si>
  <si>
    <t>Barocci seems to correct to either αυτο or αυτον</t>
  </si>
  <si>
    <t>μεθ ημερας</t>
  </si>
  <si>
    <t>μεθ η ημερας</t>
  </si>
  <si>
    <t>του πρς ημων</t>
  </si>
  <si>
    <t>του πατερος ημων</t>
  </si>
  <si>
    <t>ευλογησε ο πατηρ</t>
  </si>
  <si>
    <t>ηθελη πορευθηναι</t>
  </si>
  <si>
    <t>ηθελησε πορευθηναι</t>
  </si>
  <si>
    <t>ιερεαν τω θω</t>
  </si>
  <si>
    <t>ιερεα τω θεω</t>
  </si>
  <si>
    <t>υπομνηματισθαι νομον</t>
  </si>
  <si>
    <r>
      <rPr>
        <b/>
        <sz val="11"/>
        <color theme="1"/>
        <rFont val="Calibri"/>
        <family val="2"/>
        <scheme val="minor"/>
      </rPr>
      <t>υπομνηματισαι</t>
    </r>
    <r>
      <rPr>
        <sz val="11"/>
        <color theme="1"/>
        <rFont val="Calibri"/>
        <family val="2"/>
        <scheme val="minor"/>
      </rPr>
      <t xml:space="preserve"> με νομον</t>
    </r>
  </si>
  <si>
    <r>
      <rPr>
        <b/>
        <sz val="11"/>
        <color theme="1"/>
        <rFont val="Calibri"/>
        <family val="2"/>
        <scheme val="minor"/>
      </rPr>
      <t>υπομνηματισθαι</t>
    </r>
    <r>
      <rPr>
        <sz val="11"/>
        <color theme="1"/>
        <rFont val="Calibri"/>
        <family val="2"/>
        <scheme val="minor"/>
      </rPr>
      <t xml:space="preserve"> νομον</t>
    </r>
  </si>
  <si>
    <r>
      <t xml:space="preserve">υπομνηματισαι </t>
    </r>
    <r>
      <rPr>
        <b/>
        <sz val="11"/>
        <color theme="1"/>
        <rFont val="Calibri"/>
        <family val="2"/>
        <scheme val="minor"/>
      </rPr>
      <t>με</t>
    </r>
    <r>
      <rPr>
        <sz val="11"/>
        <color theme="1"/>
        <rFont val="Calibri"/>
        <family val="2"/>
        <scheme val="minor"/>
      </rPr>
      <t xml:space="preserve"> νομον</t>
    </r>
  </si>
  <si>
    <t>σωτηριων (8) και ην</t>
  </si>
  <si>
    <t>σωτηρι (8) και ην</t>
  </si>
  <si>
    <t>Smith corrects to συνετιξων</t>
  </si>
  <si>
    <t>του πνς της πορνειας</t>
  </si>
  <si>
    <t>του παντος της πορνειας</t>
  </si>
  <si>
    <t>δενδρων φυ [α]ει εχοντων φυλλα αναγαγε</t>
  </si>
  <si>
    <t>δενδρων εχοντων φυλλα αναγαγε</t>
  </si>
  <si>
    <t>παντος ζωου καθαρου κα[ι] πετεινου</t>
  </si>
  <si>
    <t>παντος φυλου καθαρου κα[ι] πετεινου</t>
  </si>
  <si>
    <t>Smith strikes out φυλου καθαρου entirely</t>
  </si>
  <si>
    <t>οσα ηκουσα παρα των</t>
  </si>
  <si>
    <t>οσα εικουσα παρα των</t>
  </si>
  <si>
    <t>ασεβειας</t>
  </si>
  <si>
    <t>ωστε ηη βαστασαι</t>
  </si>
  <si>
    <t>ωστε μη βαστασαι</t>
  </si>
  <si>
    <r>
      <t xml:space="preserve">ον αν </t>
    </r>
    <r>
      <rPr>
        <b/>
        <sz val="11"/>
        <color theme="1"/>
        <rFont val="Calibri"/>
        <family val="2"/>
        <scheme val="minor"/>
      </rPr>
      <t>εξελεξηται</t>
    </r>
  </si>
  <si>
    <r>
      <t xml:space="preserve">ον αν </t>
    </r>
    <r>
      <rPr>
        <b/>
        <sz val="11"/>
        <color theme="1"/>
        <rFont val="Calibri"/>
        <family val="2"/>
        <scheme val="minor"/>
      </rPr>
      <t>εκλεξεται</t>
    </r>
  </si>
  <si>
    <t>Barocci = εκλεξηται</t>
  </si>
  <si>
    <t>οτε εν τη</t>
  </si>
  <si>
    <t>οτι εν τη</t>
  </si>
  <si>
    <t>εν υψηλοις</t>
  </si>
  <si>
    <t>εν υψηλος</t>
  </si>
  <si>
    <t>μεραρην</t>
  </si>
  <si>
    <t>και σεμεει (2) και υιοι</t>
  </si>
  <si>
    <t>και σεμεη (2) και υιοι</t>
  </si>
  <si>
    <t>μεραρι</t>
  </si>
  <si>
    <t>ενενηκοστω ετει μου</t>
  </si>
  <si>
    <t>ενενηκοστω μου</t>
  </si>
  <si>
    <t>και η ετων ελαβον</t>
  </si>
  <si>
    <t>και η εχων ελαβον</t>
  </si>
  <si>
    <t>(6) τριτη γενεα (7) ιωσηφ εκαστος τω ογδοω και δεκατω</t>
  </si>
  <si>
    <t>(6) τριτη γενεα ιωσηφ και ιδου τεκνα μου τριτη γενεα (7) ιωσηφ ογδοω και δεκατω</t>
  </si>
  <si>
    <r>
      <t xml:space="preserve">(6) τριτη γενεα (7) ιωσηφ </t>
    </r>
    <r>
      <rPr>
        <b/>
        <sz val="11"/>
        <color theme="1"/>
        <rFont val="Calibri"/>
        <family val="2"/>
        <scheme val="minor"/>
      </rPr>
      <t>εκαστος</t>
    </r>
    <r>
      <rPr>
        <sz val="11"/>
        <color theme="1"/>
        <rFont val="Calibri"/>
        <family val="2"/>
        <scheme val="minor"/>
      </rPr>
      <t xml:space="preserve"> </t>
    </r>
    <r>
      <rPr>
        <b/>
        <sz val="11"/>
        <color theme="1"/>
        <rFont val="Calibri"/>
        <family val="2"/>
        <scheme val="minor"/>
      </rPr>
      <t xml:space="preserve">τω </t>
    </r>
    <r>
      <rPr>
        <sz val="11"/>
        <color theme="1"/>
        <rFont val="Calibri"/>
        <family val="2"/>
        <scheme val="minor"/>
      </rPr>
      <t>ογδοω και δεκατω</t>
    </r>
  </si>
  <si>
    <r>
      <t xml:space="preserve">απλοτητι </t>
    </r>
    <r>
      <rPr>
        <b/>
        <sz val="11"/>
        <color theme="1"/>
        <rFont val="Calibri"/>
        <family val="2"/>
        <scheme val="minor"/>
      </rPr>
      <t>καρδι</t>
    </r>
    <r>
      <rPr>
        <sz val="11"/>
        <color theme="1"/>
        <rFont val="Calibri"/>
        <family val="2"/>
        <scheme val="minor"/>
      </rPr>
      <t xml:space="preserve"> κατα παντα</t>
    </r>
  </si>
  <si>
    <r>
      <t xml:space="preserve">απλοτητι καρδι </t>
    </r>
    <r>
      <rPr>
        <b/>
        <sz val="11"/>
        <color theme="1"/>
        <rFont val="Calibri"/>
        <family val="2"/>
        <scheme val="minor"/>
      </rPr>
      <t>κατα</t>
    </r>
    <r>
      <rPr>
        <sz val="11"/>
        <color theme="1"/>
        <rFont val="Calibri"/>
        <family val="2"/>
        <scheme val="minor"/>
      </rPr>
      <t xml:space="preserve"> παντα</t>
    </r>
  </si>
  <si>
    <r>
      <t xml:space="preserve">εν </t>
    </r>
    <r>
      <rPr>
        <b/>
        <sz val="11"/>
        <color theme="1"/>
        <rFont val="Calibri"/>
        <family val="2"/>
        <scheme val="minor"/>
      </rPr>
      <t>πανση</t>
    </r>
    <r>
      <rPr>
        <sz val="11"/>
        <color theme="1"/>
        <rFont val="Calibri"/>
        <family val="2"/>
        <scheme val="minor"/>
      </rPr>
      <t xml:space="preserve"> τη ζωη αυτων α[ν]αγινωσκοντης αδιαλειπτως</t>
    </r>
  </si>
  <si>
    <r>
      <t xml:space="preserve">εν </t>
    </r>
    <r>
      <rPr>
        <b/>
        <sz val="11"/>
        <color theme="1"/>
        <rFont val="Calibri"/>
        <family val="2"/>
        <scheme val="minor"/>
      </rPr>
      <t>παση</t>
    </r>
    <r>
      <rPr>
        <sz val="11"/>
        <color theme="1"/>
        <rFont val="Calibri"/>
        <family val="2"/>
        <scheme val="minor"/>
      </rPr>
      <t xml:space="preserve"> τη ζωη αυτων σκοντους αδιαλειπτως</t>
    </r>
  </si>
  <si>
    <r>
      <t xml:space="preserve">εν πανση τη ζωη αυτων </t>
    </r>
    <r>
      <rPr>
        <b/>
        <sz val="11"/>
        <color theme="1"/>
        <rFont val="Calibri"/>
        <family val="2"/>
        <scheme val="minor"/>
      </rPr>
      <t>α[ν]αγινωσκοντης</t>
    </r>
    <r>
      <rPr>
        <sz val="11"/>
        <color theme="1"/>
        <rFont val="Calibri"/>
        <family val="2"/>
        <scheme val="minor"/>
      </rPr>
      <t xml:space="preserve"> αδιαλειπτως</t>
    </r>
  </si>
  <si>
    <r>
      <t xml:space="preserve">εν παση τη ζωη αυτων </t>
    </r>
    <r>
      <rPr>
        <b/>
        <sz val="11"/>
        <color theme="1"/>
        <rFont val="Calibri"/>
        <family val="2"/>
        <scheme val="minor"/>
      </rPr>
      <t>σκοντους</t>
    </r>
    <r>
      <rPr>
        <sz val="11"/>
        <color theme="1"/>
        <rFont val="Calibri"/>
        <family val="2"/>
        <scheme val="minor"/>
      </rPr>
      <t xml:space="preserve"> αδιαλειπτως</t>
    </r>
  </si>
  <si>
    <t>εκ στοματος αυτου</t>
  </si>
  <si>
    <t>εκ στοματας αυτου</t>
  </si>
  <si>
    <t>σπειρωτεν εν ταις</t>
  </si>
  <si>
    <t>σπειρατε εν ταις</t>
  </si>
  <si>
    <t>Smith corrects to θερισητε</t>
  </si>
  <si>
    <r>
      <rPr>
        <b/>
        <sz val="11"/>
        <color theme="1"/>
        <rFont val="Calibri"/>
        <family val="2"/>
        <scheme val="minor"/>
      </rPr>
      <t>σοφιαν</t>
    </r>
    <r>
      <rPr>
        <sz val="11"/>
        <color theme="1"/>
        <rFont val="Calibri"/>
        <family val="2"/>
        <scheme val="minor"/>
      </rPr>
      <t xml:space="preserve"> κτησασθε</t>
    </r>
  </si>
  <si>
    <r>
      <rPr>
        <b/>
        <sz val="11"/>
        <color theme="1"/>
        <rFont val="Calibri"/>
        <family val="2"/>
        <scheme val="minor"/>
      </rPr>
      <t>σοφιας</t>
    </r>
    <r>
      <rPr>
        <sz val="11"/>
        <color theme="1"/>
        <rFont val="Calibri"/>
        <family val="2"/>
        <scheme val="minor"/>
      </rPr>
      <t xml:space="preserve"> ηγησασθε</t>
    </r>
  </si>
  <si>
    <r>
      <t xml:space="preserve">σοφιαν </t>
    </r>
    <r>
      <rPr>
        <b/>
        <sz val="11"/>
        <color theme="1"/>
        <rFont val="Calibri"/>
        <family val="2"/>
        <scheme val="minor"/>
      </rPr>
      <t>κτησασθε</t>
    </r>
  </si>
  <si>
    <r>
      <t xml:space="preserve">σοφιας </t>
    </r>
    <r>
      <rPr>
        <b/>
        <sz val="11"/>
        <color theme="1"/>
        <rFont val="Calibri"/>
        <family val="2"/>
        <scheme val="minor"/>
      </rPr>
      <t>ηγησασθε</t>
    </r>
  </si>
  <si>
    <t>οτι εαν γενηται</t>
  </si>
  <si>
    <t>οτ[ι] εν γενηται</t>
  </si>
  <si>
    <t>χωρα και</t>
  </si>
  <si>
    <t>χωραι και</t>
  </si>
  <si>
    <t>τυφλωσε ασεβειας</t>
  </si>
  <si>
    <t>τυφλωσις ασεβειας</t>
  </si>
  <si>
    <t>επι γης αλλοτριας</t>
  </si>
  <si>
    <t>επι της αλλοτριας</t>
  </si>
  <si>
    <t>αδελφος ημων</t>
  </si>
  <si>
    <t>αδελφος υμων</t>
  </si>
  <si>
    <t>πηρ ημων ιηλ</t>
  </si>
  <si>
    <t>πατηρ υμων ισραηλ</t>
  </si>
  <si>
    <t>καθαρον ο ηλιος</t>
  </si>
  <si>
    <t>καθαρος ο ηλιος</t>
  </si>
  <si>
    <t>σκοτισθησε εν ασεβεια</t>
  </si>
  <si>
    <t>σκοτισθησεσθε εν ασεβεια</t>
  </si>
  <si>
    <t>καταραν</t>
  </si>
  <si>
    <t>φως του κοσμου το δοθεν</t>
  </si>
  <si>
    <t>φως του νομου το δοθεν</t>
  </si>
  <si>
    <t>εκλεκτα εν καταφρονησει</t>
  </si>
  <si>
    <t>εκλεκτα εν εν καταφρονησει</t>
  </si>
  <si>
    <t>εσθιοντες</t>
  </si>
  <si>
    <t>διδαξετε</t>
  </si>
  <si>
    <t xml:space="preserve">βεβηλωσαται και </t>
  </si>
  <si>
    <t xml:space="preserve">βεβηλωσετε και </t>
  </si>
  <si>
    <t>μιξις υμων</t>
  </si>
  <si>
    <t>μιξις ημων</t>
  </si>
  <si>
    <t>εκλεξητε κς</t>
  </si>
  <si>
    <t>εκλεξε τε κυριος</t>
  </si>
  <si>
    <t>ακαθαρσια</t>
  </si>
  <si>
    <t>πρας υμων</t>
  </si>
  <si>
    <t>πατερας ημων</t>
  </si>
  <si>
    <t>διαστροφη</t>
  </si>
  <si>
    <r>
      <t xml:space="preserve">εως </t>
    </r>
    <r>
      <rPr>
        <b/>
        <sz val="11"/>
        <color theme="1"/>
        <rFont val="Calibri"/>
        <family val="2"/>
        <scheme val="minor"/>
      </rPr>
      <t>εδαφους</t>
    </r>
    <r>
      <rPr>
        <sz val="11"/>
        <color theme="1"/>
        <rFont val="Calibri"/>
        <family val="2"/>
        <scheme val="minor"/>
      </rPr>
      <t xml:space="preserve"> μεμιαμμενα (5) και ουκ εσται</t>
    </r>
  </si>
  <si>
    <r>
      <t xml:space="preserve">εως </t>
    </r>
    <r>
      <rPr>
        <b/>
        <sz val="11"/>
        <color theme="1"/>
        <rFont val="Calibri"/>
        <family val="2"/>
        <scheme val="minor"/>
      </rPr>
      <t>εδιαφους</t>
    </r>
    <r>
      <rPr>
        <sz val="11"/>
        <color theme="1"/>
        <rFont val="Calibri"/>
        <family val="2"/>
        <scheme val="minor"/>
      </rPr>
      <t xml:space="preserve"> μεμιανια (5) και ουκ εσται</t>
    </r>
  </si>
  <si>
    <r>
      <t xml:space="preserve">εως εδαφους </t>
    </r>
    <r>
      <rPr>
        <b/>
        <sz val="11"/>
        <color theme="1"/>
        <rFont val="Calibri"/>
        <family val="2"/>
        <scheme val="minor"/>
      </rPr>
      <t>μεμιαμμενα</t>
    </r>
    <r>
      <rPr>
        <sz val="11"/>
        <color theme="1"/>
        <rFont val="Calibri"/>
        <family val="2"/>
        <scheme val="minor"/>
      </rPr>
      <t xml:space="preserve"> (5) και ουκ εσται</t>
    </r>
  </si>
  <si>
    <r>
      <t xml:space="preserve">εως εδιαφους </t>
    </r>
    <r>
      <rPr>
        <b/>
        <sz val="11"/>
        <color theme="1"/>
        <rFont val="Calibri"/>
        <family val="2"/>
        <scheme val="minor"/>
      </rPr>
      <t>μεμιανια</t>
    </r>
    <r>
      <rPr>
        <sz val="11"/>
        <color theme="1"/>
        <rFont val="Calibri"/>
        <family val="2"/>
        <scheme val="minor"/>
      </rPr>
      <t xml:space="preserve"> (5) και ουκ εσται</t>
    </r>
  </si>
  <si>
    <t>Barocci = μεμιαμενα</t>
  </si>
  <si>
    <t>διασκορπισμον</t>
  </si>
  <si>
    <t>και λαλησει</t>
  </si>
  <si>
    <t>και καλησει</t>
  </si>
  <si>
    <t>τω δευτερω ιωβηλαιω</t>
  </si>
  <si>
    <t>τω δευτερην ιωβηλαιω</t>
  </si>
  <si>
    <t>ιερευς</t>
  </si>
  <si>
    <t>μισησουσι εκαστος</t>
  </si>
  <si>
    <t>μισησουσιν εκαστος</t>
  </si>
  <si>
    <t>οικον κυ (11) εν δε</t>
  </si>
  <si>
    <t>οικον κυριω (11) εν δε</t>
  </si>
  <si>
    <t>εβδομω εβδοματικω ηξουσιν</t>
  </si>
  <si>
    <t>εβδομω εβδοματι κυριω ηξουσιν</t>
  </si>
  <si>
    <t>ιερεις ειδωλ[ο]λατρουντες</t>
  </si>
  <si>
    <t>ιερεις ιδωλαλατρειντες</t>
  </si>
  <si>
    <t>αποκαλυφθησονται</t>
  </si>
  <si>
    <t>(2) ημερων (3) και ανατελει</t>
  </si>
  <si>
    <t>(2) ημερων (3) ανατελει</t>
  </si>
  <si>
    <r>
      <rPr>
        <b/>
        <sz val="11"/>
        <color theme="1"/>
        <rFont val="Calibri"/>
        <family val="2"/>
        <scheme val="minor"/>
      </rPr>
      <t>βασιλευς</t>
    </r>
    <r>
      <rPr>
        <sz val="11"/>
        <color theme="1"/>
        <rFont val="Calibri"/>
        <family val="2"/>
        <scheme val="minor"/>
      </rPr>
      <t xml:space="preserve"> φωτιζον φως γνωσεως</t>
    </r>
  </si>
  <si>
    <r>
      <rPr>
        <b/>
        <sz val="11"/>
        <color theme="1"/>
        <rFont val="Calibri"/>
        <family val="2"/>
        <scheme val="minor"/>
      </rPr>
      <t>βασιλεα</t>
    </r>
    <r>
      <rPr>
        <sz val="11"/>
        <color theme="1"/>
        <rFont val="Calibri"/>
        <family val="2"/>
        <scheme val="minor"/>
      </rPr>
      <t xml:space="preserve"> φωτιζον φως γνωσεως</t>
    </r>
  </si>
  <si>
    <r>
      <t xml:space="preserve">βασιλευς </t>
    </r>
    <r>
      <rPr>
        <b/>
        <sz val="11"/>
        <color theme="1"/>
        <rFont val="Calibri"/>
        <family val="2"/>
        <scheme val="minor"/>
      </rPr>
      <t>φωτιζον</t>
    </r>
    <r>
      <rPr>
        <sz val="11"/>
        <color theme="1"/>
        <rFont val="Calibri"/>
        <family val="2"/>
        <scheme val="minor"/>
      </rPr>
      <t xml:space="preserve"> φως γνωσεως</t>
    </r>
  </si>
  <si>
    <r>
      <t xml:space="preserve">βασιλεα </t>
    </r>
    <r>
      <rPr>
        <b/>
        <sz val="11"/>
        <color theme="1"/>
        <rFont val="Calibri"/>
        <family val="2"/>
        <scheme val="minor"/>
      </rPr>
      <t>φωτιζον</t>
    </r>
    <r>
      <rPr>
        <sz val="11"/>
        <color theme="1"/>
        <rFont val="Calibri"/>
        <family val="2"/>
        <scheme val="minor"/>
      </rPr>
      <t xml:space="preserve"> φως γνωσεως</t>
    </r>
  </si>
  <si>
    <t>Barocci corrects to φωτιζων</t>
  </si>
  <si>
    <t>ημερας και</t>
  </si>
  <si>
    <t>ημερα και</t>
  </si>
  <si>
    <t>ως ο ηλιος</t>
  </si>
  <si>
    <t>ως ηλιος</t>
  </si>
  <si>
    <t>ταις ομεραις</t>
  </si>
  <si>
    <t>ταις ημεραις</t>
  </si>
  <si>
    <t>εκχυθησεται</t>
  </si>
  <si>
    <t>υιοις εν αληθεια εις αιωνα</t>
  </si>
  <si>
    <r>
      <t xml:space="preserve">υιοις </t>
    </r>
    <r>
      <rPr>
        <b/>
        <sz val="11"/>
        <color theme="1"/>
        <rFont val="Calibri"/>
        <family val="2"/>
        <scheme val="minor"/>
      </rPr>
      <t>αυτου</t>
    </r>
    <r>
      <rPr>
        <sz val="11"/>
        <color theme="1"/>
        <rFont val="Calibri"/>
        <family val="2"/>
        <scheme val="minor"/>
      </rPr>
      <t xml:space="preserve"> εν αληθεια εις τον αιωνα</t>
    </r>
  </si>
  <si>
    <r>
      <t xml:space="preserve">υιοις αυτου εν αληθεια εις </t>
    </r>
    <r>
      <rPr>
        <b/>
        <sz val="11"/>
        <color theme="1"/>
        <rFont val="Calibri"/>
        <family val="2"/>
        <scheme val="minor"/>
      </rPr>
      <t>τον</t>
    </r>
    <r>
      <rPr>
        <sz val="11"/>
        <color theme="1"/>
        <rFont val="Calibri"/>
        <family val="2"/>
        <scheme val="minor"/>
      </rPr>
      <t xml:space="preserve"> αιωνα</t>
    </r>
  </si>
  <si>
    <t>της ιερωσυνης αυτου</t>
  </si>
  <si>
    <t>της αερωσυνης αυτου</t>
  </si>
  <si>
    <t>καιγε αυτος ανοιξει</t>
  </si>
  <si>
    <t>τοις αγιοις φαγειν</t>
  </si>
  <si>
    <t>τοις αγιοι φαγειν</t>
  </si>
  <si>
    <t>τα πονηρα πνα</t>
  </si>
  <si>
    <t>τα πονηρα πνευματα</t>
  </si>
  <si>
    <t xml:space="preserve">αγαπητους αυτους εως </t>
  </si>
  <si>
    <t xml:space="preserve">αγαπητους αυτου εως </t>
  </si>
  <si>
    <t>χαρεισομαι</t>
  </si>
  <si>
    <t>η εργα του βελιαρ</t>
  </si>
  <si>
    <t>η περγα του βελιαρ</t>
  </si>
  <si>
    <t>Smith corrects to απεκριθημεν</t>
  </si>
  <si>
    <t>μαρτυς</t>
  </si>
  <si>
    <t>ζησας ρλξ (5) και εθηκαν</t>
  </si>
  <si>
    <t>ζησας ρλζ (5) και εθηκαν</t>
  </si>
  <si>
    <t>λογων ιουδα οσα</t>
  </si>
  <si>
    <t>λογων ιουδας οσα</t>
  </si>
  <si>
    <t>(1) αυτον (2) συναχθεντες</t>
  </si>
  <si>
    <t>(1) αυτον (2) και συναχθεντες</t>
  </si>
  <si>
    <t>αν θομολεγουμαι</t>
  </si>
  <si>
    <t>ιακωβ επηυξατο</t>
  </si>
  <si>
    <t>ιακωβ ο επηυξατο</t>
  </si>
  <si>
    <r>
      <t xml:space="preserve">βασιλευς εση </t>
    </r>
    <r>
      <rPr>
        <b/>
        <sz val="11"/>
        <color theme="1"/>
        <rFont val="Calibri"/>
        <family val="2"/>
        <scheme val="minor"/>
      </rPr>
      <t>και ευδουμενος</t>
    </r>
    <r>
      <rPr>
        <sz val="11"/>
        <color theme="1"/>
        <rFont val="Calibri"/>
        <family val="2"/>
        <scheme val="minor"/>
      </rPr>
      <t xml:space="preserve"> εν παση (2:1) και εδωκε μοι</t>
    </r>
  </si>
  <si>
    <r>
      <t xml:space="preserve">βασιλευς εση </t>
    </r>
    <r>
      <rPr>
        <b/>
        <sz val="11"/>
        <color theme="1"/>
        <rFont val="Calibri"/>
        <family val="2"/>
        <scheme val="minor"/>
      </rPr>
      <t>κατευδουμενος</t>
    </r>
    <r>
      <rPr>
        <sz val="11"/>
        <color theme="1"/>
        <rFont val="Calibri"/>
        <family val="2"/>
        <scheme val="minor"/>
      </rPr>
      <t xml:space="preserve"> εν πασι (2:1) και εδωκα μοι</t>
    </r>
  </si>
  <si>
    <r>
      <t xml:space="preserve">βασιλευς εση και ευδουμενος εν </t>
    </r>
    <r>
      <rPr>
        <b/>
        <sz val="11"/>
        <color theme="1"/>
        <rFont val="Calibri"/>
        <family val="2"/>
        <scheme val="minor"/>
      </rPr>
      <t>παση</t>
    </r>
    <r>
      <rPr>
        <sz val="11"/>
        <color theme="1"/>
        <rFont val="Calibri"/>
        <family val="2"/>
        <scheme val="minor"/>
      </rPr>
      <t xml:space="preserve"> (2:1) και εδωκε μοι</t>
    </r>
  </si>
  <si>
    <r>
      <t xml:space="preserve">βασιλευς εση κατευδουμενος εν </t>
    </r>
    <r>
      <rPr>
        <b/>
        <sz val="11"/>
        <color theme="1"/>
        <rFont val="Calibri"/>
        <family val="2"/>
        <scheme val="minor"/>
      </rPr>
      <t>πασι</t>
    </r>
    <r>
      <rPr>
        <sz val="11"/>
        <color theme="1"/>
        <rFont val="Calibri"/>
        <family val="2"/>
        <scheme val="minor"/>
      </rPr>
      <t xml:space="preserve"> (2:1) και εδωκα μοι</t>
    </r>
  </si>
  <si>
    <r>
      <t xml:space="preserve">βασιλευς εση και ευδουμενος εν παση (2:1) και </t>
    </r>
    <r>
      <rPr>
        <b/>
        <sz val="11"/>
        <color theme="1"/>
        <rFont val="Calibri"/>
        <family val="2"/>
        <scheme val="minor"/>
      </rPr>
      <t>εδωκε</t>
    </r>
    <r>
      <rPr>
        <sz val="11"/>
        <color theme="1"/>
        <rFont val="Calibri"/>
        <family val="2"/>
        <scheme val="minor"/>
      </rPr>
      <t xml:space="preserve"> μοι</t>
    </r>
  </si>
  <si>
    <r>
      <t xml:space="preserve">βασιλευς εση κατευδουμενος εν πασι (2:1) και </t>
    </r>
    <r>
      <rPr>
        <b/>
        <sz val="11"/>
        <color theme="1"/>
        <rFont val="Calibri"/>
        <family val="2"/>
        <scheme val="minor"/>
      </rPr>
      <t>εδωκα</t>
    </r>
    <r>
      <rPr>
        <sz val="11"/>
        <color theme="1"/>
        <rFont val="Calibri"/>
        <family val="2"/>
        <scheme val="minor"/>
      </rPr>
      <t xml:space="preserve"> μοι</t>
    </r>
  </si>
  <si>
    <t>αγρω και εν τω οικω</t>
  </si>
  <si>
    <t>αγρω εν τι τω οικω</t>
  </si>
  <si>
    <r>
      <t xml:space="preserve">αγρω </t>
    </r>
    <r>
      <rPr>
        <b/>
        <sz val="11"/>
        <color theme="1"/>
        <rFont val="Calibri"/>
        <family val="2"/>
        <scheme val="minor"/>
      </rPr>
      <t>και</t>
    </r>
    <r>
      <rPr>
        <sz val="11"/>
        <color theme="1"/>
        <rFont val="Calibri"/>
        <family val="2"/>
        <scheme val="minor"/>
      </rPr>
      <t xml:space="preserve"> εν τω οικω</t>
    </r>
  </si>
  <si>
    <r>
      <t xml:space="preserve">αγρω εν </t>
    </r>
    <r>
      <rPr>
        <b/>
        <sz val="11"/>
        <color theme="1"/>
        <rFont val="Calibri"/>
        <family val="2"/>
        <scheme val="minor"/>
      </rPr>
      <t>τι</t>
    </r>
    <r>
      <rPr>
        <sz val="11"/>
        <color theme="1"/>
        <rFont val="Calibri"/>
        <family val="2"/>
        <scheme val="minor"/>
      </rPr>
      <t xml:space="preserve"> τω οικω</t>
    </r>
  </si>
  <si>
    <t>κρατησα ημερωσα</t>
  </si>
  <si>
    <t>κρατησας ημερωσα</t>
  </si>
  <si>
    <r>
      <t xml:space="preserve">υπεστ[ρ]εφεν </t>
    </r>
    <r>
      <rPr>
        <b/>
        <sz val="11"/>
        <color theme="1"/>
        <rFont val="Calibri"/>
        <family val="2"/>
        <scheme val="minor"/>
      </rPr>
      <t>β[]</t>
    </r>
    <r>
      <rPr>
        <sz val="11"/>
        <color theme="1"/>
        <rFont val="Calibri"/>
        <family val="2"/>
        <scheme val="minor"/>
      </rPr>
      <t xml:space="preserve"> με διεπουν αυτω (5) αγριω χοιρω</t>
    </r>
  </si>
  <si>
    <r>
      <t xml:space="preserve">υπεστρεφεν </t>
    </r>
    <r>
      <rPr>
        <b/>
        <sz val="11"/>
        <color theme="1"/>
        <rFont val="Calibri"/>
        <family val="2"/>
        <scheme val="minor"/>
      </rPr>
      <t>επ</t>
    </r>
    <r>
      <rPr>
        <sz val="11"/>
        <color theme="1"/>
        <rFont val="Calibri"/>
        <family val="2"/>
        <scheme val="minor"/>
      </rPr>
      <t xml:space="preserve"> εμε διεπον αυτω (5) αγριω χοιρω</t>
    </r>
  </si>
  <si>
    <r>
      <t xml:space="preserve">υπεστ[ρ]εφεν β[] </t>
    </r>
    <r>
      <rPr>
        <b/>
        <sz val="11"/>
        <color theme="1"/>
        <rFont val="Calibri"/>
        <family val="2"/>
        <scheme val="minor"/>
      </rPr>
      <t>με</t>
    </r>
    <r>
      <rPr>
        <sz val="11"/>
        <color theme="1"/>
        <rFont val="Calibri"/>
        <family val="2"/>
        <scheme val="minor"/>
      </rPr>
      <t xml:space="preserve"> διεπουν αυτω (5) αγριω χοιρω</t>
    </r>
  </si>
  <si>
    <r>
      <t xml:space="preserve">υπεστρεφεν επ </t>
    </r>
    <r>
      <rPr>
        <b/>
        <sz val="11"/>
        <color theme="1"/>
        <rFont val="Calibri"/>
        <family val="2"/>
        <scheme val="minor"/>
      </rPr>
      <t>εμε</t>
    </r>
    <r>
      <rPr>
        <sz val="11"/>
        <color theme="1"/>
        <rFont val="Calibri"/>
        <family val="2"/>
        <scheme val="minor"/>
      </rPr>
      <t xml:space="preserve"> διεπον αυτω (5) αγριω χοιρω</t>
    </r>
  </si>
  <si>
    <r>
      <t xml:space="preserve">υπεστ[ρ]εφεν β[] με </t>
    </r>
    <r>
      <rPr>
        <b/>
        <sz val="11"/>
        <color theme="1"/>
        <rFont val="Calibri"/>
        <family val="2"/>
        <scheme val="minor"/>
      </rPr>
      <t>διεπουν</t>
    </r>
    <r>
      <rPr>
        <sz val="11"/>
        <color theme="1"/>
        <rFont val="Calibri"/>
        <family val="2"/>
        <scheme val="minor"/>
      </rPr>
      <t xml:space="preserve"> αυτω (5) αγριω χοιρω</t>
    </r>
  </si>
  <si>
    <r>
      <t xml:space="preserve">υπεστρεφεν επ εμε </t>
    </r>
    <r>
      <rPr>
        <b/>
        <sz val="11"/>
        <color theme="1"/>
        <rFont val="Calibri"/>
        <family val="2"/>
        <scheme val="minor"/>
      </rPr>
      <t>διεπον</t>
    </r>
    <r>
      <rPr>
        <sz val="11"/>
        <color theme="1"/>
        <rFont val="Calibri"/>
        <family val="2"/>
        <scheme val="minor"/>
      </rPr>
      <t xml:space="preserve"> αυτω (5) αγριω χοιρω</t>
    </r>
  </si>
  <si>
    <r>
      <t xml:space="preserve">υπεστ[ρ]εφεν β[] με διεπουν </t>
    </r>
    <r>
      <rPr>
        <b/>
        <sz val="11"/>
        <color theme="1"/>
        <rFont val="Calibri"/>
        <family val="2"/>
        <scheme val="minor"/>
      </rPr>
      <t>αυτω</t>
    </r>
    <r>
      <rPr>
        <sz val="11"/>
        <color theme="1"/>
        <rFont val="Calibri"/>
        <family val="2"/>
        <scheme val="minor"/>
      </rPr>
      <t xml:space="preserve"> (5) αγριω χοιρω</t>
    </r>
  </si>
  <si>
    <r>
      <t xml:space="preserve">υπεστρεφεν επ εμε διεπον </t>
    </r>
    <r>
      <rPr>
        <b/>
        <sz val="11"/>
        <color theme="1"/>
        <rFont val="Calibri"/>
        <family val="2"/>
        <scheme val="minor"/>
      </rPr>
      <t>αυτω</t>
    </r>
    <r>
      <rPr>
        <sz val="11"/>
        <color theme="1"/>
        <rFont val="Calibri"/>
        <family val="2"/>
        <scheme val="minor"/>
      </rPr>
      <t xml:space="preserve"> (5) αγριω χοιρω</t>
    </r>
  </si>
  <si>
    <t>Barocci corrects to διεσπουν, Smith notes the alternative but does not incorporate (sets in margin)</t>
  </si>
  <si>
    <t>Barocci corrects to αυτος, Smith notes the alternative but does not incorporate (sets in margin)</t>
  </si>
  <si>
    <t>αυτην απο της κερκου</t>
  </si>
  <si>
    <t>αυτην επι της κερκου</t>
  </si>
  <si>
    <r>
      <t xml:space="preserve">και </t>
    </r>
    <r>
      <rPr>
        <b/>
        <sz val="11"/>
        <color theme="1"/>
        <rFont val="Calibri"/>
        <family val="2"/>
        <scheme val="minor"/>
      </rPr>
      <t>ερραγη</t>
    </r>
    <r>
      <rPr>
        <sz val="11"/>
        <color theme="1"/>
        <rFont val="Calibri"/>
        <family val="2"/>
        <scheme val="minor"/>
      </rPr>
      <t xml:space="preserve"> εν τοις οριοις γαζης</t>
    </r>
  </si>
  <si>
    <r>
      <t xml:space="preserve">και </t>
    </r>
    <r>
      <rPr>
        <b/>
        <sz val="11"/>
        <color theme="1"/>
        <rFont val="Calibri"/>
        <family val="2"/>
        <scheme val="minor"/>
      </rPr>
      <t>ερραδη</t>
    </r>
    <r>
      <rPr>
        <sz val="11"/>
        <color theme="1"/>
        <rFont val="Calibri"/>
        <family val="2"/>
        <scheme val="minor"/>
      </rPr>
      <t xml:space="preserve"> εν τοις οριοις γαζης</t>
    </r>
  </si>
  <si>
    <r>
      <t xml:space="preserve">και ερραγη εν τοις </t>
    </r>
    <r>
      <rPr>
        <b/>
        <sz val="11"/>
        <color theme="1"/>
        <rFont val="Calibri"/>
        <family val="2"/>
        <scheme val="minor"/>
      </rPr>
      <t>οριοις</t>
    </r>
    <r>
      <rPr>
        <sz val="11"/>
        <color theme="1"/>
        <rFont val="Calibri"/>
        <family val="2"/>
        <scheme val="minor"/>
      </rPr>
      <t xml:space="preserve"> γαζης</t>
    </r>
  </si>
  <si>
    <r>
      <t xml:space="preserve">και ερραδη εν τοις </t>
    </r>
    <r>
      <rPr>
        <b/>
        <sz val="11"/>
        <color theme="1"/>
        <rFont val="Calibri"/>
        <family val="2"/>
        <scheme val="minor"/>
      </rPr>
      <t>οριοις</t>
    </r>
    <r>
      <rPr>
        <sz val="11"/>
        <color theme="1"/>
        <rFont val="Calibri"/>
        <family val="2"/>
        <scheme val="minor"/>
      </rPr>
      <t xml:space="preserve"> γαζης</t>
    </r>
  </si>
  <si>
    <t>Smith seems to correct to οριωις</t>
  </si>
  <si>
    <t>αγριον χωρα</t>
  </si>
  <si>
    <t>αγριον εν χωρα</t>
  </si>
  <si>
    <t>σκοτωσας</t>
  </si>
  <si>
    <t>οτε ηλθον</t>
  </si>
  <si>
    <t>οτι ηλθον</t>
  </si>
  <si>
    <t>μετ αυτων</t>
  </si>
  <si>
    <t>μετα αυτων</t>
  </si>
  <si>
    <r>
      <rPr>
        <b/>
        <sz val="11"/>
        <color theme="1"/>
        <rFont val="Calibri"/>
        <family val="2"/>
        <scheme val="minor"/>
      </rPr>
      <t>βασιλεαν</t>
    </r>
    <r>
      <rPr>
        <sz val="11"/>
        <color theme="1"/>
        <rFont val="Calibri"/>
        <family val="2"/>
        <scheme val="minor"/>
      </rPr>
      <t xml:space="preserve"> ταφουε καθημενον</t>
    </r>
  </si>
  <si>
    <r>
      <rPr>
        <b/>
        <sz val="11"/>
        <color theme="1"/>
        <rFont val="Calibri"/>
        <family val="2"/>
        <scheme val="minor"/>
      </rPr>
      <t>βασιλεα</t>
    </r>
    <r>
      <rPr>
        <sz val="11"/>
        <color theme="1"/>
        <rFont val="Calibri"/>
        <family val="2"/>
        <scheme val="minor"/>
      </rPr>
      <t xml:space="preserve"> ταφουε εκαθημενον</t>
    </r>
  </si>
  <si>
    <r>
      <t xml:space="preserve">βασιλεαν ταφουε </t>
    </r>
    <r>
      <rPr>
        <b/>
        <sz val="11"/>
        <color theme="1"/>
        <rFont val="Calibri"/>
        <family val="2"/>
        <scheme val="minor"/>
      </rPr>
      <t>καθημενον</t>
    </r>
  </si>
  <si>
    <r>
      <t xml:space="preserve">βασιλεα ταφουε </t>
    </r>
    <r>
      <rPr>
        <b/>
        <sz val="11"/>
        <color theme="1"/>
        <rFont val="Calibri"/>
        <family val="2"/>
        <scheme val="minor"/>
      </rPr>
      <t>εκαθημενον</t>
    </r>
  </si>
  <si>
    <t>εν τη χειρι</t>
  </si>
  <si>
    <t>εν χειρι</t>
  </si>
  <si>
    <t>ημων ανειλε</t>
  </si>
  <si>
    <t>ημων ενειλε</t>
  </si>
  <si>
    <t>πηχεων δωδεκα</t>
  </si>
  <si>
    <t>πηχεωο δωδεκα</t>
  </si>
  <si>
    <t>και ενηλθον</t>
  </si>
  <si>
    <t>και ανηλθον</t>
  </si>
  <si>
    <t>επι του τειχους</t>
  </si>
  <si>
    <t>επι τους τειχους</t>
  </si>
  <si>
    <t>ουτως ελευθερωσαμεν</t>
  </si>
  <si>
    <t>(4:3) βασιλεων (5:1) τη εξης</t>
  </si>
  <si>
    <t>(4:3) βασιλεων (5:1) και τη εξης</t>
  </si>
  <si>
    <t>αδελφοι εξ εκατερων</t>
  </si>
  <si>
    <r>
      <t xml:space="preserve">αδελφοι </t>
    </r>
    <r>
      <rPr>
        <b/>
        <sz val="11"/>
        <color theme="1"/>
        <rFont val="Calibri"/>
        <family val="2"/>
        <scheme val="minor"/>
      </rPr>
      <t>μου</t>
    </r>
    <r>
      <rPr>
        <sz val="11"/>
        <color theme="1"/>
        <rFont val="Calibri"/>
        <family val="2"/>
        <scheme val="minor"/>
      </rPr>
      <t xml:space="preserve"> εξ εκτερων</t>
    </r>
  </si>
  <si>
    <r>
      <t xml:space="preserve">αδελφοι μου εξ </t>
    </r>
    <r>
      <rPr>
        <b/>
        <sz val="11"/>
        <color theme="1"/>
        <rFont val="Calibri"/>
        <family val="2"/>
        <scheme val="minor"/>
      </rPr>
      <t>εκτερων</t>
    </r>
  </si>
  <si>
    <r>
      <t xml:space="preserve">αδελφοι εξ </t>
    </r>
    <r>
      <rPr>
        <b/>
        <sz val="11"/>
        <color theme="1"/>
        <rFont val="Calibri"/>
        <family val="2"/>
        <scheme val="minor"/>
      </rPr>
      <t>εκατερων</t>
    </r>
  </si>
  <si>
    <t>και κεινους</t>
  </si>
  <si>
    <t>(5:7) απεκτειναμεν και την πολιν ... (6:1) ... (2) απεκτειναμεν και ουκ εδωκαμεν</t>
  </si>
  <si>
    <t>(5:7) απεκτειναμεν (6:1) (2) και ουκ εδωκαμεν</t>
  </si>
  <si>
    <t>[π]εριεγεναμεθα</t>
  </si>
  <si>
    <t>αναβηναι την αναβασιν</t>
  </si>
  <si>
    <t>αναβηναι αναβασιν</t>
  </si>
  <si>
    <t>Barocci seems to correct to περιεγενομεθα; Smith corrects to match the corrected form</t>
  </si>
  <si>
    <t>εκυλιον εφ ημας</t>
  </si>
  <si>
    <t>εκυλιον επ αυτους εφ ημας</t>
  </si>
  <si>
    <t>του ορους</t>
  </si>
  <si>
    <t>του αρους</t>
  </si>
  <si>
    <t>τειχη αυτω καθειλαμεν</t>
  </si>
  <si>
    <t>τειχη αυτων καθειλαμεν</t>
  </si>
  <si>
    <t>κορυφην</t>
  </si>
  <si>
    <t>μετ αυτου</t>
  </si>
  <si>
    <t>μετα αυτου</t>
  </si>
  <si>
    <t>κτηνη</t>
  </si>
  <si>
    <t>ιεραν τον οδολαμιτην</t>
  </si>
  <si>
    <t>ιεραμ τον οδολαμιτην</t>
  </si>
  <si>
    <t>βαρσαβα βασιλεα</t>
  </si>
  <si>
    <t>βαρσαβα τον οδολαμιτην βασιλεα</t>
  </si>
  <si>
    <t>και σιλωμ ων</t>
  </si>
  <si>
    <t>γαρ σιλωμ εζησε</t>
  </si>
  <si>
    <t>υμεις εστε (9:1) δεκαοκτω</t>
  </si>
  <si>
    <t>υμεις εστειε (9:1) δεκα οκτω</t>
  </si>
  <si>
    <t>(1) ημας εις μεσομεσοποταμιας  (2) τεσσαρακοστω ετει</t>
  </si>
  <si>
    <r>
      <t xml:space="preserve">(1) ημας </t>
    </r>
    <r>
      <rPr>
        <b/>
        <sz val="11"/>
        <color theme="1"/>
        <rFont val="Calibri"/>
        <family val="2"/>
        <scheme val="minor"/>
      </rPr>
      <t>εκ</t>
    </r>
    <r>
      <rPr>
        <sz val="11"/>
        <color theme="1"/>
        <rFont val="Calibri"/>
        <family val="2"/>
        <scheme val="minor"/>
      </rPr>
      <t xml:space="preserve"> μεσοποταμιας απο λαβαν (2) και πληρωθεντων τω δεκαοκτω ε[τ]ων εν τω τεσσαρακοστω ετει</t>
    </r>
  </si>
  <si>
    <r>
      <t xml:space="preserve">(1) ημας </t>
    </r>
    <r>
      <rPr>
        <b/>
        <sz val="11"/>
        <color theme="1"/>
        <rFont val="Calibri"/>
        <family val="2"/>
        <scheme val="minor"/>
      </rPr>
      <t>εις</t>
    </r>
    <r>
      <rPr>
        <sz val="11"/>
        <color theme="1"/>
        <rFont val="Calibri"/>
        <family val="2"/>
        <scheme val="minor"/>
      </rPr>
      <t xml:space="preserve"> μεσομεσοποταμιας  (2) τεσσαρακοστω ετει</t>
    </r>
  </si>
  <si>
    <r>
      <t xml:space="preserve">(1) ημας εις </t>
    </r>
    <r>
      <rPr>
        <b/>
        <sz val="11"/>
        <color theme="1"/>
        <rFont val="Calibri"/>
        <family val="2"/>
        <scheme val="minor"/>
      </rPr>
      <t>μεσομεσοποταμιας</t>
    </r>
    <r>
      <rPr>
        <sz val="11"/>
        <color theme="1"/>
        <rFont val="Calibri"/>
        <family val="2"/>
        <scheme val="minor"/>
      </rPr>
      <t xml:space="preserve">  (2) τεσσαρακοστω ετει</t>
    </r>
  </si>
  <si>
    <r>
      <t xml:space="preserve">(1) ημας εκ </t>
    </r>
    <r>
      <rPr>
        <b/>
        <sz val="11"/>
        <color theme="1"/>
        <rFont val="Calibri"/>
        <family val="2"/>
        <scheme val="minor"/>
      </rPr>
      <t>μεσοποταμιας</t>
    </r>
    <r>
      <rPr>
        <sz val="11"/>
        <color theme="1"/>
        <rFont val="Calibri"/>
        <family val="2"/>
        <scheme val="minor"/>
      </rPr>
      <t xml:space="preserve"> απο λαβαν (2) και πληρωθεντων τω δεκαοκτω ε[τ]ων εν τω τεσσαρακοστω ετει</t>
    </r>
  </si>
  <si>
    <r>
      <t xml:space="preserve">(1) ημας εκ μεσοποταμιας </t>
    </r>
    <r>
      <rPr>
        <b/>
        <sz val="11"/>
        <color theme="1"/>
        <rFont val="Calibri"/>
        <family val="2"/>
        <scheme val="minor"/>
      </rPr>
      <t>απο λαβαν</t>
    </r>
    <r>
      <rPr>
        <sz val="11"/>
        <color theme="1"/>
        <rFont val="Calibri"/>
        <family val="2"/>
        <scheme val="minor"/>
      </rPr>
      <t xml:space="preserve"> (2) </t>
    </r>
    <r>
      <rPr>
        <b/>
        <sz val="11"/>
        <color theme="1"/>
        <rFont val="Calibri"/>
        <family val="2"/>
        <scheme val="minor"/>
      </rPr>
      <t>και πληρωθεντων τω δεκαοκτω ε[τ]ων εν τω</t>
    </r>
    <r>
      <rPr>
        <sz val="11"/>
        <color theme="1"/>
        <rFont val="Calibri"/>
        <family val="2"/>
        <scheme val="minor"/>
      </rPr>
      <t xml:space="preserve"> τεσσαρακοστω ετει</t>
    </r>
  </si>
  <si>
    <t>απεθανεν</t>
  </si>
  <si>
    <t>εισελθειν</t>
  </si>
  <si>
    <t>περικαθησαντες επολιορκουμεν αυτοις</t>
  </si>
  <si>
    <r>
      <t xml:space="preserve">περικαθησαντες </t>
    </r>
    <r>
      <rPr>
        <b/>
        <sz val="11"/>
        <color theme="1"/>
        <rFont val="Calibri"/>
        <family val="2"/>
        <scheme val="minor"/>
      </rPr>
      <t>δε</t>
    </r>
    <r>
      <rPr>
        <sz val="11"/>
        <color theme="1"/>
        <rFont val="Calibri"/>
        <family val="2"/>
        <scheme val="minor"/>
      </rPr>
      <t xml:space="preserve"> επολιορκουμεν αυτους</t>
    </r>
  </si>
  <si>
    <r>
      <t xml:space="preserve">περικαθησαντες δε επολιορκουμεν </t>
    </r>
    <r>
      <rPr>
        <b/>
        <sz val="11"/>
        <color theme="1"/>
        <rFont val="Calibri"/>
        <family val="2"/>
        <scheme val="minor"/>
      </rPr>
      <t>αυτους</t>
    </r>
  </si>
  <si>
    <r>
      <t xml:space="preserve">περικαθησαντες επολιορκουμεν </t>
    </r>
    <r>
      <rPr>
        <b/>
        <sz val="11"/>
        <color theme="1"/>
        <rFont val="Calibri"/>
        <family val="2"/>
        <scheme val="minor"/>
      </rPr>
      <t>αυτοις</t>
    </r>
  </si>
  <si>
    <t>αποδεχομενος λιθους</t>
  </si>
  <si>
    <t>αποδεχομενοι λιθους</t>
  </si>
  <si>
    <t>ανειλον ετερους</t>
  </si>
  <si>
    <t>ανειλον ετερος</t>
  </si>
  <si>
    <t>φ ελαιου φ οινου</t>
  </si>
  <si>
    <t>φ ελαιου φευς φ οινου</t>
  </si>
  <si>
    <t>εκ γης χανααν</t>
  </si>
  <si>
    <t>εκ της χανααν</t>
  </si>
  <si>
    <t>και δε ουτος</t>
  </si>
  <si>
    <t>καιγε ουτος</t>
  </si>
  <si>
    <t>ουκ ην εκ θυγατερων</t>
  </si>
  <si>
    <t>ουκ εν εκ θυγατερων</t>
  </si>
  <si>
    <t>και ιδων</t>
  </si>
  <si>
    <t>και ειδων</t>
  </si>
  <si>
    <r>
      <t xml:space="preserve">πολει </t>
    </r>
    <r>
      <rPr>
        <b/>
        <sz val="11"/>
        <color theme="1"/>
        <rFont val="Calibri"/>
        <family val="2"/>
        <scheme val="minor"/>
      </rPr>
      <t>προς</t>
    </r>
    <r>
      <rPr>
        <sz val="11"/>
        <color theme="1"/>
        <rFont val="Calibri"/>
        <family val="2"/>
        <scheme val="minor"/>
      </rPr>
      <t xml:space="preserve"> την [] (2) νομος γαρ</t>
    </r>
  </si>
  <si>
    <r>
      <t xml:space="preserve">πολει </t>
    </r>
    <r>
      <rPr>
        <b/>
        <sz val="11"/>
        <color theme="1"/>
        <rFont val="Calibri"/>
        <family val="2"/>
        <scheme val="minor"/>
      </rPr>
      <t>παρα</t>
    </r>
    <r>
      <rPr>
        <sz val="11"/>
        <color theme="1"/>
        <rFont val="Calibri"/>
        <family val="2"/>
        <scheme val="minor"/>
      </rPr>
      <t xml:space="preserve"> τη γυνη (2) νομος γαρ</t>
    </r>
  </si>
  <si>
    <r>
      <t xml:space="preserve">πολει προς </t>
    </r>
    <r>
      <rPr>
        <b/>
        <sz val="11"/>
        <color theme="1"/>
        <rFont val="Calibri"/>
        <family val="2"/>
        <scheme val="minor"/>
      </rPr>
      <t>την</t>
    </r>
    <r>
      <rPr>
        <sz val="11"/>
        <color theme="1"/>
        <rFont val="Calibri"/>
        <family val="2"/>
        <scheme val="minor"/>
      </rPr>
      <t xml:space="preserve"> [] (2) νομος γαρ</t>
    </r>
  </si>
  <si>
    <r>
      <t xml:space="preserve">πολει παρα </t>
    </r>
    <r>
      <rPr>
        <b/>
        <sz val="11"/>
        <color theme="1"/>
        <rFont val="Calibri"/>
        <family val="2"/>
        <scheme val="minor"/>
      </rPr>
      <t>τη</t>
    </r>
    <r>
      <rPr>
        <sz val="11"/>
        <color theme="1"/>
        <rFont val="Calibri"/>
        <family val="2"/>
        <scheme val="minor"/>
      </rPr>
      <t xml:space="preserve"> γυνη (2) νομος γαρ</t>
    </r>
  </si>
  <si>
    <r>
      <t xml:space="preserve">πολει προς την </t>
    </r>
    <r>
      <rPr>
        <b/>
        <sz val="11"/>
        <color theme="1"/>
        <rFont val="Calibri"/>
        <family val="2"/>
        <scheme val="minor"/>
      </rPr>
      <t>[]</t>
    </r>
    <r>
      <rPr>
        <sz val="11"/>
        <color theme="1"/>
        <rFont val="Calibri"/>
        <family val="2"/>
        <scheme val="minor"/>
      </rPr>
      <t xml:space="preserve"> (2) νομος γαρ</t>
    </r>
  </si>
  <si>
    <r>
      <t xml:space="preserve">πολει παρα τη </t>
    </r>
    <r>
      <rPr>
        <b/>
        <sz val="11"/>
        <color theme="1"/>
        <rFont val="Calibri"/>
        <family val="2"/>
        <scheme val="minor"/>
      </rPr>
      <t>γυνη</t>
    </r>
    <r>
      <rPr>
        <sz val="11"/>
        <color theme="1"/>
        <rFont val="Calibri"/>
        <family val="2"/>
        <scheme val="minor"/>
      </rPr>
      <t xml:space="preserve"> (2) νομος γαρ</t>
    </r>
  </si>
  <si>
    <t>ημερας παρα τη πυλη</t>
  </si>
  <si>
    <t>ημερας εν τη πυλη</t>
  </si>
  <si>
    <t>και ως συνηλθον</t>
  </si>
  <si>
    <t>και συνηλθον</t>
  </si>
  <si>
    <t>κατησχυνε με</t>
  </si>
  <si>
    <t>κατηοχεν εμε</t>
  </si>
  <si>
    <t>μεθη μου ελαλησα και ουκ ηδυνηθην</t>
  </si>
  <si>
    <r>
      <t xml:space="preserve">μεθη μου </t>
    </r>
    <r>
      <rPr>
        <b/>
        <sz val="11"/>
        <color theme="1"/>
        <rFont val="Calibri"/>
        <family val="2"/>
        <scheme val="minor"/>
      </rPr>
      <t>ους</t>
    </r>
    <r>
      <rPr>
        <sz val="11"/>
        <color theme="1"/>
        <rFont val="Calibri"/>
        <family val="2"/>
        <scheme val="minor"/>
      </rPr>
      <t xml:space="preserve"> ελαλησα το ουκ ηδυνηθην</t>
    </r>
  </si>
  <si>
    <r>
      <t xml:space="preserve">μεθη μου ελαλησα </t>
    </r>
    <r>
      <rPr>
        <b/>
        <sz val="11"/>
        <color theme="1"/>
        <rFont val="Calibri"/>
        <family val="2"/>
        <scheme val="minor"/>
      </rPr>
      <t>και</t>
    </r>
    <r>
      <rPr>
        <sz val="11"/>
        <color theme="1"/>
        <rFont val="Calibri"/>
        <family val="2"/>
        <scheme val="minor"/>
      </rPr>
      <t xml:space="preserve"> ουκ ηδυνηθην</t>
    </r>
  </si>
  <si>
    <r>
      <t xml:space="preserve">μεθη μου ους ελαλησα </t>
    </r>
    <r>
      <rPr>
        <b/>
        <sz val="11"/>
        <color theme="1"/>
        <rFont val="Calibri"/>
        <family val="2"/>
        <scheme val="minor"/>
      </rPr>
      <t>το</t>
    </r>
    <r>
      <rPr>
        <sz val="11"/>
        <color theme="1"/>
        <rFont val="Calibri"/>
        <family val="2"/>
        <scheme val="minor"/>
      </rPr>
      <t xml:space="preserve"> ουκ ηδυνηθην</t>
    </r>
  </si>
  <si>
    <t>ελεγον γαρ μηποτε</t>
  </si>
  <si>
    <t>ελεγον δε μηποτε</t>
  </si>
  <si>
    <t>εν τη πολη</t>
  </si>
  <si>
    <t>εν τη πυλη</t>
  </si>
  <si>
    <r>
      <t xml:space="preserve">ελθουσα </t>
    </r>
    <r>
      <rPr>
        <b/>
        <sz val="11"/>
        <color theme="1"/>
        <rFont val="Calibri"/>
        <family val="2"/>
        <scheme val="minor"/>
      </rPr>
      <t>προς</t>
    </r>
    <r>
      <rPr>
        <sz val="11"/>
        <color theme="1"/>
        <rFont val="Calibri"/>
        <family val="2"/>
        <scheme val="minor"/>
      </rPr>
      <t xml:space="preserve"> βραχυ</t>
    </r>
  </si>
  <si>
    <r>
      <t xml:space="preserve">ελθουσα </t>
    </r>
    <r>
      <rPr>
        <b/>
        <sz val="11"/>
        <color theme="1"/>
        <rFont val="Calibri"/>
        <family val="2"/>
        <scheme val="minor"/>
      </rPr>
      <t>ερος</t>
    </r>
    <r>
      <rPr>
        <sz val="11"/>
        <color theme="1"/>
        <rFont val="Calibri"/>
        <family val="2"/>
        <scheme val="minor"/>
      </rPr>
      <t xml:space="preserve"> βαχυ</t>
    </r>
  </si>
  <si>
    <r>
      <t xml:space="preserve">ελθουσα ερος </t>
    </r>
    <r>
      <rPr>
        <b/>
        <sz val="11"/>
        <color theme="1"/>
        <rFont val="Calibri"/>
        <family val="2"/>
        <scheme val="minor"/>
      </rPr>
      <t>βαχυ</t>
    </r>
  </si>
  <si>
    <r>
      <t xml:space="preserve">ελθουσα προς </t>
    </r>
    <r>
      <rPr>
        <b/>
        <sz val="11"/>
        <color theme="1"/>
        <rFont val="Calibri"/>
        <family val="2"/>
        <scheme val="minor"/>
      </rPr>
      <t>βραχυ</t>
    </r>
  </si>
  <si>
    <t>οτι ουσεις εγνω</t>
  </si>
  <si>
    <t>οτι ουδεις εγνω</t>
  </si>
  <si>
    <t>ιουδα πατρος</t>
  </si>
  <si>
    <t>ιουδα του πρς</t>
  </si>
  <si>
    <t>υπακουειν εντολας θυ</t>
  </si>
  <si>
    <t>υπακουειν ενταλας θεου</t>
  </si>
  <si>
    <r>
      <rPr>
        <b/>
        <sz val="11"/>
        <color theme="1"/>
        <rFont val="Calibri"/>
        <family val="2"/>
        <scheme val="minor"/>
      </rPr>
      <t>πορευεσθε</t>
    </r>
    <r>
      <rPr>
        <sz val="11"/>
        <color theme="1"/>
        <rFont val="Calibri"/>
        <family val="2"/>
        <scheme val="minor"/>
      </rPr>
      <t xml:space="preserve"> οπισω των  επιθυμιων</t>
    </r>
  </si>
  <si>
    <r>
      <rPr>
        <b/>
        <sz val="11"/>
        <color theme="1"/>
        <rFont val="Calibri"/>
        <family val="2"/>
        <scheme val="minor"/>
      </rPr>
      <t>πορεωεσθε</t>
    </r>
    <r>
      <rPr>
        <sz val="11"/>
        <color theme="1"/>
        <rFont val="Calibri"/>
        <family val="2"/>
        <scheme val="minor"/>
      </rPr>
      <t xml:space="preserve"> οπισθεν των  επιθυμιων</t>
    </r>
  </si>
  <si>
    <r>
      <t xml:space="preserve">πορεωεσθε </t>
    </r>
    <r>
      <rPr>
        <b/>
        <sz val="11"/>
        <color theme="1"/>
        <rFont val="Calibri"/>
        <family val="2"/>
        <scheme val="minor"/>
      </rPr>
      <t>οπισθεν</t>
    </r>
    <r>
      <rPr>
        <sz val="11"/>
        <color theme="1"/>
        <rFont val="Calibri"/>
        <family val="2"/>
        <scheme val="minor"/>
      </rPr>
      <t xml:space="preserve"> των  επιθυμιων</t>
    </r>
  </si>
  <si>
    <r>
      <t xml:space="preserve">πορευεσθε </t>
    </r>
    <r>
      <rPr>
        <b/>
        <sz val="11"/>
        <color theme="1"/>
        <rFont val="Calibri"/>
        <family val="2"/>
        <scheme val="minor"/>
      </rPr>
      <t>οπισω</t>
    </r>
    <r>
      <rPr>
        <sz val="11"/>
        <color theme="1"/>
        <rFont val="Calibri"/>
        <family val="2"/>
        <scheme val="minor"/>
      </rPr>
      <t xml:space="preserve"> των  επιθυμιων</t>
    </r>
  </si>
  <si>
    <r>
      <t xml:space="preserve">μη </t>
    </r>
    <r>
      <rPr>
        <b/>
        <sz val="11"/>
        <color theme="1"/>
        <rFont val="Calibri"/>
        <family val="2"/>
        <scheme val="minor"/>
      </rPr>
      <t>καυχασθε</t>
    </r>
    <r>
      <rPr>
        <sz val="11"/>
        <color theme="1"/>
        <rFont val="Calibri"/>
        <family val="2"/>
        <scheme val="minor"/>
      </rPr>
      <t xml:space="preserve"> εν ισχυι εργοις</t>
    </r>
  </si>
  <si>
    <r>
      <t xml:space="preserve">μη </t>
    </r>
    <r>
      <rPr>
        <b/>
        <sz val="11"/>
        <color theme="1"/>
        <rFont val="Calibri"/>
        <family val="2"/>
        <scheme val="minor"/>
      </rPr>
      <t>χαυχασθε</t>
    </r>
    <r>
      <rPr>
        <sz val="11"/>
        <color theme="1"/>
        <rFont val="Calibri"/>
        <family val="2"/>
        <scheme val="minor"/>
      </rPr>
      <t xml:space="preserve"> εν ισχυι ενγοις</t>
    </r>
  </si>
  <si>
    <r>
      <t xml:space="preserve">μη χαυχασθε εν ισχυι </t>
    </r>
    <r>
      <rPr>
        <b/>
        <sz val="11"/>
        <color theme="1"/>
        <rFont val="Calibri"/>
        <family val="2"/>
        <scheme val="minor"/>
      </rPr>
      <t>ενγοις</t>
    </r>
  </si>
  <si>
    <r>
      <t xml:space="preserve">μη καυχασθε εν ισχυι </t>
    </r>
    <r>
      <rPr>
        <b/>
        <sz val="11"/>
        <color theme="1"/>
        <rFont val="Calibri"/>
        <family val="2"/>
        <scheme val="minor"/>
      </rPr>
      <t>εργοις</t>
    </r>
  </si>
  <si>
    <t>Barocci = μισουε</t>
  </si>
  <si>
    <t>τοις υιοις</t>
  </si>
  <si>
    <t>τοιε υιοις</t>
  </si>
  <si>
    <t>συμβουλευσομαι</t>
  </si>
  <si>
    <t>μοι οφθαλμους</t>
  </si>
  <si>
    <t>μοι τους οφθαλμους</t>
  </si>
  <si>
    <t>παρεβη εντολην</t>
  </si>
  <si>
    <t>παρεβην εντολην</t>
  </si>
  <si>
    <t>καταπερ διαβουλιον</t>
  </si>
  <si>
    <t>ηυφρανθην</t>
  </si>
  <si>
    <t>(1) οφθαλμους (2) το γαρ</t>
  </si>
  <si>
    <t>(1) οφθαλμους (2) και γαρ</t>
  </si>
  <si>
    <t>εχει του νοος οτι</t>
  </si>
  <si>
    <t>εχει του νοον οτι</t>
  </si>
  <si>
    <t xml:space="preserve">(3) αισχυνεται (4) τοιουτος </t>
  </si>
  <si>
    <t xml:space="preserve">(3) αισχυνεται (4) το τοιουτος </t>
  </si>
  <si>
    <t>μεθυων ουδενος αιδειται</t>
  </si>
  <si>
    <t>μεθυων ουδενα αιδειται</t>
  </si>
  <si>
    <t>και με</t>
  </si>
  <si>
    <t>οτου εχει</t>
  </si>
  <si>
    <t>οτε εχει</t>
  </si>
  <si>
    <t>και παρανομειν και μη</t>
  </si>
  <si>
    <t>και παρανομ και μη</t>
  </si>
  <si>
    <r>
      <rPr>
        <b/>
        <sz val="11"/>
        <color theme="1"/>
        <rFont val="Calibri"/>
        <family val="2"/>
        <scheme val="minor"/>
      </rPr>
      <t>γυμνουμενος</t>
    </r>
    <r>
      <rPr>
        <sz val="11"/>
        <color theme="1"/>
        <rFont val="Calibri"/>
        <family val="2"/>
        <scheme val="minor"/>
      </rPr>
      <t xml:space="preserve"> της βασιλειας εξερχεται δουλωθεις τη πορνειαν ως καγω</t>
    </r>
  </si>
  <si>
    <r>
      <rPr>
        <b/>
        <sz val="11"/>
        <color theme="1"/>
        <rFont val="Calibri"/>
        <family val="2"/>
        <scheme val="minor"/>
      </rPr>
      <t>γυννουμενος</t>
    </r>
    <r>
      <rPr>
        <sz val="11"/>
        <color theme="1"/>
        <rFont val="Calibri"/>
        <family val="2"/>
        <scheme val="minor"/>
      </rPr>
      <t xml:space="preserve"> της βασιλεις εξερχεται δουλυνθεις τη ποννεια ως καγω</t>
    </r>
  </si>
  <si>
    <r>
      <t xml:space="preserve">γυμνουμενος της </t>
    </r>
    <r>
      <rPr>
        <b/>
        <sz val="11"/>
        <color theme="1"/>
        <rFont val="Calibri"/>
        <family val="2"/>
        <scheme val="minor"/>
      </rPr>
      <t>βασιλειας</t>
    </r>
    <r>
      <rPr>
        <sz val="11"/>
        <color theme="1"/>
        <rFont val="Calibri"/>
        <family val="2"/>
        <scheme val="minor"/>
      </rPr>
      <t xml:space="preserve"> εξερχεται δουλωθεις τη πορνειαν ως καγω</t>
    </r>
  </si>
  <si>
    <r>
      <t xml:space="preserve">γυννουμενος της </t>
    </r>
    <r>
      <rPr>
        <b/>
        <sz val="11"/>
        <color theme="1"/>
        <rFont val="Calibri"/>
        <family val="2"/>
        <scheme val="minor"/>
      </rPr>
      <t>βασιλεις</t>
    </r>
    <r>
      <rPr>
        <sz val="11"/>
        <color theme="1"/>
        <rFont val="Calibri"/>
        <family val="2"/>
        <scheme val="minor"/>
      </rPr>
      <t xml:space="preserve"> εξερχεται δουλυνθεις τη ποννεια ως καγω</t>
    </r>
  </si>
  <si>
    <r>
      <t xml:space="preserve">γυμνουμενος της βασιλειας εξερχεται </t>
    </r>
    <r>
      <rPr>
        <b/>
        <sz val="11"/>
        <color theme="1"/>
        <rFont val="Calibri"/>
        <family val="2"/>
        <scheme val="minor"/>
      </rPr>
      <t>δουλωθεις</t>
    </r>
    <r>
      <rPr>
        <sz val="11"/>
        <color theme="1"/>
        <rFont val="Calibri"/>
        <family val="2"/>
        <scheme val="minor"/>
      </rPr>
      <t xml:space="preserve"> τη πορνειαν ως καγω</t>
    </r>
  </si>
  <si>
    <r>
      <t xml:space="preserve">γυννουμενος της βασιλεις εξερχεται </t>
    </r>
    <r>
      <rPr>
        <b/>
        <sz val="11"/>
        <color theme="1"/>
        <rFont val="Calibri"/>
        <family val="2"/>
        <scheme val="minor"/>
      </rPr>
      <t>δουλυνθεις</t>
    </r>
    <r>
      <rPr>
        <sz val="11"/>
        <color theme="1"/>
        <rFont val="Calibri"/>
        <family val="2"/>
        <scheme val="minor"/>
      </rPr>
      <t xml:space="preserve"> τη ποννεια ως καγω</t>
    </r>
  </si>
  <si>
    <r>
      <t xml:space="preserve">γυμνουμενος της βασιλειας εξερχεται δουλωθεις τη </t>
    </r>
    <r>
      <rPr>
        <b/>
        <sz val="11"/>
        <color theme="1"/>
        <rFont val="Calibri"/>
        <family val="2"/>
        <scheme val="minor"/>
      </rPr>
      <t>πορνειαν</t>
    </r>
    <r>
      <rPr>
        <sz val="11"/>
        <color theme="1"/>
        <rFont val="Calibri"/>
        <family val="2"/>
        <scheme val="minor"/>
      </rPr>
      <t xml:space="preserve"> ως καγω</t>
    </r>
  </si>
  <si>
    <r>
      <t xml:space="preserve">γυννουμενος της βασιλεις εξερχεται δουλυνθεις τη </t>
    </r>
    <r>
      <rPr>
        <b/>
        <sz val="11"/>
        <color theme="1"/>
        <rFont val="Calibri"/>
        <family val="2"/>
        <scheme val="minor"/>
      </rPr>
      <t>ποννεια</t>
    </r>
    <r>
      <rPr>
        <sz val="11"/>
        <color theme="1"/>
        <rFont val="Calibri"/>
        <family val="2"/>
        <scheme val="minor"/>
      </rPr>
      <t xml:space="preserve"> ως καγω</t>
    </r>
  </si>
  <si>
    <t>γηρως</t>
  </si>
  <si>
    <t>κατακυριευσωσι</t>
  </si>
  <si>
    <r>
      <t xml:space="preserve">του </t>
    </r>
    <r>
      <rPr>
        <b/>
        <sz val="11"/>
        <color theme="1"/>
        <rFont val="Calibri"/>
        <family val="2"/>
        <scheme val="minor"/>
      </rPr>
      <t>μεν</t>
    </r>
    <r>
      <rPr>
        <sz val="11"/>
        <color theme="1"/>
        <rFont val="Calibri"/>
        <family val="2"/>
        <scheme val="minor"/>
      </rPr>
      <t xml:space="preserve"> βασιλεως</t>
    </r>
  </si>
  <si>
    <r>
      <t xml:space="preserve">του </t>
    </r>
    <r>
      <rPr>
        <b/>
        <sz val="11"/>
        <color theme="1"/>
        <rFont val="Calibri"/>
        <family val="2"/>
        <scheme val="minor"/>
      </rPr>
      <t>μετα</t>
    </r>
    <r>
      <rPr>
        <sz val="11"/>
        <color theme="1"/>
        <rFont val="Calibri"/>
        <family val="2"/>
        <scheme val="minor"/>
      </rPr>
      <t xml:space="preserve"> βασιλεος</t>
    </r>
  </si>
  <si>
    <r>
      <t xml:space="preserve">του μεν </t>
    </r>
    <r>
      <rPr>
        <b/>
        <sz val="11"/>
        <color theme="1"/>
        <rFont val="Calibri"/>
        <family val="2"/>
        <scheme val="minor"/>
      </rPr>
      <t>βασιλεως</t>
    </r>
  </si>
  <si>
    <r>
      <t xml:space="preserve">του μετα </t>
    </r>
    <r>
      <rPr>
        <b/>
        <sz val="11"/>
        <color theme="1"/>
        <rFont val="Calibri"/>
        <family val="2"/>
        <scheme val="minor"/>
      </rPr>
      <t>βασιλεος</t>
    </r>
  </si>
  <si>
    <t>ορον του οινου</t>
  </si>
  <si>
    <t>ορον οινου</t>
  </si>
  <si>
    <t>τεσσαρα</t>
  </si>
  <si>
    <t xml:space="preserve">πινητε οινον </t>
  </si>
  <si>
    <t xml:space="preserve">πινεται οινον </t>
  </si>
  <si>
    <t>πινετε ινα</t>
  </si>
  <si>
    <t>πινεται ινα</t>
  </si>
  <si>
    <t>αποκαλυψαι και</t>
  </si>
  <si>
    <t>απολυψει και</t>
  </si>
  <si>
    <t>νομου θυ</t>
  </si>
  <si>
    <t>νομον θεου</t>
  </si>
  <si>
    <t>σαρκας αυτους (5) και θυσιας</t>
  </si>
  <si>
    <t>σαρκας αυτου (5) και θυσιας</t>
  </si>
  <si>
    <t>μνημονευει</t>
  </si>
  <si>
    <t>προφητη λαλουντι</t>
  </si>
  <si>
    <t>προσοχθιζει</t>
  </si>
  <si>
    <t>παθεσιν εναντιοις</t>
  </si>
  <si>
    <t>παθεσιν εναντιαις</t>
  </si>
  <si>
    <t>εξολοθρευθητε</t>
  </si>
  <si>
    <t>επ ουρανοις</t>
  </si>
  <si>
    <t>εν ουνοις</t>
  </si>
  <si>
    <t>ουτως υπερεχει</t>
  </si>
  <si>
    <t>ωτως υπερεχει</t>
  </si>
  <si>
    <t>βασιλειας εαν μη</t>
  </si>
  <si>
    <t>βασιλειας καν μη</t>
  </si>
  <si>
    <t>εκπεση κυ και</t>
  </si>
  <si>
    <t>εκπεση κυριον και</t>
  </si>
  <si>
    <t>εξελεξατο κς</t>
  </si>
  <si>
    <t>εξελεξατω κυριος</t>
  </si>
  <si>
    <r>
      <t xml:space="preserve">γενος </t>
    </r>
    <r>
      <rPr>
        <b/>
        <sz val="11"/>
        <color theme="1"/>
        <rFont val="Calibri"/>
        <family val="2"/>
        <scheme val="minor"/>
      </rPr>
      <t>ανων</t>
    </r>
    <r>
      <rPr>
        <sz val="11"/>
        <color theme="1"/>
        <rFont val="Calibri"/>
        <family val="2"/>
        <scheme val="minor"/>
      </rPr>
      <t xml:space="preserve"> οι μεν κινδυνευσουσιν</t>
    </r>
  </si>
  <si>
    <r>
      <t xml:space="preserve">γενος </t>
    </r>
    <r>
      <rPr>
        <b/>
        <sz val="11"/>
        <color theme="1"/>
        <rFont val="Calibri"/>
        <family val="2"/>
        <scheme val="minor"/>
      </rPr>
      <t>ανθρωπου</t>
    </r>
    <r>
      <rPr>
        <sz val="11"/>
        <color theme="1"/>
        <rFont val="Calibri"/>
        <family val="2"/>
        <scheme val="minor"/>
      </rPr>
      <t xml:space="preserve"> οι μεν κινδωνευσουσιν</t>
    </r>
  </si>
  <si>
    <r>
      <t xml:space="preserve">γενος ανων οι μεν </t>
    </r>
    <r>
      <rPr>
        <b/>
        <sz val="11"/>
        <color theme="1"/>
        <rFont val="Calibri"/>
        <family val="2"/>
        <scheme val="minor"/>
      </rPr>
      <t>κινδυνευσουσιν</t>
    </r>
  </si>
  <si>
    <r>
      <t xml:space="preserve">γενος ανθρωπου οι μεν </t>
    </r>
    <r>
      <rPr>
        <b/>
        <sz val="11"/>
        <color theme="1"/>
        <rFont val="Calibri"/>
        <family val="2"/>
        <scheme val="minor"/>
      </rPr>
      <t>κινδωνευσουσιν</t>
    </r>
  </si>
  <si>
    <t>υιους ελευθερους</t>
  </si>
  <si>
    <t>υιους ελευθερος</t>
  </si>
  <si>
    <t>αρπασουσι</t>
  </si>
  <si>
    <t>κορακες</t>
  </si>
  <si>
    <t>ιβεις</t>
  </si>
  <si>
    <t>κατ αλληλων και πολεμοι</t>
  </si>
  <si>
    <t>καταλληλως και πολεμοι</t>
  </si>
  <si>
    <t>θεου δικαιωσυνης</t>
  </si>
  <si>
    <r>
      <t xml:space="preserve">θυ </t>
    </r>
    <r>
      <rPr>
        <b/>
        <sz val="11"/>
        <color theme="1"/>
        <rFont val="Calibri"/>
        <family val="2"/>
        <scheme val="minor"/>
      </rPr>
      <t>της</t>
    </r>
    <r>
      <rPr>
        <sz val="11"/>
        <color theme="1"/>
        <rFont val="Calibri"/>
        <family val="2"/>
        <scheme val="minor"/>
      </rPr>
      <t xml:space="preserve"> δικαιοσυνης</t>
    </r>
  </si>
  <si>
    <r>
      <t xml:space="preserve">θεου </t>
    </r>
    <r>
      <rPr>
        <b/>
        <sz val="11"/>
        <color theme="1"/>
        <rFont val="Calibri"/>
        <family val="2"/>
        <scheme val="minor"/>
      </rPr>
      <t>δικαιωσυνης</t>
    </r>
  </si>
  <si>
    <r>
      <t xml:space="preserve">θυ της </t>
    </r>
    <r>
      <rPr>
        <b/>
        <sz val="11"/>
        <color theme="1"/>
        <rFont val="Calibri"/>
        <family val="2"/>
        <scheme val="minor"/>
      </rPr>
      <t>δικαιοσυνης</t>
    </r>
  </si>
  <si>
    <t>λυπη μοι εστιν τεκνα δια τας ασελγειας</t>
  </si>
  <si>
    <t>λυπη εστιν δια τεκνα δια τας ασελγειας</t>
  </si>
  <si>
    <r>
      <t xml:space="preserve">λυπη </t>
    </r>
    <r>
      <rPr>
        <b/>
        <sz val="11"/>
        <color theme="1"/>
        <rFont val="Calibri"/>
        <family val="2"/>
        <scheme val="minor"/>
      </rPr>
      <t>μοι</t>
    </r>
    <r>
      <rPr>
        <sz val="11"/>
        <color theme="1"/>
        <rFont val="Calibri"/>
        <family val="2"/>
        <scheme val="minor"/>
      </rPr>
      <t xml:space="preserve"> εστιν τεκνα δια τας ασελγειας</t>
    </r>
  </si>
  <si>
    <r>
      <t xml:space="preserve">λυπη εστιν </t>
    </r>
    <r>
      <rPr>
        <b/>
        <sz val="11"/>
        <color theme="1"/>
        <rFont val="Calibri"/>
        <family val="2"/>
        <scheme val="minor"/>
      </rPr>
      <t>δια</t>
    </r>
    <r>
      <rPr>
        <sz val="11"/>
        <color theme="1"/>
        <rFont val="Calibri"/>
        <family val="2"/>
        <scheme val="minor"/>
      </rPr>
      <t xml:space="preserve"> τεκνα δια τας ασελγειας</t>
    </r>
  </si>
  <si>
    <t>εξακολουθουντες</t>
  </si>
  <si>
    <t>θυγατη υμων</t>
  </si>
  <si>
    <t>θυγατερας υμων</t>
  </si>
  <si>
    <t>δουλειαν</t>
  </si>
  <si>
    <t>τελεια καρδια μεταμελουμενοι</t>
  </si>
  <si>
    <t>τελεια καρδιας μεταμελουμενοι</t>
  </si>
  <si>
    <t>ταις εντολαις</t>
  </si>
  <si>
    <t>ταις εντολας</t>
  </si>
  <si>
    <t>υμιν εστρον εξ</t>
  </si>
  <si>
    <t>υμιν αστρον εξ</t>
  </si>
  <si>
    <t>ηλιος της δικαιοσυνης</t>
  </si>
  <si>
    <t>ηλιος δικαιοσυνης</t>
  </si>
  <si>
    <t>πραοτητι και δικαιοσυνη</t>
  </si>
  <si>
    <t>πραοτητι και αγιοσυνη</t>
  </si>
  <si>
    <r>
      <t xml:space="preserve">αμαρτια </t>
    </r>
    <r>
      <rPr>
        <b/>
        <sz val="11"/>
        <color theme="1"/>
        <rFont val="Calibri"/>
        <family val="2"/>
        <scheme val="minor"/>
      </rPr>
      <t>ουχ</t>
    </r>
    <r>
      <rPr>
        <sz val="11"/>
        <color theme="1"/>
        <rFont val="Calibri"/>
        <family val="2"/>
        <scheme val="minor"/>
      </rPr>
      <t xml:space="preserve"> ευρεθησεται εν αυτω</t>
    </r>
  </si>
  <si>
    <r>
      <t xml:space="preserve">αμαρτια </t>
    </r>
    <r>
      <rPr>
        <b/>
        <sz val="11"/>
        <color theme="1"/>
        <rFont val="Calibri"/>
        <family val="2"/>
        <scheme val="minor"/>
      </rPr>
      <t>ουκ</t>
    </r>
    <r>
      <rPr>
        <sz val="11"/>
        <color theme="1"/>
        <rFont val="Calibri"/>
        <family val="2"/>
        <scheme val="minor"/>
      </rPr>
      <t xml:space="preserve"> ευρηθησεται εν αυτω</t>
    </r>
  </si>
  <si>
    <r>
      <t xml:space="preserve">αμαρτια ουκ </t>
    </r>
    <r>
      <rPr>
        <b/>
        <sz val="11"/>
        <color theme="1"/>
        <rFont val="Calibri"/>
        <family val="2"/>
        <scheme val="minor"/>
      </rPr>
      <t>ευρηθησεται</t>
    </r>
    <r>
      <rPr>
        <sz val="11"/>
        <color theme="1"/>
        <rFont val="Calibri"/>
        <family val="2"/>
        <scheme val="minor"/>
      </rPr>
      <t xml:space="preserve"> εν αυτω</t>
    </r>
  </si>
  <si>
    <r>
      <t xml:space="preserve">αμαρτια ουχ </t>
    </r>
    <r>
      <rPr>
        <b/>
        <sz val="11"/>
        <color theme="1"/>
        <rFont val="Calibri"/>
        <family val="2"/>
        <scheme val="minor"/>
      </rPr>
      <t>ευρεθησεται</t>
    </r>
    <r>
      <rPr>
        <sz val="11"/>
        <color theme="1"/>
        <rFont val="Calibri"/>
        <family val="2"/>
        <scheme val="minor"/>
      </rPr>
      <t xml:space="preserve"> εν αυτω</t>
    </r>
  </si>
  <si>
    <t>ανοιγησονται</t>
  </si>
  <si>
    <t>νομον κυ</t>
  </si>
  <si>
    <t>νομον θεου κυριου</t>
  </si>
  <si>
    <t xml:space="preserve">αποθνησκω εγω </t>
  </si>
  <si>
    <t xml:space="preserve">αποθνησκων εγω </t>
  </si>
  <si>
    <t>χεβρων (4) και ταυτα</t>
  </si>
  <si>
    <t>χεβρων μετα των πατερων αυτου (4) και ταυτα</t>
  </si>
  <si>
    <t>μισθω των μανδραγορων</t>
  </si>
  <si>
    <t>μισθε των μανδραγορων</t>
  </si>
  <si>
    <t>ηνεγκε</t>
  </si>
  <si>
    <t>προσαπαντησας</t>
  </si>
  <si>
    <t>ησαν δε</t>
  </si>
  <si>
    <t>ησθαν δε</t>
  </si>
  <si>
    <t>λεια προς</t>
  </si>
  <si>
    <t>λειαρ προς</t>
  </si>
  <si>
    <t>δε δοξαζε</t>
  </si>
  <si>
    <t>δε δοξατε</t>
  </si>
  <si>
    <t>ηρμοσται και</t>
  </si>
  <si>
    <t>ηρμοστα και</t>
  </si>
  <si>
    <t>ποιησω οτι</t>
  </si>
  <si>
    <t>με ιδειν</t>
  </si>
  <si>
    <t>με ειδειν</t>
  </si>
  <si>
    <t>λαβε μιαν</t>
  </si>
  <si>
    <t>ανδρος κ[αι] εξελεξατο</t>
  </si>
  <si>
    <t>ανδρος εξελεξατο</t>
  </si>
  <si>
    <t>ει μη λεια</t>
  </si>
  <si>
    <t>ει η λεια</t>
  </si>
  <si>
    <t>συνουσιας δυο μηλα</t>
  </si>
  <si>
    <t>συνουσιας τα δυο μηλα</t>
  </si>
  <si>
    <t>τω οντι εν τω καιρω</t>
  </si>
  <si>
    <t>τω αντι εν τω καιρω</t>
  </si>
  <si>
    <t>οτι ουν</t>
  </si>
  <si>
    <t>οτε ουν</t>
  </si>
  <si>
    <t>πλησιον (4) ου κατελαλησα</t>
  </si>
  <si>
    <t>πλησιον μου (4) ου κατελαλησα</t>
  </si>
  <si>
    <t>κατησθιε</t>
  </si>
  <si>
    <t>ιακωβ και οτι ο θεος</t>
  </si>
  <si>
    <t>ιακωβ οτι ο θς</t>
  </si>
  <si>
    <t>ποικιλων ουκ εφιεται</t>
  </si>
  <si>
    <t>ποικιλων ου ουκ εφιεται</t>
  </si>
  <si>
    <t>ουχ υπογραφει</t>
  </si>
  <si>
    <t>ουκ υπογραφει</t>
  </si>
  <si>
    <t>τον νωτον υμων</t>
  </si>
  <si>
    <t>Smith corrects νωτον -&gt; νουντον</t>
  </si>
  <si>
    <t>εργαζεσθαι εν εργοις</t>
  </si>
  <si>
    <t>εργαζεσθε εν εργοις</t>
  </si>
  <si>
    <r>
      <rPr>
        <b/>
        <sz val="11"/>
        <color theme="1"/>
        <rFont val="Calibri"/>
        <family val="2"/>
        <scheme val="minor"/>
      </rPr>
      <t>μετ</t>
    </r>
    <r>
      <rPr>
        <sz val="11"/>
        <color theme="1"/>
        <rFont val="Calibri"/>
        <family val="2"/>
        <scheme val="minor"/>
      </rPr>
      <t xml:space="preserve"> ευχαριστιας</t>
    </r>
  </si>
  <si>
    <r>
      <rPr>
        <b/>
        <sz val="11"/>
        <color theme="1"/>
        <rFont val="Calibri"/>
        <family val="2"/>
        <scheme val="minor"/>
      </rPr>
      <t>μετα</t>
    </r>
    <r>
      <rPr>
        <sz val="11"/>
        <color theme="1"/>
        <rFont val="Calibri"/>
        <family val="2"/>
        <scheme val="minor"/>
      </rPr>
      <t xml:space="preserve"> ευχαριστστιας</t>
    </r>
  </si>
  <si>
    <r>
      <t xml:space="preserve">μετα </t>
    </r>
    <r>
      <rPr>
        <b/>
        <sz val="11"/>
        <color theme="1"/>
        <rFont val="Calibri"/>
        <family val="2"/>
        <scheme val="minor"/>
      </rPr>
      <t>ευχαριστστιας</t>
    </r>
  </si>
  <si>
    <r>
      <t xml:space="preserve">μετ </t>
    </r>
    <r>
      <rPr>
        <b/>
        <sz val="11"/>
        <color theme="1"/>
        <rFont val="Calibri"/>
        <family val="2"/>
        <scheme val="minor"/>
      </rPr>
      <t>ευχαριστιας</t>
    </r>
  </si>
  <si>
    <t>(3) προσφεροντες (4) οτι εν</t>
  </si>
  <si>
    <t>(3) προσφεροντες (4) ετι εν</t>
  </si>
  <si>
    <t>ευλογησε σε κς</t>
  </si>
  <si>
    <t>ευλογησε σει κυριος</t>
  </si>
  <si>
    <t>δεδοται ημιν αλλη</t>
  </si>
  <si>
    <t>δεδοται υμιν αλλη</t>
  </si>
  <si>
    <t>απαρχων καρπων</t>
  </si>
  <si>
    <t>απαρχη καρπων</t>
  </si>
  <si>
    <t>υιοι υμων</t>
  </si>
  <si>
    <t>υιοι ημων</t>
  </si>
  <si>
    <t>κολληθησονται τω βελιαρ</t>
  </si>
  <si>
    <t>καλληθησονται τω βελιαρ</t>
  </si>
  <si>
    <t>εθνεσι και</t>
  </si>
  <si>
    <t>εθνεσιν και</t>
  </si>
  <si>
    <t>μετεωρισμω</t>
  </si>
  <si>
    <t>ανον ηγαπησα</t>
  </si>
  <si>
    <t>ανον επει ηγαπησα</t>
  </si>
  <si>
    <t>ποιησατε υμεις τα τεκνα</t>
  </si>
  <si>
    <t>ποιησατε και υμεις τεκνα</t>
  </si>
  <si>
    <r>
      <t xml:space="preserve">ποιησατε </t>
    </r>
    <r>
      <rPr>
        <b/>
        <sz val="11"/>
        <color theme="1"/>
        <rFont val="Calibri"/>
        <family val="2"/>
        <scheme val="minor"/>
      </rPr>
      <t>και</t>
    </r>
    <r>
      <rPr>
        <sz val="11"/>
        <color theme="1"/>
        <rFont val="Calibri"/>
        <family val="2"/>
        <scheme val="minor"/>
      </rPr>
      <t xml:space="preserve"> υμεις τεκνα</t>
    </r>
  </si>
  <si>
    <r>
      <t xml:space="preserve">ποιησατε υμεις </t>
    </r>
    <r>
      <rPr>
        <b/>
        <sz val="11"/>
        <color theme="1"/>
        <rFont val="Calibri"/>
        <family val="2"/>
        <scheme val="minor"/>
      </rPr>
      <t>τα</t>
    </r>
    <r>
      <rPr>
        <sz val="11"/>
        <color theme="1"/>
        <rFont val="Calibri"/>
        <family val="2"/>
        <scheme val="minor"/>
      </rPr>
      <t xml:space="preserve"> τεκνα</t>
    </r>
  </si>
  <si>
    <t>εαυτων τον θεον του ουρανου</t>
  </si>
  <si>
    <t>εαυτων του ουνου</t>
  </si>
  <si>
    <t>εξετεινε τας ποδας</t>
  </si>
  <si>
    <t>εξετεινε τους ποδας</t>
  </si>
  <si>
    <t>Barocci corrects to τεσσαρω, Smith corrects to τεσσαρακοστω</t>
  </si>
  <si>
    <t>ρημασι του πατρος</t>
  </si>
  <si>
    <t>ρημασι πρς</t>
  </si>
  <si>
    <t>οτε εν ταις</t>
  </si>
  <si>
    <t>οτι εν ταις</t>
  </si>
  <si>
    <t>γαρ τους αδελφους μου</t>
  </si>
  <si>
    <t>γαρ τοις αδελφοις μου</t>
  </si>
  <si>
    <t>και εγω</t>
  </si>
  <si>
    <t>εβομβει η καρδια</t>
  </si>
  <si>
    <t>οπισω μου</t>
  </si>
  <si>
    <t>οπισα μου</t>
  </si>
  <si>
    <t>τουτων ων ωρυξαν</t>
  </si>
  <si>
    <t>τουτων των ωρυξαν</t>
  </si>
  <si>
    <t>ουχ ευρον</t>
  </si>
  <si>
    <t>ουκ ευρον</t>
  </si>
  <si>
    <t>εως ου αυτον</t>
  </si>
  <si>
    <t>εως του αυτον</t>
  </si>
  <si>
    <t>Barocci corrects to ημων, Smith does not follow</t>
  </si>
  <si>
    <t>αυτην δε ανθ ων</t>
  </si>
  <si>
    <t>αυτην γε ανθ ων</t>
  </si>
  <si>
    <t>και ιδωμεν</t>
  </si>
  <si>
    <t>και ειδομεν</t>
  </si>
  <si>
    <t>εν γραφη</t>
  </si>
  <si>
    <t>αδελφου αυτων (6) και γαρ</t>
  </si>
  <si>
    <t>αδελφου αυτων και κς υπελυσεν αυτοις το υποδημα ο εφορεσαν κατα ιωσηφ του αδελφου αυτων (6) και γαρ</t>
  </si>
  <si>
    <t>προσεκυνησαν</t>
  </si>
  <si>
    <t>πατρος υμων</t>
  </si>
  <si>
    <t>(9) ουτως (10) και τον γαρ</t>
  </si>
  <si>
    <t>(9) ουτως (10) τον γαρ</t>
  </si>
  <si>
    <t>ημων εξεδυσαν</t>
  </si>
  <si>
    <t>ημων η εξεδυσαν</t>
  </si>
  <si>
    <t>ρομφαια</t>
  </si>
  <si>
    <t>ερουμεν</t>
  </si>
  <si>
    <r>
      <rPr>
        <b/>
        <sz val="11"/>
        <color theme="1"/>
        <rFont val="Calibri"/>
        <family val="2"/>
        <scheme val="minor"/>
      </rPr>
      <t>αναγγελω</t>
    </r>
    <r>
      <rPr>
        <sz val="11"/>
        <color theme="1"/>
        <rFont val="Calibri"/>
        <family val="2"/>
        <scheme val="minor"/>
      </rPr>
      <t xml:space="preserve"> υμιν</t>
    </r>
  </si>
  <si>
    <r>
      <rPr>
        <b/>
        <sz val="11"/>
        <color theme="1"/>
        <rFont val="Calibri"/>
        <family val="2"/>
        <scheme val="minor"/>
      </rPr>
      <t>αναγγελλω</t>
    </r>
    <r>
      <rPr>
        <sz val="11"/>
        <color theme="1"/>
        <rFont val="Calibri"/>
        <family val="2"/>
        <scheme val="minor"/>
      </rPr>
      <t xml:space="preserve"> ημιν</t>
    </r>
  </si>
  <si>
    <r>
      <t xml:space="preserve">αναγγελλω </t>
    </r>
    <r>
      <rPr>
        <b/>
        <sz val="11"/>
        <color theme="1"/>
        <rFont val="Calibri"/>
        <family val="2"/>
        <scheme val="minor"/>
      </rPr>
      <t>ημιν</t>
    </r>
  </si>
  <si>
    <r>
      <t xml:space="preserve">αναγγελω </t>
    </r>
    <r>
      <rPr>
        <b/>
        <sz val="11"/>
        <color theme="1"/>
        <rFont val="Calibri"/>
        <family val="2"/>
        <scheme val="minor"/>
      </rPr>
      <t>υμιν</t>
    </r>
  </si>
  <si>
    <t>αλλα και εις αλογα</t>
  </si>
  <si>
    <t>αλλα εις αλογα</t>
  </si>
  <si>
    <t>αδελφων μου ησθενουν απεθνησκον</t>
  </si>
  <si>
    <r>
      <t xml:space="preserve">αδελφων μου </t>
    </r>
    <r>
      <rPr>
        <b/>
        <sz val="11"/>
        <color theme="1"/>
        <rFont val="Calibri"/>
        <family val="2"/>
        <scheme val="minor"/>
      </rPr>
      <t>α</t>
    </r>
    <r>
      <rPr>
        <sz val="11"/>
        <color theme="1"/>
        <rFont val="Calibri"/>
        <family val="2"/>
        <scheme val="minor"/>
      </rPr>
      <t xml:space="preserve"> ησθενειν απεθνησκον</t>
    </r>
  </si>
  <si>
    <r>
      <t xml:space="preserve">αδελφων μου </t>
    </r>
    <r>
      <rPr>
        <b/>
        <sz val="11"/>
        <color theme="1"/>
        <rFont val="Calibri"/>
        <family val="2"/>
        <scheme val="minor"/>
      </rPr>
      <t>ησθενουν</t>
    </r>
    <r>
      <rPr>
        <sz val="11"/>
        <color theme="1"/>
        <rFont val="Calibri"/>
        <family val="2"/>
        <scheme val="minor"/>
      </rPr>
      <t xml:space="preserve"> απεθνησκον</t>
    </r>
  </si>
  <si>
    <r>
      <t xml:space="preserve">αδελφων μου α </t>
    </r>
    <r>
      <rPr>
        <b/>
        <sz val="11"/>
        <color theme="1"/>
        <rFont val="Calibri"/>
        <family val="2"/>
        <scheme val="minor"/>
      </rPr>
      <t>ησθενειν</t>
    </r>
    <r>
      <rPr>
        <sz val="11"/>
        <color theme="1"/>
        <rFont val="Calibri"/>
        <family val="2"/>
        <scheme val="minor"/>
      </rPr>
      <t xml:space="preserve"> απεθνησκον</t>
    </r>
  </si>
  <si>
    <t>εν γη χανααν</t>
  </si>
  <si>
    <t>εν τη χανααν</t>
  </si>
  <si>
    <t>οτε δε</t>
  </si>
  <si>
    <t>οτι δε</t>
  </si>
  <si>
    <t>επι το αυτο</t>
  </si>
  <si>
    <t>επι τα αυτο</t>
  </si>
  <si>
    <t>ταυτα ανατελει υμιν</t>
  </si>
  <si>
    <t>ταυτα ανατελειν υμιν</t>
  </si>
  <si>
    <t>κς και επιστρεψετε</t>
  </si>
  <si>
    <t>παροργισετε ταυ αυτον</t>
  </si>
  <si>
    <t>παροργισετε αυτον</t>
  </si>
  <si>
    <t>αποθνησκω εγω</t>
  </si>
  <si>
    <t>αποθνησκων εγω</t>
  </si>
  <si>
    <t>τεως</t>
  </si>
  <si>
    <t>θεον υμων</t>
  </si>
  <si>
    <t>θν ημων</t>
  </si>
  <si>
    <t>ημερων αυτου (2) και καλεσας</t>
  </si>
  <si>
    <t>ημερων αυτω (2) και καλεσας</t>
  </si>
  <si>
    <t>ομολογω σημερον</t>
  </si>
  <si>
    <t>ομολογως σημερον</t>
  </si>
  <si>
    <t>μου ηδομην</t>
  </si>
  <si>
    <t>μου ειδομην</t>
  </si>
  <si>
    <t>συν χερσι μοι</t>
  </si>
  <si>
    <t>συνηργησε μοι</t>
  </si>
  <si>
    <t>ανελε</t>
  </si>
  <si>
    <t>ποιησαι ινα</t>
  </si>
  <si>
    <t>λυθωσι δυο</t>
  </si>
  <si>
    <t>λυθωση δυο</t>
  </si>
  <si>
    <t>Barocci = αγαπησετε</t>
  </si>
  <si>
    <t>αδελφου αυτου εις φθονον</t>
  </si>
  <si>
    <t>αδελφου εις φθονον</t>
  </si>
  <si>
    <t>γαρ πονηρος</t>
  </si>
  <si>
    <t>γαρ ο πονηρος</t>
  </si>
  <si>
    <t>ποιειται του θυμωδους</t>
  </si>
  <si>
    <t>ποιειται θ του θυμωδους</t>
  </si>
  <si>
    <t>εχει την δυναμιν</t>
  </si>
  <si>
    <t>εχει δυναμιν</t>
  </si>
  <si>
    <t>του σατανα πορευεται</t>
  </si>
  <si>
    <t>του σατανας πορευεται</t>
  </si>
  <si>
    <t>συνιετε</t>
  </si>
  <si>
    <t>πρωτον γαρ τερπει</t>
  </si>
  <si>
    <t>πρωτον και τερπει</t>
  </si>
  <si>
    <t>ερεθι- is clear in Barocci but -σθεν is obscure due to damage</t>
  </si>
  <si>
    <t>επιθυμησαι του απωλωλοτος ινα</t>
  </si>
  <si>
    <r>
      <t xml:space="preserve">επιθυμησαι </t>
    </r>
    <r>
      <rPr>
        <b/>
        <sz val="11"/>
        <color theme="1"/>
        <rFont val="Calibri"/>
        <family val="2"/>
        <scheme val="minor"/>
      </rPr>
      <t>ποιει</t>
    </r>
    <r>
      <rPr>
        <sz val="11"/>
        <color theme="1"/>
        <rFont val="Calibri"/>
        <family val="2"/>
        <scheme val="minor"/>
      </rPr>
      <t xml:space="preserve"> του απολωλοτος ινα</t>
    </r>
  </si>
  <si>
    <r>
      <t xml:space="preserve">επιθυμησαι ποιει του </t>
    </r>
    <r>
      <rPr>
        <b/>
        <sz val="11"/>
        <color theme="1"/>
        <rFont val="Calibri"/>
        <family val="2"/>
        <scheme val="minor"/>
      </rPr>
      <t>απολωλοτος</t>
    </r>
    <r>
      <rPr>
        <sz val="11"/>
        <color theme="1"/>
        <rFont val="Calibri"/>
        <family val="2"/>
        <scheme val="minor"/>
      </rPr>
      <t xml:space="preserve"> ινα</t>
    </r>
  </si>
  <si>
    <r>
      <t xml:space="preserve">επιθυμησαι του </t>
    </r>
    <r>
      <rPr>
        <b/>
        <sz val="11"/>
        <color theme="1"/>
        <rFont val="Calibri"/>
        <family val="2"/>
        <scheme val="minor"/>
      </rPr>
      <t>απωλωλοτος</t>
    </r>
    <r>
      <rPr>
        <sz val="11"/>
        <color theme="1"/>
        <rFont val="Calibri"/>
        <family val="2"/>
        <scheme val="minor"/>
      </rPr>
      <t xml:space="preserve"> ινα</t>
    </r>
  </si>
  <si>
    <t>φυλαξατε την εντολην</t>
  </si>
  <si>
    <r>
      <rPr>
        <b/>
        <sz val="11"/>
        <color theme="1"/>
        <rFont val="Calibri"/>
        <family val="2"/>
        <scheme val="minor"/>
      </rPr>
      <t>φυλαξατε</t>
    </r>
    <r>
      <rPr>
        <sz val="11"/>
        <color theme="1"/>
        <rFont val="Calibri"/>
        <family val="2"/>
        <scheme val="minor"/>
      </rPr>
      <t xml:space="preserve"> την εντολην</t>
    </r>
  </si>
  <si>
    <r>
      <rPr>
        <b/>
        <sz val="11"/>
        <color theme="1"/>
        <rFont val="Calibri"/>
        <family val="2"/>
        <scheme val="minor"/>
      </rPr>
      <t>φυλαξετε</t>
    </r>
    <r>
      <rPr>
        <sz val="11"/>
        <color theme="1"/>
        <rFont val="Calibri"/>
        <family val="2"/>
        <scheme val="minor"/>
      </rPr>
      <t xml:space="preserve"> ουν την εντολνν</t>
    </r>
  </si>
  <si>
    <r>
      <t xml:space="preserve">φυλαξετε </t>
    </r>
    <r>
      <rPr>
        <b/>
        <sz val="11"/>
        <color theme="1"/>
        <rFont val="Calibri"/>
        <family val="2"/>
        <scheme val="minor"/>
      </rPr>
      <t>ουν</t>
    </r>
    <r>
      <rPr>
        <sz val="11"/>
        <color theme="1"/>
        <rFont val="Calibri"/>
        <family val="2"/>
        <scheme val="minor"/>
      </rPr>
      <t xml:space="preserve"> την εντολνν</t>
    </r>
  </si>
  <si>
    <r>
      <t xml:space="preserve">φυλαξετε ουν την </t>
    </r>
    <r>
      <rPr>
        <b/>
        <sz val="11"/>
        <color theme="1"/>
        <rFont val="Calibri"/>
        <family val="2"/>
        <scheme val="minor"/>
      </rPr>
      <t>εντολνν</t>
    </r>
  </si>
  <si>
    <r>
      <t xml:space="preserve">φυλαξατε την </t>
    </r>
    <r>
      <rPr>
        <b/>
        <sz val="11"/>
        <color theme="1"/>
        <rFont val="Calibri"/>
        <family val="2"/>
        <scheme val="minor"/>
      </rPr>
      <t>εντολην</t>
    </r>
  </si>
  <si>
    <t>τεκνα μου απο</t>
  </si>
  <si>
    <t>τεκνα μο απο</t>
  </si>
  <si>
    <t>ψευδος και αγαπησατε</t>
  </si>
  <si>
    <t>ψευδος αγαπησατε</t>
  </si>
  <si>
    <t>ανηνεγκαν</t>
  </si>
  <si>
    <t>προε[φ]ητευσεν</t>
  </si>
  <si>
    <t>επιλαθονται</t>
  </si>
  <si>
    <t>η διεθετο</t>
  </si>
  <si>
    <t>ης διεθετο</t>
  </si>
  <si>
    <t>εβδομω μηνι</t>
  </si>
  <si>
    <t>εβδομει μηνι</t>
  </si>
  <si>
    <t>εκραταιωσε οτι</t>
  </si>
  <si>
    <t>εκραταιωσεν οτι</t>
  </si>
  <si>
    <t>λεγειν</t>
  </si>
  <si>
    <t>λογους πρς</t>
  </si>
  <si>
    <t>λογους και πατερος</t>
  </si>
  <si>
    <t>βαλλας</t>
  </si>
  <si>
    <r>
      <t xml:space="preserve">εδωκεν </t>
    </r>
    <r>
      <rPr>
        <b/>
        <sz val="11"/>
        <color theme="1"/>
        <rFont val="Calibri"/>
        <family val="2"/>
        <scheme val="minor"/>
      </rPr>
      <t>αντ αυτης</t>
    </r>
    <r>
      <rPr>
        <sz val="11"/>
        <color theme="1"/>
        <rFont val="Calibri"/>
        <family val="2"/>
        <scheme val="minor"/>
      </rPr>
      <t xml:space="preserve"> βαλλαν</t>
    </r>
  </si>
  <si>
    <t>Smith strikes through these words</t>
  </si>
  <si>
    <r>
      <t xml:space="preserve">εδωκεν αντ αυτης </t>
    </r>
    <r>
      <rPr>
        <b/>
        <sz val="11"/>
        <color theme="1"/>
        <rFont val="Calibri"/>
        <family val="2"/>
        <scheme val="minor"/>
      </rPr>
      <t>βαλλαν</t>
    </r>
  </si>
  <si>
    <t>Smith actually reads βαλαν, which deviates from Barocci's spelling</t>
  </si>
  <si>
    <t xml:space="preserve">δια τουτο εκληθην νεφθαλειμ </t>
  </si>
  <si>
    <t xml:space="preserve">δια τουτο νεφθαλειμ </t>
  </si>
  <si>
    <t>μηρων αυτης εγεννηθην</t>
  </si>
  <si>
    <t>μηρων ραχιηλ εγεννηθην</t>
  </si>
  <si>
    <t>κατα τας ευλογιας</t>
  </si>
  <si>
    <t>καταστας ευλογιας</t>
  </si>
  <si>
    <t>αδελφου δε βορας</t>
  </si>
  <si>
    <t>αδελφου δεββορας</t>
  </si>
  <si>
    <t>μια ημερη ετεχθη</t>
  </si>
  <si>
    <t>μια ημερα ετεχθη</t>
  </si>
  <si>
    <t>ετεκε θυγατερα θυγατερα και εκαλεσε</t>
  </si>
  <si>
    <t>ετεκε θυγατερα και εκαλεσε</t>
  </si>
  <si>
    <r>
      <t xml:space="preserve">(1:12) την λαβαν (2:1) </t>
    </r>
    <r>
      <rPr>
        <b/>
        <sz val="11"/>
        <color theme="1"/>
        <rFont val="Calibri"/>
        <family val="2"/>
        <scheme val="minor"/>
      </rPr>
      <t>επειδε</t>
    </r>
    <r>
      <rPr>
        <sz val="11"/>
        <color theme="1"/>
        <rFont val="Calibri"/>
        <family val="2"/>
        <scheme val="minor"/>
      </rPr>
      <t xml:space="preserve"> κουφος</t>
    </r>
  </si>
  <si>
    <r>
      <t xml:space="preserve">(1:12) την λαβαν (2:1) </t>
    </r>
    <r>
      <rPr>
        <b/>
        <sz val="11"/>
        <color theme="1"/>
        <rFont val="Calibri"/>
        <family val="2"/>
        <scheme val="minor"/>
      </rPr>
      <t>επι δε</t>
    </r>
    <r>
      <rPr>
        <sz val="11"/>
        <color theme="1"/>
        <rFont val="Calibri"/>
        <family val="2"/>
        <scheme val="minor"/>
      </rPr>
      <t xml:space="preserve"> κουφος</t>
    </r>
  </si>
  <si>
    <t>εταξε με ο πηρ</t>
  </si>
  <si>
    <t>εταξε ο πατηρ</t>
  </si>
  <si>
    <t>με ευλογησε</t>
  </si>
  <si>
    <t>με ηυλογησε</t>
  </si>
  <si>
    <t>σκευος ποσον χωρει</t>
  </si>
  <si>
    <t>σκευος χωρει</t>
  </si>
  <si>
    <t>προς αυτο φερει</t>
  </si>
  <si>
    <t>προς αυτον φερει</t>
  </si>
  <si>
    <t>δυναμιν του σωματος το πνευμα</t>
  </si>
  <si>
    <t>ελλειπον</t>
  </si>
  <si>
    <t>εστω παντα</t>
  </si>
  <si>
    <t>εστω τα παντα</t>
  </si>
  <si>
    <t>αισθησεις εν τη κεφαλη</t>
  </si>
  <si>
    <t>αισθησεις τη κεφαλη</t>
  </si>
  <si>
    <t>εις δ ευπρεπειαν</t>
  </si>
  <si>
    <t>εις ευπρεπειαν</t>
  </si>
  <si>
    <t>υγειαν ηπαρ προθυμον</t>
  </si>
  <si>
    <t>υγειαν υπερ προθυμον</t>
  </si>
  <si>
    <t>Smith corrects υπερ προθυμον -&gt; ηπερ προς θυμον</t>
  </si>
  <si>
    <t>θηκην</t>
  </si>
  <si>
    <t>εις ισχυν και</t>
  </si>
  <si>
    <t>εις ισχυι και</t>
  </si>
  <si>
    <t>δυνησεσθε</t>
  </si>
  <si>
    <t>θελημα διαβολου</t>
  </si>
  <si>
    <t>θελημα του διαβολου</t>
  </si>
  <si>
    <t>ταυξιν</t>
  </si>
  <si>
    <t>εξακολουθησαντες</t>
  </si>
  <si>
    <t>υμεις δε μη ουτως</t>
  </si>
  <si>
    <t>υμεις μη ουτως</t>
  </si>
  <si>
    <t>εν γη και θαλασση</t>
  </si>
  <si>
    <r>
      <t xml:space="preserve">εν γη και </t>
    </r>
    <r>
      <rPr>
        <b/>
        <sz val="11"/>
        <color theme="1"/>
        <rFont val="Calibri"/>
        <family val="2"/>
        <scheme val="minor"/>
      </rPr>
      <t>εν</t>
    </r>
    <r>
      <rPr>
        <sz val="11"/>
        <color theme="1"/>
        <rFont val="Calibri"/>
        <family val="2"/>
        <scheme val="minor"/>
      </rPr>
      <t xml:space="preserve"> θαλασσα</t>
    </r>
  </si>
  <si>
    <r>
      <t xml:space="preserve">εν γη και εν </t>
    </r>
    <r>
      <rPr>
        <b/>
        <sz val="11"/>
        <color theme="1"/>
        <rFont val="Calibri"/>
        <family val="2"/>
        <scheme val="minor"/>
      </rPr>
      <t>θαλασσα</t>
    </r>
  </si>
  <si>
    <r>
      <t xml:space="preserve">εν γη και </t>
    </r>
    <r>
      <rPr>
        <b/>
        <sz val="11"/>
        <color theme="1"/>
        <rFont val="Calibri"/>
        <family val="2"/>
        <scheme val="minor"/>
      </rPr>
      <t>θαλασση</t>
    </r>
  </si>
  <si>
    <t>ποιησαντα ταυτα παντα</t>
  </si>
  <si>
    <t>ποιησαντα τα παντα</t>
  </si>
  <si>
    <t>πασαν πονηριαν σοδομων</t>
  </si>
  <si>
    <t>πασαν ανομιαν σοδομων</t>
  </si>
  <si>
    <t>ολιγωθηναι</t>
  </si>
  <si>
    <t>επιστρεψει υμας</t>
  </si>
  <si>
    <t>επιστρεψει ημας</t>
  </si>
  <si>
    <t>προσδραμοντες</t>
  </si>
  <si>
    <t>κρατησατε</t>
  </si>
  <si>
    <t>ως η σεληνη</t>
  </si>
  <si>
    <t>ως σεληνη</t>
  </si>
  <si>
    <t>ταυρος</t>
  </si>
  <si>
    <t>Smith corrects to χελχαιοι</t>
  </si>
  <si>
    <t>εκτοι ναυτων</t>
  </si>
  <si>
    <t>εκτος ναυτων</t>
  </si>
  <si>
    <t>σφοδρος λαιλαψ</t>
  </si>
  <si>
    <t>σφοδρος και λαιλαψ</t>
  </si>
  <si>
    <t>ανεμου μεγας</t>
  </si>
  <si>
    <t>ανεμου μενας</t>
  </si>
  <si>
    <t>υδατων τρικυμιαις περιρρησσομενον ωστε</t>
  </si>
  <si>
    <r>
      <t xml:space="preserve">υδατων </t>
    </r>
    <r>
      <rPr>
        <b/>
        <sz val="11"/>
        <color theme="1"/>
        <rFont val="Calibri"/>
        <family val="2"/>
        <scheme val="minor"/>
      </rPr>
      <t>εν</t>
    </r>
    <r>
      <rPr>
        <sz val="11"/>
        <color theme="1"/>
        <rFont val="Calibri"/>
        <family val="2"/>
        <scheme val="minor"/>
      </rPr>
      <t xml:space="preserve"> τρικυμιας περιρρησσομενοι ωστε</t>
    </r>
  </si>
  <si>
    <r>
      <t xml:space="preserve">υδατων εν </t>
    </r>
    <r>
      <rPr>
        <b/>
        <sz val="11"/>
        <color theme="1"/>
        <rFont val="Calibri"/>
        <family val="2"/>
        <scheme val="minor"/>
      </rPr>
      <t>τρικυμιας</t>
    </r>
    <r>
      <rPr>
        <sz val="11"/>
        <color theme="1"/>
        <rFont val="Calibri"/>
        <family val="2"/>
        <scheme val="minor"/>
      </rPr>
      <t xml:space="preserve"> περιρρησσομενοι ωστε</t>
    </r>
  </si>
  <si>
    <r>
      <t xml:space="preserve">υδατων </t>
    </r>
    <r>
      <rPr>
        <b/>
        <sz val="11"/>
        <color theme="1"/>
        <rFont val="Calibri"/>
        <family val="2"/>
        <scheme val="minor"/>
      </rPr>
      <t>τρικυμιαις</t>
    </r>
    <r>
      <rPr>
        <sz val="11"/>
        <color theme="1"/>
        <rFont val="Calibri"/>
        <family val="2"/>
        <scheme val="minor"/>
      </rPr>
      <t xml:space="preserve"> περιρρησσομενον ωστε</t>
    </r>
  </si>
  <si>
    <r>
      <t xml:space="preserve">υδατων τρικυμιαις </t>
    </r>
    <r>
      <rPr>
        <b/>
        <sz val="11"/>
        <color theme="1"/>
        <rFont val="Calibri"/>
        <family val="2"/>
        <scheme val="minor"/>
      </rPr>
      <t>περιρρησσομενον</t>
    </r>
    <r>
      <rPr>
        <sz val="11"/>
        <color theme="1"/>
        <rFont val="Calibri"/>
        <family val="2"/>
        <scheme val="minor"/>
      </rPr>
      <t xml:space="preserve"> ωστε</t>
    </r>
  </si>
  <si>
    <r>
      <t xml:space="preserve">υδατων εν τρικυμιας </t>
    </r>
    <r>
      <rPr>
        <b/>
        <sz val="11"/>
        <color theme="1"/>
        <rFont val="Calibri"/>
        <family val="2"/>
        <scheme val="minor"/>
      </rPr>
      <t>περιρρησσομενοι</t>
    </r>
    <r>
      <rPr>
        <sz val="11"/>
        <color theme="1"/>
        <rFont val="Calibri"/>
        <family val="2"/>
        <scheme val="minor"/>
      </rPr>
      <t xml:space="preserve"> ωστε</t>
    </r>
  </si>
  <si>
    <t>επι τι αυτο</t>
  </si>
  <si>
    <t>Smith corrects τι -&gt; τα</t>
  </si>
  <si>
    <t>ουκ ορας</t>
  </si>
  <si>
    <t>ουχ ορας</t>
  </si>
  <si>
    <t>γεννησαντας σε</t>
  </si>
  <si>
    <t>γεννησαντα σε</t>
  </si>
  <si>
    <t>υπεδειξα υμιν</t>
  </si>
  <si>
    <t>υπεδειξει υμιν</t>
  </si>
  <si>
    <t>εισι και ει μη</t>
  </si>
  <si>
    <t>εισι ει μη</t>
  </si>
  <si>
    <t>αμαρτιαν παρεχουσιν</t>
  </si>
  <si>
    <t>αμαρτιας παρεχουσιν</t>
  </si>
  <si>
    <t>καιρος γαρ</t>
  </si>
  <si>
    <t>και γαρ</t>
  </si>
  <si>
    <t>αγαπησει υμας</t>
  </si>
  <si>
    <t>αγαπηση υμας</t>
  </si>
  <si>
    <t>αυτου (2) και φαγων</t>
  </si>
  <si>
    <t>αυτου (2) ως φαγων</t>
  </si>
  <si>
    <t>υιοι αυτου κατα παντα οσα</t>
  </si>
  <si>
    <t>υιοι αυτου οσα</t>
  </si>
  <si>
    <t>εγω εφυλαττον εν νυκτι</t>
  </si>
  <si>
    <t>εγω εφυλακτον εν νυκτι</t>
  </si>
  <si>
    <t>οταν ηρχετο λυκος</t>
  </si>
  <si>
    <t>οταν ηρκετο λυκος</t>
  </si>
  <si>
    <r>
      <t xml:space="preserve">επι την </t>
    </r>
    <r>
      <rPr>
        <b/>
        <sz val="11"/>
        <color theme="1"/>
        <rFont val="Calibri"/>
        <family val="2"/>
        <scheme val="minor"/>
      </rPr>
      <t>ποιμνην</t>
    </r>
    <r>
      <rPr>
        <sz val="11"/>
        <color theme="1"/>
        <rFont val="Calibri"/>
        <family val="2"/>
        <scheme val="minor"/>
      </rPr>
      <t xml:space="preserve"> κατεδιωκον αυτον και κρατησας </t>
    </r>
  </si>
  <si>
    <r>
      <t xml:space="preserve">επι την </t>
    </r>
    <r>
      <rPr>
        <b/>
        <sz val="11"/>
        <color theme="1"/>
        <rFont val="Calibri"/>
        <family val="2"/>
        <scheme val="minor"/>
      </rPr>
      <t>ποιμνηαν</t>
    </r>
    <r>
      <rPr>
        <sz val="11"/>
        <color theme="1"/>
        <rFont val="Calibri"/>
        <family val="2"/>
        <scheme val="minor"/>
      </rPr>
      <t xml:space="preserve"> κατεδιωκον αυττον και κρατησας </t>
    </r>
  </si>
  <si>
    <r>
      <t xml:space="preserve">επι την ποιμνην κατεδιωκον </t>
    </r>
    <r>
      <rPr>
        <b/>
        <sz val="11"/>
        <color theme="1"/>
        <rFont val="Calibri"/>
        <family val="2"/>
        <scheme val="minor"/>
      </rPr>
      <t>αυτον</t>
    </r>
    <r>
      <rPr>
        <sz val="11"/>
        <color theme="1"/>
        <rFont val="Calibri"/>
        <family val="2"/>
        <scheme val="minor"/>
      </rPr>
      <t xml:space="preserve"> και κρατησας </t>
    </r>
  </si>
  <si>
    <r>
      <t xml:space="preserve">επι την ποιμνηαν κατεδιωκον </t>
    </r>
    <r>
      <rPr>
        <b/>
        <sz val="11"/>
        <color theme="1"/>
        <rFont val="Calibri"/>
        <family val="2"/>
        <scheme val="minor"/>
      </rPr>
      <t>αυττον</t>
    </r>
    <r>
      <rPr>
        <sz val="11"/>
        <color theme="1"/>
        <rFont val="Calibri"/>
        <family val="2"/>
        <scheme val="minor"/>
      </rPr>
      <t xml:space="preserve"> και κρατησας </t>
    </r>
  </si>
  <si>
    <t>(5) προς τον πετερα (6) ημων οτι</t>
  </si>
  <si>
    <r>
      <t xml:space="preserve">(5) προς τον </t>
    </r>
    <r>
      <rPr>
        <b/>
        <sz val="11"/>
        <color theme="1"/>
        <rFont val="Calibri"/>
        <family val="2"/>
        <scheme val="minor"/>
      </rPr>
      <t>πρα</t>
    </r>
    <r>
      <rPr>
        <sz val="11"/>
        <color theme="1"/>
        <rFont val="Calibri"/>
        <family val="2"/>
        <scheme val="minor"/>
      </rPr>
      <t xml:space="preserve"> ημων και ανεκλινεν αυτον πλησιον αυτου οτι ηγαπα αυτον (6) και ειπεν ιωσηφ τω πρι ημων οτι</t>
    </r>
  </si>
  <si>
    <r>
      <t xml:space="preserve">(5) προς τον </t>
    </r>
    <r>
      <rPr>
        <b/>
        <sz val="11"/>
        <color theme="1"/>
        <rFont val="Calibri"/>
        <family val="2"/>
        <scheme val="minor"/>
      </rPr>
      <t>πετερα</t>
    </r>
    <r>
      <rPr>
        <sz val="11"/>
        <color theme="1"/>
        <rFont val="Calibri"/>
        <family val="2"/>
        <scheme val="minor"/>
      </rPr>
      <t xml:space="preserve"> (6) ημων οτι</t>
    </r>
  </si>
  <si>
    <r>
      <t xml:space="preserve">(5) προς τον πρα </t>
    </r>
    <r>
      <rPr>
        <b/>
        <sz val="11"/>
        <color theme="1"/>
        <rFont val="Calibri"/>
        <family val="2"/>
        <scheme val="minor"/>
      </rPr>
      <t>ημων και ανεκλινεν αυτον πλησιον αυτου οτι ηγαπα αυτον</t>
    </r>
    <r>
      <rPr>
        <sz val="11"/>
        <color theme="1"/>
        <rFont val="Calibri"/>
        <family val="2"/>
        <scheme val="minor"/>
      </rPr>
      <t xml:space="preserve"> (6) </t>
    </r>
    <r>
      <rPr>
        <b/>
        <sz val="11"/>
        <color theme="1"/>
        <rFont val="Calibri"/>
        <family val="2"/>
        <scheme val="minor"/>
      </rPr>
      <t>και ειπεν ιωσηφ τω πρι</t>
    </r>
    <r>
      <rPr>
        <sz val="11"/>
        <color theme="1"/>
        <rFont val="Calibri"/>
        <family val="2"/>
        <scheme val="minor"/>
      </rPr>
      <t xml:space="preserve"> ημων οτι</t>
    </r>
  </si>
  <si>
    <t>καλα και κατεσθιουσιν</t>
  </si>
  <si>
    <t>καλα και και κατεσθιουσιν</t>
  </si>
  <si>
    <t>Smith corrects αρκου -&gt; αρκτου</t>
  </si>
  <si>
    <t>δια πρασειος</t>
  </si>
  <si>
    <t>Barocci reading might be a correction</t>
  </si>
  <si>
    <t>πλειστακις ανελειν ηθελον αυτον</t>
  </si>
  <si>
    <t>πλειστακις ηθελον ανελειν αυτον</t>
  </si>
  <si>
    <t>και νοαν νομον</t>
  </si>
  <si>
    <t>και τον νομον</t>
  </si>
  <si>
    <t>Barocci seems to correct νοαν -&gt; παν; Smith corrects τον -&gt; δραν</t>
  </si>
  <si>
    <t>περι αυτου σκολασθεις</t>
  </si>
  <si>
    <t>(4) θανατωθη (5) το γαρ φθονος</t>
  </si>
  <si>
    <t>(4) θανατωθη (5) ο γαρ φθονος</t>
  </si>
  <si>
    <t>προκοπη ακουων</t>
  </si>
  <si>
    <t>προκοπη εκουων</t>
  </si>
  <si>
    <t>ανακαλεσασθαι</t>
  </si>
  <si>
    <t>κατα τας αληθειας</t>
  </si>
  <si>
    <t>κατα της αληθειας</t>
  </si>
  <si>
    <t>αιδειται ποιησαι</t>
  </si>
  <si>
    <t>αιδειται και ποιησαι</t>
  </si>
  <si>
    <t>ουχ υπο αλλου</t>
  </si>
  <si>
    <t>ουκ υπο αλλου</t>
  </si>
  <si>
    <t>ανδρος οσιου</t>
  </si>
  <si>
    <t>ανδρον οσιου</t>
  </si>
  <si>
    <t>εμαθεν υπο ανθρωπων</t>
  </si>
  <si>
    <t>εμαθεν απο ανων</t>
  </si>
  <si>
    <t>εφθασαν</t>
  </si>
  <si>
    <t>πνα μου (10) δι ων</t>
  </si>
  <si>
    <t>πνευμα μοι (10) δι ων</t>
  </si>
  <si>
    <t>αγαπατε εκαστον πλησιον</t>
  </si>
  <si>
    <t>την ψυχην προς</t>
  </si>
  <si>
    <t>την ψυχην μου προς</t>
  </si>
  <si>
    <t>εν ευθυτητι καρδιας</t>
  </si>
  <si>
    <t>εν ενθυτητι καρδειας</t>
  </si>
  <si>
    <t>τιμησωσιν ιουδαν</t>
  </si>
  <si>
    <t>τιμησωσι ιουδαν</t>
  </si>
  <si>
    <t>ποδας αυτου εκοιμηθη</t>
  </si>
  <si>
    <t>ποδας αυτων εκοιμηθη</t>
  </si>
  <si>
    <t>υιοις αυτου ρκστ</t>
  </si>
  <si>
    <r>
      <t xml:space="preserve">υιοις αυτου </t>
    </r>
    <r>
      <rPr>
        <b/>
        <sz val="11"/>
        <color theme="1"/>
        <rFont val="Calibri"/>
        <family val="2"/>
        <scheme val="minor"/>
      </rPr>
      <t>εν</t>
    </r>
    <r>
      <rPr>
        <sz val="11"/>
        <color theme="1"/>
        <rFont val="Calibri"/>
        <family val="2"/>
        <scheme val="minor"/>
      </rPr>
      <t xml:space="preserve"> ρκς</t>
    </r>
  </si>
  <si>
    <t>ενωπιον του κυριου</t>
  </si>
  <si>
    <t>ενωπιον του θυ</t>
  </si>
  <si>
    <t>οδους</t>
  </si>
  <si>
    <t>εισι τα δυο διαβουλια</t>
  </si>
  <si>
    <t>εισι δυο διαβουλια</t>
  </si>
  <si>
    <r>
      <t xml:space="preserve">εν </t>
    </r>
    <r>
      <rPr>
        <b/>
        <sz val="11"/>
        <color theme="1"/>
        <rFont val="Calibri"/>
        <family val="2"/>
        <scheme val="minor"/>
      </rPr>
      <t>στερνοις</t>
    </r>
    <r>
      <rPr>
        <sz val="11"/>
        <color theme="1"/>
        <rFont val="Calibri"/>
        <family val="2"/>
        <scheme val="minor"/>
      </rPr>
      <t xml:space="preserve"> ημων διακρινοντα</t>
    </r>
  </si>
  <si>
    <r>
      <t xml:space="preserve">εν </t>
    </r>
    <r>
      <rPr>
        <b/>
        <sz val="11"/>
        <color theme="1"/>
        <rFont val="Calibri"/>
        <family val="2"/>
        <scheme val="minor"/>
      </rPr>
      <t>σστερνοις</t>
    </r>
    <r>
      <rPr>
        <sz val="11"/>
        <color theme="1"/>
        <rFont val="Calibri"/>
        <family val="2"/>
        <scheme val="minor"/>
      </rPr>
      <t xml:space="preserve"> υμων διακρινοντα</t>
    </r>
  </si>
  <si>
    <r>
      <t xml:space="preserve">εν σστερνοις </t>
    </r>
    <r>
      <rPr>
        <b/>
        <sz val="11"/>
        <color theme="1"/>
        <rFont val="Calibri"/>
        <family val="2"/>
        <scheme val="minor"/>
      </rPr>
      <t>υμων</t>
    </r>
    <r>
      <rPr>
        <sz val="11"/>
        <color theme="1"/>
        <rFont val="Calibri"/>
        <family val="2"/>
        <scheme val="minor"/>
      </rPr>
      <t xml:space="preserve"> διακρινοντα</t>
    </r>
  </si>
  <si>
    <r>
      <t xml:space="preserve">εν στερνοις </t>
    </r>
    <r>
      <rPr>
        <b/>
        <sz val="11"/>
        <color theme="1"/>
        <rFont val="Calibri"/>
        <family val="2"/>
        <scheme val="minor"/>
      </rPr>
      <t>ημων</t>
    </r>
    <r>
      <rPr>
        <sz val="11"/>
        <color theme="1"/>
        <rFont val="Calibri"/>
        <family val="2"/>
        <scheme val="minor"/>
      </rPr>
      <t xml:space="preserve"> διακρινοντα</t>
    </r>
  </si>
  <si>
    <r>
      <rPr>
        <b/>
        <sz val="11"/>
        <color theme="1"/>
        <rFont val="Calibri"/>
        <family val="2"/>
        <scheme val="minor"/>
      </rPr>
      <t>καν</t>
    </r>
    <r>
      <rPr>
        <sz val="11"/>
        <color theme="1"/>
        <rFont val="Calibri"/>
        <family val="2"/>
        <scheme val="minor"/>
      </rPr>
      <t xml:space="preserve"> η αμαρτια αυτης μετανοει</t>
    </r>
  </si>
  <si>
    <r>
      <rPr>
        <b/>
        <sz val="11"/>
        <color theme="1"/>
        <rFont val="Calibri"/>
        <family val="2"/>
        <scheme val="minor"/>
      </rPr>
      <t>και</t>
    </r>
    <r>
      <rPr>
        <sz val="11"/>
        <color theme="1"/>
        <rFont val="Calibri"/>
        <family val="2"/>
        <scheme val="minor"/>
      </rPr>
      <t xml:space="preserve"> η αμαρτια ευθυς μετανοει</t>
    </r>
  </si>
  <si>
    <r>
      <t xml:space="preserve">καν η αμαρτια </t>
    </r>
    <r>
      <rPr>
        <b/>
        <sz val="11"/>
        <color theme="1"/>
        <rFont val="Calibri"/>
        <family val="2"/>
        <scheme val="minor"/>
      </rPr>
      <t>αυτης</t>
    </r>
    <r>
      <rPr>
        <sz val="11"/>
        <color theme="1"/>
        <rFont val="Calibri"/>
        <family val="2"/>
        <scheme val="minor"/>
      </rPr>
      <t xml:space="preserve"> μετανοει</t>
    </r>
  </si>
  <si>
    <r>
      <t xml:space="preserve">και η αμαρτια </t>
    </r>
    <r>
      <rPr>
        <b/>
        <sz val="11"/>
        <color theme="1"/>
        <rFont val="Calibri"/>
        <family val="2"/>
        <scheme val="minor"/>
      </rPr>
      <t>ευθυς</t>
    </r>
    <r>
      <rPr>
        <sz val="11"/>
        <color theme="1"/>
        <rFont val="Calibri"/>
        <family val="2"/>
        <scheme val="minor"/>
      </rPr>
      <t xml:space="preserve"> μετανοει</t>
    </r>
  </si>
  <si>
    <t>κλινει το διαβουλιον</t>
  </si>
  <si>
    <t>κλινη το διαβουλιον</t>
  </si>
  <si>
    <t>ως αγαθον ποιων</t>
  </si>
  <si>
    <t>ως αγαθον αγαθον ποιων</t>
  </si>
  <si>
    <t>δια προσωπον</t>
  </si>
  <si>
    <r>
      <rPr>
        <b/>
        <sz val="11"/>
        <color theme="1"/>
        <rFont val="Calibri"/>
        <family val="2"/>
        <scheme val="minor"/>
      </rPr>
      <t>ελεει</t>
    </r>
    <r>
      <rPr>
        <sz val="11"/>
        <color theme="1"/>
        <rFont val="Calibri"/>
        <family val="2"/>
        <scheme val="minor"/>
      </rPr>
      <t xml:space="preserve"> και τουτο δδιπροσωπον εστιν το δε ολον πονηρον </t>
    </r>
  </si>
  <si>
    <r>
      <t xml:space="preserve">ελεει και τουτο </t>
    </r>
    <r>
      <rPr>
        <b/>
        <sz val="11"/>
        <color theme="1"/>
        <rFont val="Calibri"/>
        <family val="2"/>
        <scheme val="minor"/>
      </rPr>
      <t>δδιπροσωπον</t>
    </r>
    <r>
      <rPr>
        <sz val="11"/>
        <color theme="1"/>
        <rFont val="Calibri"/>
        <family val="2"/>
        <scheme val="minor"/>
      </rPr>
      <t xml:space="preserve"> εστιν το δε ολον πονηρον </t>
    </r>
  </si>
  <si>
    <r>
      <t xml:space="preserve">ελεει και τουτο δδιπροσωπον </t>
    </r>
    <r>
      <rPr>
        <b/>
        <sz val="11"/>
        <color theme="1"/>
        <rFont val="Calibri"/>
        <family val="2"/>
        <scheme val="minor"/>
      </rPr>
      <t>εστιν</t>
    </r>
    <r>
      <rPr>
        <sz val="11"/>
        <color theme="1"/>
        <rFont val="Calibri"/>
        <family val="2"/>
        <scheme val="minor"/>
      </rPr>
      <t xml:space="preserve"> το δε ολον πονηρον </t>
    </r>
  </si>
  <si>
    <r>
      <rPr>
        <b/>
        <sz val="11"/>
        <color theme="1"/>
        <rFont val="Calibri"/>
        <family val="2"/>
        <scheme val="minor"/>
      </rPr>
      <t>ελεα</t>
    </r>
    <r>
      <rPr>
        <sz val="11"/>
        <color theme="1"/>
        <rFont val="Calibri"/>
        <family val="2"/>
        <scheme val="minor"/>
      </rPr>
      <t xml:space="preserve"> και τουτο διπροσωπον εστι το δε πονηρον</t>
    </r>
  </si>
  <si>
    <r>
      <t xml:space="preserve">ελεα και τουτο </t>
    </r>
    <r>
      <rPr>
        <b/>
        <sz val="11"/>
        <color theme="1"/>
        <rFont val="Calibri"/>
        <family val="2"/>
        <scheme val="minor"/>
      </rPr>
      <t>διπροσωπον</t>
    </r>
    <r>
      <rPr>
        <sz val="11"/>
        <color theme="1"/>
        <rFont val="Calibri"/>
        <family val="2"/>
        <scheme val="minor"/>
      </rPr>
      <t xml:space="preserve"> εστι το δε πονηρον</t>
    </r>
  </si>
  <si>
    <r>
      <t xml:space="preserve">ελεα και τουτο διπροσωπον </t>
    </r>
    <r>
      <rPr>
        <b/>
        <sz val="11"/>
        <color theme="1"/>
        <rFont val="Calibri"/>
        <family val="2"/>
        <scheme val="minor"/>
      </rPr>
      <t>εστι</t>
    </r>
    <r>
      <rPr>
        <sz val="11"/>
        <color theme="1"/>
        <rFont val="Calibri"/>
        <family val="2"/>
        <scheme val="minor"/>
      </rPr>
      <t xml:space="preserve"> το δε πονηρον</t>
    </r>
  </si>
  <si>
    <t>ελεα και τουτο διπροσωπον εστι το δε πονηρον</t>
  </si>
  <si>
    <r>
      <t xml:space="preserve">ελεει και τουτο δδιπροσωπον εστιν το δε </t>
    </r>
    <r>
      <rPr>
        <b/>
        <sz val="11"/>
        <color theme="1"/>
        <rFont val="Calibri"/>
        <family val="2"/>
        <scheme val="minor"/>
      </rPr>
      <t>ολον</t>
    </r>
    <r>
      <rPr>
        <sz val="11"/>
        <color theme="1"/>
        <rFont val="Calibri"/>
        <family val="2"/>
        <scheme val="minor"/>
      </rPr>
      <t xml:space="preserve"> πονηρον </t>
    </r>
  </si>
  <si>
    <t>τουτο διπροσωπον</t>
  </si>
  <si>
    <t>οσιοι εισι δασυποδες οτι</t>
  </si>
  <si>
    <r>
      <rPr>
        <b/>
        <sz val="11"/>
        <color theme="1"/>
        <rFont val="Calibri"/>
        <family val="2"/>
        <scheme val="minor"/>
      </rPr>
      <t>οσιοι</t>
    </r>
    <r>
      <rPr>
        <sz val="11"/>
        <color theme="1"/>
        <rFont val="Calibri"/>
        <family val="2"/>
        <scheme val="minor"/>
      </rPr>
      <t xml:space="preserve"> εισι δασυποδες οτι</t>
    </r>
  </si>
  <si>
    <r>
      <rPr>
        <b/>
        <sz val="11"/>
        <color theme="1"/>
        <rFont val="Calibri"/>
        <family val="2"/>
        <scheme val="minor"/>
      </rPr>
      <t>οσοι</t>
    </r>
    <r>
      <rPr>
        <sz val="11"/>
        <color theme="1"/>
        <rFont val="Calibri"/>
        <family val="2"/>
        <scheme val="minor"/>
      </rPr>
      <t xml:space="preserve"> επι εισι διασυποδες οτι </t>
    </r>
  </si>
  <si>
    <r>
      <t xml:space="preserve">οσοι </t>
    </r>
    <r>
      <rPr>
        <b/>
        <sz val="11"/>
        <color theme="1"/>
        <rFont val="Calibri"/>
        <family val="2"/>
        <scheme val="minor"/>
      </rPr>
      <t>επι</t>
    </r>
    <r>
      <rPr>
        <sz val="11"/>
        <color theme="1"/>
        <rFont val="Calibri"/>
        <family val="2"/>
        <scheme val="minor"/>
      </rPr>
      <t xml:space="preserve"> εισι διασυποδες οτι </t>
    </r>
  </si>
  <si>
    <r>
      <t xml:space="preserve">οσιοι εισι </t>
    </r>
    <r>
      <rPr>
        <b/>
        <sz val="11"/>
        <color theme="1"/>
        <rFont val="Calibri"/>
        <family val="2"/>
        <scheme val="minor"/>
      </rPr>
      <t>δασυποδες</t>
    </r>
    <r>
      <rPr>
        <sz val="11"/>
        <color theme="1"/>
        <rFont val="Calibri"/>
        <family val="2"/>
        <scheme val="minor"/>
      </rPr>
      <t xml:space="preserve"> οτι</t>
    </r>
  </si>
  <si>
    <r>
      <t xml:space="preserve">οσοι επι εισι </t>
    </r>
    <r>
      <rPr>
        <b/>
        <sz val="11"/>
        <color theme="1"/>
        <rFont val="Calibri"/>
        <family val="2"/>
        <scheme val="minor"/>
      </rPr>
      <t>διασυποδες</t>
    </r>
    <r>
      <rPr>
        <sz val="11"/>
        <color theme="1"/>
        <rFont val="Calibri"/>
        <family val="2"/>
        <scheme val="minor"/>
      </rPr>
      <t xml:space="preserve"> οτι </t>
    </r>
  </si>
  <si>
    <t>αναιρουντες</t>
  </si>
  <si>
    <t>τοις οομοιοις</t>
  </si>
  <si>
    <t>τοις ομοιοις</t>
  </si>
  <si>
    <t>διπροσωπων</t>
  </si>
  <si>
    <t>προσδεχομενος</t>
  </si>
  <si>
    <t>δοκουν καλον</t>
  </si>
  <si>
    <t>δοκουν κακαλον</t>
  </si>
  <si>
    <t>αισ[χ]ρανη</t>
  </si>
  <si>
    <t>(4) εστιν (5) οι τοιουτοι</t>
  </si>
  <si>
    <t>(4) εστιν (5) οτ τοιουτοι</t>
  </si>
  <si>
    <t>ηθει αυτων δοκουσιν</t>
  </si>
  <si>
    <t>ηθει αγριω δοκουσιν</t>
  </si>
  <si>
    <t>ψευδος ουδε το δικαιον</t>
  </si>
  <si>
    <t>ψευδος τοδε το δικαιον</t>
  </si>
  <si>
    <t>υπο φως εστι καθως</t>
  </si>
  <si>
    <r>
      <t xml:space="preserve">υπο </t>
    </r>
    <r>
      <rPr>
        <b/>
        <sz val="11"/>
        <color theme="1"/>
        <rFont val="Calibri"/>
        <family val="2"/>
        <scheme val="minor"/>
      </rPr>
      <t>το</t>
    </r>
    <r>
      <rPr>
        <sz val="11"/>
        <color theme="1"/>
        <rFont val="Calibri"/>
        <family val="2"/>
        <scheme val="minor"/>
      </rPr>
      <t xml:space="preserve"> φως εστιν καθως</t>
    </r>
  </si>
  <si>
    <r>
      <t xml:space="preserve">υπο φως </t>
    </r>
    <r>
      <rPr>
        <b/>
        <sz val="11"/>
        <color theme="1"/>
        <rFont val="Calibri"/>
        <family val="2"/>
        <scheme val="minor"/>
      </rPr>
      <t>εστι</t>
    </r>
    <r>
      <rPr>
        <sz val="11"/>
        <color theme="1"/>
        <rFont val="Calibri"/>
        <family val="2"/>
        <scheme val="minor"/>
      </rPr>
      <t xml:space="preserve"> καθως</t>
    </r>
  </si>
  <si>
    <r>
      <t xml:space="preserve">υπο το φως </t>
    </r>
    <r>
      <rPr>
        <b/>
        <sz val="11"/>
        <color theme="1"/>
        <rFont val="Calibri"/>
        <family val="2"/>
        <scheme val="minor"/>
      </rPr>
      <t>εστιν</t>
    </r>
    <r>
      <rPr>
        <sz val="11"/>
        <color theme="1"/>
        <rFont val="Calibri"/>
        <family val="2"/>
        <scheme val="minor"/>
      </rPr>
      <t xml:space="preserve"> καθως</t>
    </r>
  </si>
  <si>
    <t>υψιστου εξετητησα</t>
  </si>
  <si>
    <r>
      <t xml:space="preserve">υψιστου </t>
    </r>
    <r>
      <rPr>
        <b/>
        <sz val="11"/>
        <color theme="1"/>
        <rFont val="Calibri"/>
        <family val="2"/>
        <scheme val="minor"/>
      </rPr>
      <t>ον</t>
    </r>
    <r>
      <rPr>
        <sz val="11"/>
        <color theme="1"/>
        <rFont val="Calibri"/>
        <family val="2"/>
        <scheme val="minor"/>
      </rPr>
      <t xml:space="preserve"> εξεζητησα</t>
    </r>
  </si>
  <si>
    <r>
      <t xml:space="preserve">υψιστου ον </t>
    </r>
    <r>
      <rPr>
        <b/>
        <sz val="11"/>
        <color theme="1"/>
        <rFont val="Calibri"/>
        <family val="2"/>
        <scheme val="minor"/>
      </rPr>
      <t>εξεζητησα</t>
    </r>
  </si>
  <si>
    <r>
      <t xml:space="preserve">υψιστου </t>
    </r>
    <r>
      <rPr>
        <b/>
        <sz val="11"/>
        <color theme="1"/>
        <rFont val="Calibri"/>
        <family val="2"/>
        <scheme val="minor"/>
      </rPr>
      <t>εξετητησα</t>
    </r>
  </si>
  <si>
    <t>Smith corrects to μονοπροσωπος</t>
  </si>
  <si>
    <t>και πρασσουσι</t>
  </si>
  <si>
    <t>και πρασπρασσουσι</t>
  </si>
  <si>
    <t>μιμουμενοι κατα</t>
  </si>
  <si>
    <t>μιμουμενος κατα</t>
  </si>
  <si>
    <t>καλω αλλα κατα</t>
  </si>
  <si>
    <t>διατηρειτε</t>
  </si>
  <si>
    <t>γ[ν]ωριζοντες</t>
  </si>
  <si>
    <t>πνς ου και</t>
  </si>
  <si>
    <t>πνευματος ω και</t>
  </si>
  <si>
    <t>ελθων</t>
  </si>
  <si>
    <t>δρακοντος</t>
  </si>
  <si>
    <t>πλαξι των ουνων</t>
  </si>
  <si>
    <t>πλαξι των ουρανων</t>
  </si>
  <si>
    <t>Smith corrects πλαξι -&gt; πλαξιν</t>
  </si>
  <si>
    <t>δια τουτο διασκορπισθησεσθε</t>
  </si>
  <si>
    <t>δια τουτα διασκορπισθησεσθε</t>
  </si>
  <si>
    <t>χωρας αυτων</t>
  </si>
  <si>
    <t>χωρας αοτων</t>
  </si>
  <si>
    <t>ιωσηφ του ηγαπημενου</t>
  </si>
  <si>
    <t>ιωσηφ ηγαπημενου</t>
  </si>
  <si>
    <t>ηγαπησε με αυ[τ]οι</t>
  </si>
  <si>
    <t>ηγαπησε αυτοι</t>
  </si>
  <si>
    <t>λακκον με εχαλασαν</t>
  </si>
  <si>
    <t>λακκον με ελαλησαν</t>
  </si>
  <si>
    <t>θεος ελευθερωσε</t>
  </si>
  <si>
    <t>θς ηλευθερωσε</t>
  </si>
  <si>
    <t>η κραταια χειρ</t>
  </si>
  <si>
    <t>η κααταια χειρ</t>
  </si>
  <si>
    <r>
      <t xml:space="preserve">αυτου </t>
    </r>
    <r>
      <rPr>
        <b/>
        <sz val="11"/>
        <color theme="1"/>
        <rFont val="Calibri"/>
        <family val="2"/>
        <scheme val="minor"/>
      </rPr>
      <t>εβοηθησε</t>
    </r>
    <r>
      <rPr>
        <sz val="11"/>
        <color theme="1"/>
        <rFont val="Calibri"/>
        <family val="2"/>
        <scheme val="minor"/>
      </rPr>
      <t xml:space="preserve"> μοι εν λιμω συνεσχεθην</t>
    </r>
  </si>
  <si>
    <r>
      <t xml:space="preserve">αυτου </t>
    </r>
    <r>
      <rPr>
        <b/>
        <sz val="11"/>
        <color theme="1"/>
        <rFont val="Calibri"/>
        <family val="2"/>
        <scheme val="minor"/>
      </rPr>
      <t>εβοηεβοηθησε</t>
    </r>
    <r>
      <rPr>
        <sz val="11"/>
        <color theme="1"/>
        <rFont val="Calibri"/>
        <family val="2"/>
        <scheme val="minor"/>
      </rPr>
      <t xml:space="preserve"> με εν λιμω συνεσχηθην</t>
    </r>
  </si>
  <si>
    <r>
      <t xml:space="preserve">αυτου εβοηθησε </t>
    </r>
    <r>
      <rPr>
        <b/>
        <sz val="11"/>
        <color theme="1"/>
        <rFont val="Calibri"/>
        <family val="2"/>
        <scheme val="minor"/>
      </rPr>
      <t>μοι</t>
    </r>
    <r>
      <rPr>
        <sz val="11"/>
        <color theme="1"/>
        <rFont val="Calibri"/>
        <family val="2"/>
        <scheme val="minor"/>
      </rPr>
      <t xml:space="preserve"> εν λιμω συνεσχεθην</t>
    </r>
  </si>
  <si>
    <r>
      <t xml:space="preserve">αυτου εβοηεβοηθησε </t>
    </r>
    <r>
      <rPr>
        <b/>
        <sz val="11"/>
        <color theme="1"/>
        <rFont val="Calibri"/>
        <family val="2"/>
        <scheme val="minor"/>
      </rPr>
      <t>με</t>
    </r>
    <r>
      <rPr>
        <sz val="11"/>
        <color theme="1"/>
        <rFont val="Calibri"/>
        <family val="2"/>
        <scheme val="minor"/>
      </rPr>
      <t xml:space="preserve"> εν λιμω συνεσχηθην</t>
    </r>
  </si>
  <si>
    <r>
      <t xml:space="preserve">αυτου εβοηθησε μοι εν λιμω </t>
    </r>
    <r>
      <rPr>
        <b/>
        <sz val="11"/>
        <color theme="1"/>
        <rFont val="Calibri"/>
        <family val="2"/>
        <scheme val="minor"/>
      </rPr>
      <t>συνεσχεθην</t>
    </r>
  </si>
  <si>
    <r>
      <t xml:space="preserve">αυτου εβοηεβοηθησε με εν λιμω </t>
    </r>
    <r>
      <rPr>
        <b/>
        <sz val="11"/>
        <color theme="1"/>
        <rFont val="Calibri"/>
        <family val="2"/>
        <scheme val="minor"/>
      </rPr>
      <t>συνεσχηθην</t>
    </r>
  </si>
  <si>
    <t>επιστευσε μοι τον οικον</t>
  </si>
  <si>
    <t>επιστευσε με τον οικον</t>
  </si>
  <si>
    <t>αναιδη επειγουσης</t>
  </si>
  <si>
    <t>αναιγει επειγουσης</t>
  </si>
  <si>
    <t>Barocci firsthand = αναιδει, correction = αναιδη; Smith corrects to match Barocci correction</t>
  </si>
  <si>
    <t>μετ αυτης</t>
  </si>
  <si>
    <t>μετα αυτης</t>
  </si>
  <si>
    <t>Smith corrects to ερρυσατο</t>
  </si>
  <si>
    <t>αυτο ουκ εν</t>
  </si>
  <si>
    <t>αυτον ουκ εν</t>
  </si>
  <si>
    <t>σκοτει η δεσμοις</t>
  </si>
  <si>
    <t>σκοτει ει δεσμοις</t>
  </si>
  <si>
    <t>ου γαρ</t>
  </si>
  <si>
    <t>ους γαρ</t>
  </si>
  <si>
    <t>γηγενης ασθενει</t>
  </si>
  <si>
    <t>γηγενης δειλει ασθενει</t>
  </si>
  <si>
    <t>τιμωριαις παραδουναι</t>
  </si>
  <si>
    <t>τιμωριαις δουναι</t>
  </si>
  <si>
    <t>των εμων εαν</t>
  </si>
  <si>
    <t>των εθνων εαν</t>
  </si>
  <si>
    <t>πρων μου και</t>
  </si>
  <si>
    <t>προσηυχομην</t>
  </si>
  <si>
    <t>και ενηστευον</t>
  </si>
  <si>
    <t>και ενηενηστευον</t>
  </si>
  <si>
    <t>ελαμβα[ν]α</t>
  </si>
  <si>
    <t>αυτη προσεποιειτο</t>
  </si>
  <si>
    <t>αυτη και προσεποιειτο</t>
  </si>
  <si>
    <t>νοησας και ελυπηθην</t>
  </si>
  <si>
    <t>νοησας ελυπηθην</t>
  </si>
  <si>
    <t>αρα υποστρεψει</t>
  </si>
  <si>
    <t>αρα αποστρεψει</t>
  </si>
  <si>
    <t>πεπεισται περι</t>
  </si>
  <si>
    <t>πεπειστα περι</t>
  </si>
  <si>
    <t>καν ειπη</t>
  </si>
  <si>
    <t>καν ηιπη</t>
  </si>
  <si>
    <t>ποθουσα τελεσαι</t>
  </si>
  <si>
    <t>ποθουσας τελεσαι</t>
  </si>
  <si>
    <t>νηστειαν</t>
  </si>
  <si>
    <t>χρονω</t>
  </si>
  <si>
    <t>την στολην μου</t>
  </si>
  <si>
    <t>την στολoν μου</t>
  </si>
  <si>
    <t>μητη εκεινου</t>
  </si>
  <si>
    <t>μητε εκεινου</t>
  </si>
  <si>
    <t>εφαγες το βρωμα</t>
  </si>
  <si>
    <t>εφαγον το βρωμα</t>
  </si>
  <si>
    <t>αρα ιδουσα</t>
  </si>
  <si>
    <t>αρα ειδουσα</t>
  </si>
  <si>
    <t>μετ εμου</t>
  </si>
  <si>
    <t>μετα εμου</t>
  </si>
  <si>
    <t>εις κρημνον</t>
  </si>
  <si>
    <t>εις χρημνον</t>
  </si>
  <si>
    <t>προσευξαμενος</t>
  </si>
  <si>
    <t>ειπον αυτω</t>
  </si>
  <si>
    <t>Smith corrects αυτω -&gt; αυτη</t>
  </si>
  <si>
    <t>ανδρος σου κονδυλεισει τα τεκνα</t>
  </si>
  <si>
    <r>
      <t xml:space="preserve">ανδρος σου </t>
    </r>
    <r>
      <rPr>
        <b/>
        <sz val="11"/>
        <color theme="1"/>
        <rFont val="Calibri"/>
        <family val="2"/>
        <scheme val="minor"/>
      </rPr>
      <t>η αντιζηλος σου</t>
    </r>
    <r>
      <rPr>
        <sz val="11"/>
        <color theme="1"/>
        <rFont val="Calibri"/>
        <family val="2"/>
        <scheme val="minor"/>
      </rPr>
      <t xml:space="preserve"> κονδυλισει τα τεκνα</t>
    </r>
  </si>
  <si>
    <r>
      <t xml:space="preserve">ανδρος σου η αντιζηλος σου </t>
    </r>
    <r>
      <rPr>
        <b/>
        <sz val="11"/>
        <color theme="1"/>
        <rFont val="Calibri"/>
        <family val="2"/>
        <scheme val="minor"/>
      </rPr>
      <t>κονδυλισει</t>
    </r>
    <r>
      <rPr>
        <sz val="11"/>
        <color theme="1"/>
        <rFont val="Calibri"/>
        <family val="2"/>
        <scheme val="minor"/>
      </rPr>
      <t xml:space="preserve"> τα τεκνα</t>
    </r>
  </si>
  <si>
    <r>
      <t xml:space="preserve">ανδρος σου </t>
    </r>
    <r>
      <rPr>
        <b/>
        <sz val="11"/>
        <color theme="1"/>
        <rFont val="Calibri"/>
        <family val="2"/>
        <scheme val="minor"/>
      </rPr>
      <t>κονδυλεισει</t>
    </r>
    <r>
      <rPr>
        <sz val="11"/>
        <color theme="1"/>
        <rFont val="Calibri"/>
        <family val="2"/>
        <scheme val="minor"/>
      </rPr>
      <t xml:space="preserve"> τα τεκνα</t>
    </r>
  </si>
  <si>
    <t>εκλαμβανει αυτω</t>
  </si>
  <si>
    <t>εκλαμβανει αυτο</t>
  </si>
  <si>
    <t>οτε εξηλθεν</t>
  </si>
  <si>
    <t>οτι εξηλθεν</t>
  </si>
  <si>
    <t>περι τον ορθρον</t>
  </si>
  <si>
    <t>προς τον ορθρον</t>
  </si>
  <si>
    <t>συνουσιαν</t>
  </si>
  <si>
    <t>(3) ιματια μου (4) και κακεινη</t>
  </si>
  <si>
    <t>(3) ιματια μου γυμνος εφυγον (4) κακεινη</t>
  </si>
  <si>
    <r>
      <t xml:space="preserve">(3) ιματια μου </t>
    </r>
    <r>
      <rPr>
        <b/>
        <sz val="11"/>
        <color theme="1"/>
        <rFont val="Calibri"/>
        <family val="2"/>
        <scheme val="minor"/>
      </rPr>
      <t>γυμνος εφυγον</t>
    </r>
    <r>
      <rPr>
        <sz val="11"/>
        <color theme="1"/>
        <rFont val="Calibri"/>
        <family val="2"/>
        <scheme val="minor"/>
      </rPr>
      <t xml:space="preserve"> (4) κακεινη</t>
    </r>
  </si>
  <si>
    <r>
      <t xml:space="preserve">(3) ιματια μου (4) </t>
    </r>
    <r>
      <rPr>
        <b/>
        <sz val="11"/>
        <color theme="1"/>
        <rFont val="Calibri"/>
        <family val="2"/>
        <scheme val="minor"/>
      </rPr>
      <t>και</t>
    </r>
    <r>
      <rPr>
        <sz val="11"/>
        <color theme="1"/>
        <rFont val="Calibri"/>
        <family val="2"/>
        <scheme val="minor"/>
      </rPr>
      <t xml:space="preserve"> κακεινη</t>
    </r>
  </si>
  <si>
    <t>εσυκοφαντησε με και</t>
  </si>
  <si>
    <t>εσυκοφαντησε και</t>
  </si>
  <si>
    <t>παιδεγη αιγυπτια</t>
  </si>
  <si>
    <t>παιδες η αιγυπτια</t>
  </si>
  <si>
    <t>σκοτους τους πιστευοντα</t>
  </si>
  <si>
    <t>σκοτους πιστευοντα</t>
  </si>
  <si>
    <t>και μοι</t>
  </si>
  <si>
    <t>ποσακις</t>
  </si>
  <si>
    <t>κοσμουμενη προς</t>
  </si>
  <si>
    <t>κοσμουμενα προς</t>
  </si>
  <si>
    <t>νηστειας</t>
  </si>
  <si>
    <t>και οικει</t>
  </si>
  <si>
    <t>και σικει</t>
  </si>
  <si>
    <t>καν τε περιπεση</t>
  </si>
  <si>
    <t>καν τις περιπεση</t>
  </si>
  <si>
    <t>εκ των κακων ρυσεται</t>
  </si>
  <si>
    <t>εκ των αυτων ρυσεται</t>
  </si>
  <si>
    <t>παντως</t>
  </si>
  <si>
    <t>και ουχ υψωμην εν τη</t>
  </si>
  <si>
    <t>και ου ψυψωμην εν τη</t>
  </si>
  <si>
    <t>παρελευσεται</t>
  </si>
  <si>
    <t>προς οφθαλμων</t>
  </si>
  <si>
    <t>προ οφθαλμων</t>
  </si>
  <si>
    <t>δουλος αυτω ειμι</t>
  </si>
  <si>
    <t>δουλος αυτων ειμι</t>
  </si>
  <si>
    <t>επιστρεψουσιι φεροντες</t>
  </si>
  <si>
    <t>επιστρεψουσι φεροντες</t>
  </si>
  <si>
    <t>εν οφθαλμοις</t>
  </si>
  <si>
    <t>εν οφθαλοφθαλμοις</t>
  </si>
  <si>
    <t>η ελλαμπινη</t>
  </si>
  <si>
    <t>η αλλακπινη</t>
  </si>
  <si>
    <t>του πεντεφρη μετα δοξης</t>
  </si>
  <si>
    <t>του μετα δοξης</t>
  </si>
  <si>
    <t>Smith corrects γην -&gt; την</t>
  </si>
  <si>
    <t>πεισθεις</t>
  </si>
  <si>
    <t>εις πεδας</t>
  </si>
  <si>
    <t>εις παιδας</t>
  </si>
  <si>
    <t>αρχιευνουχω τριτος γαρ</t>
  </si>
  <si>
    <t>αρχιευνουχω τριτας γαρ</t>
  </si>
  <si>
    <t>και εκχωρισας με</t>
  </si>
  <si>
    <t>και αιχωρισας με</t>
  </si>
  <si>
    <t>απ αυτω</t>
  </si>
  <si>
    <t>απ αυτου</t>
  </si>
  <si>
    <t>ειπε δε προς με ψευδη</t>
  </si>
  <si>
    <t>Smith strikes out προς με</t>
  </si>
  <si>
    <r>
      <t xml:space="preserve">λογον </t>
    </r>
    <r>
      <rPr>
        <b/>
        <sz val="11"/>
        <color theme="1"/>
        <rFont val="Calibri"/>
        <family val="2"/>
        <scheme val="minor"/>
      </rPr>
      <t>τυπτομενος</t>
    </r>
    <r>
      <rPr>
        <sz val="11"/>
        <color theme="1"/>
        <rFont val="Calibri"/>
        <family val="2"/>
        <scheme val="minor"/>
      </rPr>
      <t xml:space="preserve"> εκελευσε φυλαχθηναι</t>
    </r>
  </si>
  <si>
    <r>
      <t xml:space="preserve">λογον </t>
    </r>
    <r>
      <rPr>
        <b/>
        <sz val="11"/>
        <color theme="1"/>
        <rFont val="Calibri"/>
        <family val="2"/>
        <scheme val="minor"/>
      </rPr>
      <t>τυπτομενον</t>
    </r>
    <r>
      <rPr>
        <sz val="11"/>
        <color theme="1"/>
        <rFont val="Calibri"/>
        <family val="2"/>
        <scheme val="minor"/>
      </rPr>
      <t xml:space="preserve"> εκελευσεν φυλαχθηναι</t>
    </r>
  </si>
  <si>
    <r>
      <t xml:space="preserve">λογον τυπτομενος </t>
    </r>
    <r>
      <rPr>
        <b/>
        <sz val="11"/>
        <color theme="1"/>
        <rFont val="Calibri"/>
        <family val="2"/>
        <scheme val="minor"/>
      </rPr>
      <t>εκελευσε</t>
    </r>
    <r>
      <rPr>
        <sz val="11"/>
        <color theme="1"/>
        <rFont val="Calibri"/>
        <family val="2"/>
        <scheme val="minor"/>
      </rPr>
      <t xml:space="preserve"> φυλαχθηναι</t>
    </r>
  </si>
  <si>
    <r>
      <t xml:space="preserve">λογον τυπτομενον </t>
    </r>
    <r>
      <rPr>
        <b/>
        <sz val="11"/>
        <color theme="1"/>
        <rFont val="Calibri"/>
        <family val="2"/>
        <scheme val="minor"/>
      </rPr>
      <t>εκελευσεν</t>
    </r>
    <r>
      <rPr>
        <sz val="11"/>
        <color theme="1"/>
        <rFont val="Calibri"/>
        <family val="2"/>
        <scheme val="minor"/>
      </rPr>
      <t xml:space="preserve"> φυλαχθηναι</t>
    </r>
  </si>
  <si>
    <t>ελθωσιν</t>
  </si>
  <si>
    <t>οι κυριος</t>
  </si>
  <si>
    <t>ο κυριος</t>
  </si>
  <si>
    <t>ειπε περι</t>
  </si>
  <si>
    <r>
      <t xml:space="preserve">ειπε </t>
    </r>
    <r>
      <rPr>
        <b/>
        <sz val="11"/>
        <color theme="1"/>
        <rFont val="Calibri"/>
        <family val="2"/>
        <scheme val="minor"/>
      </rPr>
      <t>και</t>
    </r>
    <r>
      <rPr>
        <sz val="11"/>
        <color theme="1"/>
        <rFont val="Calibri"/>
        <family val="2"/>
        <scheme val="minor"/>
      </rPr>
      <t xml:space="preserve"> περι</t>
    </r>
  </si>
  <si>
    <t>ουν αρχιμαγειρος</t>
  </si>
  <si>
    <r>
      <t xml:space="preserve">ουν </t>
    </r>
    <r>
      <rPr>
        <b/>
        <sz val="11"/>
        <color theme="1"/>
        <rFont val="Calibri"/>
        <family val="2"/>
        <scheme val="minor"/>
      </rPr>
      <t>ο</t>
    </r>
    <r>
      <rPr>
        <sz val="11"/>
        <color theme="1"/>
        <rFont val="Calibri"/>
        <family val="2"/>
        <scheme val="minor"/>
      </rPr>
      <t xml:space="preserve"> αρχιμαγεις</t>
    </r>
  </si>
  <si>
    <r>
      <t xml:space="preserve">ουν ο </t>
    </r>
    <r>
      <rPr>
        <b/>
        <sz val="11"/>
        <color theme="1"/>
        <rFont val="Calibri"/>
        <family val="2"/>
        <scheme val="minor"/>
      </rPr>
      <t>αρχιμαγεις</t>
    </r>
  </si>
  <si>
    <r>
      <t xml:space="preserve">ουν </t>
    </r>
    <r>
      <rPr>
        <b/>
        <sz val="11"/>
        <color theme="1"/>
        <rFont val="Calibri"/>
        <family val="2"/>
        <scheme val="minor"/>
      </rPr>
      <t>αρχιμαγειρος</t>
    </r>
  </si>
  <si>
    <t>πριαμενος</t>
  </si>
  <si>
    <t>τεκνα μου ποσα</t>
  </si>
  <si>
    <t>τεκνα μου οσα</t>
  </si>
  <si>
    <t>και ημεις αγαπατε</t>
  </si>
  <si>
    <r>
      <t xml:space="preserve">και </t>
    </r>
    <r>
      <rPr>
        <b/>
        <sz val="11"/>
        <color theme="1"/>
        <rFont val="Calibri"/>
        <family val="2"/>
        <scheme val="minor"/>
      </rPr>
      <t>ημεις</t>
    </r>
    <r>
      <rPr>
        <sz val="11"/>
        <color theme="1"/>
        <rFont val="Calibri"/>
        <family val="2"/>
        <scheme val="minor"/>
      </rPr>
      <t xml:space="preserve"> ουν αγαπατε</t>
    </r>
  </si>
  <si>
    <r>
      <t xml:space="preserve">και </t>
    </r>
    <r>
      <rPr>
        <b/>
        <sz val="11"/>
        <color theme="1"/>
        <rFont val="Calibri"/>
        <family val="2"/>
        <scheme val="minor"/>
      </rPr>
      <t>ημεις</t>
    </r>
    <r>
      <rPr>
        <sz val="11"/>
        <color theme="1"/>
        <rFont val="Calibri"/>
        <family val="2"/>
        <scheme val="minor"/>
      </rPr>
      <t xml:space="preserve"> αγαπατε</t>
    </r>
  </si>
  <si>
    <r>
      <t xml:space="preserve">και ημεις </t>
    </r>
    <r>
      <rPr>
        <b/>
        <sz val="11"/>
        <color theme="1"/>
        <rFont val="Calibri"/>
        <family val="2"/>
        <scheme val="minor"/>
      </rPr>
      <t>ουν</t>
    </r>
    <r>
      <rPr>
        <sz val="11"/>
        <color theme="1"/>
        <rFont val="Calibri"/>
        <family val="2"/>
        <scheme val="minor"/>
      </rPr>
      <t xml:space="preserve"> αγαπατε</t>
    </r>
  </si>
  <si>
    <t>Smith corrects ημεις -&gt; υμεις</t>
  </si>
  <si>
    <t>επι ομονοια αδελφων</t>
  </si>
  <si>
    <t>επι ομονομια αδελφων</t>
  </si>
  <si>
    <t>ωνειδισα</t>
  </si>
  <si>
    <t>οσα εθελησαν</t>
  </si>
  <si>
    <t>οσα ηθελησαν</t>
  </si>
  <si>
    <t>εννεα διεσπαρησαν</t>
  </si>
  <si>
    <t>εννεα διεσπαρηδιεσπαρησαν</t>
  </si>
  <si>
    <t>προηλθεν αμνος αμωμος</t>
  </si>
  <si>
    <t>προηλθεν αμωμος</t>
  </si>
  <si>
    <t>αμνος του θυ</t>
  </si>
  <si>
    <t>αμνος θου θεου</t>
  </si>
  <si>
    <t>χαριτι σωζων</t>
  </si>
  <si>
    <t>χαριτι σουζων</t>
  </si>
  <si>
    <t>βασιλεια εν υμιν επιτελειται</t>
  </si>
  <si>
    <r>
      <t xml:space="preserve">βασιλεια εν </t>
    </r>
    <r>
      <rPr>
        <b/>
        <sz val="11"/>
        <color theme="1"/>
        <rFont val="Calibri"/>
        <family val="2"/>
        <scheme val="minor"/>
      </rPr>
      <t>εμε</t>
    </r>
    <r>
      <rPr>
        <sz val="11"/>
        <color theme="1"/>
        <rFont val="Calibri"/>
        <family val="2"/>
        <scheme val="minor"/>
      </rPr>
      <t xml:space="preserve"> μ επιτελειται</t>
    </r>
  </si>
  <si>
    <r>
      <t xml:space="preserve">βασιλεια εν </t>
    </r>
    <r>
      <rPr>
        <b/>
        <sz val="11"/>
        <color theme="1"/>
        <rFont val="Calibri"/>
        <family val="2"/>
        <scheme val="minor"/>
      </rPr>
      <t>υμιν</t>
    </r>
    <r>
      <rPr>
        <sz val="11"/>
        <color theme="1"/>
        <rFont val="Calibri"/>
        <family val="2"/>
        <scheme val="minor"/>
      </rPr>
      <t xml:space="preserve"> επιτελειται</t>
    </r>
  </si>
  <si>
    <r>
      <t xml:space="preserve">βασιλεια εν εμε </t>
    </r>
    <r>
      <rPr>
        <b/>
        <sz val="11"/>
        <color theme="1"/>
        <rFont val="Calibri"/>
        <family val="2"/>
        <scheme val="minor"/>
      </rPr>
      <t>μ</t>
    </r>
    <r>
      <rPr>
        <sz val="11"/>
        <color theme="1"/>
        <rFont val="Calibri"/>
        <family val="2"/>
        <scheme val="minor"/>
      </rPr>
      <t xml:space="preserve"> επιτελειται</t>
    </r>
  </si>
  <si>
    <r>
      <rPr>
        <b/>
        <sz val="11"/>
        <color theme="1"/>
        <rFont val="Calibri"/>
        <family val="2"/>
        <scheme val="minor"/>
      </rPr>
      <t>επενθησεν</t>
    </r>
    <r>
      <rPr>
        <sz val="11"/>
        <color theme="1"/>
        <rFont val="Calibri"/>
        <family val="2"/>
        <scheme val="minor"/>
      </rPr>
      <t xml:space="preserve"> αυτον πας ιηλ</t>
    </r>
  </si>
  <si>
    <r>
      <t xml:space="preserve">επενθησεν </t>
    </r>
    <r>
      <rPr>
        <b/>
        <sz val="11"/>
        <color theme="1"/>
        <rFont val="Calibri"/>
        <family val="2"/>
        <scheme val="minor"/>
      </rPr>
      <t>αυτον</t>
    </r>
    <r>
      <rPr>
        <sz val="11"/>
        <color theme="1"/>
        <rFont val="Calibri"/>
        <family val="2"/>
        <scheme val="minor"/>
      </rPr>
      <t xml:space="preserve"> πας ιηλ</t>
    </r>
  </si>
  <si>
    <t>παρισταμενος</t>
  </si>
  <si>
    <t>ουτως καγω τω ιακωβ</t>
  </si>
  <si>
    <t>ουτως κακω τω ιακωβ</t>
  </si>
  <si>
    <t>(2) ιακωβ (3) επειδη</t>
  </si>
  <si>
    <t>(2) ιακωβ (3) και επειδη</t>
  </si>
  <si>
    <t>δυο υιους τεκειν</t>
  </si>
  <si>
    <t>δυο υιος τεκειν</t>
  </si>
  <si>
    <t>εγνωρισε με</t>
  </si>
  <si>
    <t>Smith corrects to εγνωσισε με</t>
  </si>
  <si>
    <t>πρι μου οτε επωλησαν</t>
  </si>
  <si>
    <t>πατρι μου οτι επωλησαν</t>
  </si>
  <si>
    <t>αυτω οτι εφυραν</t>
  </si>
  <si>
    <t>αυτω οτε εφυραν</t>
  </si>
  <si>
    <t>επιγνωθι ει ο χιτων</t>
  </si>
  <si>
    <t>επιγνωθι και ο χιτων</t>
  </si>
  <si>
    <t>εν δε τω υπαγειν</t>
  </si>
  <si>
    <t>εν δε το υπαγειν</t>
  </si>
  <si>
    <t>και ουτως οι μετοχοι</t>
  </si>
  <si>
    <t>και οτως οι μετοχοι</t>
  </si>
  <si>
    <t>ετεροις αυτων</t>
  </si>
  <si>
    <t>ετεροις αυταν</t>
  </si>
  <si>
    <t>εστω η διανοια</t>
  </si>
  <si>
    <t>εστω διανοια</t>
  </si>
  <si>
    <t>εις το αγαθον</t>
  </si>
  <si>
    <t>εις αγαθον</t>
  </si>
  <si>
    <t>(2) αγαθον (3) αγαπατε</t>
  </si>
  <si>
    <r>
      <t xml:space="preserve">(2) αγαθον (3) </t>
    </r>
    <r>
      <rPr>
        <b/>
        <sz val="11"/>
        <color theme="1"/>
        <rFont val="Calibri"/>
        <family val="2"/>
        <scheme val="minor"/>
      </rPr>
      <t>και</t>
    </r>
    <r>
      <rPr>
        <sz val="11"/>
        <color theme="1"/>
        <rFont val="Calibri"/>
        <family val="2"/>
        <scheme val="minor"/>
      </rPr>
      <t xml:space="preserve"> αγαπατη</t>
    </r>
  </si>
  <si>
    <r>
      <t xml:space="preserve">(2) αγαθον (3) και </t>
    </r>
    <r>
      <rPr>
        <b/>
        <sz val="11"/>
        <color theme="1"/>
        <rFont val="Calibri"/>
        <family val="2"/>
        <scheme val="minor"/>
      </rPr>
      <t>αγαπατη</t>
    </r>
  </si>
  <si>
    <r>
      <t xml:space="preserve">(2) αγαθον (3) </t>
    </r>
    <r>
      <rPr>
        <b/>
        <sz val="11"/>
        <color theme="1"/>
        <rFont val="Calibri"/>
        <family val="2"/>
        <scheme val="minor"/>
      </rPr>
      <t>αγαπατε</t>
    </r>
  </si>
  <si>
    <t>εξαιτησωνται</t>
  </si>
  <si>
    <t>υμας ου μη</t>
  </si>
  <si>
    <t>υμας και μη</t>
  </si>
  <si>
    <t>ως και ιωσηφ</t>
  </si>
  <si>
    <t>ως ουδε ιωσηφ</t>
  </si>
  <si>
    <t>αυτον και ο θεος</t>
  </si>
  <si>
    <t>αυτον ο θεος</t>
  </si>
  <si>
    <t>απο επιβουλης</t>
  </si>
  <si>
    <t>απο απιβουλης</t>
  </si>
  <si>
    <t>προς τον πλησιον</t>
  </si>
  <si>
    <t>προς τον κυριον πλησιον</t>
  </si>
  <si>
    <t>πρς σου και</t>
  </si>
  <si>
    <t>αγαθη διανοια</t>
  </si>
  <si>
    <t>αγαθη φιανοια</t>
  </si>
  <si>
    <t>(1) φορεσητε (2) ο αγαθος</t>
  </si>
  <si>
    <t>(1) φορεσητε (2) αγαθος</t>
  </si>
  <si>
    <t>περι αυτου κακα</t>
  </si>
  <si>
    <t>περι αυτω κακα</t>
  </si>
  <si>
    <t>Smith firsthand = σκεπομενον, correction = σκεπομενος</t>
  </si>
  <si>
    <t>ανοι ποιησουσουσι</t>
  </si>
  <si>
    <t>ανθρωποι ειρηνευσουσι</t>
  </si>
  <si>
    <t>εαν ητε</t>
  </si>
  <si>
    <t>εαν ειτε</t>
  </si>
  <si>
    <t>φοβηθησοντες υμας</t>
  </si>
  <si>
    <t>φοβηθησονται υμας</t>
  </si>
  <si>
    <t>ανδρος ουκ εστιν</t>
  </si>
  <si>
    <t>ανδρος στι εστιν</t>
  </si>
  <si>
    <t>ουχ ορα</t>
  </si>
  <si>
    <t>ουχ ωρα</t>
  </si>
  <si>
    <t>πλαναται μετεωρισμοις</t>
  </si>
  <si>
    <t>πλαναται τετεωρισμοις</t>
  </si>
  <si>
    <t>λοιδοριαν</t>
  </si>
  <si>
    <t>λυπης</t>
  </si>
  <si>
    <t>περι παντας</t>
  </si>
  <si>
    <t>περι παντοςς</t>
  </si>
  <si>
    <t>Smith corrects παντοςς -&gt; παντος</t>
  </si>
  <si>
    <t>Smith corrects διπλον -&gt; διπλην; check abbreviation</t>
  </si>
  <si>
    <t>επτα κακων</t>
  </si>
  <si>
    <t>Smith seems simply to cross out the -ων ending without replacing it</t>
  </si>
  <si>
    <t>εστι δε οτε τικτει</t>
  </si>
  <si>
    <t>εστι δε οτι τικτει</t>
  </si>
  <si>
    <t>τριτον θλιψον</t>
  </si>
  <si>
    <t>τριτον θλιψιν</t>
  </si>
  <si>
    <t>πασχει και εννακοσιοστω</t>
  </si>
  <si>
    <t>πασχει και εννιακοσιοστω</t>
  </si>
  <si>
    <t>λαμεχ</t>
  </si>
  <si>
    <t>ουκ ορα</t>
  </si>
  <si>
    <t>μαλλον αμφοτερα</t>
  </si>
  <si>
    <t>μαλλον εκφοτερα</t>
  </si>
  <si>
    <t>πορνειαν σοδομων</t>
  </si>
  <si>
    <t>πορνεια σοδομων</t>
  </si>
  <si>
    <t>η βασιλ κυ</t>
  </si>
  <si>
    <t>η βασιλεια κυριου</t>
  </si>
  <si>
    <t>μεριδι</t>
  </si>
  <si>
    <t>γενησεται υιος θεου</t>
  </si>
  <si>
    <t>πυρ εκχυνομενον</t>
  </si>
  <si>
    <t>πυρ ωχυνομενον</t>
  </si>
  <si>
    <t>εκ του χαου εσται</t>
  </si>
  <si>
    <t>εκ του εσται</t>
  </si>
  <si>
    <t>εις ουνον εγνων δε οιος εσται ταπεινος επι της γης γης οιος ενδοξος εν ουνω (10:1) οτε δε</t>
  </si>
  <si>
    <t>εις ουρανον (10:1) οτε δε</t>
  </si>
  <si>
    <t>και την μορφωσιν</t>
  </si>
  <si>
    <t>και μην μορφωσιν</t>
  </si>
  <si>
    <t>κληρονομιας</t>
  </si>
  <si>
    <t>και υμεις ουν δοτε</t>
  </si>
  <si>
    <t>και ωμεις ουν δοτε</t>
  </si>
  <si>
    <t>παντα ημας</t>
  </si>
  <si>
    <t>παντα υμας</t>
  </si>
  <si>
    <t>εθνεσι (6) τοτε</t>
  </si>
  <si>
    <t>εθνεσιν (6) τοτε</t>
  </si>
  <si>
    <t>ανισταμενους</t>
  </si>
  <si>
    <r>
      <t xml:space="preserve">δοξαν </t>
    </r>
    <r>
      <rPr>
        <b/>
        <sz val="11"/>
        <color theme="1"/>
        <rFont val="Calibri"/>
        <family val="2"/>
        <scheme val="minor"/>
      </rPr>
      <t>οι</t>
    </r>
    <r>
      <rPr>
        <sz val="11"/>
        <color theme="1"/>
        <rFont val="Calibri"/>
        <family val="2"/>
        <scheme val="minor"/>
      </rPr>
      <t xml:space="preserve"> δε εις ατιμιαν</t>
    </r>
  </si>
  <si>
    <r>
      <t xml:space="preserve">δοξαν </t>
    </r>
    <r>
      <rPr>
        <b/>
        <sz val="11"/>
        <color theme="1"/>
        <rFont val="Calibri"/>
        <family val="2"/>
        <scheme val="minor"/>
      </rPr>
      <t>αι</t>
    </r>
    <r>
      <rPr>
        <sz val="11"/>
        <color theme="1"/>
        <rFont val="Calibri"/>
        <family val="2"/>
        <scheme val="minor"/>
      </rPr>
      <t xml:space="preserve"> δεν εις ατιμιαν</t>
    </r>
  </si>
  <si>
    <r>
      <t xml:space="preserve">δοξαν οι </t>
    </r>
    <r>
      <rPr>
        <b/>
        <sz val="11"/>
        <color theme="1"/>
        <rFont val="Calibri"/>
        <family val="2"/>
        <scheme val="minor"/>
      </rPr>
      <t>δε</t>
    </r>
    <r>
      <rPr>
        <sz val="11"/>
        <color theme="1"/>
        <rFont val="Calibri"/>
        <family val="2"/>
        <scheme val="minor"/>
      </rPr>
      <t xml:space="preserve"> εις ατιμιαν</t>
    </r>
  </si>
  <si>
    <r>
      <t xml:space="preserve">δοξαν αι </t>
    </r>
    <r>
      <rPr>
        <b/>
        <sz val="11"/>
        <color theme="1"/>
        <rFont val="Calibri"/>
        <family val="2"/>
        <scheme val="minor"/>
      </rPr>
      <t>δεν</t>
    </r>
    <r>
      <rPr>
        <sz val="11"/>
        <color theme="1"/>
        <rFont val="Calibri"/>
        <family val="2"/>
        <scheme val="minor"/>
      </rPr>
      <t xml:space="preserve"> εις ατιμιαν</t>
    </r>
  </si>
  <si>
    <t>αδελφον αυτων</t>
  </si>
  <si>
    <t>αδελφον αυτον</t>
  </si>
  <si>
    <t>φοβουμενων τον κν</t>
  </si>
  <si>
    <t>φοβουμενοι τον κυριον</t>
  </si>
  <si>
    <r>
      <rPr>
        <b/>
        <sz val="11"/>
        <color theme="1"/>
        <rFont val="Calibri"/>
        <family val="2"/>
        <scheme val="minor"/>
      </rPr>
      <t>κατοικησετε</t>
    </r>
    <r>
      <rPr>
        <sz val="11"/>
        <color theme="1"/>
        <rFont val="Calibri"/>
        <family val="2"/>
        <scheme val="minor"/>
      </rPr>
      <t xml:space="preserve"> επ ελπιδι </t>
    </r>
  </si>
  <si>
    <r>
      <rPr>
        <b/>
        <sz val="11"/>
        <color theme="1"/>
        <rFont val="Calibri"/>
        <family val="2"/>
        <scheme val="minor"/>
      </rPr>
      <t>κατοικησατε</t>
    </r>
    <r>
      <rPr>
        <sz val="11"/>
        <color theme="1"/>
        <rFont val="Calibri"/>
        <family val="2"/>
        <scheme val="minor"/>
      </rPr>
      <t xml:space="preserve"> εν ελπιδι </t>
    </r>
  </si>
  <si>
    <r>
      <t xml:space="preserve">κατοικησατε </t>
    </r>
    <r>
      <rPr>
        <b/>
        <sz val="11"/>
        <color theme="1"/>
        <rFont val="Calibri"/>
        <family val="2"/>
        <scheme val="minor"/>
      </rPr>
      <t>εν</t>
    </r>
    <r>
      <rPr>
        <sz val="11"/>
        <color theme="1"/>
        <rFont val="Calibri"/>
        <family val="2"/>
        <scheme val="minor"/>
      </rPr>
      <t xml:space="preserve"> ελπιδι </t>
    </r>
  </si>
  <si>
    <r>
      <t xml:space="preserve">κατοικησετε </t>
    </r>
    <r>
      <rPr>
        <b/>
        <sz val="11"/>
        <color theme="1"/>
        <rFont val="Calibri"/>
        <family val="2"/>
        <scheme val="minor"/>
      </rPr>
      <t>επ</t>
    </r>
    <r>
      <rPr>
        <sz val="11"/>
        <color theme="1"/>
        <rFont val="Calibri"/>
        <family val="2"/>
        <scheme val="minor"/>
      </rPr>
      <t xml:space="preserve"> ελπιδι </t>
    </r>
  </si>
  <si>
    <t>γνωσιν καινην</t>
  </si>
  <si>
    <t>γνωσιν καινινην</t>
  </si>
  <si>
    <t>φωτιζων παντα</t>
  </si>
  <si>
    <t>Barocci provides alternate reading φωτιζων -&gt; φωτιζοντα; Smith does put this in the margin</t>
  </si>
  <si>
    <t>απ αυτου και</t>
  </si>
  <si>
    <t>απ αυτω και</t>
  </si>
  <si>
    <t>συντελει αιωνος</t>
  </si>
  <si>
    <t>σνντελειαν αιωνος</t>
  </si>
  <si>
    <t>εν γηρει</t>
  </si>
  <si>
    <t>εν κηρει</t>
  </si>
  <si>
    <t>οστα των πρων αυτων</t>
  </si>
  <si>
    <t>οστα των πατερων αυτου</t>
  </si>
  <si>
    <t>εν γκρυφη</t>
  </si>
  <si>
    <t>εν κρυφη</t>
  </si>
  <si>
    <t>εκ γης αιγυπτου</t>
  </si>
  <si>
    <t>εκ της αιγυπτου</t>
  </si>
  <si>
    <t>Speech part add/omitted</t>
  </si>
  <si>
    <t>Visual Cues</t>
  </si>
  <si>
    <t>Duplicate Material</t>
  </si>
  <si>
    <t>Singularity</t>
  </si>
  <si>
    <t>Secondary</t>
  </si>
  <si>
    <t>Minutiae</t>
  </si>
  <si>
    <t>Nonsense</t>
  </si>
  <si>
    <t>Adjective</t>
  </si>
  <si>
    <t>Present</t>
  </si>
  <si>
    <t>Dittography</t>
  </si>
  <si>
    <t>Singular</t>
  </si>
  <si>
    <t>Itacism</t>
  </si>
  <si>
    <t>Generated - strict</t>
  </si>
  <si>
    <t>Article</t>
  </si>
  <si>
    <t>Absent</t>
  </si>
  <si>
    <t>Repetition</t>
  </si>
  <si>
    <t>Non-singular</t>
  </si>
  <si>
    <t>Movable ν</t>
  </si>
  <si>
    <t>Generated - contextual</t>
  </si>
  <si>
    <t>Adverb</t>
  </si>
  <si>
    <t>Iota Adscript</t>
  </si>
  <si>
    <t>Removed - strict</t>
  </si>
  <si>
    <t>Conjunction</t>
  </si>
  <si>
    <t>Iota Subscript</t>
  </si>
  <si>
    <t>Removed - contextual</t>
  </si>
  <si>
    <t>Compound word</t>
  </si>
  <si>
    <t>Abbreviation</t>
  </si>
  <si>
    <t>Noun</t>
  </si>
  <si>
    <t>Breathings</t>
  </si>
  <si>
    <t>Pronoun</t>
  </si>
  <si>
    <t>Accents</t>
  </si>
  <si>
    <t>Preposition</t>
  </si>
  <si>
    <t>Punctuation</t>
  </si>
  <si>
    <t>Participle</t>
  </si>
  <si>
    <t>Vocative</t>
  </si>
  <si>
    <t>Exclusion Grounds</t>
  </si>
  <si>
    <t>Corrector Followed</t>
  </si>
  <si>
    <t>Apograph Corrected</t>
  </si>
  <si>
    <t>Phrase Length</t>
  </si>
  <si>
    <t>Words Length</t>
  </si>
  <si>
    <t>Letters Length</t>
  </si>
  <si>
    <t>Speech Part Add/Omitted</t>
  </si>
  <si>
    <t>Cue Regions</t>
  </si>
  <si>
    <t>Cue Length</t>
  </si>
  <si>
    <t>AO Word Frequency</t>
  </si>
  <si>
    <t>SUB Frequency Difference</t>
  </si>
  <si>
    <t>Orthographic - General</t>
  </si>
  <si>
    <t>Harmonization - Context</t>
  </si>
  <si>
    <t>Parallel Present</t>
  </si>
  <si>
    <t>Harmonization - Parallel</t>
  </si>
  <si>
    <t>Mere Minutiae</t>
  </si>
  <si>
    <t>Review</t>
  </si>
  <si>
    <t>Disharmonizing</t>
  </si>
  <si>
    <t>Substitution - Word</t>
  </si>
  <si>
    <t>NA</t>
  </si>
  <si>
    <t>Substitution - Form</t>
  </si>
  <si>
    <t>Substitution - Both</t>
  </si>
  <si>
    <t>Below word level</t>
  </si>
  <si>
    <t>Particle</t>
  </si>
  <si>
    <t>Name Spelling</t>
  </si>
  <si>
    <t>Verb</t>
  </si>
  <si>
    <t>Unfiltered variants:</t>
  </si>
  <si>
    <t>Total variants:</t>
  </si>
  <si>
    <t>ΝΑ</t>
  </si>
  <si>
    <t>ι-ει</t>
  </si>
  <si>
    <t>ο-ω</t>
  </si>
  <si>
    <t>η-ε</t>
  </si>
  <si>
    <t>addition = Latin letter</t>
  </si>
  <si>
    <t>ει-ι</t>
  </si>
  <si>
    <t>τα πνευματα της πλανης</t>
  </si>
  <si>
    <t>ε-η</t>
  </si>
  <si>
    <t>AB:AC</t>
  </si>
  <si>
    <t>3:3</t>
  </si>
  <si>
    <t>αλλα γαρ τεσσαρας ουρανους</t>
  </si>
  <si>
    <t>τον υψιστον</t>
  </si>
  <si>
    <t>τον υψισταν</t>
  </si>
  <si>
    <t>ω-ο</t>
  </si>
  <si>
    <t>η-ι</t>
  </si>
  <si>
    <t>omits 1 line (187r.1.25-26; visual cues present); freq = οραμα</t>
  </si>
  <si>
    <t>AC</t>
  </si>
  <si>
    <t>7</t>
  </si>
  <si>
    <t>1.0.2 transposition</t>
  </si>
  <si>
    <r>
      <t xml:space="preserve">ωραιον </t>
    </r>
    <r>
      <rPr>
        <b/>
        <sz val="11"/>
        <color theme="1"/>
        <rFont val="Calibri"/>
        <family val="2"/>
        <scheme val="minor"/>
      </rPr>
      <t>εν</t>
    </r>
    <r>
      <rPr>
        <sz val="11"/>
        <color theme="1"/>
        <rFont val="Calibri"/>
        <family val="2"/>
        <scheme val="minor"/>
      </rPr>
      <t xml:space="preserve"> βρασει</t>
    </r>
  </si>
  <si>
    <r>
      <t xml:space="preserve">ωραιον εν </t>
    </r>
    <r>
      <rPr>
        <b/>
        <sz val="11"/>
        <color theme="1"/>
        <rFont val="Calibri"/>
        <family val="2"/>
        <scheme val="minor"/>
      </rPr>
      <t>βρασει</t>
    </r>
  </si>
  <si>
    <r>
      <t xml:space="preserve">ωραιον </t>
    </r>
    <r>
      <rPr>
        <b/>
        <sz val="11"/>
        <color theme="1"/>
        <rFont val="Calibri"/>
        <family val="2"/>
        <scheme val="minor"/>
      </rPr>
      <t>ορασει</t>
    </r>
  </si>
  <si>
    <t>Autograph abbreviated</t>
  </si>
  <si>
    <t>freq = ααω - μη</t>
  </si>
  <si>
    <r>
      <t xml:space="preserve">(6) και ιδου τεχκνα μου τριτη γενεα </t>
    </r>
    <r>
      <rPr>
        <b/>
        <sz val="11"/>
        <color theme="1"/>
        <rFont val="Calibri"/>
        <family val="2"/>
        <scheme val="minor"/>
      </rPr>
      <t>ιωσηφ και ιδου τεκνα μου τριτη γενεα</t>
    </r>
    <r>
      <rPr>
        <sz val="11"/>
        <color theme="1"/>
        <rFont val="Calibri"/>
        <family val="2"/>
        <scheme val="minor"/>
      </rPr>
      <t xml:space="preserve"> (7) ιωσηφ ογδοω και δεκατω</t>
    </r>
  </si>
  <si>
    <t>31</t>
  </si>
  <si>
    <t>freq = γενεα</t>
  </si>
  <si>
    <t>ουτως ηλευθερωσαμεν</t>
  </si>
  <si>
    <t>AC:BD</t>
  </si>
  <si>
    <t>12:3</t>
  </si>
  <si>
    <t>skips 1 line (191r.1.32-33; no visual cues apart from alignment); freq = λαβαν</t>
  </si>
  <si>
    <t>freq = δε - καιγε</t>
  </si>
  <si>
    <r>
      <rPr>
        <b/>
        <sz val="11"/>
        <color theme="1"/>
        <rFont val="Calibri"/>
        <family val="2"/>
        <scheme val="minor"/>
      </rPr>
      <t>κατα</t>
    </r>
    <r>
      <rPr>
        <sz val="11"/>
        <color theme="1"/>
        <rFont val="Calibri"/>
        <family val="2"/>
        <scheme val="minor"/>
      </rPr>
      <t xml:space="preserve"> το διαβουλιον</t>
    </r>
  </si>
  <si>
    <r>
      <rPr>
        <b/>
        <sz val="11"/>
        <color theme="1"/>
        <rFont val="Calibri"/>
        <family val="2"/>
        <scheme val="minor"/>
      </rPr>
      <t>καταπερ</t>
    </r>
    <r>
      <rPr>
        <sz val="11"/>
        <color theme="1"/>
        <rFont val="Calibri"/>
        <family val="2"/>
        <scheme val="minor"/>
      </rPr>
      <t xml:space="preserve"> διαβουλιον</t>
    </r>
  </si>
  <si>
    <r>
      <t xml:space="preserve">κατα </t>
    </r>
    <r>
      <rPr>
        <b/>
        <sz val="11"/>
        <color theme="1"/>
        <rFont val="Calibri"/>
        <family val="2"/>
        <scheme val="minor"/>
      </rPr>
      <t>το</t>
    </r>
    <r>
      <rPr>
        <sz val="11"/>
        <color theme="1"/>
        <rFont val="Calibri"/>
        <family val="2"/>
        <scheme val="minor"/>
      </rPr>
      <t xml:space="preserve"> διαβουλιον</t>
    </r>
  </si>
  <si>
    <t>πτωχου της πτωχειας ελαχιστον στηριγμα</t>
  </si>
  <si>
    <t>πτωχου την πτωχειαν ελαχιστον στηριγμα</t>
  </si>
  <si>
    <r>
      <rPr>
        <b/>
        <sz val="11"/>
        <color theme="1"/>
        <rFont val="Calibri"/>
        <family val="2"/>
        <scheme val="minor"/>
      </rPr>
      <t>και</t>
    </r>
    <r>
      <rPr>
        <sz val="11"/>
        <color theme="1"/>
        <rFont val="Calibri"/>
        <family val="2"/>
        <scheme val="minor"/>
      </rPr>
      <t xml:space="preserve"> παρεισερχεται</t>
    </r>
  </si>
  <si>
    <r>
      <rPr>
        <b/>
        <sz val="11"/>
        <color theme="1"/>
        <rFont val="Calibri"/>
        <family val="2"/>
        <scheme val="minor"/>
      </rPr>
      <t>καιπερ</t>
    </r>
    <r>
      <rPr>
        <sz val="11"/>
        <color theme="1"/>
        <rFont val="Calibri"/>
        <family val="2"/>
        <scheme val="minor"/>
      </rPr>
      <t xml:space="preserve"> εισερχεται</t>
    </r>
  </si>
  <si>
    <r>
      <t xml:space="preserve">και </t>
    </r>
    <r>
      <rPr>
        <b/>
        <sz val="11"/>
        <color theme="1"/>
        <rFont val="Calibri"/>
        <family val="2"/>
        <scheme val="minor"/>
      </rPr>
      <t>παρεισερχεται</t>
    </r>
  </si>
  <si>
    <r>
      <t xml:space="preserve">καιπερ </t>
    </r>
    <r>
      <rPr>
        <b/>
        <sz val="11"/>
        <color theme="1"/>
        <rFont val="Calibri"/>
        <family val="2"/>
        <scheme val="minor"/>
      </rPr>
      <t>εισερχεται</t>
    </r>
  </si>
  <si>
    <t>προφητη καλουντι</t>
  </si>
  <si>
    <t>freq = πατηρ; added material seems to come from next verse (4), where the words in question once again follow Χεβρων</t>
  </si>
  <si>
    <t>freq = φονη - φωνη</t>
  </si>
  <si>
    <t>λαλε μιαν</t>
  </si>
  <si>
    <t>ελαβον εμαυτω</t>
  </si>
  <si>
    <t>ελαβεν εμαυτω</t>
  </si>
  <si>
    <t>skips 1 line (195v.1.8-9; visual cues present); freq = φορεω</t>
  </si>
  <si>
    <t>εθηκαν αυτον οι υιοι</t>
  </si>
  <si>
    <t>εθηκεν αυτον οι υιοι</t>
  </si>
  <si>
    <t>ι-η</t>
  </si>
  <si>
    <t>freq = εννεα</t>
  </si>
  <si>
    <t>Smith corrects βορας -&gt; βοβορας; freq = βορα - δεββωρα</t>
  </si>
  <si>
    <t>8:8</t>
  </si>
  <si>
    <t>παντα τα εργα υμων</t>
  </si>
  <si>
    <t>παντα τα εργω υμων</t>
  </si>
  <si>
    <t>καταρασσονται</t>
  </si>
  <si>
    <t>BD</t>
  </si>
  <si>
    <t>4</t>
  </si>
  <si>
    <t>skips 1 line (199r.1.11; visual cues present); freq = ανακλινω</t>
  </si>
  <si>
    <t>3</t>
  </si>
  <si>
    <t>1.0.1 transposition</t>
  </si>
  <si>
    <r>
      <t xml:space="preserve">περι αυτου </t>
    </r>
    <r>
      <rPr>
        <b/>
        <sz val="11"/>
        <color theme="1"/>
        <rFont val="Calibri"/>
        <family val="2"/>
        <scheme val="minor"/>
      </rPr>
      <t>και</t>
    </r>
    <r>
      <rPr>
        <sz val="11"/>
        <color theme="1"/>
        <rFont val="Calibri"/>
        <family val="2"/>
        <scheme val="minor"/>
      </rPr>
      <t xml:space="preserve"> κολασθεις</t>
    </r>
  </si>
  <si>
    <r>
      <t xml:space="preserve">περι αυτου και </t>
    </r>
    <r>
      <rPr>
        <b/>
        <sz val="11"/>
        <color theme="1"/>
        <rFont val="Calibri"/>
        <family val="2"/>
        <scheme val="minor"/>
      </rPr>
      <t>κολασθεις</t>
    </r>
  </si>
  <si>
    <r>
      <t xml:space="preserve">περι αυτου </t>
    </r>
    <r>
      <rPr>
        <b/>
        <sz val="11"/>
        <color theme="1"/>
        <rFont val="Calibri"/>
        <family val="2"/>
        <scheme val="minor"/>
      </rPr>
      <t>σκολασθεις</t>
    </r>
  </si>
  <si>
    <t>BD:CD</t>
  </si>
  <si>
    <r>
      <t xml:space="preserve">ανηλεως </t>
    </r>
    <r>
      <rPr>
        <b/>
        <sz val="11"/>
        <color theme="1"/>
        <rFont val="Calibri"/>
        <family val="2"/>
        <scheme val="minor"/>
      </rPr>
      <t>κατα</t>
    </r>
    <r>
      <rPr>
        <sz val="11"/>
        <color theme="1"/>
        <rFont val="Calibri"/>
        <family val="2"/>
        <scheme val="minor"/>
      </rPr>
      <t xml:space="preserve"> του ιωσηφ</t>
    </r>
  </si>
  <si>
    <t>7:7</t>
  </si>
  <si>
    <t>κακου ολον δε εστι καλον</t>
  </si>
  <si>
    <t>κακου υλον δε εστι καλον</t>
  </si>
  <si>
    <t>υπο του ενος κεκρυπται</t>
  </si>
  <si>
    <t>υπο του ενκεκρυπται</t>
  </si>
  <si>
    <t>freq = αντιζηλος</t>
  </si>
  <si>
    <t>4:4</t>
  </si>
  <si>
    <t>ακοην διπλως</t>
  </si>
  <si>
    <t>ακοην διπλον</t>
  </si>
  <si>
    <t>επτων κακων</t>
  </si>
  <si>
    <t>ου χαρ εχει</t>
  </si>
  <si>
    <t>ου γαρ εχει</t>
  </si>
  <si>
    <t>skips 1 line (205r.1.23-24; visual cues present); freq = ταπεινος</t>
  </si>
  <si>
    <r>
      <t xml:space="preserve">περι </t>
    </r>
    <r>
      <rPr>
        <b/>
        <sz val="11"/>
        <color theme="1"/>
        <rFont val="Calibri"/>
        <family val="2"/>
        <scheme val="minor"/>
      </rPr>
      <t>της</t>
    </r>
    <r>
      <rPr>
        <sz val="11"/>
        <color theme="1"/>
        <rFont val="Calibri"/>
        <family val="2"/>
        <scheme val="minor"/>
      </rPr>
      <t xml:space="preserve"> εις αυτον </t>
    </r>
    <r>
      <rPr>
        <b/>
        <sz val="11"/>
        <color theme="1"/>
        <rFont val="Calibri"/>
        <family val="2"/>
        <scheme val="minor"/>
      </rPr>
      <t>αδικιας</t>
    </r>
    <r>
      <rPr>
        <sz val="11"/>
        <color theme="1"/>
        <rFont val="Calibri"/>
        <family val="2"/>
        <scheme val="minor"/>
      </rPr>
      <t xml:space="preserve"> οτι</t>
    </r>
  </si>
  <si>
    <r>
      <t xml:space="preserve">περι </t>
    </r>
    <r>
      <rPr>
        <b/>
        <sz val="11"/>
        <color theme="1"/>
        <rFont val="Calibri"/>
        <family val="2"/>
        <scheme val="minor"/>
      </rPr>
      <t>την</t>
    </r>
    <r>
      <rPr>
        <sz val="11"/>
        <color theme="1"/>
        <rFont val="Calibri"/>
        <family val="2"/>
        <scheme val="minor"/>
      </rPr>
      <t xml:space="preserve"> εις αυτον </t>
    </r>
    <r>
      <rPr>
        <b/>
        <sz val="11"/>
        <color theme="1"/>
        <rFont val="Calibri"/>
        <family val="2"/>
        <scheme val="minor"/>
      </rPr>
      <t>αδικιαν</t>
    </r>
    <r>
      <rPr>
        <sz val="11"/>
        <color theme="1"/>
        <rFont val="Calibri"/>
        <family val="2"/>
        <scheme val="minor"/>
      </rPr>
      <t xml:space="preserve"> οτι</t>
    </r>
  </si>
  <si>
    <t>freq = πιστοω - πιστευω; even so, form for apograph seems impossible (verb seems to form aorist with ω as connecting vowel)</t>
  </si>
  <si>
    <t>επραξα το πονηρον</t>
  </si>
  <si>
    <t>επραξα πονηρον</t>
  </si>
  <si>
    <t>[ε]πιστρεψηται</t>
  </si>
  <si>
    <t>φυλαξατε ουν τεκνα μου</t>
  </si>
  <si>
    <t>φυλαξασθε ουν τεκνα μου</t>
  </si>
  <si>
    <t>ποιησων οτι</t>
  </si>
  <si>
    <t>εν ταις μανδραγοροις</t>
  </si>
  <si>
    <t>εν ταις μανδραγοραις</t>
  </si>
  <si>
    <t>ιακωβ τον πρα ημων</t>
  </si>
  <si>
    <t>ιακωβ τον πατερα υμων</t>
  </si>
  <si>
    <t>apograph resembles form in 3:4 (τριπλην εχει δυναμιν); apograph harmonizes</t>
  </si>
  <si>
    <t>θν της ειρηνης</t>
  </si>
  <si>
    <t>θεον της ειρηνας</t>
  </si>
  <si>
    <t>autograph form matches 1:6 (επι των μηρων ραχιηλ); apograph harmonizes</t>
  </si>
  <si>
    <t>twice the form ελεει is used in 2:5,6 (ελεει τους πτωχους, τον πτωχον ελεει); apograph harmonizes</t>
  </si>
  <si>
    <t>και υμεις ουν φυγετε την κακιαν</t>
  </si>
  <si>
    <t>και υμεις ουν φευγετε την κακιαν</t>
  </si>
  <si>
    <t>autograph assimilates toward pattern in 7:1 (δια τουτο τεκνα μου φευγετε την κακιαν)</t>
  </si>
  <si>
    <t>Contraction</t>
  </si>
  <si>
    <t>AltForm</t>
  </si>
  <si>
    <t>ι-ει; ω-ο</t>
  </si>
  <si>
    <t>SimGem</t>
  </si>
  <si>
    <t>AspChan</t>
  </si>
  <si>
    <t>Dependent variant</t>
  </si>
  <si>
    <t>adds:</t>
  </si>
  <si>
    <t>omits:</t>
  </si>
  <si>
    <t>Add rate:</t>
  </si>
  <si>
    <t>LM</t>
  </si>
  <si>
    <t>HM</t>
  </si>
  <si>
    <t>LM-adds:</t>
  </si>
  <si>
    <t>LM-omits:</t>
  </si>
  <si>
    <t>LM-add rate:</t>
  </si>
  <si>
    <t>Length</t>
  </si>
  <si>
    <t>Adds</t>
  </si>
  <si>
    <t>Omits</t>
  </si>
  <si>
    <t>AddRate</t>
  </si>
  <si>
    <t>HM-adds:</t>
  </si>
  <si>
    <t>HM-omits:</t>
  </si>
  <si>
    <t>HM-add rate:</t>
  </si>
  <si>
    <t>Cues</t>
  </si>
  <si>
    <t>Not</t>
  </si>
  <si>
    <t>% present</t>
  </si>
  <si>
    <t>Total</t>
  </si>
  <si>
    <t>Add ratio diff.</t>
  </si>
  <si>
    <t>Add Ratio</t>
  </si>
  <si>
    <t>Cues Abs.</t>
  </si>
  <si>
    <t>Cues Pres.</t>
  </si>
  <si>
    <t>Non-ditt.</t>
  </si>
  <si>
    <t>Ditt.</t>
  </si>
  <si>
    <t>2-3</t>
  </si>
  <si>
    <t>4+</t>
  </si>
  <si>
    <t>&gt;=5</t>
  </si>
  <si>
    <t>Words in corpus (T. Reuben - T. Benjamin)</t>
  </si>
  <si>
    <t>SUB_Aut_Freq</t>
  </si>
  <si>
    <t>SUB_Apog_Freq</t>
  </si>
  <si>
    <t/>
  </si>
  <si>
    <t>Freq-per-10000</t>
  </si>
  <si>
    <t>Med-word-freq</t>
  </si>
  <si>
    <t>HF-adds</t>
  </si>
  <si>
    <t>HF-omits</t>
  </si>
  <si>
    <t>HF-add-ratio</t>
  </si>
  <si>
    <t>LF-adds</t>
  </si>
  <si>
    <t>LF-omits</t>
  </si>
  <si>
    <t>LF-add-ratio</t>
  </si>
  <si>
    <t>art-adds</t>
  </si>
  <si>
    <t>art-omits</t>
  </si>
  <si>
    <t>art-add-rate</t>
  </si>
  <si>
    <t>Aut_P10K_Freq</t>
  </si>
  <si>
    <t>Apog_P10K_Freq</t>
  </si>
  <si>
    <t>P10K_Freq_Diff</t>
  </si>
  <si>
    <t>pos</t>
  </si>
  <si>
    <t>neg</t>
  </si>
  <si>
    <t>p =</t>
  </si>
  <si>
    <t>avg_diff</t>
  </si>
  <si>
    <t>stdv</t>
  </si>
  <si>
    <t>avg_P10K_diff</t>
  </si>
  <si>
    <t>P10K_stdv</t>
  </si>
  <si>
    <t>AddRatioDiff</t>
  </si>
  <si>
    <t>total_subs</t>
  </si>
  <si>
    <t>std_dev</t>
  </si>
  <si>
    <t>Harmonizations</t>
  </si>
  <si>
    <t>Disharmonizations</t>
  </si>
  <si>
    <t>Harm_Ratio</t>
  </si>
  <si>
    <t>Words copied</t>
  </si>
  <si>
    <t>Raw Errors</t>
  </si>
  <si>
    <t>Variants</t>
  </si>
  <si>
    <t>Raw PKW Error Rate</t>
  </si>
  <si>
    <t>PKW Meaningful Error Rate</t>
  </si>
  <si>
    <t>Pseudo-singular</t>
  </si>
  <si>
    <t>Correction Readings Followed</t>
  </si>
  <si>
    <t>% Yes</t>
  </si>
  <si>
    <t>Variant Corrected</t>
  </si>
  <si>
    <t>Count</t>
  </si>
  <si>
    <t>% of Variants</t>
  </si>
  <si>
    <t>Proportion of "Corrections"</t>
  </si>
  <si>
    <t>Partially</t>
  </si>
  <si>
    <t>To Other Variant</t>
  </si>
  <si>
    <t>Diff.:</t>
  </si>
  <si>
    <t>Call No.</t>
  </si>
  <si>
    <t>Institution</t>
  </si>
  <si>
    <t>Century</t>
  </si>
  <si>
    <t>Text examined</t>
  </si>
  <si>
    <t>T12P</t>
  </si>
  <si>
    <t>Length of text (words)</t>
  </si>
  <si>
    <t>Pages</t>
  </si>
  <si>
    <t>Cols./page</t>
  </si>
  <si>
    <t>Avg. lines/col</t>
  </si>
  <si>
    <t>Med. lines/col</t>
  </si>
  <si>
    <t>Std. lines/col</t>
  </si>
  <si>
    <t>Avg. words/line</t>
  </si>
  <si>
    <t>Med. words/line</t>
  </si>
  <si>
    <t>Std. words/line</t>
  </si>
  <si>
    <t>Avg. letters/line</t>
  </si>
  <si>
    <t>Med. letters/line</t>
  </si>
  <si>
    <t>Std. letters/line</t>
  </si>
  <si>
    <t>Orthography</t>
  </si>
  <si>
    <t>A</t>
  </si>
  <si>
    <t>Direction</t>
  </si>
  <si>
    <t>B</t>
  </si>
  <si>
    <t>Freq</t>
  </si>
  <si>
    <t>Notes</t>
  </si>
  <si>
    <t>Found among multiple consonant types (not just κ &lt;-&gt; χ as on other MSS so far)</t>
  </si>
  <si>
    <t>ε</t>
  </si>
  <si>
    <t>Both</t>
  </si>
  <si>
    <t>η</t>
  </si>
  <si>
    <t>ει</t>
  </si>
  <si>
    <t>ι</t>
  </si>
  <si>
    <t>ο</t>
  </si>
  <si>
    <t>ω</t>
  </si>
  <si>
    <t>Barocci seems to abbreviate the singular and plural of πνευμα the same; exclude apparent variants (where abbreviation occurs)</t>
  </si>
  <si>
    <t>τα πνα της πλανης</t>
  </si>
  <si>
    <t>αλλους γαρ τεσσαρας ουνους</t>
  </si>
  <si>
    <t>ευλογησε με ο πηρ</t>
  </si>
  <si>
    <t>Barocci = ιωηλαιω</t>
  </si>
  <si>
    <t>και σηλωμ ων</t>
  </si>
  <si>
    <t>γαρ σηλωμ εζησε</t>
  </si>
  <si>
    <r>
      <t xml:space="preserve">οι αδελφοι εξ </t>
    </r>
    <r>
      <rPr>
        <b/>
        <sz val="11"/>
        <color theme="1"/>
        <rFont val="Calibri"/>
        <family val="2"/>
        <scheme val="minor"/>
      </rPr>
      <t>αδελφοι</t>
    </r>
    <r>
      <rPr>
        <sz val="11"/>
        <color theme="1"/>
        <rFont val="Calibri"/>
        <family val="2"/>
        <scheme val="minor"/>
      </rPr>
      <t xml:space="preserve"> υμων</t>
    </r>
  </si>
  <si>
    <r>
      <t xml:space="preserve">οι αδελφοι εξ αδελφοι </t>
    </r>
    <r>
      <rPr>
        <b/>
        <sz val="11"/>
        <color theme="1"/>
        <rFont val="Calibri"/>
        <family val="2"/>
        <scheme val="minor"/>
      </rPr>
      <t>υμων</t>
    </r>
  </si>
  <si>
    <r>
      <t xml:space="preserve">οι αδελφοι εξ αδελφοις </t>
    </r>
    <r>
      <rPr>
        <b/>
        <sz val="11"/>
        <color theme="1"/>
        <rFont val="Calibri"/>
        <family val="2"/>
        <scheme val="minor"/>
      </rPr>
      <t>υμων</t>
    </r>
  </si>
  <si>
    <t>δυναμιν του πνευματος το πνα</t>
  </si>
  <si>
    <t>(4) ως σοδομα (5) και ως οι</t>
  </si>
  <si>
    <t>(4) ως σοδωμα (5) και ως οι</t>
  </si>
  <si>
    <r>
      <t xml:space="preserve">(4) ως σοδωμα (5) και </t>
    </r>
    <r>
      <rPr>
        <b/>
        <sz val="11"/>
        <color theme="1"/>
        <rFont val="Calibri"/>
        <family val="2"/>
        <scheme val="minor"/>
      </rPr>
      <t>γομορρα</t>
    </r>
    <r>
      <rPr>
        <sz val="11"/>
        <color theme="1"/>
        <rFont val="Calibri"/>
        <family val="2"/>
        <scheme val="minor"/>
      </rPr>
      <t xml:space="preserve"> ως οι</t>
    </r>
  </si>
  <si>
    <r>
      <t xml:space="preserve">(4) ως </t>
    </r>
    <r>
      <rPr>
        <b/>
        <sz val="11"/>
        <color theme="1"/>
        <rFont val="Calibri"/>
        <family val="2"/>
        <scheme val="minor"/>
      </rPr>
      <t>γ</t>
    </r>
    <r>
      <rPr>
        <sz val="11"/>
        <color theme="1"/>
        <rFont val="Calibri"/>
        <family val="2"/>
        <scheme val="minor"/>
      </rPr>
      <t xml:space="preserve"> σοδομα (5) και γομορρα ως οι</t>
    </r>
  </si>
  <si>
    <r>
      <t xml:space="preserve">(5) προς τον πρα ημων και ανεκλινεν αυτον πλησιον αυτου οτι ηγαπα αυτον (6) και ειπεν ιωσηφ τω πρι </t>
    </r>
    <r>
      <rPr>
        <b/>
        <sz val="11"/>
        <color theme="1"/>
        <rFont val="Calibri"/>
        <family val="2"/>
        <scheme val="minor"/>
      </rPr>
      <t>ημων</t>
    </r>
    <r>
      <rPr>
        <sz val="11"/>
        <color theme="1"/>
        <rFont val="Calibri"/>
        <family val="2"/>
        <scheme val="minor"/>
      </rPr>
      <t xml:space="preserve"> οτι</t>
    </r>
  </si>
  <si>
    <r>
      <t xml:space="preserve">(5) προς τον πετερα (6) </t>
    </r>
    <r>
      <rPr>
        <b/>
        <sz val="11"/>
        <color theme="1"/>
        <rFont val="Calibri"/>
        <family val="2"/>
        <scheme val="minor"/>
      </rPr>
      <t>ημων</t>
    </r>
    <r>
      <rPr>
        <sz val="11"/>
        <color theme="1"/>
        <rFont val="Calibri"/>
        <family val="2"/>
        <scheme val="minor"/>
      </rPr>
      <t xml:space="preserve"> οτι</t>
    </r>
  </si>
  <si>
    <t>Barocci = υμων, corrected to ημων</t>
  </si>
  <si>
    <t>αγαπατε εκαστος τον πλησιον</t>
  </si>
  <si>
    <t>μιμουμενοι</t>
  </si>
  <si>
    <t>μιμουμενος</t>
  </si>
  <si>
    <t>γενησεται λαος θυ</t>
  </si>
  <si>
    <r>
      <rPr>
        <b/>
        <sz val="11"/>
        <color theme="1"/>
        <rFont val="Calibri"/>
        <family val="2"/>
        <scheme val="minor"/>
      </rPr>
      <t>επεθυμουν</t>
    </r>
    <r>
      <rPr>
        <sz val="11"/>
        <color theme="1"/>
        <rFont val="Calibri"/>
        <family val="2"/>
        <scheme val="minor"/>
      </rPr>
      <t xml:space="preserve"> ιδειν</t>
    </r>
  </si>
  <si>
    <r>
      <t xml:space="preserve">επεθυμουν </t>
    </r>
    <r>
      <rPr>
        <b/>
        <sz val="11"/>
        <color theme="1"/>
        <rFont val="Calibri"/>
        <family val="2"/>
        <scheme val="minor"/>
      </rPr>
      <t>ιδειν</t>
    </r>
  </si>
  <si>
    <r>
      <t xml:space="preserve">υμων (10) </t>
    </r>
    <r>
      <rPr>
        <b/>
        <sz val="11"/>
        <color theme="1"/>
        <rFont val="Calibri"/>
        <family val="2"/>
        <scheme val="minor"/>
      </rPr>
      <t>μη</t>
    </r>
    <r>
      <rPr>
        <sz val="11"/>
        <color theme="1"/>
        <rFont val="Calibri"/>
        <family val="2"/>
        <scheme val="minor"/>
      </rPr>
      <t xml:space="preserve"> προσεχετε εις οψιν</t>
    </r>
  </si>
  <si>
    <r>
      <t xml:space="preserve">υμων (10) </t>
    </r>
    <r>
      <rPr>
        <b/>
        <sz val="11"/>
        <color theme="1"/>
        <rFont val="Calibri"/>
        <family val="2"/>
        <scheme val="minor"/>
      </rPr>
      <t>ηη</t>
    </r>
    <r>
      <rPr>
        <sz val="11"/>
        <color theme="1"/>
        <rFont val="Calibri"/>
        <family val="2"/>
        <scheme val="minor"/>
      </rPr>
      <t xml:space="preserve"> προσεχετ εις οψιν</t>
    </r>
  </si>
  <si>
    <t>Barocci seems to correct πνων -&gt; ανων;  Smith marks the other reading in the margin</t>
  </si>
  <si>
    <t>ενν γαρ τις</t>
  </si>
  <si>
    <t>σκυθρωπον ε ελεγον</t>
  </si>
  <si>
    <r>
      <t xml:space="preserve">απλοτητι </t>
    </r>
    <r>
      <rPr>
        <b/>
        <sz val="11"/>
        <color theme="1"/>
        <rFont val="Calibri"/>
        <family val="2"/>
        <scheme val="minor"/>
      </rPr>
      <t>καρδιας</t>
    </r>
    <r>
      <rPr>
        <sz val="11"/>
        <color theme="1"/>
        <rFont val="Calibri"/>
        <family val="2"/>
        <scheme val="minor"/>
      </rPr>
      <t xml:space="preserve"> και τα παντα</t>
    </r>
  </si>
  <si>
    <r>
      <t xml:space="preserve">απλοτητι καρδιας </t>
    </r>
    <r>
      <rPr>
        <b/>
        <sz val="11"/>
        <color theme="1"/>
        <rFont val="Calibri"/>
        <family val="2"/>
        <scheme val="minor"/>
      </rPr>
      <t>και</t>
    </r>
    <r>
      <rPr>
        <sz val="11"/>
        <color theme="1"/>
        <rFont val="Calibri"/>
        <family val="2"/>
        <scheme val="minor"/>
      </rPr>
      <t xml:space="preserve"> </t>
    </r>
    <r>
      <rPr>
        <b/>
        <sz val="11"/>
        <color theme="1"/>
        <rFont val="Calibri"/>
        <family val="2"/>
        <scheme val="minor"/>
      </rPr>
      <t>τα</t>
    </r>
    <r>
      <rPr>
        <sz val="11"/>
        <color theme="1"/>
        <rFont val="Calibri"/>
        <family val="2"/>
        <scheme val="minor"/>
      </rPr>
      <t xml:space="preserve"> παντα</t>
    </r>
  </si>
  <si>
    <t>freq = ο - κατα</t>
  </si>
  <si>
    <r>
      <t xml:space="preserve">οι αδελφοι εξ </t>
    </r>
    <r>
      <rPr>
        <b/>
        <sz val="11"/>
        <color theme="1"/>
        <rFont val="Calibri"/>
        <family val="2"/>
        <scheme val="minor"/>
      </rPr>
      <t>αδελφοις</t>
    </r>
    <r>
      <rPr>
        <sz val="11"/>
        <color theme="1"/>
        <rFont val="Calibri"/>
        <family val="2"/>
        <scheme val="minor"/>
      </rPr>
      <t xml:space="preserve"> υμων</t>
    </r>
  </si>
  <si>
    <t>κυριος φως δικαιοσυνης και επιστρεψετε</t>
  </si>
  <si>
    <r>
      <rPr>
        <b/>
        <sz val="11"/>
        <color theme="1"/>
        <rFont val="Calibri"/>
        <family val="2"/>
        <scheme val="minor"/>
      </rPr>
      <t>νοησαι</t>
    </r>
    <r>
      <rPr>
        <sz val="11"/>
        <color theme="1"/>
        <rFont val="Calibri"/>
        <family val="2"/>
        <scheme val="minor"/>
      </rPr>
      <t xml:space="preserve"> το ερεθεισθον</t>
    </r>
  </si>
  <si>
    <r>
      <rPr>
        <b/>
        <sz val="11"/>
        <color theme="1"/>
        <rFont val="Calibri"/>
        <family val="2"/>
        <scheme val="minor"/>
      </rPr>
      <t>νοησα</t>
    </r>
    <r>
      <rPr>
        <sz val="11"/>
        <color theme="1"/>
        <rFont val="Calibri"/>
        <family val="2"/>
        <scheme val="minor"/>
      </rPr>
      <t xml:space="preserve"> το ερεθεισθον</t>
    </r>
  </si>
  <si>
    <r>
      <t xml:space="preserve">νοησα το </t>
    </r>
    <r>
      <rPr>
        <b/>
        <sz val="11"/>
        <color theme="1"/>
        <rFont val="Calibri"/>
        <family val="2"/>
        <scheme val="minor"/>
      </rPr>
      <t>ερεθεισθον</t>
    </r>
  </si>
  <si>
    <r>
      <t xml:space="preserve">ανηλεως </t>
    </r>
    <r>
      <rPr>
        <b/>
        <sz val="11"/>
        <color theme="1"/>
        <rFont val="Calibri"/>
        <family val="2"/>
        <scheme val="minor"/>
      </rPr>
      <t>και</t>
    </r>
    <r>
      <rPr>
        <sz val="11"/>
        <color theme="1"/>
        <rFont val="Calibri"/>
        <family val="2"/>
        <scheme val="minor"/>
      </rPr>
      <t xml:space="preserve"> </t>
    </r>
    <r>
      <rPr>
        <b/>
        <sz val="11"/>
        <color theme="1"/>
        <rFont val="Calibri"/>
        <family val="2"/>
        <scheme val="minor"/>
      </rPr>
      <t>τα</t>
    </r>
    <r>
      <rPr>
        <sz val="11"/>
        <color theme="1"/>
        <rFont val="Calibri"/>
        <family val="2"/>
        <scheme val="minor"/>
      </rPr>
      <t xml:space="preserve"> του ιωσηφ</t>
    </r>
  </si>
  <si>
    <t>καλω κλλα κατα</t>
  </si>
  <si>
    <t>πατερων μου ει</t>
  </si>
  <si>
    <r>
      <rPr>
        <b/>
        <sz val="11"/>
        <color theme="1"/>
        <rFont val="Calibri"/>
        <family val="2"/>
        <scheme val="minor"/>
      </rPr>
      <t>επενθησαν</t>
    </r>
    <r>
      <rPr>
        <sz val="11"/>
        <color theme="1"/>
        <rFont val="Calibri"/>
        <family val="2"/>
        <scheme val="minor"/>
      </rPr>
      <t xml:space="preserve"> αυταν πας ισραηλ</t>
    </r>
  </si>
  <si>
    <r>
      <t xml:space="preserve">επενθησαν </t>
    </r>
    <r>
      <rPr>
        <b/>
        <sz val="11"/>
        <color theme="1"/>
        <rFont val="Calibri"/>
        <family val="2"/>
        <scheme val="minor"/>
      </rPr>
      <t>αυταν</t>
    </r>
    <r>
      <rPr>
        <sz val="11"/>
        <color theme="1"/>
        <rFont val="Calibri"/>
        <family val="2"/>
        <scheme val="minor"/>
      </rPr>
      <t xml:space="preserve"> πας ισραηλ</t>
    </r>
  </si>
  <si>
    <t>πατρος μου και</t>
  </si>
  <si>
    <r>
      <rPr>
        <b/>
        <sz val="11"/>
        <color theme="1"/>
        <rFont val="Calibri"/>
        <family val="2"/>
        <scheme val="minor"/>
      </rPr>
      <t>επιθυμουν</t>
    </r>
    <r>
      <rPr>
        <sz val="11"/>
        <color theme="1"/>
        <rFont val="Calibri"/>
        <family val="2"/>
        <scheme val="minor"/>
      </rPr>
      <t xml:space="preserve"> ειδειν</t>
    </r>
  </si>
  <si>
    <r>
      <t xml:space="preserve">επιθυμουν </t>
    </r>
    <r>
      <rPr>
        <b/>
        <sz val="11"/>
        <color theme="1"/>
        <rFont val="Calibri"/>
        <family val="2"/>
        <scheme val="minor"/>
      </rPr>
      <t>ειδειν</t>
    </r>
  </si>
  <si>
    <t>ιδιαξετε</t>
  </si>
  <si>
    <t>freq = κοινοω - κοιμαω</t>
  </si>
  <si>
    <t>Smith seems to correct εξειλατο -&gt; εξειλετο</t>
  </si>
  <si>
    <t>Barocci seems to correct αυτων -&gt; αυτον</t>
  </si>
  <si>
    <t>due to correction, not clear whether Smith = βεβελυιμενην or βεβελημενην</t>
  </si>
  <si>
    <t>Not clear whether the final -σθε in Barocci is firsthand or correction</t>
  </si>
  <si>
    <t>Smith seems to correct αυτος -&gt; αυτας</t>
  </si>
  <si>
    <t>Smith corrects to ηδυνηθημεν</t>
  </si>
  <si>
    <t>Note that this error seems to occur at the beginning of each book: Barocci seems to have left space for capital Α's that never got added</t>
  </si>
  <si>
    <r>
      <t xml:space="preserve">νοησαι το </t>
    </r>
    <r>
      <rPr>
        <b/>
        <sz val="11"/>
        <color theme="1"/>
        <rFont val="Calibri"/>
        <family val="2"/>
        <scheme val="minor"/>
      </rPr>
      <t>ερεθισθον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</si>
</sst>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color theme="1"/>
      <name val="Arial Unicode MS"/>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vertical="center" wrapText="1"/>
    </xf>
    <xf numFmtId="0" fontId="0" fillId="2" borderId="0" xfId="0" applyFill="1" applyAlignment="1">
      <alignment vertical="center" wrapText="1"/>
    </xf>
    <xf numFmtId="0" fontId="0" fillId="3" borderId="0" xfId="0" applyFill="1"/>
    <xf numFmtId="0" fontId="0" fillId="4" borderId="0" xfId="0" applyFill="1" applyAlignment="1">
      <alignment vertical="center" wrapText="1"/>
    </xf>
    <xf numFmtId="0" fontId="0" fillId="4" borderId="0" xfId="0" applyFill="1"/>
    <xf numFmtId="0" fontId="0" fillId="2" borderId="0" xfId="0" applyFill="1"/>
    <xf numFmtId="0" fontId="0" fillId="3" borderId="0" xfId="0" applyFill="1" applyAlignment="1">
      <alignment vertical="center" wrapText="1"/>
    </xf>
    <xf numFmtId="49" fontId="1" fillId="0" borderId="0" xfId="0" applyNumberFormat="1" applyFont="1"/>
    <xf numFmtId="0" fontId="0" fillId="5" borderId="1" xfId="0" applyFill="1" applyBorder="1"/>
    <xf numFmtId="49" fontId="0" fillId="5" borderId="1" xfId="0" applyNumberFormat="1" applyFill="1" applyBorder="1"/>
    <xf numFmtId="0" fontId="1" fillId="0" borderId="0" xfId="0" applyFont="1" applyAlignment="1">
      <alignment wrapText="1"/>
    </xf>
    <xf numFmtId="0" fontId="0" fillId="0" borderId="0" xfId="0" applyAlignment="1">
      <alignment wrapText="1"/>
    </xf>
    <xf numFmtId="49" fontId="0" fillId="0" borderId="0" xfId="0" applyNumberFormat="1"/>
    <xf numFmtId="0" fontId="4" fillId="0" borderId="0" xfId="0" applyFont="1" applyAlignment="1">
      <alignment vertical="center"/>
    </xf>
    <xf numFmtId="0" fontId="0" fillId="6" borderId="0" xfId="0" applyFill="1"/>
    <xf numFmtId="0" fontId="0" fillId="0" borderId="0" xfId="0" applyAlignment="1">
      <alignment horizontal="center"/>
    </xf>
  </cellXfs>
  <cellStyles count="1">
    <cellStyle name="Normal" xfId="0" builtinId="0"/>
  </cellStyles>
  <dxfs count="184">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nathan Wilken" id="{289DDA02-A35A-4F17-8CB4-083D0A03709D}"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4-01-16T10:00:06.98" personId="{289DDA02-A35A-4F17-8CB4-083D0A03709D}" id="{1467A761-0C32-46C7-83EB-8905463C172A}">
    <text>For substitutions, the word frequency of the apograph reading</text>
  </threadedComment>
  <threadedComment ref="V1" dT="2024-01-16T09:59:48.08" personId="{289DDA02-A35A-4F17-8CB4-083D0A03709D}" id="{F88350B5-6EFE-4B0B-ADD4-9C90D3C54504}">
    <text>For substitutions, the word frequency of the autograph reading</text>
  </threadedComment>
</ThreadedComments>
</file>

<file path=xl/threadedComments/threadedComment10.xml><?xml version="1.0" encoding="utf-8"?>
<ThreadedComments xmlns="http://schemas.microsoft.com/office/spreadsheetml/2018/threadedcomments" xmlns:x="http://schemas.openxmlformats.org/spreadsheetml/2006/main">
  <threadedComment ref="K3" dT="2023-08-03T13:34:30.53" personId="{289DDA02-A35A-4F17-8CB4-083D0A03709D}" id="{BF967794-738C-424E-B652-4B492059C75A}">
    <text>The apograph reading is singular and the autograph reading is not. The singular readings method would detect this variant</text>
  </threadedComment>
  <threadedComment ref="K4" dT="2023-08-03T13:33:28.57" personId="{289DDA02-A35A-4F17-8CB4-083D0A03709D}" id="{885AA624-78F0-4221-83DA-AD399A5BED03}">
    <text>That is, the autograph contains a singular reading and the apograph followed it</text>
  </threadedComment>
  <threadedComment ref="K5" dT="2023-08-03T13:35:10.13" personId="{289DDA02-A35A-4F17-8CB4-083D0A03709D}" id="{F8DEE427-22BC-4312-9223-DBB9E2E82E69}">
    <text>The apograph reading is not singular: other witnesses contain the same reading. These are real variants produced by the apograph scribe, but the singular readings method would not detect them</text>
  </threadedComment>
  <threadedComment ref="M13" dT="2023-08-14T14:21:11.11" personId="{289DDA02-A35A-4F17-8CB4-083D0A03709D}" id="{1D07D086-05C8-4E77-A7AB-C6201EF4F2DE}">
    <text>For words which have multiple common forms not impacting their inflection (e.g., ουκ-ουχ-ου, επι-επ-εφ)</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289DDA02-A35A-4F17-8CB4-083D0A03709D}" id="{B2143497-55F6-4447-AB9B-5B347DB6B939}">
    <text>For substitutions, the word frequency of the apograph reading</text>
  </threadedComment>
  <threadedComment ref="S1" dT="2024-01-16T09:59:48.08" personId="{289DDA02-A35A-4F17-8CB4-083D0A03709D}" id="{E85F920A-C4DB-486E-962B-B9DE19066002}">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Q1" dT="2024-01-15T15:51:08.85" personId="{289DDA02-A35A-4F17-8CB4-083D0A03709D}" id="{B731B45C-38A8-4C1E-A008-3237B9D955EC}">
    <text>Derived variable indicating the number of times per 1000 words the added or omitted word occurs. Thus, Freq-per-10,000 = (AO Word Frequency / Words in Corpus) * 10,000</text>
  </threadedComment>
  <threadedComment ref="S1" dT="2024-01-16T10:00:06.98" personId="{289DDA02-A35A-4F17-8CB4-083D0A03709D}" id="{B12326D2-8410-4179-86E6-87DEBBB33834}">
    <text>For substitutions, the word frequency of the apograph reading</text>
  </threadedComment>
  <threadedComment ref="T1" dT="2024-01-16T09:59:48.08" personId="{289DDA02-A35A-4F17-8CB4-083D0A03709D}" id="{A38E141B-E151-4A3E-B15C-F2704F985476}">
    <text>For substitutions, the word frequency of the autograph reading</text>
  </threadedComment>
  <threadedComment ref="F83" dT="2023-09-09T16:20:24.92" personId="{289DDA02-A35A-4F17-8CB4-083D0A03709D}" id="{3FFE8AE7-06D8-4A9D-AD31-707E4885BCA1}">
    <text>Raw number of additions</text>
  </threadedComment>
  <threadedComment ref="B84" dT="2023-09-09T13:15:24.43" personId="{289DDA02-A35A-4F17-8CB4-083D0A03709D}" id="{EB7D60FD-0402-42C2-A054-F68C5FB88EE3}">
    <text>"Low Meaning" words</text>
  </threadedComment>
  <threadedComment ref="C84" dT="2023-09-09T13:15:40.92" personId="{289DDA02-A35A-4F17-8CB4-083D0A03709D}" id="{F7DF3DE3-E2D9-4A5C-9DDB-496221E1B6A7}">
    <text>"High Meaning" words</text>
  </threadedComment>
  <threadedComment ref="F84" dT="2023-09-09T16:20:41.93" personId="{289DDA02-A35A-4F17-8CB4-083D0A03709D}" id="{D8A5A878-1B17-41EC-8A9B-AF1E104881FF}">
    <text>Raw number of omissions</text>
  </threadedComment>
  <threadedComment ref="F85" dT="2023-09-09T16:21:30.82" personId="{289DDA02-A35A-4F17-8CB4-083D0A03709D}" id="{B70F66D9-AE9F-4C66-A03C-FC0377B984F0}">
    <text>% of add-omits that are additions</text>
  </threadedComment>
  <threadedComment ref="F88" dT="2023-09-09T16:22:43.13" personId="{289DDA02-A35A-4F17-8CB4-083D0A03709D}" id="{B87CA771-0FAE-4483-BC46-D8B3F3A9F3F2}">
    <text>Raw number of additions of "low meaning" words. See LM column for included word types (and adjust equation as necessary)</text>
  </threadedComment>
  <threadedComment ref="F89" dT="2023-09-09T16:23:00.73" personId="{289DDA02-A35A-4F17-8CB4-083D0A03709D}" id="{4ABBECF8-CA65-479A-9468-CF39A5F53EDC}">
    <text>Raw number of omissions of "low meaning" words. See LM column for included word types (and adjust equation as necessary)</text>
  </threadedComment>
  <threadedComment ref="F90" dT="2023-09-09T16:23:25.50" personId="{289DDA02-A35A-4F17-8CB4-083D0A03709D}" id="{6127FE6F-50A9-4298-A60F-6A651F30D64C}">
    <text>Addition rate for "low meaning" words. See LM column for included word types (and adjust equation as necessary)</text>
  </threadedComment>
  <threadedComment ref="F93" dT="2023-09-09T16:26:23.57" personId="{289DDA02-A35A-4F17-8CB4-083D0A03709D}" id="{EE840B5A-F793-4B65-8EFE-E717CEEAD0A0}">
    <text>Raw number of additions of "high meaning" words. See HM column for included word types (and adjust equation as necessary)</text>
  </threadedComment>
  <threadedComment ref="F94" dT="2023-09-09T16:26:53.68" personId="{289DDA02-A35A-4F17-8CB4-083D0A03709D}" id="{A2B26DF1-0E48-4D56-A2CF-6AA2CD2D7AA0}">
    <text>Raw number of omissions of "high meaning" words. See HM column for included word types (and adjust equation as necessary)</text>
  </threadedComment>
  <threadedComment ref="F95" dT="2023-09-09T16:27:24.75" personId="{289DDA02-A35A-4F17-8CB4-083D0A03709D}" id="{1C2A3BD1-CB13-4517-92B3-01A492C6FD38}">
    <text>Addition rate for "high meaning" words. See HM column for included word types (and adjust equation as necessary)</text>
  </threadedComment>
  <threadedComment ref="D101" dT="2023-09-09T16:31:02.72" personId="{289DDA02-A35A-4F17-8CB4-083D0A03709D}" id="{AE80EDBE-5576-47AD-BDA5-0D96784F5D7A}">
    <text>The number of add-omits where visual cues are present that are, in fact, additions. I.e., the number of additions that result in the presence of visual cues</text>
  </threadedComment>
  <threadedComment ref="E101" dT="2023-09-09T16:31:50.60" personId="{289DDA02-A35A-4F17-8CB4-083D0A03709D}" id="{2AF25918-A89E-493A-BDB9-B32A24DC18EF}">
    <text>The number of add-omits where visual cues are NOT present that are, in fact, additions. I.e., the number of additions that generate no visual cues</text>
  </threadedComment>
  <threadedComment ref="F101" dT="2023-09-09T16:33:25.83" personId="{289DDA02-A35A-4F17-8CB4-083D0A03709D}" id="{61EF62D3-503B-44B7-94A2-ED67606F106D}">
    <text>The percentage of add-omits where visual cues are present that are, in fact, additions. I.e., a percent frequency indicating how often an addition generates visual cues</text>
  </threadedComment>
  <threadedComment ref="D102" dT="2023-09-09T16:34:19.48" personId="{289DDA02-A35A-4F17-8CB4-083D0A03709D}" id="{4D2B8655-B154-4661-AAA4-758CBAF60396}">
    <text>The number of add-omits where visual cues are present that are, in fact, omissions. I.e., the number of times that omissions occurred in the presence of visual cues</text>
  </threadedComment>
  <threadedComment ref="E102" dT="2023-09-09T16:34:51.06" personId="{289DDA02-A35A-4F17-8CB4-083D0A03709D}" id="{2713E4A0-5A0B-40BB-86BE-CF149DF20975}">
    <text>The number of add-omits where visual cues are NOT present that are, in fact, omissions. I.e., the number of times that omissions occurred in the absence of visual cues</text>
  </threadedComment>
  <threadedComment ref="F102" dT="2023-09-09T16:35:41.16" personId="{289DDA02-A35A-4F17-8CB4-083D0A03709D}" id="{F82CF685-9217-4DDE-AD5F-55C7EB65F822}">
    <text>The percentage of add-omits where visual cues are present that are, in fact, omissions. I.e., the percentage of omissions that could plausibly be due to visual cues</text>
  </threadedComment>
  <threadedComment ref="D103" dT="2023-09-09T16:36:05.81" personId="{289DDA02-A35A-4F17-8CB4-083D0A03709D}" id="{78E4F790-7809-42B4-B080-A5A1D57565AE}">
    <text>The total number of add-omits that involve visual cues</text>
  </threadedComment>
  <threadedComment ref="E103" dT="2023-09-09T16:38:54.43" personId="{289DDA02-A35A-4F17-8CB4-083D0A03709D}" id="{563379E5-FA5D-4E19-8821-34F76F4F3FC5}">
    <text>The total number of add-omits that involve NO visual cues (given the definition of this project, i.e., 3-character minimum similarity in critical regions)</text>
  </threadedComment>
  <threadedComment ref="F103" dT="2023-09-09T16:39:12.76" personId="{289DDA02-A35A-4F17-8CB4-083D0A03709D}" id="{BD29E509-3AB8-4650-9AE0-1E0468A52873}">
    <text>The percentage of all add-omits that involve visual cues</text>
  </threadedComment>
  <threadedComment ref="D107" dT="2023-09-09T16:31:50.60" personId="{289DDA02-A35A-4F17-8CB4-083D0A03709D}" id="{24ABE1A1-24B8-44F0-9994-A345592C844B}">
    <text>The number of add-omits where visual cues are NOT present that are, in fact, additions. I.e., the number of additions that generate no visual cues</text>
  </threadedComment>
  <threadedComment ref="E107" dT="2023-09-09T16:34:51.06" personId="{289DDA02-A35A-4F17-8CB4-083D0A03709D}" id="{2D460BA1-8B2E-4D92-966A-87B4F98194DD}">
    <text>The number of add-omits where visual cues are NOT present that are, in fact, omissions. I.e., the number of times that omissions occurred in the absence of visual cues</text>
  </threadedComment>
  <threadedComment ref="D108" dT="2023-09-09T16:31:02.72" personId="{289DDA02-A35A-4F17-8CB4-083D0A03709D}" id="{73830C03-9500-4573-9AEA-7AA02C641450}">
    <text>The number of add-omits where visual cues are present that are, in fact, additions. I.e., the number of additions that result in the presence of visual cues</text>
  </threadedComment>
  <threadedComment ref="E108" dT="2023-09-09T16:34:19.48" personId="{289DDA02-A35A-4F17-8CB4-083D0A03709D}" id="{8B838E79-F016-4D50-9C16-82BB71B19FE4}">
    <text>The number of add-omits where visual cues are present that are, in fact, omissions. I.e., the number of times that omissions occurred in the presence of visual cues</text>
  </threadedComment>
  <threadedComment ref="D113" dT="2023-09-09T16:31:50.60" personId="{289DDA02-A35A-4F17-8CB4-083D0A03709D}" id="{02511985-E27A-437D-AD68-D57F56B5BAE6}">
    <text>The number of non-dittographic add-omits that are, in fact, additions. I.e., the number of additions that do not result in dittography</text>
  </threadedComment>
  <threadedComment ref="E113" dT="2023-09-09T16:34:51.06" personId="{289DDA02-A35A-4F17-8CB4-083D0A03709D}" id="{EC232559-684C-4DD7-8830-8A0DC4F10769}">
    <text>The number of non-dittographic add-omits that are, in fact, omissions. I.e., the number of omissions that did not undo a dittographic reading</text>
  </threadedComment>
  <threadedComment ref="D114" dT="2023-09-09T16:31:02.72" personId="{289DDA02-A35A-4F17-8CB4-083D0A03709D}" id="{D5A3480B-B30F-4791-B936-B9927986AD60}">
    <text>The number of dittographic add-omits that are, in fact, additions. I.e., the number of additions that result in dittography</text>
  </threadedComment>
  <threadedComment ref="E114" dT="2023-09-09T16:34:19.48" personId="{289DDA02-A35A-4F17-8CB4-083D0A03709D}" id="{E6B2A83E-978E-4000-8D8B-2461F0F2F0B4}">
    <text>The number of dittographic add-omits that are, in fact, omissions. I.e., the number omissions where the omitted word(s) is/are dittographies</text>
  </threadedComment>
  <threadedComment ref="D119" dT="2024-01-06T19:48:13.17" personId="{289DDA02-A35A-4F17-8CB4-083D0A03709D}" id="{9240F69C-2268-4555-BBBC-9957F1DEB510}">
    <text>Additions of one word</text>
  </threadedComment>
  <threadedComment ref="E119" dT="2024-01-06T19:48:24.08" personId="{289DDA02-A35A-4F17-8CB4-083D0A03709D}" id="{6E3BCF02-6F21-4549-9E01-B614C548F718}">
    <text>Omissions of one word</text>
  </threadedComment>
  <threadedComment ref="F119" dT="2024-01-06T19:49:49.67" personId="{289DDA02-A35A-4F17-8CB4-083D0A03709D}" id="{9F00E45C-A3B8-4430-B0B5-53A424315AD3}">
    <text>Add ratio for single-word variants</text>
  </threadedComment>
  <threadedComment ref="D120" dT="2024-01-06T19:48:46.30" personId="{289DDA02-A35A-4F17-8CB4-083D0A03709D}" id="{3A97A016-C6FA-45C0-A540-2CF429D56A2C}">
    <text>Additions of 2-3 words</text>
  </threadedComment>
  <threadedComment ref="E120" dT="2024-01-06T19:49:11.26" personId="{289DDA02-A35A-4F17-8CB4-083D0A03709D}" id="{0674F83C-889C-4F15-81AF-34E205AD1E9F}">
    <text>Omissions of 2-3 words</text>
  </threadedComment>
  <threadedComment ref="F120" dT="2024-01-06T19:50:08.15" personId="{289DDA02-A35A-4F17-8CB4-083D0A03709D}" id="{95DB7FCD-F0A5-4477-9273-CDDB0358D4EC}">
    <text>Add ratio for variants of 2-3 words</text>
  </threadedComment>
  <threadedComment ref="D121" dT="2024-01-06T19:48:58.81" personId="{289DDA02-A35A-4F17-8CB4-083D0A03709D}" id="{79A1D9B1-2232-4D53-B2A1-735D31617545}">
    <text>Additions of 4 or more words</text>
  </threadedComment>
  <threadedComment ref="E121" dT="2024-01-06T19:49:22.83" personId="{289DDA02-A35A-4F17-8CB4-083D0A03709D}" id="{99E8CCBC-BE02-417A-97DD-7ACA21449673}">
    <text>Omissions of 4 or more words</text>
  </threadedComment>
  <threadedComment ref="F121" dT="2024-01-06T19:50:20.70" personId="{289DDA02-A35A-4F17-8CB4-083D0A03709D}" id="{23227FB7-4D38-45A3-92B2-A278C2F7B0B6}">
    <text>Add ratio for variants of 4 or more words</text>
  </threadedComment>
  <threadedComment ref="C124" dT="2023-09-09T16:27:49.68" personId="{289DDA02-A35A-4F17-8CB4-083D0A03709D}" id="{A6DE83FA-AA1E-4561-B328-F0D4810AE183}">
    <text>Number of words added or omitted</text>
  </threadedComment>
  <threadedComment ref="D124" dT="2023-09-09T16:28:21.63" personId="{289DDA02-A35A-4F17-8CB4-083D0A03709D}" id="{5BF830B6-CC7F-45EE-95F6-F4152E978D5A}">
    <text>Number of additions involving the number of words specified in the "Length" column</text>
  </threadedComment>
  <threadedComment ref="E124" dT="2023-09-09T16:28:41.21" personId="{289DDA02-A35A-4F17-8CB4-083D0A03709D}" id="{63D66909-3C87-4E53-BB76-3BBB31F3F75A}">
    <text>Number of omissions involving the number of words specified in the "Length" column</text>
  </threadedComment>
  <threadedComment ref="F124" dT="2023-09-09T16:29:25.88" personId="{289DDA02-A35A-4F17-8CB4-083D0A03709D}" id="{A228923B-AEA5-485F-A814-D485A56F2803}">
    <text>The addition rate for add-omits involving the number of words indicated in the "Length" column</text>
  </threadedComment>
  <threadedComment ref="E132" dT="2024-01-15T11:53:38.99" personId="{289DDA02-A35A-4F17-8CB4-083D0A03709D}" id="{516F98D3-4AEC-4820-8B56-90D953A0ABFB}">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4-01-15T15:51:08.85" personId="{289DDA02-A35A-4F17-8CB4-083D0A03709D}" id="{E7DEEA3E-C062-4F93-8ADA-B9897DFE73DE}">
    <text>Derived variable indicating the number of times per 1000 words the added or omitted word occurs. Thus, Freq-per-10,000 = (AO Word Frequency / Words in Corpus) * 10,000</text>
  </threadedComment>
  <threadedComment ref="S1" dT="2024-01-16T10:00:06.98" personId="{289DDA02-A35A-4F17-8CB4-083D0A03709D}" id="{DA950235-7ECE-44B8-8C50-5ADD515D5980}">
    <text>For substitutions, the word frequency of the apograph reading</text>
  </threadedComment>
  <threadedComment ref="T1" dT="2024-01-16T09:59:48.08" personId="{289DDA02-A35A-4F17-8CB4-083D0A03709D}" id="{E1E3337B-9BCE-4E16-A594-65E0AC453549}">
    <text>For substitutions, the word frequency of the autograph reading</text>
  </threadedComment>
  <threadedComment ref="D58" dT="2024-01-15T11:53:38.99" personId="{289DDA02-A35A-4F17-8CB4-083D0A03709D}" id="{94778FC4-3BA9-4EC9-AC85-144D0D2C051A}">
    <text>Total word count for corpus. Figure taken from Accordance "Word Count Totals" analysis. Search for word "*" specifying [RANGE &lt;CONTENT&gt;]. E.g., for 1 Samuel - 2 Kings in Alexandrinus, search for "* [RANGE 1 Sam - 2 Kings]" in LXX Rahlfs.</text>
  </threadedComment>
  <threadedComment ref="D59" dT="2024-01-15T16:09:47.97" personId="{289DDA02-A35A-4F17-8CB4-083D0A03709D}" id="{12BD5489-093F-4067-A99E-B0E8915A65BE}">
    <text>Median word frequency</text>
  </threadedComment>
  <threadedComment ref="D62" dT="2024-01-16T15:49:15.06" personId="{289DDA02-A35A-4F17-8CB4-083D0A03709D}" id="{626E6815-2CF7-4010-BE32-3D187EDDE3DC}">
    <text>Higher-frequency additions: the number of additions among variants whose word frequency was equal to or above the median</text>
  </threadedComment>
  <threadedComment ref="D63" dT="2024-01-16T15:49:42.55" personId="{289DDA02-A35A-4F17-8CB4-083D0A03709D}" id="{F03CEA11-956A-4956-8CAF-74AC685CAC57}">
    <text xml:space="preserve">Higher-frequency omissions: the number of omissions among variants whose word frequency was equal to or above the median
</text>
  </threadedComment>
  <threadedComment ref="D64" dT="2024-01-16T15:50:17.80" personId="{289DDA02-A35A-4F17-8CB4-083D0A03709D}" id="{95434278-2029-4F91-A8C5-CA6A20E18D68}">
    <text>Higher-frequency add ratio: the add ratio among variants whose word frequency was equal to or above the median</text>
  </threadedComment>
  <threadedComment ref="D65" dT="2024-01-16T15:50:43.11" personId="{289DDA02-A35A-4F17-8CB4-083D0A03709D}" id="{CE2136B6-459E-448A-A001-4A5E834FCCB7}">
    <text xml:space="preserve">Lower-frequency additions: the number of additions among variants whose word frequency was below the median
</text>
  </threadedComment>
  <threadedComment ref="D66" dT="2024-01-16T15:52:18.36" personId="{289DDA02-A35A-4F17-8CB4-083D0A03709D}" id="{1A900502-13E3-4DD4-986E-E4ECDC28F853}">
    <text>Higher-frequency omissions: the number of omissions among variants whose word frequency was below  the median</text>
  </threadedComment>
  <threadedComment ref="D67" dT="2024-01-16T15:51:50.24" personId="{289DDA02-A35A-4F17-8CB4-083D0A03709D}" id="{9DBFB6CD-DB77-4090-AA17-88020228D987}">
    <text xml:space="preserve">Lower-frequency add ratio: the add ratio among variants whose word frequency was below the median
</text>
  </threadedComment>
  <threadedComment ref="D70" dT="2024-01-16T15:56:55.41" personId="{289DDA02-A35A-4F17-8CB4-083D0A03709D}" id="{9661CF89-2269-432A-86A7-5E03516D3018}">
    <text>Articular additions: the number of additions of an article</text>
  </threadedComment>
  <threadedComment ref="D71" dT="2024-01-16T16:01:25.48" personId="{289DDA02-A35A-4F17-8CB4-083D0A03709D}" id="{6D2C1255-74C2-4323-B20F-E93CB215294F}">
    <text>Articular omissions: the number of omissions of an article</text>
  </threadedComment>
  <threadedComment ref="D72" dT="2024-01-16T16:01:49.04" personId="{289DDA02-A35A-4F17-8CB4-083D0A03709D}" id="{341460A6-4959-4BB3-83BB-A9DA6425BC07}">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4-01-15T15:51:08.85" personId="{289DDA02-A35A-4F17-8CB4-083D0A03709D}" id="{585E57F8-D893-4556-9C75-0D2C9C0862E4}">
    <text>Derived variable indicating the number of times per 1000 words the added or omitted word occurs. Thus, Freq-per-10,000 = (AO Word Frequency / Words in Corpus) * 10,000</text>
  </threadedComment>
  <threadedComment ref="S1" dT="2024-01-16T10:00:06.98" personId="{289DDA02-A35A-4F17-8CB4-083D0A03709D}" id="{7C7E38DA-8D46-433B-B92D-13A3BC210806}">
    <text>For substitutions, the word frequency of the apograph reading</text>
  </threadedComment>
  <threadedComment ref="T1" dT="2024-01-16T09:59:48.08" personId="{289DDA02-A35A-4F17-8CB4-083D0A03709D}" id="{0DA97930-BB4D-4623-928F-F2A85710DC88}">
    <text>For substitutions, the word frequency of the autograph reading</text>
  </threadedComment>
  <threadedComment ref="D17" dT="2024-01-15T11:53:38.99" personId="{289DDA02-A35A-4F17-8CB4-083D0A03709D}" id="{2F0D63BB-4E3F-40A0-BA11-86DB0DEDBAEA}">
    <text>Total word count for corpus. Figure taken from Accordance "Word Count Totals" analysis. Search for word "*" specifying [RANGE &lt;CONTENT&gt;]. E.g., for 1 Samuel - 2 Kings in Alexandrinus, search for "* [RANGE 1 Sam - 2 Kings]" in LXX Rahlfs.</text>
  </threadedComment>
  <threadedComment ref="D18" dT="2024-01-15T16:09:47.97" personId="{289DDA02-A35A-4F17-8CB4-083D0A03709D}" id="{F93E4F8E-8267-4211-9D91-D11F38C9C3CB}">
    <text>Median word frequency</text>
  </threadedComment>
  <threadedComment ref="D21" dT="2024-01-16T15:49:15.06" personId="{289DDA02-A35A-4F17-8CB4-083D0A03709D}" id="{99C903CE-913E-4051-AF4F-329DA07A7EB1}">
    <text>Higher-frequency additions: the number of additions among variants whose word frequency was equal to or above the median</text>
  </threadedComment>
  <threadedComment ref="D22" dT="2024-01-16T15:49:42.55" personId="{289DDA02-A35A-4F17-8CB4-083D0A03709D}" id="{840BE332-5378-4A98-8F61-E20EE11FC196}">
    <text xml:space="preserve">Higher-frequency omissions: the number of omissions among variants whose word frequency was equal to or above the median
</text>
  </threadedComment>
  <threadedComment ref="D23" dT="2024-01-16T15:50:17.80" personId="{289DDA02-A35A-4F17-8CB4-083D0A03709D}" id="{CEA16425-7609-4E4E-B157-7175FE05A7D3}">
    <text>Higher-frequency add ratio: the add ratio among variants whose word frequency was equal to or above the median</text>
  </threadedComment>
  <threadedComment ref="D24" dT="2024-01-16T15:50:43.11" personId="{289DDA02-A35A-4F17-8CB4-083D0A03709D}" id="{98ADD3B0-EE7D-414F-BF19-990C91F874D4}">
    <text xml:space="preserve">Lower-frequency additions: the number of additions among variants whose word frequency was below the median
</text>
  </threadedComment>
  <threadedComment ref="D25" dT="2024-01-16T15:52:18.36" personId="{289DDA02-A35A-4F17-8CB4-083D0A03709D}" id="{D1B0E0E0-691B-40D2-BAF7-1C652583946E}">
    <text>Higher-frequency omissions: the number of omissions among variants whose word frequency was below  the median</text>
  </threadedComment>
  <threadedComment ref="D26" dT="2024-01-16T15:51:50.24" personId="{289DDA02-A35A-4F17-8CB4-083D0A03709D}" id="{202A0A8B-2ADA-42DE-817B-076F8A730435}">
    <text xml:space="preserve">Lower-frequency add ratio: the add ratio among variants whose word frequency was below the median
</text>
  </threadedComment>
  <threadedComment ref="D27" dT="2024-01-22T14:15:25.14" personId="{289DDA02-A35A-4F17-8CB4-083D0A03709D}" id="{36F95F3B-8314-4074-8870-7AEF063F37C6}">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289DDA02-A35A-4F17-8CB4-083D0A03709D}" id="{5B310634-4B4A-45F5-BF3C-E9BC098647BA}">
    <text>For substitutions, the word frequency of the apograph reading</text>
  </threadedComment>
  <threadedComment ref="S1" dT="2024-01-16T09:59:48.08" personId="{289DDA02-A35A-4F17-8CB4-083D0A03709D}" id="{061B88CF-50E9-4D42-A843-A7050F9D47D7}">
    <text>For substitutions, the word frequency of the autograph reading</text>
  </threadedComment>
  <threadedComment ref="T1" dT="2024-01-16T12:04:07.25" personId="{289DDA02-A35A-4F17-8CB4-083D0A03709D}" id="{76CA3755-D4A5-4330-A1D3-CCA712ACB115}">
    <text>Frequency occurrence of autograph reading per 10,000 words of text</text>
  </threadedComment>
  <threadedComment ref="U1" dT="2024-01-16T12:04:21.22" personId="{289DDA02-A35A-4F17-8CB4-083D0A03709D}" id="{4CADE6C4-5CBA-4F75-B455-2B300B5CC30D}">
    <text>Frequency occurrence of apograph reading per 10,000 words of text</text>
  </threadedComment>
  <threadedComment ref="V1" dT="2024-01-16T12:05:32.46" personId="{289DDA02-A35A-4F17-8CB4-083D0A03709D}" id="{9231815A-AB55-4D6E-BF92-7C7E4905D3A7}">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106" dT="2024-01-15T11:53:38.99" personId="{289DDA02-A35A-4F17-8CB4-083D0A03709D}" id="{F7BBF509-CD2D-4E0D-B56F-207889CBA865}">
    <text>Total word count for corpus. Figure taken from Accordance "Word Count Totals" analysis. Search for word "*" specifying [RANGE &lt;CONTENT&gt;]. E.g., for 1 Samuel - 2 Kings in Alexandrinus, search for "* [RANGE 1 Sam - 2 Kings]" in LXX Rahlfs.</text>
  </threadedComment>
  <threadedComment ref="D109" dT="2024-01-16T16:24:54.84" personId="{289DDA02-A35A-4F17-8CB4-083D0A03709D}" id="{9EC7C110-6A1C-4C73-BEFE-E0B7EE3281D3}">
    <text>Number of variants where the scribe used a more common/frequent word in place of a less common/frequent word</text>
  </threadedComment>
  <threadedComment ref="D110" dT="2024-01-16T16:25:18.29" personId="{289DDA02-A35A-4F17-8CB4-083D0A03709D}" id="{0FD4EE7E-BB5C-409B-AA19-0663510E2EEB}">
    <text>Number of variants where the scribe used a less common/frequent word in place of a more  common/frequent word</text>
  </threadedComment>
  <threadedComment ref="D111" dT="2024-01-16T16:26:16.57" personId="{289DDA02-A35A-4F17-8CB4-083D0A03709D}" id="{C98B720C-5D11-42BA-A644-DD4B6EE0B193}">
    <text>Probability based on 2-tailed sign test: probability of obtaining a result as extreme as or more extreme than that shown above</text>
  </threadedComment>
  <threadedComment ref="D113" dT="2024-01-16T16:28:22.68" personId="{289DDA02-A35A-4F17-8CB4-083D0A03709D}" id="{3B3865BA-68B6-43F5-96F4-557BCC54E826}">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114" dT="2024-01-16T16:28:51.78" personId="{289DDA02-A35A-4F17-8CB4-083D0A03709D}" id="{89FE2022-2D61-41A8-8D5E-3C6D4C7F616A}">
    <text>Standard deviation of the word frequency difference for substitutions</text>
  </threadedComment>
  <threadedComment ref="D117" dT="2024-01-16T16:30:57.18" personId="{289DDA02-A35A-4F17-8CB4-083D0A03709D}" id="{F641BE7D-BDC7-4E1F-BAA1-40355D09ACEB}">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118" dT="2024-01-16T16:31:30.62" personId="{289DDA02-A35A-4F17-8CB4-083D0A03709D}" id="{332BA84C-B82C-4D60-BD22-826A6587DF78}">
    <text>Standard deviation of the change in word frequency, using the frequency measure of "occurrences per 10,000 words"</text>
  </threadedComment>
  <threadedComment ref="D121" dT="2024-01-22T16:14:41.99" personId="{289DDA02-A35A-4F17-8CB4-083D0A03709D}" id="{3B726237-125A-4F8B-807C-F164BEE4AACB}">
    <text>Total number of substitutions for which a word frequency difference could be calculated</text>
  </threadedComment>
  <threadedComment ref="D122" dT="2024-01-22T17:13:39.02" personId="{289DDA02-A35A-4F17-8CB4-083D0A03709D}" id="{B4FA9444-C53C-4A08-AEA7-4BDBC32D44DD}">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289DDA02-A35A-4F17-8CB4-083D0A03709D}" id="{B9BC609D-91C5-407A-9FD4-5EFCF0E13C4A}">
    <text>For substitutions, the word frequency of the apograph reading</text>
  </threadedComment>
  <threadedComment ref="T1" dT="2024-01-16T09:59:48.08" personId="{289DDA02-A35A-4F17-8CB4-083D0A03709D}" id="{27E269B1-1EFB-435C-9EED-344691B7DDB8}">
    <text>For substitutions, the word frequency of the autograph reading</text>
  </threadedComment>
  <threadedComment ref="D8" dT="2024-01-24T17:15:11.25" personId="{289DDA02-A35A-4F17-8CB4-083D0A03709D}" id="{98673F87-C481-451F-BF04-1747114C7272}">
    <text>The number of variants that harmonized to parallel phrases in the near context</text>
  </threadedComment>
  <threadedComment ref="D9" dT="2024-01-24T17:15:35.01" personId="{289DDA02-A35A-4F17-8CB4-083D0A03709D}" id="{5EFC6D99-3340-4F1E-982F-002AB5D4AED4}">
    <text>The number of variants that disharmonized from  parallel phrases in the near context</text>
  </threadedComment>
  <threadedComment ref="D10" dT="2024-01-24T17:16:15.06" personId="{289DDA02-A35A-4F17-8CB4-083D0A03709D}" id="{26D619E5-996E-48DC-877B-198F7F53DC45}">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H2" dT="2023-08-14T20:46:46.12" personId="{289DDA02-A35A-4F17-8CB4-083D0A03709D}" id="{E79331FE-E1AE-4083-A66B-350D4F9E1027}">
    <text>="Change in aspiration" (Gignac, vol. 1) Interchange of aspirated and voiceless consonant forms</text>
  </threadedComment>
  <threadedComment ref="H3" dT="2023-08-09T15:58:56.93" personId="{289DDA02-A35A-4F17-8CB4-083D0A03709D}" id="{536CACBF-F4A9-49F3-B07F-12A68BCE4751}">
    <text>= "Simplification or Gemination" (Gignac, vol. 1). The production or removal of duplicate consonants (e.g., σς &lt;-&gt; ς)</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4-01-30T16:42:58.97" personId="{289DDA02-A35A-4F17-8CB4-083D0A03709D}" id="{9A989A6A-1368-4859-92D3-6AE9FC27C1C8}">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289DDA02-A35A-4F17-8CB4-083D0A03709D}" id="{74F350D6-45E3-4500-B697-5A71AE1C63B9}">
    <text>The number of total deviations from the exemplar. Includes itacisms, orthographic changes, nonsense readings etc.</text>
  </threadedComment>
  <threadedComment ref="A3" dT="2024-01-30T16:44:34.54" personId="{289DDA02-A35A-4F17-8CB4-083D0A03709D}" id="{E760EC32-DBBD-4D68-B375-A274C9E552EF}">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289DDA02-A35A-4F17-8CB4-083D0A03709D}" id="{1FC84653-7074-445D-8A9F-59B716E0862D}">
    <text>The rate of error generation per 1000 words in the apograph. Figure includes itacisms, orthographic changes, nonsense readings etc.</text>
  </threadedComment>
  <threadedComment ref="A6" dT="2024-01-31T15:18:45.83" personId="{289DDA02-A35A-4F17-8CB4-083D0A03709D}" id="{9B09073D-7D4A-4890-A15C-B121F060DCD2}">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498E-60FE-47CE-98CB-DF81F2BD960C}">
  <sheetPr filterMode="1"/>
  <dimension ref="A1:AF1065"/>
  <sheetViews>
    <sheetView tabSelected="1" workbookViewId="0">
      <pane xSplit="5" ySplit="1" topLeftCell="F3" activePane="bottomRight" state="frozen"/>
      <selection pane="topRight" activeCell="F1" sqref="F1"/>
      <selection pane="bottomLeft" activeCell="A2" sqref="A2"/>
      <selection pane="bottomRight" activeCell="F3" sqref="F3"/>
    </sheetView>
  </sheetViews>
  <sheetFormatPr defaultRowHeight="14.5"/>
  <cols>
    <col min="1" max="1" width="10.81640625" customWidth="1"/>
    <col min="2" max="3" width="8.90625" hidden="1" customWidth="1"/>
    <col min="4" max="4" width="20.81640625" style="13" customWidth="1"/>
    <col min="5" max="5" width="20.81640625" customWidth="1"/>
    <col min="6" max="8" width="12.81640625" customWidth="1"/>
    <col min="9" max="9" width="9.54296875" bestFit="1" customWidth="1"/>
    <col min="10" max="10" width="16.90625" style="10" bestFit="1" customWidth="1"/>
    <col min="11" max="16" width="8.90625" style="10"/>
    <col min="17" max="17" width="8.90625" style="11"/>
    <col min="18" max="18" width="8.90625" style="10"/>
    <col min="19" max="19" width="8.81640625" style="10" customWidth="1"/>
    <col min="20" max="22" width="8.90625" style="10"/>
    <col min="23" max="27" width="5.81640625" style="10" customWidth="1"/>
    <col min="28" max="32" width="8.90625" style="10"/>
  </cols>
  <sheetData>
    <row r="1" spans="1:32" s="1" customFormat="1">
      <c r="A1" s="1" t="s">
        <v>0</v>
      </c>
      <c r="B1" s="1" t="s">
        <v>1</v>
      </c>
      <c r="C1" s="1" t="s">
        <v>2</v>
      </c>
      <c r="D1" s="12" t="s">
        <v>5</v>
      </c>
      <c r="E1" s="1" t="s">
        <v>6</v>
      </c>
      <c r="F1" s="1" t="s">
        <v>2668</v>
      </c>
      <c r="G1" s="1" t="s">
        <v>2669</v>
      </c>
      <c r="H1" s="1" t="s">
        <v>2670</v>
      </c>
      <c r="I1" s="1" t="s">
        <v>7</v>
      </c>
      <c r="J1" s="1" t="s">
        <v>3</v>
      </c>
      <c r="K1" s="1" t="s">
        <v>2671</v>
      </c>
      <c r="L1" s="1" t="s">
        <v>2672</v>
      </c>
      <c r="M1" s="1" t="s">
        <v>2673</v>
      </c>
      <c r="N1" s="1" t="s">
        <v>2674</v>
      </c>
      <c r="O1" s="1" t="s">
        <v>2634</v>
      </c>
      <c r="P1" s="1" t="s">
        <v>2675</v>
      </c>
      <c r="Q1" s="9" t="s">
        <v>2676</v>
      </c>
      <c r="R1" s="1" t="s">
        <v>2635</v>
      </c>
      <c r="S1" s="1" t="s">
        <v>2677</v>
      </c>
      <c r="T1" s="1" t="s">
        <v>2678</v>
      </c>
      <c r="U1" s="1" t="s">
        <v>2832</v>
      </c>
      <c r="V1" s="1" t="s">
        <v>2833</v>
      </c>
      <c r="W1" s="1" t="s">
        <v>2680</v>
      </c>
      <c r="X1" s="1" t="s">
        <v>2681</v>
      </c>
      <c r="Y1" s="1" t="s">
        <v>2682</v>
      </c>
      <c r="Z1" s="1" t="s">
        <v>2636</v>
      </c>
      <c r="AA1" s="1" t="s">
        <v>2637</v>
      </c>
      <c r="AB1" s="1" t="s">
        <v>2638</v>
      </c>
      <c r="AC1" s="1" t="s">
        <v>2679</v>
      </c>
      <c r="AD1" s="1" t="s">
        <v>2683</v>
      </c>
      <c r="AE1" s="1" t="s">
        <v>2639</v>
      </c>
      <c r="AF1" s="1" t="s">
        <v>2684</v>
      </c>
    </row>
    <row r="2" spans="1:32" hidden="1">
      <c r="A2" s="2" t="s">
        <v>37</v>
      </c>
      <c r="B2" s="2"/>
      <c r="C2" s="2"/>
      <c r="D2" s="13" t="s">
        <v>66</v>
      </c>
      <c r="E2" s="2" t="s">
        <v>38</v>
      </c>
      <c r="H2" t="s">
        <v>19</v>
      </c>
      <c r="J2" s="10" t="s">
        <v>2686</v>
      </c>
      <c r="T2" s="10" t="s">
        <v>2687</v>
      </c>
      <c r="U2" s="10" t="str">
        <f t="shared" ref="U2" ca="1" si="0">IF(ISNUMBER(T2),VALUE(MID(_xlfn.FORMULATEXT(T2),SEARCH("-",_xlfn.FORMULATEXT(T2))+1,LEN(_xlfn.FORMULATEXT(T2))-SEARCH("-",_xlfn.FORMULATEXT(T2)))), "")</f>
        <v/>
      </c>
      <c r="V2" s="10" t="str">
        <f t="shared" ref="V2" ca="1" si="1">IF(ISNUMBER(T2), VALUE(MID(_xlfn.FORMULATEXT(T2), 2, SEARCH("-", _xlfn.FORMULATEXT(T2)) - 2)), "")</f>
        <v/>
      </c>
      <c r="AB2" s="10" t="s">
        <v>2692</v>
      </c>
      <c r="AD2" s="10" t="s">
        <v>19</v>
      </c>
    </row>
    <row r="3" spans="1:32">
      <c r="A3" s="2" t="s">
        <v>37</v>
      </c>
      <c r="B3" s="2"/>
      <c r="C3" s="2"/>
      <c r="D3" s="3" t="s">
        <v>1219</v>
      </c>
      <c r="E3" s="2" t="s">
        <v>1220</v>
      </c>
      <c r="F3" t="s">
        <v>31</v>
      </c>
      <c r="H3" t="s">
        <v>23</v>
      </c>
      <c r="I3" t="s">
        <v>1221</v>
      </c>
      <c r="J3" s="10" t="s">
        <v>2686</v>
      </c>
      <c r="T3" s="10">
        <f>99-43</f>
        <v>56</v>
      </c>
      <c r="U3" s="10">
        <f t="shared" ref="U3:U65" ca="1" si="2">IF(ISNUMBER(T3),VALUE(MID(_xlfn.FORMULATEXT(T3),SEARCH("-",_xlfn.FORMULATEXT(T3))+1,LEN(_xlfn.FORMULATEXT(T3))-SEARCH("-",_xlfn.FORMULATEXT(T3)))), "")</f>
        <v>43</v>
      </c>
      <c r="V3" s="10">
        <f t="shared" ref="V3:V65" ca="1" si="3">IF(ISNUMBER(T3), VALUE(MID(_xlfn.FORMULATEXT(T3), 2, SEARCH("-", _xlfn.FORMULATEXT(T3)) - 2)), "")</f>
        <v>99</v>
      </c>
      <c r="AE3" s="10" t="s">
        <v>2651</v>
      </c>
    </row>
    <row r="4" spans="1:32" hidden="1">
      <c r="A4" s="2" t="s">
        <v>39</v>
      </c>
      <c r="B4" s="2"/>
      <c r="C4" s="2"/>
      <c r="D4" s="2" t="s">
        <v>1222</v>
      </c>
      <c r="E4" s="2" t="s">
        <v>1223</v>
      </c>
      <c r="J4" s="10" t="s">
        <v>2688</v>
      </c>
      <c r="U4" s="10" t="str">
        <f t="shared" ca="1" si="2"/>
        <v/>
      </c>
      <c r="V4" s="10" t="str">
        <f t="shared" ca="1" si="3"/>
        <v/>
      </c>
    </row>
    <row r="5" spans="1:32" hidden="1">
      <c r="A5" s="2" t="s">
        <v>40</v>
      </c>
      <c r="B5" s="2"/>
      <c r="C5" s="2"/>
      <c r="D5" s="2" t="s">
        <v>42</v>
      </c>
      <c r="E5" s="2" t="s">
        <v>41</v>
      </c>
      <c r="J5" s="10" t="s">
        <v>2686</v>
      </c>
      <c r="T5" s="10" t="s">
        <v>2687</v>
      </c>
      <c r="U5" s="10" t="str">
        <f t="shared" ca="1" si="2"/>
        <v/>
      </c>
      <c r="V5" s="10" t="str">
        <f t="shared" ca="1" si="3"/>
        <v/>
      </c>
      <c r="AE5" s="10" t="s">
        <v>2654</v>
      </c>
    </row>
    <row r="6" spans="1:32">
      <c r="A6" s="2" t="s">
        <v>43</v>
      </c>
      <c r="B6" s="2"/>
      <c r="C6" s="2"/>
      <c r="D6" s="2" t="s">
        <v>1224</v>
      </c>
      <c r="E6" s="2" t="s">
        <v>1224</v>
      </c>
      <c r="G6" t="s">
        <v>20</v>
      </c>
      <c r="I6" t="s">
        <v>1225</v>
      </c>
      <c r="U6" s="10" t="str">
        <f t="shared" ca="1" si="2"/>
        <v/>
      </c>
      <c r="V6" s="10" t="str">
        <f t="shared" ca="1" si="3"/>
        <v/>
      </c>
    </row>
    <row r="7" spans="1:32" hidden="1">
      <c r="A7" s="2" t="s">
        <v>44</v>
      </c>
      <c r="B7" s="2"/>
      <c r="C7" s="2"/>
      <c r="D7" s="2" t="s">
        <v>66</v>
      </c>
      <c r="E7" s="2" t="s">
        <v>38</v>
      </c>
      <c r="H7" t="s">
        <v>19</v>
      </c>
      <c r="J7" s="10" t="s">
        <v>2686</v>
      </c>
      <c r="T7" s="10" t="s">
        <v>2687</v>
      </c>
      <c r="U7" s="10" t="str">
        <f t="shared" ca="1" si="2"/>
        <v/>
      </c>
      <c r="V7" s="10" t="str">
        <f t="shared" ca="1" si="3"/>
        <v/>
      </c>
      <c r="AB7" s="10" t="s">
        <v>2692</v>
      </c>
      <c r="AD7" s="10" t="s">
        <v>19</v>
      </c>
    </row>
    <row r="8" spans="1:32" hidden="1">
      <c r="A8" s="2" t="s">
        <v>45</v>
      </c>
      <c r="B8" s="2"/>
      <c r="C8" s="2"/>
      <c r="D8" s="3" t="s">
        <v>1227</v>
      </c>
      <c r="E8" s="2" t="s">
        <v>1226</v>
      </c>
      <c r="F8" t="s">
        <v>15</v>
      </c>
      <c r="I8" s="4"/>
      <c r="U8" s="10" t="str">
        <f t="shared" ca="1" si="2"/>
        <v/>
      </c>
      <c r="V8" s="10" t="str">
        <f t="shared" ca="1" si="3"/>
        <v/>
      </c>
    </row>
    <row r="9" spans="1:32" hidden="1">
      <c r="A9" s="2" t="s">
        <v>46</v>
      </c>
      <c r="B9" s="2"/>
      <c r="C9" s="2"/>
      <c r="D9" s="2" t="s">
        <v>2779</v>
      </c>
      <c r="E9" s="2" t="s">
        <v>2780</v>
      </c>
      <c r="H9" t="s">
        <v>19</v>
      </c>
      <c r="J9" s="10" t="s">
        <v>25</v>
      </c>
      <c r="L9" s="10">
        <v>1</v>
      </c>
      <c r="M9" s="10">
        <v>2</v>
      </c>
      <c r="N9" s="10" t="s">
        <v>2646</v>
      </c>
      <c r="O9" s="10" t="s">
        <v>2687</v>
      </c>
      <c r="S9" s="10">
        <v>2475</v>
      </c>
      <c r="U9" s="10" t="str">
        <f t="shared" ca="1" si="2"/>
        <v/>
      </c>
      <c r="V9" s="10" t="str">
        <f t="shared" ca="1" si="3"/>
        <v/>
      </c>
    </row>
    <row r="10" spans="1:32" hidden="1">
      <c r="A10" s="2" t="s">
        <v>47</v>
      </c>
      <c r="B10" s="2"/>
      <c r="C10" s="2"/>
      <c r="D10" s="13" t="s">
        <v>1228</v>
      </c>
      <c r="E10" t="s">
        <v>1229</v>
      </c>
      <c r="H10" t="s">
        <v>19</v>
      </c>
      <c r="J10" s="10" t="s">
        <v>2686</v>
      </c>
      <c r="T10" s="10">
        <f>210-613</f>
        <v>-403</v>
      </c>
      <c r="U10" s="10">
        <f t="shared" ca="1" si="2"/>
        <v>613</v>
      </c>
      <c r="V10" s="10">
        <f t="shared" ca="1" si="3"/>
        <v>210</v>
      </c>
    </row>
    <row r="11" spans="1:32" ht="29">
      <c r="A11" s="2" t="s">
        <v>48</v>
      </c>
      <c r="B11" s="2"/>
      <c r="C11" s="2"/>
      <c r="D11" s="3" t="s">
        <v>1231</v>
      </c>
      <c r="E11" s="2" t="s">
        <v>1230</v>
      </c>
      <c r="F11" t="s">
        <v>15</v>
      </c>
      <c r="G11" t="s">
        <v>20</v>
      </c>
      <c r="U11" s="10" t="str">
        <f t="shared" ca="1" si="2"/>
        <v/>
      </c>
      <c r="V11" s="10" t="str">
        <f t="shared" ca="1" si="3"/>
        <v/>
      </c>
    </row>
    <row r="12" spans="1:32" hidden="1">
      <c r="A12" s="2" t="s">
        <v>50</v>
      </c>
      <c r="B12" s="2"/>
      <c r="C12" s="2"/>
      <c r="D12" s="2" t="s">
        <v>1233</v>
      </c>
      <c r="E12" s="2" t="s">
        <v>1232</v>
      </c>
      <c r="J12" s="10" t="s">
        <v>2688</v>
      </c>
      <c r="U12" s="10" t="str">
        <f t="shared" ca="1" si="2"/>
        <v/>
      </c>
      <c r="V12" s="10" t="str">
        <f t="shared" ca="1" si="3"/>
        <v/>
      </c>
    </row>
    <row r="13" spans="1:32" hidden="1">
      <c r="A13" s="2" t="s">
        <v>51</v>
      </c>
      <c r="B13" s="2"/>
      <c r="C13" s="2"/>
      <c r="D13" s="2" t="s">
        <v>1235</v>
      </c>
      <c r="E13" s="2" t="s">
        <v>1234</v>
      </c>
      <c r="G13" t="s">
        <v>19</v>
      </c>
      <c r="J13" s="10" t="s">
        <v>2686</v>
      </c>
      <c r="T13" s="10" t="s">
        <v>2696</v>
      </c>
      <c r="U13" s="10" t="str">
        <f t="shared" ca="1" si="2"/>
        <v/>
      </c>
      <c r="V13" s="10" t="str">
        <f t="shared" ca="1" si="3"/>
        <v/>
      </c>
      <c r="AE13" s="10" t="s">
        <v>2654</v>
      </c>
    </row>
    <row r="14" spans="1:32" ht="29" hidden="1">
      <c r="A14" s="2" t="s">
        <v>51</v>
      </c>
      <c r="B14" s="2"/>
      <c r="C14" s="2"/>
      <c r="D14" s="2" t="s">
        <v>1236</v>
      </c>
      <c r="E14" s="3" t="s">
        <v>1237</v>
      </c>
      <c r="F14" t="s">
        <v>16</v>
      </c>
      <c r="U14" s="10" t="str">
        <f t="shared" ca="1" si="2"/>
        <v/>
      </c>
      <c r="V14" s="10" t="str">
        <f t="shared" ca="1" si="3"/>
        <v/>
      </c>
    </row>
    <row r="15" spans="1:32" hidden="1">
      <c r="A15" s="2" t="s">
        <v>52</v>
      </c>
      <c r="B15" s="2"/>
      <c r="C15" s="2"/>
      <c r="D15" s="2" t="s">
        <v>1238</v>
      </c>
      <c r="E15" s="2" t="s">
        <v>1239</v>
      </c>
      <c r="F15" t="s">
        <v>17</v>
      </c>
      <c r="H15" t="s">
        <v>19</v>
      </c>
      <c r="U15" s="10" t="str">
        <f t="shared" ca="1" si="2"/>
        <v/>
      </c>
      <c r="V15" s="10" t="str">
        <f t="shared" ca="1" si="3"/>
        <v/>
      </c>
    </row>
    <row r="16" spans="1:32" hidden="1">
      <c r="A16" s="2" t="s">
        <v>53</v>
      </c>
      <c r="B16" s="2"/>
      <c r="C16" s="2"/>
      <c r="D16" s="2" t="s">
        <v>55</v>
      </c>
      <c r="E16" s="2" t="s">
        <v>54</v>
      </c>
      <c r="F16" t="s">
        <v>11</v>
      </c>
      <c r="U16" s="10" t="str">
        <f t="shared" ca="1" si="2"/>
        <v/>
      </c>
      <c r="V16" s="10" t="str">
        <f t="shared" ca="1" si="3"/>
        <v/>
      </c>
    </row>
    <row r="17" spans="1:31" hidden="1">
      <c r="A17" s="2" t="s">
        <v>56</v>
      </c>
      <c r="B17" s="2"/>
      <c r="C17" s="2"/>
      <c r="D17" s="2" t="s">
        <v>57</v>
      </c>
      <c r="E17" s="2" t="s">
        <v>1240</v>
      </c>
      <c r="J17" s="10" t="s">
        <v>2688</v>
      </c>
      <c r="U17" s="10" t="str">
        <f t="shared" ca="1" si="2"/>
        <v/>
      </c>
      <c r="V17" s="10" t="str">
        <f t="shared" ca="1" si="3"/>
        <v/>
      </c>
      <c r="AC17" s="10" t="s">
        <v>2697</v>
      </c>
      <c r="AD17" s="10" t="s">
        <v>19</v>
      </c>
    </row>
    <row r="18" spans="1:31" hidden="1">
      <c r="A18" s="2" t="s">
        <v>58</v>
      </c>
      <c r="B18" s="2"/>
      <c r="C18" s="2"/>
      <c r="D18" s="2" t="s">
        <v>1242</v>
      </c>
      <c r="E18" s="2" t="s">
        <v>1241</v>
      </c>
      <c r="F18" t="s">
        <v>12</v>
      </c>
      <c r="G18" t="s">
        <v>19</v>
      </c>
      <c r="J18" s="10" t="s">
        <v>2689</v>
      </c>
      <c r="T18" s="10">
        <f>1-0</f>
        <v>1</v>
      </c>
      <c r="U18" s="10">
        <f t="shared" ca="1" si="2"/>
        <v>0</v>
      </c>
      <c r="V18" s="10">
        <f t="shared" ca="1" si="3"/>
        <v>1</v>
      </c>
    </row>
    <row r="19" spans="1:31" hidden="1">
      <c r="A19" s="2" t="s">
        <v>58</v>
      </c>
      <c r="B19" s="2"/>
      <c r="C19" s="2"/>
      <c r="D19" s="2" t="s">
        <v>1243</v>
      </c>
      <c r="E19" s="2" t="s">
        <v>1244</v>
      </c>
      <c r="J19" s="10" t="s">
        <v>2688</v>
      </c>
      <c r="U19" s="10" t="str">
        <f t="shared" ca="1" si="2"/>
        <v/>
      </c>
      <c r="V19" s="10" t="str">
        <f t="shared" ca="1" si="3"/>
        <v/>
      </c>
    </row>
    <row r="20" spans="1:31" hidden="1">
      <c r="A20" s="2" t="s">
        <v>59</v>
      </c>
      <c r="B20" s="2"/>
      <c r="C20" s="2"/>
      <c r="D20" s="3" t="s">
        <v>1245</v>
      </c>
      <c r="E20" s="2" t="s">
        <v>1246</v>
      </c>
      <c r="F20" t="s">
        <v>15</v>
      </c>
      <c r="U20" s="10" t="str">
        <f t="shared" ca="1" si="2"/>
        <v/>
      </c>
      <c r="V20" s="10" t="str">
        <f t="shared" ca="1" si="3"/>
        <v/>
      </c>
    </row>
    <row r="21" spans="1:31">
      <c r="A21" s="2" t="s">
        <v>59</v>
      </c>
      <c r="B21" s="2"/>
      <c r="C21" s="2"/>
      <c r="D21" s="3" t="s">
        <v>61</v>
      </c>
      <c r="E21" s="2" t="s">
        <v>60</v>
      </c>
      <c r="F21" t="s">
        <v>15</v>
      </c>
      <c r="I21" t="s">
        <v>1247</v>
      </c>
      <c r="U21" s="10" t="str">
        <f t="shared" ca="1" si="2"/>
        <v/>
      </c>
      <c r="V21" s="10" t="str">
        <f t="shared" ca="1" si="3"/>
        <v/>
      </c>
    </row>
    <row r="22" spans="1:31" hidden="1">
      <c r="A22" s="2" t="s">
        <v>62</v>
      </c>
      <c r="B22" s="2"/>
      <c r="C22" s="2"/>
      <c r="D22" s="2" t="s">
        <v>64</v>
      </c>
      <c r="E22" s="2" t="s">
        <v>63</v>
      </c>
      <c r="J22" s="10" t="s">
        <v>2686</v>
      </c>
      <c r="T22" s="10" t="s">
        <v>2696</v>
      </c>
      <c r="U22" s="10" t="str">
        <f t="shared" ca="1" si="2"/>
        <v/>
      </c>
      <c r="V22" s="10" t="str">
        <f t="shared" ca="1" si="3"/>
        <v/>
      </c>
      <c r="AC22" s="10" t="s">
        <v>2698</v>
      </c>
      <c r="AD22" s="10" t="s">
        <v>19</v>
      </c>
      <c r="AE22" s="10" t="s">
        <v>2645</v>
      </c>
    </row>
    <row r="23" spans="1:31" hidden="1">
      <c r="A23" s="2" t="s">
        <v>65</v>
      </c>
      <c r="B23" s="2"/>
      <c r="C23" s="2"/>
      <c r="D23" s="2" t="s">
        <v>66</v>
      </c>
      <c r="E23" s="2" t="s">
        <v>38</v>
      </c>
      <c r="J23" s="10" t="s">
        <v>2686</v>
      </c>
      <c r="T23" s="10" t="s">
        <v>2687</v>
      </c>
      <c r="U23" s="10" t="str">
        <f t="shared" ca="1" si="2"/>
        <v/>
      </c>
      <c r="V23" s="10" t="str">
        <f t="shared" ca="1" si="3"/>
        <v/>
      </c>
      <c r="AB23" s="10" t="s">
        <v>2692</v>
      </c>
      <c r="AD23" s="10" t="s">
        <v>19</v>
      </c>
    </row>
    <row r="24" spans="1:31" ht="29" hidden="1">
      <c r="A24" s="2" t="s">
        <v>67</v>
      </c>
      <c r="B24" s="2"/>
      <c r="C24" s="2"/>
      <c r="D24" s="2" t="s">
        <v>2932</v>
      </c>
      <c r="E24" s="2" t="s">
        <v>2933</v>
      </c>
      <c r="H24" t="s">
        <v>19</v>
      </c>
      <c r="J24" s="10" t="s">
        <v>2689</v>
      </c>
      <c r="T24" s="10">
        <f>0-123</f>
        <v>-123</v>
      </c>
      <c r="U24" s="10">
        <v>123</v>
      </c>
      <c r="V24" s="10">
        <v>0</v>
      </c>
      <c r="AE24" s="10" t="s">
        <v>2651</v>
      </c>
    </row>
    <row r="25" spans="1:31" ht="29" hidden="1">
      <c r="A25" s="2" t="s">
        <v>67</v>
      </c>
      <c r="B25" s="2"/>
      <c r="C25" s="2"/>
      <c r="D25" s="2" t="s">
        <v>1249</v>
      </c>
      <c r="E25" s="2" t="s">
        <v>1248</v>
      </c>
      <c r="H25" t="s">
        <v>19</v>
      </c>
      <c r="J25" s="10" t="s">
        <v>2688</v>
      </c>
      <c r="U25" s="10" t="str">
        <f t="shared" ca="1" si="2"/>
        <v/>
      </c>
      <c r="V25" s="10" t="str">
        <f t="shared" ca="1" si="3"/>
        <v/>
      </c>
    </row>
    <row r="26" spans="1:31" hidden="1">
      <c r="A26" s="2" t="s">
        <v>67</v>
      </c>
      <c r="B26" s="2"/>
      <c r="C26" s="2"/>
      <c r="D26" s="3" t="s">
        <v>69</v>
      </c>
      <c r="E26" s="2" t="s">
        <v>68</v>
      </c>
      <c r="F26" t="s">
        <v>15</v>
      </c>
      <c r="U26" s="10" t="str">
        <f t="shared" ca="1" si="2"/>
        <v/>
      </c>
      <c r="V26" s="10" t="str">
        <f t="shared" ca="1" si="3"/>
        <v/>
      </c>
    </row>
    <row r="27" spans="1:31">
      <c r="A27" s="2" t="s">
        <v>67</v>
      </c>
      <c r="B27" s="2"/>
      <c r="C27" s="2"/>
      <c r="D27" s="2" t="s">
        <v>1250</v>
      </c>
      <c r="E27" s="2" t="s">
        <v>1250</v>
      </c>
      <c r="F27" t="s">
        <v>35</v>
      </c>
      <c r="I27" s="4" t="s">
        <v>2953</v>
      </c>
      <c r="U27" s="10" t="str">
        <f t="shared" ca="1" si="2"/>
        <v/>
      </c>
      <c r="V27" s="10" t="str">
        <f t="shared" ca="1" si="3"/>
        <v/>
      </c>
    </row>
    <row r="28" spans="1:31" hidden="1">
      <c r="A28" s="2" t="s">
        <v>67</v>
      </c>
      <c r="B28" s="2"/>
      <c r="C28" s="2"/>
      <c r="D28" s="2" t="s">
        <v>71</v>
      </c>
      <c r="E28" s="2" t="s">
        <v>70</v>
      </c>
      <c r="J28" s="10" t="s">
        <v>2688</v>
      </c>
      <c r="U28" s="10" t="str">
        <f t="shared" ca="1" si="2"/>
        <v/>
      </c>
      <c r="V28" s="10" t="str">
        <f t="shared" ca="1" si="3"/>
        <v/>
      </c>
    </row>
    <row r="29" spans="1:31" hidden="1">
      <c r="A29" s="2" t="s">
        <v>72</v>
      </c>
      <c r="B29" s="2"/>
      <c r="C29" s="2"/>
      <c r="D29" s="2" t="s">
        <v>1251</v>
      </c>
      <c r="E29" s="2" t="s">
        <v>1252</v>
      </c>
      <c r="H29" t="s">
        <v>19</v>
      </c>
      <c r="J29" s="10" t="s">
        <v>25</v>
      </c>
      <c r="L29" s="10">
        <v>1</v>
      </c>
      <c r="M29" s="10">
        <v>1</v>
      </c>
      <c r="N29" s="10" t="s">
        <v>2646</v>
      </c>
      <c r="O29" s="10" t="s">
        <v>2687</v>
      </c>
      <c r="S29" s="10">
        <v>2475</v>
      </c>
      <c r="U29" s="10" t="str">
        <f t="shared" ca="1" si="2"/>
        <v/>
      </c>
      <c r="V29" s="10" t="str">
        <f t="shared" ca="1" si="3"/>
        <v/>
      </c>
    </row>
    <row r="30" spans="1:31" ht="29">
      <c r="A30" s="2" t="s">
        <v>73</v>
      </c>
      <c r="B30" s="2"/>
      <c r="C30" s="2"/>
      <c r="D30" s="2" t="s">
        <v>1254</v>
      </c>
      <c r="E30" s="2" t="s">
        <v>1256</v>
      </c>
      <c r="H30" t="s">
        <v>23</v>
      </c>
      <c r="I30" t="s">
        <v>1253</v>
      </c>
      <c r="J30" s="10" t="s">
        <v>2686</v>
      </c>
      <c r="T30" s="10" t="s">
        <v>2696</v>
      </c>
      <c r="U30" s="10" t="str">
        <f t="shared" ca="1" si="2"/>
        <v/>
      </c>
      <c r="V30" s="10" t="str">
        <f t="shared" ca="1" si="3"/>
        <v/>
      </c>
      <c r="AB30" s="10" t="s">
        <v>2692</v>
      </c>
      <c r="AD30" s="10" t="s">
        <v>19</v>
      </c>
    </row>
    <row r="31" spans="1:31" ht="29" hidden="1">
      <c r="A31" s="2" t="s">
        <v>73</v>
      </c>
      <c r="B31" s="2"/>
      <c r="C31" s="2"/>
      <c r="D31" s="3" t="s">
        <v>1255</v>
      </c>
      <c r="E31" s="2" t="s">
        <v>1257</v>
      </c>
      <c r="F31" t="s">
        <v>15</v>
      </c>
      <c r="U31" s="10" t="str">
        <f t="shared" ca="1" si="2"/>
        <v/>
      </c>
      <c r="V31" s="10" t="str">
        <f t="shared" ca="1" si="3"/>
        <v/>
      </c>
    </row>
    <row r="32" spans="1:31" ht="29" hidden="1">
      <c r="A32" s="2" t="s">
        <v>73</v>
      </c>
      <c r="B32" s="2"/>
      <c r="C32" s="2"/>
      <c r="D32" s="2" t="s">
        <v>1258</v>
      </c>
      <c r="E32" s="2" t="s">
        <v>1259</v>
      </c>
      <c r="J32" s="10" t="s">
        <v>2686</v>
      </c>
      <c r="T32" s="10" t="s">
        <v>2696</v>
      </c>
      <c r="U32" s="10" t="str">
        <f t="shared" ca="1" si="2"/>
        <v/>
      </c>
      <c r="V32" s="10" t="str">
        <f t="shared" ca="1" si="3"/>
        <v/>
      </c>
      <c r="AB32" s="10" t="s">
        <v>2692</v>
      </c>
      <c r="AC32" s="10" t="s">
        <v>2699</v>
      </c>
      <c r="AD32" s="10" t="s">
        <v>19</v>
      </c>
    </row>
    <row r="33" spans="1:31" hidden="1">
      <c r="A33" s="2" t="s">
        <v>73</v>
      </c>
      <c r="B33" s="2"/>
      <c r="C33" s="2"/>
      <c r="D33" s="2" t="s">
        <v>75</v>
      </c>
      <c r="E33" s="2" t="s">
        <v>74</v>
      </c>
      <c r="F33" t="s">
        <v>11</v>
      </c>
      <c r="U33" s="10" t="str">
        <f t="shared" ca="1" si="2"/>
        <v/>
      </c>
      <c r="V33" s="10" t="str">
        <f t="shared" ca="1" si="3"/>
        <v/>
      </c>
    </row>
    <row r="34" spans="1:31">
      <c r="A34" s="2" t="s">
        <v>73</v>
      </c>
      <c r="B34" s="2"/>
      <c r="C34" s="2"/>
      <c r="D34" s="2" t="s">
        <v>77</v>
      </c>
      <c r="E34" s="2" t="s">
        <v>76</v>
      </c>
      <c r="H34" t="s">
        <v>19</v>
      </c>
      <c r="I34" t="s">
        <v>2954</v>
      </c>
      <c r="J34" s="10" t="s">
        <v>2686</v>
      </c>
      <c r="T34" s="10">
        <f>0-8</f>
        <v>-8</v>
      </c>
      <c r="U34" s="10">
        <f t="shared" ca="1" si="2"/>
        <v>8</v>
      </c>
      <c r="V34" s="10">
        <f t="shared" ca="1" si="3"/>
        <v>0</v>
      </c>
      <c r="AE34" s="10" t="s">
        <v>2645</v>
      </c>
    </row>
    <row r="35" spans="1:31" hidden="1">
      <c r="A35" s="2" t="s">
        <v>78</v>
      </c>
      <c r="B35" s="2"/>
      <c r="C35" s="2"/>
      <c r="D35" s="2" t="s">
        <v>1260</v>
      </c>
      <c r="E35" s="2" t="s">
        <v>1261</v>
      </c>
      <c r="F35" t="s">
        <v>28</v>
      </c>
      <c r="H35" t="s">
        <v>19</v>
      </c>
      <c r="J35" s="10" t="s">
        <v>2688</v>
      </c>
      <c r="U35" s="10" t="str">
        <f t="shared" ca="1" si="2"/>
        <v/>
      </c>
      <c r="V35" s="10" t="str">
        <f t="shared" ca="1" si="3"/>
        <v/>
      </c>
      <c r="AC35" s="10" t="s">
        <v>2697</v>
      </c>
      <c r="AD35" s="10" t="s">
        <v>19</v>
      </c>
    </row>
    <row r="36" spans="1:31" hidden="1">
      <c r="A36" s="2" t="s">
        <v>80</v>
      </c>
      <c r="B36" s="2"/>
      <c r="C36" s="2"/>
      <c r="D36" s="2" t="s">
        <v>1262</v>
      </c>
      <c r="E36" s="2" t="s">
        <v>1263</v>
      </c>
      <c r="J36" s="10" t="s">
        <v>2688</v>
      </c>
      <c r="U36" s="10" t="str">
        <f t="shared" ca="1" si="2"/>
        <v/>
      </c>
      <c r="V36" s="10" t="str">
        <f t="shared" ca="1" si="3"/>
        <v/>
      </c>
    </row>
    <row r="37" spans="1:31">
      <c r="A37" s="2" t="s">
        <v>81</v>
      </c>
      <c r="B37" s="2"/>
      <c r="C37" s="2"/>
      <c r="D37" s="2" t="s">
        <v>1264</v>
      </c>
      <c r="E37" s="2" t="s">
        <v>1265</v>
      </c>
      <c r="H37" t="s">
        <v>19</v>
      </c>
      <c r="I37" t="s">
        <v>2700</v>
      </c>
      <c r="J37" s="10" t="s">
        <v>24</v>
      </c>
      <c r="L37" s="10">
        <v>1</v>
      </c>
      <c r="M37" s="10">
        <v>1</v>
      </c>
      <c r="O37" s="10" t="s">
        <v>2687</v>
      </c>
      <c r="S37" s="10" t="s">
        <v>2687</v>
      </c>
      <c r="U37" s="10" t="str">
        <f t="shared" ca="1" si="2"/>
        <v/>
      </c>
      <c r="V37" s="10" t="str">
        <f t="shared" ca="1" si="3"/>
        <v/>
      </c>
      <c r="AE37" s="10" t="s">
        <v>2645</v>
      </c>
    </row>
    <row r="38" spans="1:31" hidden="1">
      <c r="A38" s="2" t="s">
        <v>81</v>
      </c>
      <c r="B38" s="2"/>
      <c r="C38" s="2"/>
      <c r="D38" s="2" t="s">
        <v>1266</v>
      </c>
      <c r="E38" s="2" t="s">
        <v>1267</v>
      </c>
      <c r="H38" t="s">
        <v>19</v>
      </c>
      <c r="J38" s="10" t="s">
        <v>24</v>
      </c>
      <c r="L38" s="10">
        <v>1</v>
      </c>
      <c r="M38" s="10">
        <v>2</v>
      </c>
      <c r="N38" s="10" t="s">
        <v>2693</v>
      </c>
      <c r="O38" s="10" t="s">
        <v>2687</v>
      </c>
      <c r="S38" s="10">
        <v>295</v>
      </c>
      <c r="U38" s="10" t="str">
        <f t="shared" ca="1" si="2"/>
        <v/>
      </c>
      <c r="V38" s="10" t="str">
        <f t="shared" ca="1" si="3"/>
        <v/>
      </c>
      <c r="AE38" s="10" t="s">
        <v>2651</v>
      </c>
    </row>
    <row r="39" spans="1:31" hidden="1">
      <c r="A39" s="2" t="s">
        <v>82</v>
      </c>
      <c r="B39" s="2"/>
      <c r="C39" s="2"/>
      <c r="D39" s="2" t="s">
        <v>1268</v>
      </c>
      <c r="E39" s="2" t="s">
        <v>1269</v>
      </c>
      <c r="H39" t="s">
        <v>19</v>
      </c>
      <c r="J39" s="10" t="s">
        <v>2686</v>
      </c>
      <c r="T39" s="10" t="s">
        <v>2687</v>
      </c>
      <c r="U39" s="10" t="str">
        <f t="shared" ca="1" si="2"/>
        <v/>
      </c>
      <c r="V39" s="10" t="str">
        <f t="shared" ca="1" si="3"/>
        <v/>
      </c>
      <c r="AE39" s="10" t="s">
        <v>2645</v>
      </c>
    </row>
    <row r="40" spans="1:31" hidden="1">
      <c r="A40" s="2" t="s">
        <v>83</v>
      </c>
      <c r="B40" s="2"/>
      <c r="C40" s="2"/>
      <c r="D40" s="2" t="s">
        <v>1270</v>
      </c>
      <c r="E40" s="2" t="s">
        <v>1271</v>
      </c>
      <c r="J40" s="10" t="s">
        <v>2688</v>
      </c>
      <c r="U40" s="10" t="str">
        <f t="shared" ca="1" si="2"/>
        <v/>
      </c>
      <c r="V40" s="10" t="str">
        <f t="shared" ca="1" si="3"/>
        <v/>
      </c>
      <c r="AB40" s="10" t="s">
        <v>2798</v>
      </c>
      <c r="AD40" s="10" t="s">
        <v>19</v>
      </c>
    </row>
    <row r="41" spans="1:31" ht="29" hidden="1">
      <c r="A41" s="2" t="s">
        <v>84</v>
      </c>
      <c r="B41" s="2"/>
      <c r="C41" s="2"/>
      <c r="D41" s="2" t="s">
        <v>1274</v>
      </c>
      <c r="E41" s="3" t="s">
        <v>1273</v>
      </c>
      <c r="F41" t="s">
        <v>16</v>
      </c>
      <c r="U41" s="10" t="str">
        <f t="shared" ca="1" si="2"/>
        <v/>
      </c>
      <c r="V41" s="10" t="str">
        <f t="shared" ca="1" si="3"/>
        <v/>
      </c>
    </row>
    <row r="42" spans="1:31" ht="29" hidden="1">
      <c r="A42" s="2" t="s">
        <v>84</v>
      </c>
      <c r="B42" s="2"/>
      <c r="C42" s="2"/>
      <c r="D42" s="2" t="s">
        <v>1272</v>
      </c>
      <c r="E42" s="2" t="s">
        <v>1275</v>
      </c>
      <c r="F42" t="s">
        <v>17</v>
      </c>
      <c r="U42" s="10" t="str">
        <f t="shared" ca="1" si="2"/>
        <v/>
      </c>
      <c r="V42" s="10" t="str">
        <f t="shared" ca="1" si="3"/>
        <v/>
      </c>
    </row>
    <row r="43" spans="1:31" hidden="1">
      <c r="A43" s="2" t="s">
        <v>85</v>
      </c>
      <c r="B43" s="2"/>
      <c r="C43" s="2"/>
      <c r="D43" s="2" t="s">
        <v>1276</v>
      </c>
      <c r="E43" s="2" t="s">
        <v>1277</v>
      </c>
      <c r="F43" t="s">
        <v>11</v>
      </c>
      <c r="H43" t="s">
        <v>19</v>
      </c>
      <c r="U43" s="10" t="str">
        <f t="shared" ca="1" si="2"/>
        <v/>
      </c>
      <c r="V43" s="10" t="str">
        <f t="shared" ca="1" si="3"/>
        <v/>
      </c>
    </row>
    <row r="44" spans="1:31" ht="29" hidden="1">
      <c r="A44" s="2" t="s">
        <v>86</v>
      </c>
      <c r="B44" s="2"/>
      <c r="C44" s="2"/>
      <c r="D44" s="2" t="s">
        <v>1278</v>
      </c>
      <c r="E44" s="2" t="s">
        <v>1279</v>
      </c>
      <c r="H44" t="s">
        <v>19</v>
      </c>
      <c r="J44" s="10" t="s">
        <v>2688</v>
      </c>
      <c r="U44" s="10" t="str">
        <f t="shared" ca="1" si="2"/>
        <v/>
      </c>
      <c r="V44" s="10" t="str">
        <f t="shared" ca="1" si="3"/>
        <v/>
      </c>
      <c r="AE44" s="10" t="s">
        <v>2645</v>
      </c>
    </row>
    <row r="45" spans="1:31" ht="29" hidden="1">
      <c r="A45" s="2" t="s">
        <v>86</v>
      </c>
      <c r="B45" s="2"/>
      <c r="C45" s="2"/>
      <c r="D45" s="2" t="s">
        <v>1280</v>
      </c>
      <c r="E45" s="2" t="s">
        <v>1281</v>
      </c>
      <c r="J45" s="10" t="s">
        <v>2686</v>
      </c>
      <c r="T45" s="10">
        <f>0-20</f>
        <v>-20</v>
      </c>
      <c r="U45" s="10">
        <f t="shared" ca="1" si="2"/>
        <v>20</v>
      </c>
      <c r="V45" s="10">
        <f t="shared" ca="1" si="3"/>
        <v>0</v>
      </c>
    </row>
    <row r="46" spans="1:31" hidden="1">
      <c r="A46" s="2" t="s">
        <v>87</v>
      </c>
      <c r="B46" s="2"/>
      <c r="C46" s="2"/>
      <c r="D46" s="2" t="s">
        <v>1282</v>
      </c>
      <c r="E46" s="2" t="s">
        <v>1283</v>
      </c>
      <c r="H46" t="s">
        <v>19</v>
      </c>
      <c r="J46" s="10" t="s">
        <v>2688</v>
      </c>
      <c r="U46" s="10" t="str">
        <f t="shared" ca="1" si="2"/>
        <v/>
      </c>
      <c r="V46" s="10" t="str">
        <f t="shared" ca="1" si="3"/>
        <v/>
      </c>
    </row>
    <row r="47" spans="1:31" hidden="1">
      <c r="A47" s="2" t="s">
        <v>88</v>
      </c>
      <c r="B47" s="2"/>
      <c r="C47" s="2"/>
      <c r="D47" s="2" t="s">
        <v>1285</v>
      </c>
      <c r="E47" s="2" t="s">
        <v>1284</v>
      </c>
      <c r="J47" s="10" t="s">
        <v>2688</v>
      </c>
      <c r="U47" s="10" t="str">
        <f t="shared" ca="1" si="2"/>
        <v/>
      </c>
      <c r="V47" s="10" t="str">
        <f t="shared" ca="1" si="3"/>
        <v/>
      </c>
      <c r="AE47" s="10" t="s">
        <v>2651</v>
      </c>
    </row>
    <row r="48" spans="1:31" hidden="1">
      <c r="A48" s="2" t="s">
        <v>89</v>
      </c>
      <c r="B48" s="2"/>
      <c r="C48" s="2"/>
      <c r="D48" s="2" t="s">
        <v>91</v>
      </c>
      <c r="E48" s="2" t="s">
        <v>90</v>
      </c>
      <c r="F48" t="s">
        <v>11</v>
      </c>
      <c r="J48" s="10" t="s">
        <v>2688</v>
      </c>
      <c r="U48" s="10" t="str">
        <f t="shared" ca="1" si="2"/>
        <v/>
      </c>
      <c r="V48" s="10" t="str">
        <f t="shared" ca="1" si="3"/>
        <v/>
      </c>
    </row>
    <row r="49" spans="1:32" hidden="1">
      <c r="A49" s="2" t="s">
        <v>92</v>
      </c>
      <c r="B49" s="2"/>
      <c r="C49" s="2"/>
      <c r="D49" s="2" t="s">
        <v>1286</v>
      </c>
      <c r="E49" s="2" t="s">
        <v>1287</v>
      </c>
      <c r="H49" t="s">
        <v>19</v>
      </c>
      <c r="J49" s="10" t="s">
        <v>24</v>
      </c>
      <c r="L49" s="10">
        <v>2</v>
      </c>
      <c r="M49" s="10">
        <v>5</v>
      </c>
      <c r="O49" s="10" t="s">
        <v>2647</v>
      </c>
      <c r="S49" s="10">
        <v>0</v>
      </c>
      <c r="U49" s="10" t="str">
        <f t="shared" ca="1" si="2"/>
        <v/>
      </c>
      <c r="V49" s="10" t="str">
        <f t="shared" ca="1" si="3"/>
        <v/>
      </c>
      <c r="AE49" s="10" t="s">
        <v>2651</v>
      </c>
    </row>
    <row r="50" spans="1:32" ht="29" hidden="1">
      <c r="A50" s="2" t="s">
        <v>92</v>
      </c>
      <c r="B50" s="2"/>
      <c r="C50" s="2"/>
      <c r="D50" s="2" t="s">
        <v>1288</v>
      </c>
      <c r="E50" s="2" t="s">
        <v>1289</v>
      </c>
      <c r="H50" t="s">
        <v>19</v>
      </c>
      <c r="J50" s="10" t="s">
        <v>24</v>
      </c>
      <c r="L50" s="10">
        <v>1</v>
      </c>
      <c r="M50" s="10">
        <v>6</v>
      </c>
      <c r="N50" s="10" t="s">
        <v>2660</v>
      </c>
      <c r="O50" s="10" t="s">
        <v>2647</v>
      </c>
      <c r="S50" s="10">
        <v>250</v>
      </c>
      <c r="U50" s="10" t="str">
        <f t="shared" ca="1" si="2"/>
        <v/>
      </c>
      <c r="V50" s="10" t="str">
        <f t="shared" ca="1" si="3"/>
        <v/>
      </c>
    </row>
    <row r="51" spans="1:32">
      <c r="A51" s="2" t="s">
        <v>92</v>
      </c>
      <c r="B51" s="2"/>
      <c r="C51" s="2"/>
      <c r="D51" s="2" t="s">
        <v>1290</v>
      </c>
      <c r="E51" s="2" t="s">
        <v>1291</v>
      </c>
      <c r="F51" t="s">
        <v>36</v>
      </c>
      <c r="G51" t="s">
        <v>20</v>
      </c>
      <c r="I51" s="4" t="s">
        <v>2934</v>
      </c>
      <c r="U51" s="10" t="str">
        <f t="shared" ca="1" si="2"/>
        <v/>
      </c>
      <c r="V51" s="10" t="str">
        <f t="shared" ca="1" si="3"/>
        <v/>
      </c>
      <c r="AF51" s="10" t="s">
        <v>19</v>
      </c>
    </row>
    <row r="52" spans="1:32" hidden="1">
      <c r="A52" s="2" t="s">
        <v>92</v>
      </c>
      <c r="B52" s="2"/>
      <c r="C52" s="2"/>
      <c r="D52" s="2" t="s">
        <v>94</v>
      </c>
      <c r="E52" s="2" t="s">
        <v>93</v>
      </c>
      <c r="J52" s="10" t="s">
        <v>2686</v>
      </c>
      <c r="T52" s="10" t="s">
        <v>2696</v>
      </c>
      <c r="U52" s="10" t="str">
        <f t="shared" ca="1" si="2"/>
        <v/>
      </c>
      <c r="V52" s="10" t="str">
        <f t="shared" ca="1" si="3"/>
        <v/>
      </c>
      <c r="AE52" s="10" t="s">
        <v>2645</v>
      </c>
    </row>
    <row r="53" spans="1:32" hidden="1">
      <c r="A53" s="2" t="s">
        <v>92</v>
      </c>
      <c r="B53" s="2"/>
      <c r="C53" s="2"/>
      <c r="D53" s="2" t="s">
        <v>1292</v>
      </c>
      <c r="E53" s="2" t="s">
        <v>1293</v>
      </c>
      <c r="J53" s="10" t="s">
        <v>2688</v>
      </c>
      <c r="U53" s="10" t="str">
        <f t="shared" ca="1" si="2"/>
        <v/>
      </c>
      <c r="V53" s="10" t="str">
        <f t="shared" ca="1" si="3"/>
        <v/>
      </c>
    </row>
    <row r="54" spans="1:32" hidden="1">
      <c r="A54" s="2" t="s">
        <v>95</v>
      </c>
      <c r="B54" s="2"/>
      <c r="C54" s="2"/>
      <c r="D54" s="13" t="s">
        <v>1294</v>
      </c>
      <c r="E54" s="2" t="s">
        <v>96</v>
      </c>
      <c r="H54" t="s">
        <v>19</v>
      </c>
      <c r="J54" s="10" t="s">
        <v>2688</v>
      </c>
      <c r="U54" s="10" t="str">
        <f t="shared" ca="1" si="2"/>
        <v/>
      </c>
      <c r="V54" s="10" t="str">
        <f t="shared" ca="1" si="3"/>
        <v/>
      </c>
      <c r="AE54" s="10" t="s">
        <v>2645</v>
      </c>
    </row>
    <row r="55" spans="1:32" ht="29" hidden="1">
      <c r="A55" s="2" t="s">
        <v>97</v>
      </c>
      <c r="B55" s="2"/>
      <c r="C55" s="2"/>
      <c r="D55" s="2" t="s">
        <v>1295</v>
      </c>
      <c r="E55" s="2" t="s">
        <v>1296</v>
      </c>
      <c r="H55" t="s">
        <v>19</v>
      </c>
      <c r="J55" s="10" t="s">
        <v>2688</v>
      </c>
    </row>
    <row r="56" spans="1:32" hidden="1">
      <c r="A56" s="2" t="s">
        <v>97</v>
      </c>
      <c r="B56" s="2"/>
      <c r="C56" s="2"/>
      <c r="D56" s="2" t="s">
        <v>1297</v>
      </c>
      <c r="E56" s="2" t="s">
        <v>1298</v>
      </c>
      <c r="F56" t="s">
        <v>17</v>
      </c>
      <c r="H56" t="s">
        <v>19</v>
      </c>
      <c r="U56" s="10" t="str">
        <f t="shared" ca="1" si="2"/>
        <v/>
      </c>
      <c r="V56" s="10" t="str">
        <f t="shared" ca="1" si="3"/>
        <v/>
      </c>
    </row>
    <row r="57" spans="1:32" ht="29" hidden="1">
      <c r="A57" s="2" t="s">
        <v>98</v>
      </c>
      <c r="B57" s="2"/>
      <c r="C57" s="2"/>
      <c r="D57" s="2" t="s">
        <v>1299</v>
      </c>
      <c r="E57" s="2" t="s">
        <v>1300</v>
      </c>
      <c r="H57" t="s">
        <v>19</v>
      </c>
      <c r="J57" s="10" t="s">
        <v>2686</v>
      </c>
      <c r="T57" s="10" t="s">
        <v>2696</v>
      </c>
      <c r="U57" s="10" t="str">
        <f t="shared" ca="1" si="2"/>
        <v/>
      </c>
      <c r="V57" s="10" t="str">
        <f t="shared" ca="1" si="3"/>
        <v/>
      </c>
      <c r="AE57" s="10" t="s">
        <v>2645</v>
      </c>
    </row>
    <row r="58" spans="1:32" ht="29" hidden="1">
      <c r="A58" s="2" t="s">
        <v>99</v>
      </c>
      <c r="B58" s="2"/>
      <c r="C58" s="2"/>
      <c r="D58" s="2" t="s">
        <v>1301</v>
      </c>
      <c r="E58" s="2" t="s">
        <v>1302</v>
      </c>
      <c r="H58" t="s">
        <v>19</v>
      </c>
      <c r="J58" s="10" t="s">
        <v>2686</v>
      </c>
      <c r="T58" s="10" t="s">
        <v>2696</v>
      </c>
      <c r="U58" s="10" t="str">
        <f t="shared" ca="1" si="2"/>
        <v/>
      </c>
      <c r="V58" s="10" t="str">
        <f t="shared" ca="1" si="3"/>
        <v/>
      </c>
      <c r="AE58" s="10" t="s">
        <v>2645</v>
      </c>
    </row>
    <row r="59" spans="1:32" hidden="1">
      <c r="A59" s="2" t="s">
        <v>100</v>
      </c>
      <c r="B59" s="2"/>
      <c r="C59" s="2"/>
      <c r="D59" s="2" t="s">
        <v>102</v>
      </c>
      <c r="E59" s="2" t="s">
        <v>101</v>
      </c>
      <c r="J59" s="10" t="s">
        <v>2688</v>
      </c>
      <c r="U59" s="10" t="str">
        <f t="shared" ca="1" si="2"/>
        <v/>
      </c>
      <c r="V59" s="10" t="str">
        <f t="shared" ca="1" si="3"/>
        <v/>
      </c>
      <c r="AE59" s="10" t="s">
        <v>2651</v>
      </c>
    </row>
    <row r="60" spans="1:32" hidden="1">
      <c r="A60" s="2" t="s">
        <v>100</v>
      </c>
      <c r="B60" s="2"/>
      <c r="C60" s="2"/>
      <c r="D60" s="2" t="s">
        <v>1303</v>
      </c>
      <c r="E60" s="2" t="s">
        <v>1304</v>
      </c>
      <c r="J60" s="10" t="s">
        <v>2688</v>
      </c>
      <c r="U60" s="10" t="str">
        <f t="shared" ca="1" si="2"/>
        <v/>
      </c>
      <c r="V60" s="10" t="str">
        <f t="shared" ca="1" si="3"/>
        <v/>
      </c>
      <c r="AB60" s="10" t="s">
        <v>2650</v>
      </c>
      <c r="AD60" s="10" t="s">
        <v>19</v>
      </c>
    </row>
    <row r="61" spans="1:32" hidden="1">
      <c r="A61" s="2" t="s">
        <v>100</v>
      </c>
      <c r="B61" s="2"/>
      <c r="C61" s="2"/>
      <c r="D61" s="2" t="s">
        <v>1306</v>
      </c>
      <c r="E61" s="2" t="s">
        <v>1305</v>
      </c>
      <c r="J61" s="10" t="s">
        <v>2688</v>
      </c>
      <c r="U61" s="10" t="str">
        <f t="shared" ca="1" si="2"/>
        <v/>
      </c>
      <c r="V61" s="10" t="str">
        <f t="shared" ca="1" si="3"/>
        <v/>
      </c>
      <c r="AE61" s="10" t="s">
        <v>2645</v>
      </c>
    </row>
    <row r="62" spans="1:32" hidden="1">
      <c r="A62" s="2" t="s">
        <v>103</v>
      </c>
      <c r="B62" s="2"/>
      <c r="C62" s="2"/>
      <c r="D62" s="2" t="s">
        <v>105</v>
      </c>
      <c r="E62" s="2" t="s">
        <v>104</v>
      </c>
      <c r="J62" s="10" t="s">
        <v>2688</v>
      </c>
      <c r="U62" s="10" t="str">
        <f t="shared" ca="1" si="2"/>
        <v/>
      </c>
      <c r="V62" s="10" t="str">
        <f t="shared" ca="1" si="3"/>
        <v/>
      </c>
      <c r="AC62" s="10" t="s">
        <v>2701</v>
      </c>
      <c r="AD62" s="10" t="s">
        <v>19</v>
      </c>
    </row>
    <row r="63" spans="1:32" ht="29" hidden="1">
      <c r="A63" s="2" t="s">
        <v>106</v>
      </c>
      <c r="B63" s="2"/>
      <c r="C63" s="2"/>
      <c r="D63" s="2" t="s">
        <v>1308</v>
      </c>
      <c r="E63" s="2" t="s">
        <v>1307</v>
      </c>
      <c r="H63" t="s">
        <v>19</v>
      </c>
      <c r="J63" s="10" t="s">
        <v>2688</v>
      </c>
      <c r="U63" s="10" t="str">
        <f t="shared" ca="1" si="2"/>
        <v/>
      </c>
      <c r="V63" s="10" t="str">
        <f t="shared" ca="1" si="3"/>
        <v/>
      </c>
    </row>
    <row r="64" spans="1:32" hidden="1">
      <c r="A64" s="2" t="s">
        <v>107</v>
      </c>
      <c r="B64" s="2"/>
      <c r="C64" s="2"/>
      <c r="D64" s="2" t="s">
        <v>1309</v>
      </c>
      <c r="E64" s="5" t="s">
        <v>1310</v>
      </c>
      <c r="F64" t="s">
        <v>17</v>
      </c>
      <c r="U64" s="10" t="str">
        <f t="shared" ca="1" si="2"/>
        <v/>
      </c>
      <c r="V64" s="10" t="str">
        <f t="shared" ca="1" si="3"/>
        <v/>
      </c>
    </row>
    <row r="65" spans="1:31" hidden="1">
      <c r="A65" s="2" t="s">
        <v>108</v>
      </c>
      <c r="B65" s="2"/>
      <c r="C65" s="2"/>
      <c r="D65" s="2" t="s">
        <v>1311</v>
      </c>
      <c r="E65" s="2" t="s">
        <v>1312</v>
      </c>
      <c r="H65" t="s">
        <v>19</v>
      </c>
      <c r="J65" s="10" t="s">
        <v>2688</v>
      </c>
      <c r="U65" s="10" t="str">
        <f t="shared" ca="1" si="2"/>
        <v/>
      </c>
      <c r="V65" s="10" t="str">
        <f t="shared" ca="1" si="3"/>
        <v/>
      </c>
    </row>
    <row r="66" spans="1:31" ht="29" hidden="1">
      <c r="A66" s="2" t="s">
        <v>109</v>
      </c>
      <c r="B66" s="2"/>
      <c r="C66" s="2"/>
      <c r="D66" s="2" t="s">
        <v>1314</v>
      </c>
      <c r="E66" s="2" t="s">
        <v>1313</v>
      </c>
      <c r="H66" t="s">
        <v>19</v>
      </c>
      <c r="J66" s="10" t="s">
        <v>25</v>
      </c>
      <c r="L66" s="10">
        <v>1</v>
      </c>
      <c r="M66" s="10">
        <v>5</v>
      </c>
      <c r="N66" s="10" t="s">
        <v>2662</v>
      </c>
      <c r="O66" s="10" t="s">
        <v>2647</v>
      </c>
      <c r="S66" s="10">
        <v>830</v>
      </c>
      <c r="U66" s="10" t="str">
        <f t="shared" ref="U66:U128" ca="1" si="4">IF(ISNUMBER(T66),VALUE(MID(_xlfn.FORMULATEXT(T66),SEARCH("-",_xlfn.FORMULATEXT(T66))+1,LEN(_xlfn.FORMULATEXT(T66))-SEARCH("-",_xlfn.FORMULATEXT(T66)))), "")</f>
        <v/>
      </c>
      <c r="V66" s="10" t="str">
        <f t="shared" ref="V66:V128" ca="1" si="5">IF(ISNUMBER(T66), VALUE(MID(_xlfn.FORMULATEXT(T66), 2, SEARCH("-", _xlfn.FORMULATEXT(T66)) - 2)), "")</f>
        <v/>
      </c>
    </row>
    <row r="67" spans="1:31" ht="29" hidden="1">
      <c r="A67" s="2" t="s">
        <v>109</v>
      </c>
      <c r="B67" s="2"/>
      <c r="C67" s="2"/>
      <c r="D67" s="2" t="s">
        <v>1315</v>
      </c>
      <c r="E67" s="2" t="s">
        <v>1316</v>
      </c>
      <c r="F67" t="s">
        <v>11</v>
      </c>
      <c r="U67" s="10" t="str">
        <f t="shared" ca="1" si="4"/>
        <v/>
      </c>
      <c r="V67" s="10" t="str">
        <f t="shared" ca="1" si="5"/>
        <v/>
      </c>
    </row>
    <row r="68" spans="1:31" hidden="1">
      <c r="A68" s="2" t="s">
        <v>109</v>
      </c>
      <c r="B68" s="2"/>
      <c r="C68" s="2"/>
      <c r="D68" s="2" t="s">
        <v>111</v>
      </c>
      <c r="E68" s="2" t="s">
        <v>110</v>
      </c>
      <c r="J68" s="10" t="s">
        <v>2688</v>
      </c>
      <c r="U68" s="10" t="str">
        <f t="shared" ca="1" si="4"/>
        <v/>
      </c>
      <c r="V68" s="10" t="str">
        <f t="shared" ca="1" si="5"/>
        <v/>
      </c>
      <c r="AC68" s="10" t="s">
        <v>2800</v>
      </c>
      <c r="AD68" s="10" t="s">
        <v>19</v>
      </c>
    </row>
    <row r="69" spans="1:31" ht="29" hidden="1">
      <c r="A69" s="2" t="s">
        <v>112</v>
      </c>
      <c r="B69" s="2"/>
      <c r="C69" s="2"/>
      <c r="D69" s="2" t="s">
        <v>1317</v>
      </c>
      <c r="E69" s="2" t="s">
        <v>1318</v>
      </c>
      <c r="H69" t="s">
        <v>19</v>
      </c>
      <c r="J69" s="10" t="s">
        <v>2688</v>
      </c>
      <c r="U69" s="10" t="str">
        <f t="shared" ca="1" si="4"/>
        <v/>
      </c>
      <c r="V69" s="10" t="str">
        <f t="shared" ca="1" si="5"/>
        <v/>
      </c>
    </row>
    <row r="70" spans="1:31" ht="29">
      <c r="A70" s="2" t="s">
        <v>112</v>
      </c>
      <c r="B70" s="2"/>
      <c r="C70" s="2"/>
      <c r="D70" s="2" t="s">
        <v>1319</v>
      </c>
      <c r="E70" s="2" t="s">
        <v>1320</v>
      </c>
      <c r="F70" t="s">
        <v>11</v>
      </c>
      <c r="H70" t="s">
        <v>19</v>
      </c>
      <c r="U70" s="10" t="str">
        <f t="shared" ca="1" si="4"/>
        <v/>
      </c>
      <c r="V70" s="10" t="str">
        <f t="shared" ca="1" si="5"/>
        <v/>
      </c>
    </row>
    <row r="71" spans="1:31" hidden="1">
      <c r="A71" s="2" t="s">
        <v>114</v>
      </c>
      <c r="B71" s="2"/>
      <c r="C71" s="2"/>
      <c r="D71" s="2" t="s">
        <v>116</v>
      </c>
      <c r="E71" s="2" t="s">
        <v>115</v>
      </c>
      <c r="J71" s="10" t="s">
        <v>2688</v>
      </c>
      <c r="U71" s="10" t="str">
        <f t="shared" ca="1" si="4"/>
        <v/>
      </c>
      <c r="V71" s="10" t="str">
        <f t="shared" ca="1" si="5"/>
        <v/>
      </c>
    </row>
    <row r="72" spans="1:31" hidden="1">
      <c r="A72" s="2" t="s">
        <v>117</v>
      </c>
      <c r="B72" s="2"/>
      <c r="C72" s="2"/>
      <c r="D72" s="3" t="s">
        <v>1321</v>
      </c>
      <c r="E72" s="2" t="s">
        <v>1322</v>
      </c>
      <c r="F72" t="s">
        <v>15</v>
      </c>
      <c r="U72" s="10" t="str">
        <f t="shared" ca="1" si="4"/>
        <v/>
      </c>
      <c r="V72" s="10" t="str">
        <f t="shared" ca="1" si="5"/>
        <v/>
      </c>
    </row>
    <row r="73" spans="1:31" hidden="1">
      <c r="A73" s="2" t="s">
        <v>118</v>
      </c>
      <c r="B73" s="2"/>
      <c r="C73" s="2"/>
      <c r="D73" s="2" t="s">
        <v>1323</v>
      </c>
      <c r="E73" s="2" t="s">
        <v>1324</v>
      </c>
      <c r="J73" s="10" t="s">
        <v>2686</v>
      </c>
      <c r="T73" s="10">
        <f>312-743</f>
        <v>-431</v>
      </c>
      <c r="U73" s="10">
        <f t="shared" ca="1" si="4"/>
        <v>743</v>
      </c>
      <c r="V73" s="10">
        <f t="shared" ca="1" si="5"/>
        <v>312</v>
      </c>
    </row>
    <row r="74" spans="1:31" ht="29" hidden="1">
      <c r="A74" s="2" t="s">
        <v>118</v>
      </c>
      <c r="B74" s="2"/>
      <c r="C74" s="2"/>
      <c r="D74" s="2" t="s">
        <v>1325</v>
      </c>
      <c r="E74" s="2" t="s">
        <v>1326</v>
      </c>
      <c r="H74" t="s">
        <v>19</v>
      </c>
      <c r="J74" s="10" t="s">
        <v>25</v>
      </c>
      <c r="L74" s="10">
        <v>2</v>
      </c>
      <c r="M74" s="10">
        <v>8</v>
      </c>
      <c r="O74" s="10" t="s">
        <v>2647</v>
      </c>
      <c r="S74" s="10">
        <v>295</v>
      </c>
      <c r="U74" s="10" t="str">
        <f t="shared" ca="1" si="4"/>
        <v/>
      </c>
      <c r="V74" s="10" t="str">
        <f t="shared" ca="1" si="5"/>
        <v/>
      </c>
    </row>
    <row r="75" spans="1:31" hidden="1">
      <c r="A75" s="2" t="s">
        <v>119</v>
      </c>
      <c r="B75" s="2"/>
      <c r="C75" s="2"/>
      <c r="D75" s="2" t="s">
        <v>66</v>
      </c>
      <c r="E75" s="2" t="s">
        <v>38</v>
      </c>
      <c r="J75" s="10" t="s">
        <v>2686</v>
      </c>
      <c r="T75" s="10" t="s">
        <v>2687</v>
      </c>
      <c r="U75" s="10" t="str">
        <f t="shared" ca="1" si="4"/>
        <v/>
      </c>
      <c r="V75" s="10" t="str">
        <f t="shared" ca="1" si="5"/>
        <v/>
      </c>
      <c r="AB75" s="10" t="s">
        <v>2692</v>
      </c>
      <c r="AD75" s="10" t="s">
        <v>19</v>
      </c>
    </row>
    <row r="76" spans="1:31" hidden="1">
      <c r="A76" s="2" t="s">
        <v>120</v>
      </c>
      <c r="B76" s="2"/>
      <c r="C76" s="2"/>
      <c r="D76" s="2" t="s">
        <v>1327</v>
      </c>
      <c r="E76" s="2" t="s">
        <v>1328</v>
      </c>
      <c r="J76" s="10" t="s">
        <v>2686</v>
      </c>
      <c r="T76" s="10" t="s">
        <v>2696</v>
      </c>
      <c r="U76" s="10" t="str">
        <f t="shared" ca="1" si="4"/>
        <v/>
      </c>
      <c r="V76" s="10" t="str">
        <f t="shared" ca="1" si="5"/>
        <v/>
      </c>
      <c r="AE76" s="10" t="s">
        <v>2645</v>
      </c>
    </row>
    <row r="77" spans="1:31">
      <c r="A77" s="2" t="s">
        <v>121</v>
      </c>
      <c r="B77" s="2"/>
      <c r="C77" s="2"/>
      <c r="D77" s="2" t="s">
        <v>1329</v>
      </c>
      <c r="E77" s="5" t="s">
        <v>1330</v>
      </c>
      <c r="F77" t="s">
        <v>17</v>
      </c>
      <c r="H77" t="s">
        <v>19</v>
      </c>
      <c r="U77" s="10" t="str">
        <f t="shared" ca="1" si="4"/>
        <v/>
      </c>
      <c r="V77" s="10" t="str">
        <f t="shared" ca="1" si="5"/>
        <v/>
      </c>
    </row>
    <row r="78" spans="1:31" ht="29" hidden="1">
      <c r="A78" s="2" t="s">
        <v>122</v>
      </c>
      <c r="B78" s="2"/>
      <c r="C78" s="2"/>
      <c r="D78" s="2" t="s">
        <v>1331</v>
      </c>
      <c r="E78" s="3" t="s">
        <v>1332</v>
      </c>
      <c r="F78" t="s">
        <v>16</v>
      </c>
      <c r="U78" s="10" t="str">
        <f t="shared" ca="1" si="4"/>
        <v/>
      </c>
      <c r="V78" s="10" t="str">
        <f t="shared" ca="1" si="5"/>
        <v/>
      </c>
    </row>
    <row r="79" spans="1:31">
      <c r="A79" s="2" t="s">
        <v>123</v>
      </c>
      <c r="B79" s="2"/>
      <c r="C79" s="2"/>
      <c r="D79" s="3" t="s">
        <v>1335</v>
      </c>
      <c r="E79" s="2" t="s">
        <v>1334</v>
      </c>
      <c r="F79" t="s">
        <v>31</v>
      </c>
      <c r="H79" t="s">
        <v>19</v>
      </c>
      <c r="I79" t="s">
        <v>1333</v>
      </c>
      <c r="J79" s="10" t="s">
        <v>2686</v>
      </c>
      <c r="T79" s="10" t="s">
        <v>2696</v>
      </c>
      <c r="U79" s="10" t="str">
        <f t="shared" ca="1" si="4"/>
        <v/>
      </c>
      <c r="V79" s="10" t="str">
        <f t="shared" ca="1" si="5"/>
        <v/>
      </c>
      <c r="AE79" s="10" t="s">
        <v>2645</v>
      </c>
    </row>
    <row r="80" spans="1:31" hidden="1">
      <c r="A80" s="2" t="s">
        <v>123</v>
      </c>
      <c r="B80" s="2"/>
      <c r="C80" s="2"/>
      <c r="D80" s="2" t="s">
        <v>1336</v>
      </c>
      <c r="E80" s="3" t="s">
        <v>1337</v>
      </c>
      <c r="F80" t="s">
        <v>16</v>
      </c>
      <c r="U80" s="10" t="str">
        <f t="shared" ca="1" si="4"/>
        <v/>
      </c>
      <c r="V80" s="10" t="str">
        <f t="shared" ca="1" si="5"/>
        <v/>
      </c>
    </row>
    <row r="81" spans="1:31" hidden="1">
      <c r="A81" s="2" t="s">
        <v>123</v>
      </c>
      <c r="B81" s="2"/>
      <c r="C81" s="2"/>
      <c r="D81" s="2" t="s">
        <v>1338</v>
      </c>
      <c r="E81" s="2" t="s">
        <v>1339</v>
      </c>
      <c r="H81" t="s">
        <v>19</v>
      </c>
      <c r="J81" s="10" t="s">
        <v>2686</v>
      </c>
      <c r="T81" s="10">
        <f>312-743</f>
        <v>-431</v>
      </c>
      <c r="U81" s="10">
        <f t="shared" ca="1" si="4"/>
        <v>743</v>
      </c>
      <c r="V81" s="10">
        <f t="shared" ca="1" si="5"/>
        <v>312</v>
      </c>
    </row>
    <row r="82" spans="1:31" hidden="1">
      <c r="A82" s="2" t="s">
        <v>124</v>
      </c>
      <c r="B82" s="2"/>
      <c r="C82" s="2"/>
      <c r="D82" s="2" t="s">
        <v>1341</v>
      </c>
      <c r="E82" t="s">
        <v>1340</v>
      </c>
      <c r="F82" t="s">
        <v>11</v>
      </c>
      <c r="G82" t="s">
        <v>19</v>
      </c>
      <c r="U82" s="10" t="str">
        <f t="shared" ca="1" si="4"/>
        <v/>
      </c>
      <c r="V82" s="10" t="str">
        <f t="shared" ca="1" si="5"/>
        <v/>
      </c>
    </row>
    <row r="83" spans="1:31">
      <c r="A83" s="2" t="s">
        <v>125</v>
      </c>
      <c r="B83" s="2"/>
      <c r="C83" s="2"/>
      <c r="D83" s="2" t="s">
        <v>1342</v>
      </c>
      <c r="E83" s="2" t="s">
        <v>1342</v>
      </c>
      <c r="F83" t="s">
        <v>35</v>
      </c>
      <c r="I83" s="4" t="s">
        <v>2955</v>
      </c>
      <c r="U83" s="10" t="str">
        <f t="shared" ca="1" si="4"/>
        <v/>
      </c>
      <c r="V83" s="10" t="str">
        <f t="shared" ca="1" si="5"/>
        <v/>
      </c>
    </row>
    <row r="84" spans="1:31" hidden="1">
      <c r="A84" s="2" t="s">
        <v>126</v>
      </c>
      <c r="B84" s="2"/>
      <c r="C84" s="2"/>
      <c r="D84" s="2" t="s">
        <v>66</v>
      </c>
      <c r="E84" s="2" t="s">
        <v>38</v>
      </c>
      <c r="J84" s="10" t="s">
        <v>2686</v>
      </c>
      <c r="T84" s="10" t="s">
        <v>2687</v>
      </c>
      <c r="U84" s="10" t="str">
        <f t="shared" ca="1" si="4"/>
        <v/>
      </c>
      <c r="V84" s="10" t="str">
        <f t="shared" ca="1" si="5"/>
        <v/>
      </c>
      <c r="AB84" s="10" t="s">
        <v>2692</v>
      </c>
      <c r="AD84" s="10" t="s">
        <v>19</v>
      </c>
    </row>
    <row r="85" spans="1:31" hidden="1">
      <c r="A85" s="2" t="s">
        <v>126</v>
      </c>
      <c r="B85" s="2"/>
      <c r="C85" s="2"/>
      <c r="D85" s="2" t="s">
        <v>1344</v>
      </c>
      <c r="E85" s="2" t="s">
        <v>1343</v>
      </c>
      <c r="F85" t="s">
        <v>11</v>
      </c>
      <c r="U85" s="10" t="str">
        <f t="shared" ca="1" si="4"/>
        <v/>
      </c>
      <c r="V85" s="10" t="str">
        <f t="shared" ca="1" si="5"/>
        <v/>
      </c>
    </row>
    <row r="86" spans="1:31" hidden="1">
      <c r="A86" s="2" t="s">
        <v>126</v>
      </c>
      <c r="B86" s="2"/>
      <c r="C86" s="2"/>
      <c r="D86" s="2" t="s">
        <v>128</v>
      </c>
      <c r="E86" s="2" t="s">
        <v>127</v>
      </c>
      <c r="J86" s="10" t="s">
        <v>2686</v>
      </c>
      <c r="T86" s="10" t="s">
        <v>2696</v>
      </c>
      <c r="U86" s="10" t="str">
        <f t="shared" ca="1" si="4"/>
        <v/>
      </c>
      <c r="V86" s="10" t="str">
        <f t="shared" ca="1" si="5"/>
        <v/>
      </c>
      <c r="AE86" s="10" t="s">
        <v>2645</v>
      </c>
    </row>
    <row r="87" spans="1:31" hidden="1">
      <c r="A87" s="2" t="s">
        <v>129</v>
      </c>
      <c r="B87" s="2"/>
      <c r="C87" s="2"/>
      <c r="D87" s="2" t="s">
        <v>66</v>
      </c>
      <c r="E87" s="2" t="s">
        <v>38</v>
      </c>
      <c r="J87" s="10" t="s">
        <v>2686</v>
      </c>
      <c r="T87" s="10" t="s">
        <v>2687</v>
      </c>
      <c r="U87" s="10" t="str">
        <f t="shared" ca="1" si="4"/>
        <v/>
      </c>
      <c r="V87" s="10" t="str">
        <f t="shared" ca="1" si="5"/>
        <v/>
      </c>
      <c r="AB87" s="10" t="s">
        <v>2692</v>
      </c>
      <c r="AD87" s="10" t="s">
        <v>19</v>
      </c>
    </row>
    <row r="88" spans="1:31" ht="29" hidden="1">
      <c r="A88" s="2" t="s">
        <v>130</v>
      </c>
      <c r="B88" s="2"/>
      <c r="C88" s="2"/>
      <c r="D88" s="2" t="s">
        <v>1345</v>
      </c>
      <c r="E88" s="2" t="s">
        <v>1346</v>
      </c>
      <c r="H88" t="s">
        <v>19</v>
      </c>
      <c r="J88" s="10" t="s">
        <v>24</v>
      </c>
      <c r="L88" s="10">
        <v>1</v>
      </c>
      <c r="M88" s="10">
        <v>1</v>
      </c>
      <c r="N88" s="10" t="s">
        <v>2640</v>
      </c>
      <c r="O88" s="10" t="s">
        <v>2687</v>
      </c>
      <c r="R88" s="10" t="s">
        <v>2642</v>
      </c>
      <c r="S88" s="10">
        <v>1</v>
      </c>
      <c r="U88" s="10" t="str">
        <f t="shared" ca="1" si="4"/>
        <v/>
      </c>
      <c r="V88" s="10" t="str">
        <f t="shared" ca="1" si="5"/>
        <v/>
      </c>
      <c r="AE88" s="10" t="s">
        <v>2651</v>
      </c>
    </row>
    <row r="89" spans="1:31" hidden="1">
      <c r="A89" s="2" t="s">
        <v>131</v>
      </c>
      <c r="B89" s="2"/>
      <c r="C89" s="2"/>
      <c r="D89" s="3" t="s">
        <v>133</v>
      </c>
      <c r="E89" s="2" t="s">
        <v>132</v>
      </c>
      <c r="F89" t="s">
        <v>15</v>
      </c>
      <c r="U89" s="10" t="str">
        <f t="shared" ca="1" si="4"/>
        <v/>
      </c>
      <c r="V89" s="10" t="str">
        <f t="shared" ca="1" si="5"/>
        <v/>
      </c>
    </row>
    <row r="90" spans="1:31" hidden="1">
      <c r="A90" s="2" t="s">
        <v>134</v>
      </c>
      <c r="B90" s="2"/>
      <c r="C90" s="2"/>
      <c r="D90" s="2" t="s">
        <v>1347</v>
      </c>
      <c r="E90" s="2" t="s">
        <v>2935</v>
      </c>
      <c r="H90" t="s">
        <v>19</v>
      </c>
      <c r="J90" s="10" t="s">
        <v>2686</v>
      </c>
      <c r="T90" s="10">
        <v>-63</v>
      </c>
      <c r="U90" s="10" t="e">
        <f t="shared" ca="1" si="4"/>
        <v>#N/A</v>
      </c>
      <c r="V90" s="10">
        <v>0</v>
      </c>
      <c r="AE90" s="10" t="s">
        <v>2645</v>
      </c>
    </row>
    <row r="91" spans="1:31">
      <c r="A91" s="2" t="s">
        <v>134</v>
      </c>
      <c r="B91" s="2"/>
      <c r="C91" s="2"/>
      <c r="D91" s="2" t="s">
        <v>1348</v>
      </c>
      <c r="E91" s="2" t="s">
        <v>1349</v>
      </c>
      <c r="G91" t="s">
        <v>21</v>
      </c>
      <c r="I91" t="s">
        <v>1350</v>
      </c>
      <c r="J91" s="10" t="s">
        <v>2688</v>
      </c>
      <c r="U91" s="10" t="str">
        <f t="shared" ca="1" si="4"/>
        <v/>
      </c>
      <c r="V91" s="10" t="str">
        <f t="shared" ca="1" si="5"/>
        <v/>
      </c>
      <c r="AE91" s="10" t="s">
        <v>2651</v>
      </c>
    </row>
    <row r="92" spans="1:31" hidden="1">
      <c r="A92" s="2" t="s">
        <v>134</v>
      </c>
      <c r="B92" s="2"/>
      <c r="C92" s="2"/>
      <c r="D92" s="2" t="s">
        <v>1351</v>
      </c>
      <c r="E92" s="2" t="s">
        <v>1352</v>
      </c>
      <c r="J92" s="10" t="s">
        <v>2686</v>
      </c>
      <c r="T92" s="10">
        <f>166-105</f>
        <v>61</v>
      </c>
      <c r="U92" s="10">
        <f t="shared" ca="1" si="4"/>
        <v>105</v>
      </c>
      <c r="V92" s="10">
        <f t="shared" ca="1" si="5"/>
        <v>166</v>
      </c>
    </row>
    <row r="93" spans="1:31" hidden="1">
      <c r="A93" s="2" t="s">
        <v>134</v>
      </c>
      <c r="B93" s="2"/>
      <c r="C93" s="2"/>
      <c r="D93" s="2" t="s">
        <v>1353</v>
      </c>
      <c r="E93" s="2" t="s">
        <v>1354</v>
      </c>
      <c r="H93" t="s">
        <v>19</v>
      </c>
      <c r="J93" s="10" t="s">
        <v>25</v>
      </c>
      <c r="L93" s="10">
        <v>1</v>
      </c>
      <c r="M93" s="10">
        <v>5</v>
      </c>
      <c r="N93" s="10" t="s">
        <v>2640</v>
      </c>
      <c r="O93" s="10" t="s">
        <v>2647</v>
      </c>
      <c r="S93" s="10">
        <v>2</v>
      </c>
      <c r="U93" s="10" t="str">
        <f t="shared" ca="1" si="4"/>
        <v/>
      </c>
      <c r="V93" s="10" t="str">
        <f t="shared" ca="1" si="5"/>
        <v/>
      </c>
    </row>
    <row r="94" spans="1:31" hidden="1">
      <c r="A94" s="2" t="s">
        <v>135</v>
      </c>
      <c r="B94" s="2"/>
      <c r="C94" s="2"/>
      <c r="D94" s="2" t="s">
        <v>1355</v>
      </c>
      <c r="E94" s="2" t="s">
        <v>2936</v>
      </c>
      <c r="H94" t="s">
        <v>19</v>
      </c>
      <c r="J94" s="10" t="s">
        <v>30</v>
      </c>
      <c r="U94" s="10" t="str">
        <f t="shared" ca="1" si="4"/>
        <v/>
      </c>
      <c r="V94" s="10" t="str">
        <f t="shared" ca="1" si="5"/>
        <v/>
      </c>
    </row>
    <row r="95" spans="1:31" hidden="1">
      <c r="A95" s="2" t="s">
        <v>136</v>
      </c>
      <c r="B95" s="2"/>
      <c r="C95" s="2"/>
      <c r="D95" s="2" t="s">
        <v>1356</v>
      </c>
      <c r="E95" s="2" t="s">
        <v>1357</v>
      </c>
      <c r="F95" t="s">
        <v>11</v>
      </c>
      <c r="U95" s="10" t="str">
        <f t="shared" ca="1" si="4"/>
        <v/>
      </c>
      <c r="V95" s="10" t="str">
        <f t="shared" ca="1" si="5"/>
        <v/>
      </c>
    </row>
    <row r="96" spans="1:31" ht="29" hidden="1">
      <c r="A96" s="2" t="s">
        <v>137</v>
      </c>
      <c r="B96" s="2"/>
      <c r="C96" s="2"/>
      <c r="D96" s="2" t="s">
        <v>1359</v>
      </c>
      <c r="E96" s="2" t="s">
        <v>1358</v>
      </c>
      <c r="H96" t="s">
        <v>19</v>
      </c>
      <c r="J96" s="10" t="s">
        <v>2688</v>
      </c>
      <c r="U96" s="10" t="str">
        <f t="shared" ca="1" si="4"/>
        <v/>
      </c>
      <c r="V96" s="10" t="str">
        <f t="shared" ca="1" si="5"/>
        <v/>
      </c>
      <c r="AE96" s="10" t="s">
        <v>2645</v>
      </c>
    </row>
    <row r="97" spans="1:31" ht="29" hidden="1">
      <c r="A97" s="2" t="s">
        <v>138</v>
      </c>
      <c r="B97" s="2"/>
      <c r="C97" s="2"/>
      <c r="D97" s="2" t="s">
        <v>1361</v>
      </c>
      <c r="E97" s="2" t="s">
        <v>1362</v>
      </c>
      <c r="H97" t="s">
        <v>19</v>
      </c>
      <c r="J97" s="10" t="s">
        <v>2688</v>
      </c>
      <c r="U97" s="10" t="str">
        <f t="shared" ca="1" si="4"/>
        <v/>
      </c>
      <c r="V97" s="10" t="str">
        <f t="shared" ca="1" si="5"/>
        <v/>
      </c>
      <c r="AE97" s="10" t="s">
        <v>2645</v>
      </c>
    </row>
    <row r="98" spans="1:31" ht="29" hidden="1">
      <c r="A98" s="2" t="s">
        <v>138</v>
      </c>
      <c r="B98" s="2"/>
      <c r="C98" s="2"/>
      <c r="D98" s="3" t="s">
        <v>1360</v>
      </c>
      <c r="E98" s="2" t="s">
        <v>1363</v>
      </c>
      <c r="F98" t="s">
        <v>15</v>
      </c>
      <c r="U98" s="10" t="str">
        <f t="shared" ca="1" si="4"/>
        <v/>
      </c>
      <c r="V98" s="10" t="str">
        <f t="shared" ca="1" si="5"/>
        <v/>
      </c>
    </row>
    <row r="99" spans="1:31" hidden="1">
      <c r="A99" s="2" t="s">
        <v>139</v>
      </c>
      <c r="B99" s="2"/>
      <c r="C99" s="2"/>
      <c r="D99" s="2" t="s">
        <v>1365</v>
      </c>
      <c r="E99" s="2" t="s">
        <v>1364</v>
      </c>
      <c r="H99" t="s">
        <v>19</v>
      </c>
      <c r="J99" s="10" t="s">
        <v>2688</v>
      </c>
      <c r="U99" s="10" t="str">
        <f t="shared" ca="1" si="4"/>
        <v/>
      </c>
      <c r="V99" s="10" t="str">
        <f t="shared" ca="1" si="5"/>
        <v/>
      </c>
      <c r="AE99" s="10" t="s">
        <v>2651</v>
      </c>
    </row>
    <row r="100" spans="1:31" hidden="1">
      <c r="A100" s="2" t="s">
        <v>141</v>
      </c>
      <c r="B100" s="2"/>
      <c r="C100" s="2"/>
      <c r="D100" s="2" t="s">
        <v>1366</v>
      </c>
      <c r="E100" s="2" t="s">
        <v>1367</v>
      </c>
      <c r="H100" t="s">
        <v>19</v>
      </c>
      <c r="J100" s="10" t="s">
        <v>24</v>
      </c>
      <c r="L100" s="10">
        <v>1</v>
      </c>
      <c r="M100" s="10">
        <v>1</v>
      </c>
      <c r="N100" s="10" t="s">
        <v>2640</v>
      </c>
      <c r="O100" s="10" t="s">
        <v>2687</v>
      </c>
      <c r="R100" s="10" t="s">
        <v>2642</v>
      </c>
      <c r="S100" s="10">
        <v>0</v>
      </c>
      <c r="U100" s="10" t="str">
        <f t="shared" ca="1" si="4"/>
        <v/>
      </c>
      <c r="V100" s="10" t="str">
        <f t="shared" ca="1" si="5"/>
        <v/>
      </c>
      <c r="AE100" s="10" t="s">
        <v>2651</v>
      </c>
    </row>
    <row r="101" spans="1:31" ht="29" hidden="1">
      <c r="A101" s="2" t="s">
        <v>141</v>
      </c>
      <c r="B101" s="2"/>
      <c r="C101" s="2"/>
      <c r="D101" s="3" t="s">
        <v>1368</v>
      </c>
      <c r="E101" s="2" t="s">
        <v>1369</v>
      </c>
      <c r="F101" t="s">
        <v>15</v>
      </c>
      <c r="J101" s="10" t="s">
        <v>2688</v>
      </c>
      <c r="U101" s="10" t="str">
        <f t="shared" ca="1" si="4"/>
        <v/>
      </c>
      <c r="V101" s="10" t="str">
        <f t="shared" ca="1" si="5"/>
        <v/>
      </c>
    </row>
    <row r="102" spans="1:31" ht="29" hidden="1">
      <c r="A102" s="2" t="s">
        <v>141</v>
      </c>
      <c r="B102" s="2"/>
      <c r="C102" s="2"/>
      <c r="D102" s="2" t="s">
        <v>1371</v>
      </c>
      <c r="E102" s="2" t="s">
        <v>1370</v>
      </c>
      <c r="J102" s="10" t="s">
        <v>2688</v>
      </c>
      <c r="U102" s="10" t="str">
        <f t="shared" ca="1" si="4"/>
        <v/>
      </c>
      <c r="V102" s="10" t="str">
        <f t="shared" ca="1" si="5"/>
        <v/>
      </c>
      <c r="AB102" s="10" t="s">
        <v>2650</v>
      </c>
      <c r="AD102" s="10" t="s">
        <v>19</v>
      </c>
    </row>
    <row r="103" spans="1:31" hidden="1">
      <c r="A103" s="2" t="s">
        <v>142</v>
      </c>
      <c r="B103" s="2"/>
      <c r="C103" s="2"/>
      <c r="D103" s="2" t="s">
        <v>144</v>
      </c>
      <c r="E103" s="2" t="s">
        <v>143</v>
      </c>
      <c r="J103" s="10" t="s">
        <v>2686</v>
      </c>
      <c r="R103" s="10" t="s">
        <v>2642</v>
      </c>
      <c r="T103" s="10" t="s">
        <v>2687</v>
      </c>
      <c r="U103" s="10" t="str">
        <f t="shared" ca="1" si="4"/>
        <v/>
      </c>
      <c r="V103" s="10" t="str">
        <f t="shared" ca="1" si="5"/>
        <v/>
      </c>
      <c r="AE103" s="10" t="s">
        <v>2645</v>
      </c>
    </row>
    <row r="104" spans="1:31" hidden="1">
      <c r="A104" s="2" t="s">
        <v>142</v>
      </c>
      <c r="B104" s="2"/>
      <c r="C104" s="2"/>
      <c r="D104" s="2" t="s">
        <v>1372</v>
      </c>
      <c r="E104" s="2" t="s">
        <v>1373</v>
      </c>
      <c r="H104" t="s">
        <v>19</v>
      </c>
      <c r="J104" s="10" t="s">
        <v>2686</v>
      </c>
      <c r="T104" s="10" t="s">
        <v>2696</v>
      </c>
      <c r="U104" s="10" t="str">
        <f t="shared" ca="1" si="4"/>
        <v/>
      </c>
      <c r="V104" s="10" t="str">
        <f t="shared" ca="1" si="5"/>
        <v/>
      </c>
      <c r="AE104" s="10" t="s">
        <v>2645</v>
      </c>
    </row>
    <row r="105" spans="1:31" hidden="1">
      <c r="A105" s="2" t="s">
        <v>142</v>
      </c>
      <c r="B105" s="2"/>
      <c r="C105" s="2"/>
      <c r="D105" s="2" t="s">
        <v>1374</v>
      </c>
      <c r="E105" s="2" t="s">
        <v>1375</v>
      </c>
      <c r="F105" t="s">
        <v>17</v>
      </c>
      <c r="U105" s="10" t="str">
        <f t="shared" ca="1" si="4"/>
        <v/>
      </c>
      <c r="V105" s="10" t="str">
        <f t="shared" ca="1" si="5"/>
        <v/>
      </c>
    </row>
    <row r="106" spans="1:31" hidden="1">
      <c r="A106" s="2" t="s">
        <v>145</v>
      </c>
      <c r="B106" s="2"/>
      <c r="C106" s="2"/>
      <c r="D106" s="2" t="s">
        <v>1376</v>
      </c>
      <c r="E106" s="2" t="s">
        <v>146</v>
      </c>
      <c r="H106" t="s">
        <v>19</v>
      </c>
      <c r="J106" s="10" t="s">
        <v>2686</v>
      </c>
      <c r="R106" s="10" t="s">
        <v>2642</v>
      </c>
      <c r="T106" s="10" t="s">
        <v>2696</v>
      </c>
      <c r="U106" s="10" t="str">
        <f t="shared" ca="1" si="4"/>
        <v/>
      </c>
      <c r="V106" s="10" t="str">
        <f t="shared" ca="1" si="5"/>
        <v/>
      </c>
      <c r="AB106" s="10" t="s">
        <v>2692</v>
      </c>
      <c r="AD106" s="10" t="s">
        <v>19</v>
      </c>
    </row>
    <row r="107" spans="1:31" hidden="1">
      <c r="A107" s="2" t="s">
        <v>147</v>
      </c>
      <c r="B107" s="2"/>
      <c r="C107" s="2"/>
      <c r="D107" s="2" t="s">
        <v>148</v>
      </c>
      <c r="E107" s="2" t="s">
        <v>148</v>
      </c>
      <c r="G107" t="s">
        <v>20</v>
      </c>
      <c r="U107" s="10" t="str">
        <f t="shared" ca="1" si="4"/>
        <v/>
      </c>
      <c r="V107" s="10" t="str">
        <f t="shared" ca="1" si="5"/>
        <v/>
      </c>
    </row>
    <row r="108" spans="1:31" ht="29" hidden="1">
      <c r="A108" s="2" t="s">
        <v>147</v>
      </c>
      <c r="B108" s="2"/>
      <c r="C108" s="2"/>
      <c r="D108" s="2" t="s">
        <v>1378</v>
      </c>
      <c r="E108" s="2" t="s">
        <v>1377</v>
      </c>
      <c r="J108" s="10" t="s">
        <v>2686</v>
      </c>
      <c r="T108" s="10">
        <f>1701-2475</f>
        <v>-774</v>
      </c>
      <c r="U108" s="10">
        <f t="shared" ca="1" si="4"/>
        <v>2475</v>
      </c>
      <c r="V108" s="10">
        <f t="shared" ca="1" si="5"/>
        <v>1701</v>
      </c>
    </row>
    <row r="109" spans="1:31" hidden="1">
      <c r="A109" s="2" t="s">
        <v>149</v>
      </c>
      <c r="B109" s="2"/>
      <c r="C109" s="2"/>
      <c r="D109" s="13" t="s">
        <v>1379</v>
      </c>
      <c r="E109" s="2" t="s">
        <v>150</v>
      </c>
      <c r="H109" t="s">
        <v>19</v>
      </c>
      <c r="J109" s="10" t="s">
        <v>2688</v>
      </c>
      <c r="U109" s="10" t="str">
        <f t="shared" ca="1" si="4"/>
        <v/>
      </c>
      <c r="V109" s="10" t="str">
        <f t="shared" ca="1" si="5"/>
        <v/>
      </c>
      <c r="AE109" s="10" t="s">
        <v>2645</v>
      </c>
    </row>
    <row r="110" spans="1:31" hidden="1">
      <c r="A110" s="2" t="s">
        <v>149</v>
      </c>
      <c r="B110" s="2"/>
      <c r="C110" s="2"/>
      <c r="D110" s="2" t="s">
        <v>1380</v>
      </c>
      <c r="E110" s="2" t="s">
        <v>1381</v>
      </c>
      <c r="J110" s="10" t="s">
        <v>2686</v>
      </c>
      <c r="T110" s="10" t="s">
        <v>2687</v>
      </c>
      <c r="U110" s="10" t="str">
        <f t="shared" ca="1" si="4"/>
        <v/>
      </c>
      <c r="V110" s="10" t="str">
        <f t="shared" ca="1" si="5"/>
        <v/>
      </c>
      <c r="AE110" s="10" t="s">
        <v>2645</v>
      </c>
    </row>
    <row r="111" spans="1:31" hidden="1">
      <c r="A111" s="2" t="s">
        <v>151</v>
      </c>
      <c r="B111" s="2"/>
      <c r="C111" s="2"/>
      <c r="D111" s="2" t="s">
        <v>1382</v>
      </c>
      <c r="E111" s="2" t="s">
        <v>1383</v>
      </c>
      <c r="H111" t="s">
        <v>19</v>
      </c>
      <c r="J111" s="10" t="s">
        <v>2686</v>
      </c>
      <c r="T111" s="10">
        <f>10-613</f>
        <v>-603</v>
      </c>
      <c r="U111" s="10">
        <f t="shared" ca="1" si="4"/>
        <v>613</v>
      </c>
      <c r="V111" s="10">
        <f t="shared" ca="1" si="5"/>
        <v>10</v>
      </c>
      <c r="AE111" s="10" t="s">
        <v>2651</v>
      </c>
    </row>
    <row r="112" spans="1:31" hidden="1">
      <c r="A112" s="2" t="s">
        <v>152</v>
      </c>
      <c r="B112" s="2"/>
      <c r="C112" s="2"/>
      <c r="D112" s="2" t="s">
        <v>1384</v>
      </c>
      <c r="E112" s="2" t="s">
        <v>1385</v>
      </c>
      <c r="H112" t="s">
        <v>19</v>
      </c>
      <c r="J112" s="10" t="s">
        <v>2686</v>
      </c>
      <c r="T112" s="10">
        <f>613-2475</f>
        <v>-1862</v>
      </c>
      <c r="U112" s="10">
        <f t="shared" ca="1" si="4"/>
        <v>2475</v>
      </c>
      <c r="V112" s="10">
        <f t="shared" ca="1" si="5"/>
        <v>613</v>
      </c>
      <c r="AE112" s="10" t="s">
        <v>2651</v>
      </c>
    </row>
    <row r="113" spans="1:31" hidden="1">
      <c r="A113" s="2" t="s">
        <v>152</v>
      </c>
      <c r="B113" s="2"/>
      <c r="C113" s="2"/>
      <c r="D113" s="2" t="s">
        <v>1386</v>
      </c>
      <c r="E113" s="2" t="s">
        <v>1387</v>
      </c>
      <c r="F113" t="s">
        <v>11</v>
      </c>
      <c r="H113" t="s">
        <v>19</v>
      </c>
      <c r="U113" s="10" t="str">
        <f t="shared" ca="1" si="4"/>
        <v/>
      </c>
      <c r="V113" s="10" t="str">
        <f t="shared" ca="1" si="5"/>
        <v/>
      </c>
    </row>
    <row r="114" spans="1:31" hidden="1">
      <c r="A114" s="2" t="s">
        <v>152</v>
      </c>
      <c r="B114" s="2"/>
      <c r="C114" s="2"/>
      <c r="D114" s="2" t="s">
        <v>1388</v>
      </c>
      <c r="E114" s="2" t="s">
        <v>153</v>
      </c>
      <c r="H114" t="s">
        <v>19</v>
      </c>
      <c r="J114" s="10" t="s">
        <v>2686</v>
      </c>
      <c r="T114" s="10" t="s">
        <v>2687</v>
      </c>
      <c r="U114" s="10" t="str">
        <f t="shared" ca="1" si="4"/>
        <v/>
      </c>
      <c r="V114" s="10" t="str">
        <f t="shared" ca="1" si="5"/>
        <v/>
      </c>
      <c r="AE114" s="10" t="s">
        <v>2645</v>
      </c>
    </row>
    <row r="115" spans="1:31" hidden="1">
      <c r="A115" s="2" t="s">
        <v>154</v>
      </c>
      <c r="B115" s="2"/>
      <c r="C115" s="2"/>
      <c r="D115" s="2" t="s">
        <v>1389</v>
      </c>
      <c r="E115" s="2" t="s">
        <v>1390</v>
      </c>
      <c r="H115" t="s">
        <v>19</v>
      </c>
      <c r="J115" s="10" t="s">
        <v>2688</v>
      </c>
      <c r="U115" s="10" t="str">
        <f t="shared" ca="1" si="4"/>
        <v/>
      </c>
      <c r="V115" s="10" t="str">
        <f t="shared" ca="1" si="5"/>
        <v/>
      </c>
      <c r="AE115" s="10" t="s">
        <v>2651</v>
      </c>
    </row>
    <row r="116" spans="1:31" ht="29" hidden="1">
      <c r="A116" s="2" t="s">
        <v>155</v>
      </c>
      <c r="B116" s="2"/>
      <c r="C116" s="2"/>
      <c r="D116" s="2" t="s">
        <v>2909</v>
      </c>
      <c r="E116" s="2" t="s">
        <v>2702</v>
      </c>
      <c r="J116" s="10" t="s">
        <v>2688</v>
      </c>
      <c r="U116" s="10" t="str">
        <f t="shared" ca="1" si="4"/>
        <v/>
      </c>
      <c r="V116" s="10" t="str">
        <f t="shared" ca="1" si="5"/>
        <v/>
      </c>
      <c r="AE116" s="10" t="s">
        <v>2657</v>
      </c>
    </row>
    <row r="117" spans="1:31" hidden="1">
      <c r="A117" s="2" t="s">
        <v>156</v>
      </c>
      <c r="B117" s="2"/>
      <c r="C117" s="2"/>
      <c r="D117" s="2" t="s">
        <v>1391</v>
      </c>
      <c r="E117" s="2" t="s">
        <v>1392</v>
      </c>
      <c r="H117" t="s">
        <v>19</v>
      </c>
      <c r="J117" s="10" t="s">
        <v>2686</v>
      </c>
      <c r="T117" s="10" t="s">
        <v>2696</v>
      </c>
      <c r="U117" s="10" t="str">
        <f t="shared" ca="1" si="4"/>
        <v/>
      </c>
      <c r="V117" s="10" t="str">
        <f t="shared" ca="1" si="5"/>
        <v/>
      </c>
      <c r="AE117" s="10" t="s">
        <v>2645</v>
      </c>
    </row>
    <row r="118" spans="1:31" hidden="1">
      <c r="A118" s="2" t="s">
        <v>156</v>
      </c>
      <c r="B118" s="2"/>
      <c r="C118" s="2"/>
      <c r="D118" s="2" t="s">
        <v>1393</v>
      </c>
      <c r="E118" s="2" t="s">
        <v>1394</v>
      </c>
      <c r="F118" t="s">
        <v>17</v>
      </c>
      <c r="H118" t="s">
        <v>19</v>
      </c>
      <c r="U118" s="10" t="str">
        <f t="shared" ca="1" si="4"/>
        <v/>
      </c>
      <c r="V118" s="10" t="str">
        <f t="shared" ca="1" si="5"/>
        <v/>
      </c>
    </row>
    <row r="119" spans="1:31" hidden="1">
      <c r="A119" s="2" t="s">
        <v>157</v>
      </c>
      <c r="B119" s="2"/>
      <c r="C119" s="2"/>
      <c r="D119" s="2" t="s">
        <v>159</v>
      </c>
      <c r="E119" s="2" t="s">
        <v>158</v>
      </c>
      <c r="J119" s="10" t="s">
        <v>2686</v>
      </c>
      <c r="T119" s="10" t="s">
        <v>2696</v>
      </c>
      <c r="U119" s="10" t="str">
        <f t="shared" ca="1" si="4"/>
        <v/>
      </c>
      <c r="V119" s="10" t="str">
        <f t="shared" ca="1" si="5"/>
        <v/>
      </c>
      <c r="AC119" s="10" t="s">
        <v>2801</v>
      </c>
      <c r="AD119" s="10" t="s">
        <v>19</v>
      </c>
      <c r="AE119" s="10" t="s">
        <v>2645</v>
      </c>
    </row>
    <row r="120" spans="1:31" hidden="1">
      <c r="A120" s="2" t="s">
        <v>157</v>
      </c>
      <c r="B120" s="2"/>
      <c r="C120" s="2"/>
      <c r="D120" s="2" t="s">
        <v>1395</v>
      </c>
      <c r="E120" s="2" t="s">
        <v>1396</v>
      </c>
      <c r="J120" s="10" t="s">
        <v>2686</v>
      </c>
      <c r="T120" s="10" t="s">
        <v>2687</v>
      </c>
      <c r="U120" s="10" t="str">
        <f t="shared" ca="1" si="4"/>
        <v/>
      </c>
      <c r="V120" s="10" t="str">
        <f t="shared" ca="1" si="5"/>
        <v/>
      </c>
      <c r="AE120" s="10" t="s">
        <v>2645</v>
      </c>
    </row>
    <row r="121" spans="1:31">
      <c r="A121" s="2" t="s">
        <v>160</v>
      </c>
      <c r="B121" s="2"/>
      <c r="C121" s="2"/>
      <c r="D121" s="2" t="s">
        <v>162</v>
      </c>
      <c r="E121" s="2" t="s">
        <v>161</v>
      </c>
      <c r="J121" s="10" t="s">
        <v>2686</v>
      </c>
      <c r="T121" s="10" t="s">
        <v>2696</v>
      </c>
      <c r="U121" s="10" t="str">
        <f t="shared" ca="1" si="4"/>
        <v/>
      </c>
      <c r="V121" s="10" t="str">
        <f t="shared" ca="1" si="5"/>
        <v/>
      </c>
      <c r="AE121" s="10" t="s">
        <v>2645</v>
      </c>
    </row>
    <row r="122" spans="1:31" hidden="1">
      <c r="A122" s="2" t="s">
        <v>160</v>
      </c>
      <c r="B122" s="2"/>
      <c r="C122" s="2"/>
      <c r="D122" s="2" t="s">
        <v>1397</v>
      </c>
      <c r="E122" s="3" t="s">
        <v>1398</v>
      </c>
      <c r="F122" t="s">
        <v>16</v>
      </c>
      <c r="U122" s="10" t="str">
        <f t="shared" ca="1" si="4"/>
        <v/>
      </c>
      <c r="V122" s="10" t="str">
        <f t="shared" ca="1" si="5"/>
        <v/>
      </c>
    </row>
    <row r="123" spans="1:31" hidden="1">
      <c r="A123" s="2" t="s">
        <v>163</v>
      </c>
      <c r="B123" s="2"/>
      <c r="C123" s="2"/>
      <c r="D123" s="2" t="s">
        <v>1399</v>
      </c>
      <c r="E123" s="2" t="s">
        <v>1400</v>
      </c>
      <c r="H123" t="s">
        <v>19</v>
      </c>
      <c r="J123" s="10" t="s">
        <v>2688</v>
      </c>
      <c r="U123" s="10" t="str">
        <f t="shared" ca="1" si="4"/>
        <v/>
      </c>
      <c r="V123" s="10" t="str">
        <f t="shared" ca="1" si="5"/>
        <v/>
      </c>
      <c r="AE123" s="10" t="s">
        <v>2651</v>
      </c>
    </row>
    <row r="124" spans="1:31" hidden="1">
      <c r="A124" s="2" t="s">
        <v>164</v>
      </c>
      <c r="B124" s="2"/>
      <c r="C124" s="2"/>
      <c r="D124" s="2" t="s">
        <v>166</v>
      </c>
      <c r="E124" s="2" t="s">
        <v>165</v>
      </c>
      <c r="J124" s="10" t="s">
        <v>2688</v>
      </c>
      <c r="U124" s="10" t="str">
        <f t="shared" ca="1" si="4"/>
        <v/>
      </c>
      <c r="V124" s="10" t="str">
        <f t="shared" ca="1" si="5"/>
        <v/>
      </c>
      <c r="AC124" s="10" t="s">
        <v>2703</v>
      </c>
      <c r="AD124" s="10" t="s">
        <v>19</v>
      </c>
      <c r="AE124" s="10" t="s">
        <v>2645</v>
      </c>
    </row>
    <row r="125" spans="1:31" ht="29" hidden="1">
      <c r="A125" s="2" t="s">
        <v>164</v>
      </c>
      <c r="B125" s="2"/>
      <c r="C125" s="2"/>
      <c r="D125" s="2" t="s">
        <v>1401</v>
      </c>
      <c r="E125" s="2" t="s">
        <v>1402</v>
      </c>
      <c r="H125" t="s">
        <v>19</v>
      </c>
      <c r="J125" s="10" t="s">
        <v>2688</v>
      </c>
      <c r="U125" s="10" t="str">
        <f t="shared" ca="1" si="4"/>
        <v/>
      </c>
      <c r="V125" s="10" t="str">
        <f t="shared" ca="1" si="5"/>
        <v/>
      </c>
      <c r="AE125" s="10" t="s">
        <v>2651</v>
      </c>
    </row>
    <row r="126" spans="1:31" hidden="1">
      <c r="A126" s="2" t="s">
        <v>164</v>
      </c>
      <c r="B126" s="2"/>
      <c r="C126" s="2"/>
      <c r="D126" s="2" t="s">
        <v>1403</v>
      </c>
      <c r="E126" s="2" t="s">
        <v>1404</v>
      </c>
      <c r="H126" t="s">
        <v>19</v>
      </c>
      <c r="J126" s="10" t="s">
        <v>2686</v>
      </c>
      <c r="T126" s="10">
        <f>86-146</f>
        <v>-60</v>
      </c>
      <c r="U126" s="10">
        <f t="shared" ca="1" si="4"/>
        <v>146</v>
      </c>
      <c r="V126" s="10">
        <f t="shared" ca="1" si="5"/>
        <v>86</v>
      </c>
    </row>
    <row r="127" spans="1:31" ht="29" hidden="1">
      <c r="A127" s="2" t="s">
        <v>168</v>
      </c>
      <c r="B127" s="2"/>
      <c r="C127" s="2"/>
      <c r="D127" s="2" t="s">
        <v>1405</v>
      </c>
      <c r="E127" s="2" t="s">
        <v>1406</v>
      </c>
      <c r="H127" t="s">
        <v>19</v>
      </c>
      <c r="J127" s="10" t="s">
        <v>24</v>
      </c>
      <c r="L127" s="10">
        <v>1</v>
      </c>
      <c r="M127" s="10">
        <v>5</v>
      </c>
      <c r="N127" s="10" t="s">
        <v>2660</v>
      </c>
      <c r="O127" s="10" t="s">
        <v>2647</v>
      </c>
      <c r="S127" s="10">
        <v>65</v>
      </c>
      <c r="U127" s="10" t="str">
        <f t="shared" ca="1" si="4"/>
        <v/>
      </c>
      <c r="V127" s="10" t="str">
        <f t="shared" ca="1" si="5"/>
        <v/>
      </c>
    </row>
    <row r="128" spans="1:31" hidden="1">
      <c r="A128" s="2" t="s">
        <v>168</v>
      </c>
      <c r="B128" s="2"/>
      <c r="C128" s="2"/>
      <c r="D128" s="2" t="s">
        <v>1407</v>
      </c>
      <c r="E128" s="2" t="s">
        <v>170</v>
      </c>
      <c r="H128" t="s">
        <v>19</v>
      </c>
      <c r="J128" s="10" t="s">
        <v>2686</v>
      </c>
      <c r="T128" s="10" t="s">
        <v>2687</v>
      </c>
      <c r="U128" s="10" t="str">
        <f t="shared" ca="1" si="4"/>
        <v/>
      </c>
      <c r="V128" s="10" t="str">
        <f t="shared" ca="1" si="5"/>
        <v/>
      </c>
      <c r="AB128" s="10" t="s">
        <v>2692</v>
      </c>
      <c r="AD128" s="10" t="s">
        <v>19</v>
      </c>
      <c r="AE128" s="10" t="s">
        <v>2645</v>
      </c>
    </row>
    <row r="129" spans="1:31" hidden="1">
      <c r="A129" s="2" t="s">
        <v>171</v>
      </c>
      <c r="B129" s="2"/>
      <c r="C129" s="2"/>
      <c r="D129" s="2" t="s">
        <v>173</v>
      </c>
      <c r="E129" s="3" t="s">
        <v>172</v>
      </c>
      <c r="F129" t="s">
        <v>16</v>
      </c>
      <c r="U129" s="10" t="str">
        <f t="shared" ref="U129:U189" ca="1" si="6">IF(ISNUMBER(T129),VALUE(MID(_xlfn.FORMULATEXT(T129),SEARCH("-",_xlfn.FORMULATEXT(T129))+1,LEN(_xlfn.FORMULATEXT(T129))-SEARCH("-",_xlfn.FORMULATEXT(T129)))), "")</f>
        <v/>
      </c>
      <c r="V129" s="10" t="str">
        <f t="shared" ref="V129:V189" ca="1" si="7">IF(ISNUMBER(T129), VALUE(MID(_xlfn.FORMULATEXT(T129), 2, SEARCH("-", _xlfn.FORMULATEXT(T129)) - 2)), "")</f>
        <v/>
      </c>
    </row>
    <row r="130" spans="1:31" hidden="1">
      <c r="A130" s="2" t="s">
        <v>174</v>
      </c>
      <c r="B130" s="2"/>
      <c r="C130" s="2"/>
      <c r="D130" s="13" t="s">
        <v>1408</v>
      </c>
      <c r="E130" t="s">
        <v>1409</v>
      </c>
      <c r="H130" t="s">
        <v>19</v>
      </c>
      <c r="J130" s="10" t="s">
        <v>25</v>
      </c>
      <c r="L130" s="10">
        <v>1</v>
      </c>
      <c r="M130" s="10">
        <v>3</v>
      </c>
      <c r="N130" s="10" t="s">
        <v>2646</v>
      </c>
      <c r="O130" s="10" t="s">
        <v>2641</v>
      </c>
      <c r="P130" s="10" t="s">
        <v>2704</v>
      </c>
      <c r="Q130" s="11" t="s">
        <v>2705</v>
      </c>
      <c r="R130" s="10" t="s">
        <v>2642</v>
      </c>
      <c r="S130" s="10">
        <v>2475</v>
      </c>
      <c r="U130" s="10" t="str">
        <f t="shared" ca="1" si="6"/>
        <v/>
      </c>
      <c r="V130" s="10" t="str">
        <f t="shared" ca="1" si="7"/>
        <v/>
      </c>
    </row>
    <row r="131" spans="1:31" hidden="1">
      <c r="A131" s="2" t="s">
        <v>175</v>
      </c>
      <c r="B131" s="2"/>
      <c r="C131" s="2"/>
      <c r="D131" s="2" t="s">
        <v>1410</v>
      </c>
      <c r="E131" s="2" t="s">
        <v>1411</v>
      </c>
      <c r="H131" t="s">
        <v>19</v>
      </c>
      <c r="J131" s="10" t="s">
        <v>2686</v>
      </c>
      <c r="R131" s="10" t="s">
        <v>2642</v>
      </c>
      <c r="T131" s="10" t="s">
        <v>2687</v>
      </c>
      <c r="U131" s="10" t="str">
        <f t="shared" ca="1" si="6"/>
        <v/>
      </c>
      <c r="V131" s="10" t="str">
        <f t="shared" ca="1" si="7"/>
        <v/>
      </c>
      <c r="AE131" s="10" t="s">
        <v>2645</v>
      </c>
    </row>
    <row r="132" spans="1:31" ht="29" hidden="1">
      <c r="A132" s="2" t="s">
        <v>175</v>
      </c>
      <c r="B132" s="2"/>
      <c r="C132" s="2"/>
      <c r="D132" s="2" t="s">
        <v>1412</v>
      </c>
      <c r="E132" s="2" t="s">
        <v>1413</v>
      </c>
      <c r="H132" t="s">
        <v>19</v>
      </c>
      <c r="J132" s="10" t="s">
        <v>2688</v>
      </c>
      <c r="U132" s="10" t="str">
        <f t="shared" ca="1" si="6"/>
        <v/>
      </c>
      <c r="V132" s="10" t="str">
        <f t="shared" ca="1" si="7"/>
        <v/>
      </c>
    </row>
    <row r="133" spans="1:31" hidden="1">
      <c r="A133" s="2" t="s">
        <v>176</v>
      </c>
      <c r="B133" s="2"/>
      <c r="C133" s="2"/>
      <c r="D133" s="13" t="s">
        <v>801</v>
      </c>
      <c r="E133" s="2" t="s">
        <v>177</v>
      </c>
      <c r="H133" t="s">
        <v>19</v>
      </c>
      <c r="J133" s="10" t="s">
        <v>2688</v>
      </c>
      <c r="U133" s="10" t="str">
        <f t="shared" ca="1" si="6"/>
        <v/>
      </c>
      <c r="V133" s="10" t="str">
        <f t="shared" ca="1" si="7"/>
        <v/>
      </c>
      <c r="AE133" s="10" t="s">
        <v>2645</v>
      </c>
    </row>
    <row r="134" spans="1:31" hidden="1">
      <c r="A134" s="2" t="s">
        <v>178</v>
      </c>
      <c r="B134" s="2"/>
      <c r="C134" s="2"/>
      <c r="D134" s="2" t="s">
        <v>1414</v>
      </c>
      <c r="E134" s="2" t="s">
        <v>1415</v>
      </c>
      <c r="H134" t="s">
        <v>19</v>
      </c>
      <c r="J134" s="10" t="s">
        <v>2686</v>
      </c>
      <c r="T134" s="10">
        <f>280-31</f>
        <v>249</v>
      </c>
      <c r="U134" s="10">
        <f t="shared" ca="1" si="6"/>
        <v>31</v>
      </c>
      <c r="V134" s="10">
        <f t="shared" ca="1" si="7"/>
        <v>280</v>
      </c>
    </row>
    <row r="135" spans="1:31" hidden="1">
      <c r="A135" s="2" t="s">
        <v>178</v>
      </c>
      <c r="B135" s="2"/>
      <c r="C135" s="2"/>
      <c r="D135" s="3" t="s">
        <v>1417</v>
      </c>
      <c r="E135" s="2" t="s">
        <v>1416</v>
      </c>
      <c r="F135" t="s">
        <v>15</v>
      </c>
      <c r="U135" s="10" t="str">
        <f t="shared" ca="1" si="6"/>
        <v/>
      </c>
      <c r="V135" s="10" t="str">
        <f t="shared" ca="1" si="7"/>
        <v/>
      </c>
    </row>
    <row r="136" spans="1:31" hidden="1">
      <c r="A136" s="2" t="s">
        <v>178</v>
      </c>
      <c r="B136" s="2"/>
      <c r="C136" s="2"/>
      <c r="D136" s="2" t="s">
        <v>1418</v>
      </c>
      <c r="E136" s="2" t="s">
        <v>1419</v>
      </c>
      <c r="J136" s="10" t="s">
        <v>2688</v>
      </c>
      <c r="U136" s="10" t="str">
        <f t="shared" ca="1" si="6"/>
        <v/>
      </c>
      <c r="V136" s="10" t="str">
        <f t="shared" ca="1" si="7"/>
        <v/>
      </c>
      <c r="AE136" s="10" t="s">
        <v>2645</v>
      </c>
    </row>
    <row r="137" spans="1:31" hidden="1">
      <c r="A137" s="2" t="s">
        <v>179</v>
      </c>
      <c r="B137" s="2"/>
      <c r="C137" s="2"/>
      <c r="D137" s="2" t="s">
        <v>181</v>
      </c>
      <c r="E137" s="2" t="s">
        <v>180</v>
      </c>
      <c r="J137" s="10" t="s">
        <v>2686</v>
      </c>
      <c r="T137" s="10" t="s">
        <v>2696</v>
      </c>
      <c r="U137" s="10" t="str">
        <f t="shared" ca="1" si="6"/>
        <v/>
      </c>
      <c r="V137" s="10" t="str">
        <f t="shared" ca="1" si="7"/>
        <v/>
      </c>
      <c r="AB137" s="10" t="s">
        <v>2692</v>
      </c>
      <c r="AD137" s="10" t="s">
        <v>19</v>
      </c>
    </row>
    <row r="138" spans="1:31" hidden="1">
      <c r="A138" s="2" t="s">
        <v>182</v>
      </c>
      <c r="B138" s="2"/>
      <c r="C138" s="2"/>
      <c r="D138" s="2" t="s">
        <v>1421</v>
      </c>
      <c r="E138" s="2" t="s">
        <v>1420</v>
      </c>
      <c r="H138" t="s">
        <v>19</v>
      </c>
      <c r="J138" s="10" t="s">
        <v>24</v>
      </c>
      <c r="L138" s="10">
        <v>1</v>
      </c>
      <c r="M138" s="10">
        <v>6</v>
      </c>
      <c r="N138" s="10" t="s">
        <v>2660</v>
      </c>
      <c r="O138" s="10" t="s">
        <v>2647</v>
      </c>
      <c r="S138" s="10">
        <v>250</v>
      </c>
      <c r="U138" s="10" t="str">
        <f t="shared" ca="1" si="6"/>
        <v/>
      </c>
      <c r="V138" s="10" t="str">
        <f t="shared" ca="1" si="7"/>
        <v/>
      </c>
    </row>
    <row r="139" spans="1:31" hidden="1">
      <c r="A139" s="2" t="s">
        <v>183</v>
      </c>
      <c r="B139" s="2"/>
      <c r="C139" s="2"/>
      <c r="D139" s="2" t="s">
        <v>185</v>
      </c>
      <c r="E139" s="2" t="s">
        <v>184</v>
      </c>
      <c r="J139" s="10" t="s">
        <v>2688</v>
      </c>
      <c r="U139" s="10" t="str">
        <f t="shared" ca="1" si="6"/>
        <v/>
      </c>
      <c r="V139" s="10" t="str">
        <f t="shared" ca="1" si="7"/>
        <v/>
      </c>
      <c r="AC139" s="10" t="s">
        <v>2701</v>
      </c>
      <c r="AD139" s="10" t="s">
        <v>19</v>
      </c>
    </row>
    <row r="140" spans="1:31" ht="29" hidden="1">
      <c r="A140" s="2" t="s">
        <v>186</v>
      </c>
      <c r="B140" s="2"/>
      <c r="C140" s="2"/>
      <c r="D140" s="2" t="s">
        <v>2910</v>
      </c>
      <c r="E140" s="2" t="s">
        <v>2706</v>
      </c>
      <c r="J140" s="10" t="s">
        <v>2688</v>
      </c>
      <c r="U140" s="10" t="str">
        <f t="shared" ca="1" si="6"/>
        <v/>
      </c>
      <c r="V140" s="10" t="str">
        <f t="shared" ca="1" si="7"/>
        <v/>
      </c>
      <c r="AE140" s="10" t="s">
        <v>2651</v>
      </c>
    </row>
    <row r="141" spans="1:31" hidden="1">
      <c r="A141" s="2" t="s">
        <v>187</v>
      </c>
      <c r="B141" s="2"/>
      <c r="C141" s="2"/>
      <c r="D141" s="13" t="s">
        <v>1422</v>
      </c>
      <c r="E141" t="s">
        <v>1423</v>
      </c>
      <c r="H141" t="s">
        <v>19</v>
      </c>
      <c r="J141" s="10" t="s">
        <v>25</v>
      </c>
      <c r="L141" s="10">
        <v>1</v>
      </c>
      <c r="M141" s="10">
        <v>3</v>
      </c>
      <c r="N141" s="10" t="s">
        <v>2646</v>
      </c>
      <c r="O141" s="10" t="s">
        <v>2647</v>
      </c>
      <c r="S141" s="10">
        <v>2475</v>
      </c>
      <c r="U141" s="10" t="str">
        <f t="shared" ca="1" si="6"/>
        <v/>
      </c>
      <c r="V141" s="10" t="str">
        <f t="shared" ca="1" si="7"/>
        <v/>
      </c>
    </row>
    <row r="142" spans="1:31" hidden="1">
      <c r="A142" s="2" t="s">
        <v>187</v>
      </c>
      <c r="B142" s="2"/>
      <c r="C142" s="2"/>
      <c r="D142" s="2" t="s">
        <v>189</v>
      </c>
      <c r="E142" s="2" t="s">
        <v>188</v>
      </c>
      <c r="J142" s="10" t="s">
        <v>2689</v>
      </c>
      <c r="T142" s="10">
        <f>0-8</f>
        <v>-8</v>
      </c>
      <c r="U142" s="10">
        <f t="shared" ca="1" si="6"/>
        <v>8</v>
      </c>
      <c r="V142" s="10">
        <f t="shared" ca="1" si="7"/>
        <v>0</v>
      </c>
      <c r="AC142" s="10" t="s">
        <v>2701</v>
      </c>
      <c r="AD142" s="10" t="s">
        <v>19</v>
      </c>
      <c r="AE142" s="10" t="s">
        <v>2651</v>
      </c>
    </row>
    <row r="143" spans="1:31" ht="29" hidden="1">
      <c r="A143" s="2" t="s">
        <v>190</v>
      </c>
      <c r="B143" s="2"/>
      <c r="C143" s="2"/>
      <c r="D143" s="2" t="s">
        <v>1424</v>
      </c>
      <c r="E143" s="2" t="s">
        <v>1425</v>
      </c>
      <c r="F143" t="s">
        <v>36</v>
      </c>
      <c r="I143" s="4"/>
      <c r="J143" s="10" t="s">
        <v>2688</v>
      </c>
      <c r="U143" s="10" t="str">
        <f t="shared" ca="1" si="6"/>
        <v/>
      </c>
      <c r="V143" s="10" t="str">
        <f t="shared" ca="1" si="7"/>
        <v/>
      </c>
      <c r="AB143" s="10" t="s">
        <v>2659</v>
      </c>
      <c r="AD143" s="10" t="s">
        <v>19</v>
      </c>
      <c r="AE143" s="10" t="s">
        <v>2657</v>
      </c>
    </row>
    <row r="144" spans="1:31" hidden="1">
      <c r="A144" s="2" t="s">
        <v>190</v>
      </c>
      <c r="B144" s="2"/>
      <c r="C144" s="2"/>
      <c r="D144" s="2" t="s">
        <v>1426</v>
      </c>
      <c r="E144" s="2" t="s">
        <v>1427</v>
      </c>
      <c r="H144" t="s">
        <v>19</v>
      </c>
      <c r="J144" s="10" t="s">
        <v>2688</v>
      </c>
      <c r="U144" s="10" t="str">
        <f t="shared" ca="1" si="6"/>
        <v/>
      </c>
      <c r="V144" s="10" t="str">
        <f t="shared" ca="1" si="7"/>
        <v/>
      </c>
      <c r="AE144" s="10" t="s">
        <v>2651</v>
      </c>
    </row>
    <row r="145" spans="1:31" hidden="1">
      <c r="A145" s="2" t="s">
        <v>191</v>
      </c>
      <c r="B145" s="2"/>
      <c r="C145" s="2"/>
      <c r="D145" s="2" t="s">
        <v>1428</v>
      </c>
      <c r="E145" s="2" t="s">
        <v>192</v>
      </c>
      <c r="H145" t="s">
        <v>19</v>
      </c>
      <c r="J145" s="10" t="s">
        <v>2686</v>
      </c>
      <c r="T145" s="10" t="s">
        <v>2696</v>
      </c>
      <c r="U145" s="10" t="str">
        <f t="shared" ca="1" si="6"/>
        <v/>
      </c>
      <c r="V145" s="10" t="str">
        <f t="shared" ca="1" si="7"/>
        <v/>
      </c>
      <c r="AE145" s="10" t="s">
        <v>2645</v>
      </c>
    </row>
    <row r="146" spans="1:31" ht="29" hidden="1">
      <c r="A146" s="2" t="s">
        <v>193</v>
      </c>
      <c r="B146" s="2"/>
      <c r="C146" s="2"/>
      <c r="D146" s="2" t="s">
        <v>1429</v>
      </c>
      <c r="E146" s="2" t="s">
        <v>1430</v>
      </c>
      <c r="J146" s="10" t="s">
        <v>25</v>
      </c>
      <c r="L146" s="10">
        <v>1</v>
      </c>
      <c r="M146" s="10">
        <v>3</v>
      </c>
      <c r="N146" s="10" t="s">
        <v>2655</v>
      </c>
      <c r="O146" s="10" t="s">
        <v>2647</v>
      </c>
      <c r="S146" s="10">
        <v>1701</v>
      </c>
      <c r="U146" s="10" t="str">
        <f t="shared" ca="1" si="6"/>
        <v/>
      </c>
      <c r="V146" s="10" t="str">
        <f t="shared" ca="1" si="7"/>
        <v/>
      </c>
    </row>
    <row r="147" spans="1:31" hidden="1">
      <c r="A147" s="2" t="s">
        <v>193</v>
      </c>
      <c r="B147" s="2"/>
      <c r="C147" s="2"/>
      <c r="D147" s="2" t="s">
        <v>1431</v>
      </c>
      <c r="E147" s="2" t="s">
        <v>1432</v>
      </c>
      <c r="H147" t="s">
        <v>19</v>
      </c>
      <c r="J147" s="10" t="s">
        <v>2686</v>
      </c>
      <c r="R147" s="10" t="s">
        <v>2642</v>
      </c>
      <c r="T147" s="10" t="s">
        <v>2696</v>
      </c>
      <c r="U147" s="10" t="str">
        <f t="shared" ca="1" si="6"/>
        <v/>
      </c>
      <c r="V147" s="10" t="str">
        <f t="shared" ca="1" si="7"/>
        <v/>
      </c>
      <c r="AE147" s="10" t="s">
        <v>2645</v>
      </c>
    </row>
    <row r="148" spans="1:31" hidden="1">
      <c r="A148" s="2" t="s">
        <v>194</v>
      </c>
      <c r="B148" s="2"/>
      <c r="C148" s="2"/>
      <c r="D148" s="2" t="s">
        <v>1433</v>
      </c>
      <c r="E148" s="2" t="s">
        <v>1434</v>
      </c>
      <c r="F148" t="s">
        <v>17</v>
      </c>
      <c r="U148" s="10" t="str">
        <f t="shared" ca="1" si="6"/>
        <v/>
      </c>
      <c r="V148" s="10" t="str">
        <f t="shared" ca="1" si="7"/>
        <v/>
      </c>
    </row>
    <row r="149" spans="1:31" hidden="1">
      <c r="A149" s="2" t="s">
        <v>195</v>
      </c>
      <c r="B149" s="2"/>
      <c r="C149" s="2"/>
      <c r="D149" s="3" t="s">
        <v>1436</v>
      </c>
      <c r="E149" s="2" t="s">
        <v>1435</v>
      </c>
      <c r="F149" t="s">
        <v>15</v>
      </c>
      <c r="U149" s="10" t="str">
        <f t="shared" ca="1" si="6"/>
        <v/>
      </c>
      <c r="V149" s="10" t="str">
        <f t="shared" ca="1" si="7"/>
        <v/>
      </c>
    </row>
    <row r="150" spans="1:31" ht="29">
      <c r="A150" s="2" t="s">
        <v>195</v>
      </c>
      <c r="B150" s="2"/>
      <c r="C150" s="2"/>
      <c r="D150" s="2" t="s">
        <v>1437</v>
      </c>
      <c r="E150" s="2" t="s">
        <v>1438</v>
      </c>
      <c r="H150" t="s">
        <v>19</v>
      </c>
      <c r="J150" s="10" t="s">
        <v>2686</v>
      </c>
      <c r="T150" s="10">
        <f>312-743</f>
        <v>-431</v>
      </c>
      <c r="U150" s="10">
        <f t="shared" ca="1" si="6"/>
        <v>743</v>
      </c>
      <c r="V150" s="10">
        <f t="shared" ca="1" si="7"/>
        <v>312</v>
      </c>
    </row>
    <row r="151" spans="1:31" ht="29" hidden="1">
      <c r="A151" s="2" t="s">
        <v>195</v>
      </c>
      <c r="B151" s="2"/>
      <c r="C151" s="2"/>
      <c r="D151" s="2" t="s">
        <v>1439</v>
      </c>
      <c r="E151" s="2" t="s">
        <v>1440</v>
      </c>
      <c r="H151" t="s">
        <v>19</v>
      </c>
      <c r="J151" s="10" t="s">
        <v>2686</v>
      </c>
      <c r="T151" s="10" t="s">
        <v>2687</v>
      </c>
      <c r="U151" s="10" t="str">
        <f t="shared" ca="1" si="6"/>
        <v/>
      </c>
      <c r="V151" s="10" t="str">
        <f t="shared" ca="1" si="7"/>
        <v/>
      </c>
      <c r="AE151" s="10" t="s">
        <v>2645</v>
      </c>
    </row>
    <row r="152" spans="1:31" hidden="1">
      <c r="A152" s="2" t="s">
        <v>195</v>
      </c>
      <c r="B152" s="2"/>
      <c r="C152" s="2"/>
      <c r="D152" s="2" t="s">
        <v>1442</v>
      </c>
      <c r="E152" s="2" t="s">
        <v>1441</v>
      </c>
      <c r="J152" s="10" t="s">
        <v>2688</v>
      </c>
      <c r="U152" s="10" t="str">
        <f t="shared" ca="1" si="6"/>
        <v/>
      </c>
      <c r="V152" s="10" t="str">
        <f t="shared" ca="1" si="7"/>
        <v/>
      </c>
    </row>
    <row r="153" spans="1:31" hidden="1">
      <c r="A153" s="2" t="s">
        <v>195</v>
      </c>
      <c r="B153" s="2"/>
      <c r="C153" s="2"/>
      <c r="D153" s="2" t="s">
        <v>197</v>
      </c>
      <c r="E153" s="2" t="s">
        <v>196</v>
      </c>
      <c r="J153" s="10" t="s">
        <v>2688</v>
      </c>
      <c r="U153" s="10" t="str">
        <f t="shared" ca="1" si="6"/>
        <v/>
      </c>
      <c r="V153" s="10" t="str">
        <f t="shared" ca="1" si="7"/>
        <v/>
      </c>
      <c r="AE153" s="10" t="s">
        <v>2645</v>
      </c>
    </row>
    <row r="154" spans="1:31" hidden="1">
      <c r="A154" s="2" t="s">
        <v>198</v>
      </c>
      <c r="B154" s="2"/>
      <c r="C154" s="2"/>
      <c r="D154" s="2" t="s">
        <v>2707</v>
      </c>
      <c r="E154" s="2" t="s">
        <v>2708</v>
      </c>
      <c r="J154" s="10" t="s">
        <v>2688</v>
      </c>
      <c r="U154" s="10" t="str">
        <f t="shared" ca="1" si="6"/>
        <v/>
      </c>
      <c r="V154" s="10" t="str">
        <f t="shared" ca="1" si="7"/>
        <v/>
      </c>
      <c r="AE154" s="10" t="s">
        <v>2651</v>
      </c>
    </row>
    <row r="155" spans="1:31" ht="29" hidden="1">
      <c r="A155" s="2" t="s">
        <v>199</v>
      </c>
      <c r="B155" s="2"/>
      <c r="C155" s="2"/>
      <c r="D155" s="2" t="s">
        <v>1443</v>
      </c>
      <c r="E155" s="2" t="s">
        <v>1444</v>
      </c>
      <c r="G155" t="s">
        <v>19</v>
      </c>
      <c r="J155" s="10" t="s">
        <v>2688</v>
      </c>
      <c r="U155" s="10" t="str">
        <f t="shared" ca="1" si="6"/>
        <v/>
      </c>
      <c r="V155" s="10" t="str">
        <f t="shared" ca="1" si="7"/>
        <v/>
      </c>
      <c r="AE155" s="10" t="s">
        <v>2657</v>
      </c>
    </row>
    <row r="156" spans="1:31" hidden="1">
      <c r="A156" s="2" t="s">
        <v>199</v>
      </c>
      <c r="B156" s="2"/>
      <c r="C156" s="2"/>
      <c r="D156" s="2" t="s">
        <v>1445</v>
      </c>
      <c r="E156" s="2" t="s">
        <v>200</v>
      </c>
      <c r="H156" t="s">
        <v>19</v>
      </c>
      <c r="J156" s="10" t="s">
        <v>2688</v>
      </c>
      <c r="U156" s="10" t="str">
        <f t="shared" ca="1" si="6"/>
        <v/>
      </c>
      <c r="V156" s="10" t="str">
        <f t="shared" ca="1" si="7"/>
        <v/>
      </c>
      <c r="AC156" s="10" t="s">
        <v>2709</v>
      </c>
      <c r="AD156" s="10" t="s">
        <v>19</v>
      </c>
      <c r="AE156" s="10" t="s">
        <v>2651</v>
      </c>
    </row>
    <row r="157" spans="1:31" hidden="1">
      <c r="A157" s="2" t="s">
        <v>199</v>
      </c>
      <c r="B157" s="2"/>
      <c r="C157" s="2"/>
      <c r="D157" s="2" t="s">
        <v>202</v>
      </c>
      <c r="E157" s="2" t="s">
        <v>201</v>
      </c>
      <c r="J157" s="10" t="s">
        <v>2686</v>
      </c>
      <c r="T157" s="10" t="s">
        <v>2696</v>
      </c>
      <c r="U157" s="10" t="str">
        <f t="shared" ca="1" si="6"/>
        <v/>
      </c>
      <c r="V157" s="10" t="str">
        <f t="shared" ca="1" si="7"/>
        <v/>
      </c>
      <c r="AC157" s="10" t="s">
        <v>2699</v>
      </c>
      <c r="AD157" s="10" t="s">
        <v>19</v>
      </c>
      <c r="AE157" s="10" t="s">
        <v>2645</v>
      </c>
    </row>
    <row r="158" spans="1:31" hidden="1">
      <c r="A158" s="2" t="s">
        <v>199</v>
      </c>
      <c r="B158" s="2"/>
      <c r="C158" s="2"/>
      <c r="D158" s="5" t="s">
        <v>1446</v>
      </c>
      <c r="E158" s="2" t="s">
        <v>203</v>
      </c>
      <c r="H158" t="s">
        <v>19</v>
      </c>
      <c r="J158" s="10" t="s">
        <v>2688</v>
      </c>
      <c r="U158" s="10" t="str">
        <f t="shared" ca="1" si="6"/>
        <v/>
      </c>
      <c r="V158" s="10" t="str">
        <f t="shared" ca="1" si="7"/>
        <v/>
      </c>
      <c r="AE158" s="10" t="s">
        <v>2645</v>
      </c>
    </row>
    <row r="159" spans="1:31">
      <c r="A159" s="2" t="s">
        <v>199</v>
      </c>
      <c r="B159" s="2"/>
      <c r="C159" s="2"/>
      <c r="D159" s="2" t="s">
        <v>1447</v>
      </c>
      <c r="E159" s="2" t="s">
        <v>204</v>
      </c>
      <c r="J159" s="10" t="s">
        <v>2686</v>
      </c>
      <c r="R159" s="10" t="s">
        <v>2642</v>
      </c>
      <c r="T159" s="10" t="s">
        <v>2696</v>
      </c>
      <c r="U159" s="10" t="str">
        <f t="shared" ca="1" si="6"/>
        <v/>
      </c>
      <c r="V159" s="10" t="str">
        <f t="shared" ca="1" si="7"/>
        <v/>
      </c>
      <c r="AE159" s="10" t="s">
        <v>2645</v>
      </c>
    </row>
    <row r="160" spans="1:31" hidden="1">
      <c r="A160" s="2" t="s">
        <v>199</v>
      </c>
      <c r="B160" s="2"/>
      <c r="C160" s="2"/>
      <c r="D160" s="3" t="s">
        <v>206</v>
      </c>
      <c r="E160" s="2" t="s">
        <v>205</v>
      </c>
      <c r="F160" t="s">
        <v>15</v>
      </c>
      <c r="I160" s="4"/>
      <c r="J160" s="10" t="s">
        <v>2686</v>
      </c>
      <c r="T160" s="10">
        <f>0-2</f>
        <v>-2</v>
      </c>
      <c r="U160" s="10">
        <f t="shared" ca="1" si="6"/>
        <v>2</v>
      </c>
      <c r="V160" s="10">
        <f t="shared" ca="1" si="7"/>
        <v>0</v>
      </c>
    </row>
    <row r="161" spans="1:31" hidden="1">
      <c r="A161" s="2" t="s">
        <v>199</v>
      </c>
      <c r="B161" s="2"/>
      <c r="C161" s="2"/>
      <c r="D161" s="2" t="s">
        <v>1449</v>
      </c>
      <c r="E161" s="2" t="s">
        <v>1448</v>
      </c>
      <c r="J161" s="10" t="s">
        <v>2688</v>
      </c>
      <c r="U161" s="10" t="str">
        <f t="shared" ca="1" si="6"/>
        <v/>
      </c>
      <c r="V161" s="10" t="str">
        <f t="shared" ca="1" si="7"/>
        <v/>
      </c>
      <c r="AE161" s="10" t="s">
        <v>2651</v>
      </c>
    </row>
    <row r="162" spans="1:31">
      <c r="A162" s="2" t="s">
        <v>207</v>
      </c>
      <c r="B162" s="2"/>
      <c r="C162" s="2"/>
      <c r="D162" s="2" t="s">
        <v>209</v>
      </c>
      <c r="E162" s="2" t="s">
        <v>208</v>
      </c>
      <c r="J162" s="10" t="s">
        <v>2686</v>
      </c>
      <c r="R162" s="10" t="s">
        <v>2642</v>
      </c>
      <c r="T162" s="10">
        <f>9-49</f>
        <v>-40</v>
      </c>
      <c r="U162" s="10">
        <f t="shared" ca="1" si="6"/>
        <v>49</v>
      </c>
      <c r="V162" s="10">
        <f t="shared" ca="1" si="7"/>
        <v>9</v>
      </c>
      <c r="AC162" s="10" t="s">
        <v>2800</v>
      </c>
      <c r="AD162" s="10" t="s">
        <v>19</v>
      </c>
      <c r="AE162" s="10" t="s">
        <v>2645</v>
      </c>
    </row>
    <row r="163" spans="1:31" hidden="1">
      <c r="A163" s="2" t="s">
        <v>210</v>
      </c>
      <c r="B163" s="2"/>
      <c r="C163" s="2"/>
      <c r="D163" s="2" t="s">
        <v>1450</v>
      </c>
      <c r="E163" s="2" t="s">
        <v>1451</v>
      </c>
      <c r="H163" t="s">
        <v>19</v>
      </c>
      <c r="J163" s="10" t="s">
        <v>2686</v>
      </c>
      <c r="R163" s="10" t="s">
        <v>2642</v>
      </c>
      <c r="T163" s="10" t="s">
        <v>2696</v>
      </c>
      <c r="U163" s="10" t="str">
        <f t="shared" ca="1" si="6"/>
        <v/>
      </c>
      <c r="V163" s="10" t="str">
        <f t="shared" ca="1" si="7"/>
        <v/>
      </c>
      <c r="AE163" s="10" t="s">
        <v>2645</v>
      </c>
    </row>
    <row r="164" spans="1:31" hidden="1">
      <c r="A164" s="2" t="s">
        <v>211</v>
      </c>
      <c r="B164" s="2"/>
      <c r="C164" s="2"/>
      <c r="D164" s="2" t="s">
        <v>1452</v>
      </c>
      <c r="E164" s="2" t="s">
        <v>1453</v>
      </c>
      <c r="J164" s="10" t="s">
        <v>2686</v>
      </c>
      <c r="T164" s="10">
        <f>312-0</f>
        <v>312</v>
      </c>
      <c r="U164" s="10">
        <f t="shared" ca="1" si="6"/>
        <v>0</v>
      </c>
      <c r="V164" s="10">
        <f t="shared" ca="1" si="7"/>
        <v>312</v>
      </c>
      <c r="AE164" s="10" t="s">
        <v>2651</v>
      </c>
    </row>
    <row r="165" spans="1:31" hidden="1">
      <c r="A165" s="2" t="s">
        <v>212</v>
      </c>
      <c r="B165" s="2"/>
      <c r="C165" s="2"/>
      <c r="D165" s="2" t="s">
        <v>1454</v>
      </c>
      <c r="E165" s="2" t="s">
        <v>1455</v>
      </c>
      <c r="H165" t="s">
        <v>19</v>
      </c>
      <c r="J165" s="10" t="s">
        <v>24</v>
      </c>
      <c r="L165" s="10">
        <v>1</v>
      </c>
      <c r="M165" s="10">
        <v>3</v>
      </c>
      <c r="N165" s="10" t="s">
        <v>2646</v>
      </c>
      <c r="O165" s="10" t="s">
        <v>2647</v>
      </c>
      <c r="S165" s="10">
        <v>2475</v>
      </c>
      <c r="U165" s="10" t="str">
        <f t="shared" ca="1" si="6"/>
        <v/>
      </c>
      <c r="V165" s="10" t="str">
        <f t="shared" ca="1" si="7"/>
        <v/>
      </c>
      <c r="AE165" s="10" t="s">
        <v>2651</v>
      </c>
    </row>
    <row r="166" spans="1:31" ht="29" hidden="1">
      <c r="A166" s="2" t="s">
        <v>213</v>
      </c>
      <c r="B166" s="2"/>
      <c r="C166" s="2"/>
      <c r="D166" s="2" t="s">
        <v>1456</v>
      </c>
      <c r="E166" s="2" t="s">
        <v>1457</v>
      </c>
      <c r="H166" t="s">
        <v>19</v>
      </c>
      <c r="J166" s="10" t="s">
        <v>2686</v>
      </c>
      <c r="R166" s="10" t="s">
        <v>2642</v>
      </c>
      <c r="T166" s="10" t="s">
        <v>2687</v>
      </c>
      <c r="U166" s="10" t="str">
        <f t="shared" ca="1" si="6"/>
        <v/>
      </c>
      <c r="V166" s="10" t="str">
        <f t="shared" ca="1" si="7"/>
        <v/>
      </c>
      <c r="AE166" s="10" t="s">
        <v>2645</v>
      </c>
    </row>
    <row r="167" spans="1:31" ht="29" hidden="1">
      <c r="A167" s="2" t="s">
        <v>213</v>
      </c>
      <c r="B167" s="2"/>
      <c r="C167" s="2"/>
      <c r="D167" s="2" t="s">
        <v>1459</v>
      </c>
      <c r="E167" s="2" t="s">
        <v>1458</v>
      </c>
      <c r="F167" t="s">
        <v>17</v>
      </c>
      <c r="H167" t="s">
        <v>19</v>
      </c>
      <c r="U167" s="10" t="str">
        <f t="shared" ca="1" si="6"/>
        <v/>
      </c>
      <c r="V167" s="10" t="str">
        <f t="shared" ca="1" si="7"/>
        <v/>
      </c>
    </row>
    <row r="168" spans="1:31" hidden="1">
      <c r="A168" s="2" t="s">
        <v>214</v>
      </c>
      <c r="B168" s="2"/>
      <c r="C168" s="2"/>
      <c r="D168" s="2" t="s">
        <v>1461</v>
      </c>
      <c r="E168" s="2" t="s">
        <v>1460</v>
      </c>
      <c r="F168" t="s">
        <v>17</v>
      </c>
      <c r="H168" t="s">
        <v>19</v>
      </c>
      <c r="U168" s="10" t="str">
        <f t="shared" ca="1" si="6"/>
        <v/>
      </c>
      <c r="V168" s="10" t="str">
        <f t="shared" ca="1" si="7"/>
        <v/>
      </c>
    </row>
    <row r="169" spans="1:31" hidden="1">
      <c r="A169" s="2" t="s">
        <v>215</v>
      </c>
      <c r="B169" s="2"/>
      <c r="C169" s="2"/>
      <c r="D169" s="2" t="s">
        <v>1462</v>
      </c>
      <c r="E169" s="2" t="s">
        <v>1463</v>
      </c>
      <c r="H169" t="s">
        <v>19</v>
      </c>
      <c r="J169" s="10" t="s">
        <v>2686</v>
      </c>
      <c r="T169" s="10" t="s">
        <v>2687</v>
      </c>
      <c r="U169" s="10" t="str">
        <f t="shared" ca="1" si="6"/>
        <v/>
      </c>
      <c r="V169" s="10" t="str">
        <f t="shared" ca="1" si="7"/>
        <v/>
      </c>
      <c r="AE169" s="10" t="s">
        <v>2645</v>
      </c>
    </row>
    <row r="170" spans="1:31" hidden="1">
      <c r="A170" s="2" t="s">
        <v>215</v>
      </c>
      <c r="B170" s="2"/>
      <c r="C170" s="2"/>
      <c r="D170" s="2" t="s">
        <v>1464</v>
      </c>
      <c r="E170" s="2" t="s">
        <v>1465</v>
      </c>
      <c r="H170" t="s">
        <v>19</v>
      </c>
      <c r="J170" s="10" t="s">
        <v>24</v>
      </c>
      <c r="L170" s="10">
        <v>1</v>
      </c>
      <c r="M170" s="10">
        <v>1</v>
      </c>
      <c r="N170" s="10" t="s">
        <v>2662</v>
      </c>
      <c r="O170" s="10" t="s">
        <v>2687</v>
      </c>
      <c r="R170" s="10" t="s">
        <v>2642</v>
      </c>
      <c r="S170" s="10">
        <v>99</v>
      </c>
      <c r="U170" s="10" t="str">
        <f t="shared" ca="1" si="6"/>
        <v/>
      </c>
      <c r="V170" s="10" t="str">
        <f t="shared" ca="1" si="7"/>
        <v/>
      </c>
      <c r="AE170" s="10" t="s">
        <v>2651</v>
      </c>
    </row>
    <row r="171" spans="1:31">
      <c r="A171" s="2" t="s">
        <v>216</v>
      </c>
      <c r="B171" s="2"/>
      <c r="C171" s="2"/>
      <c r="D171" s="2" t="s">
        <v>1466</v>
      </c>
      <c r="E171" s="2" t="s">
        <v>1467</v>
      </c>
      <c r="F171" t="s">
        <v>11</v>
      </c>
      <c r="G171" t="s">
        <v>21</v>
      </c>
      <c r="I171" t="s">
        <v>1468</v>
      </c>
      <c r="U171" s="10" t="str">
        <f t="shared" ca="1" si="6"/>
        <v/>
      </c>
      <c r="V171" s="10" t="str">
        <f t="shared" ca="1" si="7"/>
        <v/>
      </c>
    </row>
    <row r="172" spans="1:31" ht="29" hidden="1">
      <c r="A172" s="2" t="s">
        <v>217</v>
      </c>
      <c r="B172" s="2"/>
      <c r="C172" s="2"/>
      <c r="D172" s="2" t="s">
        <v>1469</v>
      </c>
      <c r="E172" s="2" t="s">
        <v>1470</v>
      </c>
      <c r="H172" t="s">
        <v>19</v>
      </c>
      <c r="J172" s="10" t="s">
        <v>2688</v>
      </c>
      <c r="U172" s="10" t="str">
        <f t="shared" ca="1" si="6"/>
        <v/>
      </c>
      <c r="V172" s="10" t="str">
        <f t="shared" ca="1" si="7"/>
        <v/>
      </c>
      <c r="AE172" s="10" t="s">
        <v>2651</v>
      </c>
    </row>
    <row r="173" spans="1:31" ht="29" hidden="1">
      <c r="A173" s="2" t="s">
        <v>218</v>
      </c>
      <c r="B173" s="2"/>
      <c r="C173" s="2"/>
      <c r="D173" s="2" t="s">
        <v>1471</v>
      </c>
      <c r="E173" s="2" t="s">
        <v>1472</v>
      </c>
      <c r="H173" t="s">
        <v>19</v>
      </c>
      <c r="J173" s="10" t="s">
        <v>24</v>
      </c>
      <c r="L173" s="10">
        <v>1</v>
      </c>
      <c r="M173" s="10">
        <v>3</v>
      </c>
      <c r="N173" s="10" t="s">
        <v>2655</v>
      </c>
      <c r="O173" s="10" t="s">
        <v>2641</v>
      </c>
      <c r="P173" s="10" t="s">
        <v>2704</v>
      </c>
      <c r="Q173" s="11" t="s">
        <v>2705</v>
      </c>
      <c r="R173" s="10" t="s">
        <v>2642</v>
      </c>
      <c r="S173" s="10">
        <v>1701</v>
      </c>
      <c r="U173" s="10" t="str">
        <f t="shared" ca="1" si="6"/>
        <v/>
      </c>
      <c r="V173" s="10" t="str">
        <f t="shared" ca="1" si="7"/>
        <v/>
      </c>
      <c r="AE173" s="10" t="s">
        <v>2651</v>
      </c>
    </row>
    <row r="174" spans="1:31" hidden="1">
      <c r="A174" s="2" t="s">
        <v>218</v>
      </c>
      <c r="B174" s="2"/>
      <c r="C174" s="2"/>
      <c r="D174" s="3" t="s">
        <v>1471</v>
      </c>
      <c r="E174" s="2" t="s">
        <v>1473</v>
      </c>
      <c r="F174" t="s">
        <v>15</v>
      </c>
      <c r="U174" s="10" t="str">
        <f t="shared" ca="1" si="6"/>
        <v/>
      </c>
      <c r="V174" s="10" t="str">
        <f t="shared" ca="1" si="7"/>
        <v/>
      </c>
    </row>
    <row r="175" spans="1:31" hidden="1">
      <c r="A175" s="2" t="s">
        <v>218</v>
      </c>
      <c r="B175" s="2"/>
      <c r="C175" s="2"/>
      <c r="D175" s="2" t="s">
        <v>1474</v>
      </c>
      <c r="E175" s="2" t="s">
        <v>219</v>
      </c>
      <c r="H175" t="s">
        <v>19</v>
      </c>
      <c r="J175" s="10" t="s">
        <v>2686</v>
      </c>
      <c r="T175" s="10" t="s">
        <v>2687</v>
      </c>
      <c r="U175" s="10" t="str">
        <f t="shared" ca="1" si="6"/>
        <v/>
      </c>
      <c r="V175" s="10" t="str">
        <f t="shared" ca="1" si="7"/>
        <v/>
      </c>
      <c r="AE175" s="10" t="s">
        <v>2645</v>
      </c>
    </row>
    <row r="176" spans="1:31" hidden="1">
      <c r="A176" s="2" t="s">
        <v>220</v>
      </c>
      <c r="B176" s="2"/>
      <c r="C176" s="2"/>
      <c r="D176" s="2" t="s">
        <v>1475</v>
      </c>
      <c r="E176" s="2" t="s">
        <v>1476</v>
      </c>
      <c r="H176" t="s">
        <v>19</v>
      </c>
      <c r="J176" s="10" t="s">
        <v>2686</v>
      </c>
      <c r="T176" s="10" t="s">
        <v>2696</v>
      </c>
      <c r="U176" s="10" t="str">
        <f t="shared" ca="1" si="6"/>
        <v/>
      </c>
      <c r="V176" s="10" t="str">
        <f t="shared" ca="1" si="7"/>
        <v/>
      </c>
      <c r="AC176" s="10" t="s">
        <v>2801</v>
      </c>
      <c r="AD176" s="10" t="s">
        <v>19</v>
      </c>
      <c r="AE176" s="10" t="s">
        <v>2645</v>
      </c>
    </row>
    <row r="177" spans="1:31" hidden="1">
      <c r="A177" s="2" t="s">
        <v>220</v>
      </c>
      <c r="B177" s="2"/>
      <c r="C177" s="2"/>
      <c r="D177" s="2" t="s">
        <v>1477</v>
      </c>
      <c r="E177" s="2" t="s">
        <v>221</v>
      </c>
      <c r="H177" t="s">
        <v>19</v>
      </c>
      <c r="J177" s="10" t="s">
        <v>2686</v>
      </c>
      <c r="T177" s="10" t="s">
        <v>2696</v>
      </c>
      <c r="U177" s="10" t="str">
        <f t="shared" ca="1" si="6"/>
        <v/>
      </c>
      <c r="V177" s="10" t="str">
        <f t="shared" ca="1" si="7"/>
        <v/>
      </c>
      <c r="AB177" s="10" t="s">
        <v>2692</v>
      </c>
      <c r="AD177" s="10" t="s">
        <v>19</v>
      </c>
    </row>
    <row r="178" spans="1:31" ht="29" hidden="1">
      <c r="A178" s="2" t="s">
        <v>222</v>
      </c>
      <c r="B178" s="2"/>
      <c r="C178" s="2"/>
      <c r="D178" s="2" t="s">
        <v>1479</v>
      </c>
      <c r="E178" s="2" t="s">
        <v>1480</v>
      </c>
      <c r="H178" t="s">
        <v>19</v>
      </c>
      <c r="J178" s="10" t="s">
        <v>2688</v>
      </c>
      <c r="U178" s="10" t="str">
        <f t="shared" ca="1" si="6"/>
        <v/>
      </c>
      <c r="V178" s="10" t="str">
        <f t="shared" ca="1" si="7"/>
        <v/>
      </c>
      <c r="AE178" s="10" t="s">
        <v>2645</v>
      </c>
    </row>
    <row r="179" spans="1:31" ht="29" hidden="1">
      <c r="A179" s="2" t="s">
        <v>222</v>
      </c>
      <c r="B179" s="2"/>
      <c r="C179" s="2"/>
      <c r="D179" s="2" t="s">
        <v>1478</v>
      </c>
      <c r="E179" s="2" t="s">
        <v>1481</v>
      </c>
      <c r="H179" t="s">
        <v>19</v>
      </c>
      <c r="J179" s="10" t="s">
        <v>24</v>
      </c>
      <c r="L179" s="10">
        <v>1</v>
      </c>
      <c r="M179" s="10">
        <v>2</v>
      </c>
      <c r="N179" s="10" t="s">
        <v>2646</v>
      </c>
      <c r="O179" s="10" t="s">
        <v>2687</v>
      </c>
      <c r="S179" s="10">
        <v>2475</v>
      </c>
      <c r="U179" s="10" t="str">
        <f t="shared" ca="1" si="6"/>
        <v/>
      </c>
      <c r="V179" s="10" t="str">
        <f t="shared" ca="1" si="7"/>
        <v/>
      </c>
    </row>
    <row r="180" spans="1:31" hidden="1">
      <c r="A180" s="2" t="s">
        <v>222</v>
      </c>
      <c r="B180" s="2"/>
      <c r="C180" s="2"/>
      <c r="D180" s="2" t="s">
        <v>224</v>
      </c>
      <c r="E180" s="2" t="s">
        <v>223</v>
      </c>
      <c r="J180" s="10" t="s">
        <v>2688</v>
      </c>
      <c r="U180" s="10" t="str">
        <f t="shared" ca="1" si="6"/>
        <v/>
      </c>
      <c r="V180" s="10" t="str">
        <f t="shared" ca="1" si="7"/>
        <v/>
      </c>
      <c r="AE180" s="10" t="s">
        <v>2645</v>
      </c>
    </row>
    <row r="181" spans="1:31" hidden="1">
      <c r="A181" s="2" t="s">
        <v>225</v>
      </c>
      <c r="B181" s="2"/>
      <c r="C181" s="2"/>
      <c r="D181" s="2" t="s">
        <v>1482</v>
      </c>
      <c r="E181" s="2" t="s">
        <v>226</v>
      </c>
      <c r="F181" t="s">
        <v>17</v>
      </c>
      <c r="H181" t="s">
        <v>19</v>
      </c>
      <c r="U181" s="10" t="str">
        <f t="shared" ca="1" si="6"/>
        <v/>
      </c>
      <c r="V181" s="10" t="str">
        <f t="shared" ca="1" si="7"/>
        <v/>
      </c>
    </row>
    <row r="182" spans="1:31" hidden="1">
      <c r="A182" s="2" t="s">
        <v>225</v>
      </c>
      <c r="B182" s="2"/>
      <c r="C182" s="2"/>
      <c r="D182" s="2" t="s">
        <v>1483</v>
      </c>
      <c r="E182" s="2" t="s">
        <v>227</v>
      </c>
      <c r="H182" t="s">
        <v>19</v>
      </c>
      <c r="J182" s="10" t="s">
        <v>2686</v>
      </c>
      <c r="T182" s="10" t="s">
        <v>2696</v>
      </c>
      <c r="U182" s="10" t="str">
        <f t="shared" ca="1" si="6"/>
        <v/>
      </c>
      <c r="V182" s="10" t="str">
        <f t="shared" ca="1" si="7"/>
        <v/>
      </c>
      <c r="AE182" s="10" t="s">
        <v>2645</v>
      </c>
    </row>
    <row r="183" spans="1:31" hidden="1">
      <c r="A183" s="2" t="s">
        <v>228</v>
      </c>
      <c r="B183" s="2"/>
      <c r="C183" s="2"/>
      <c r="D183" s="2" t="s">
        <v>229</v>
      </c>
      <c r="E183" s="2" t="s">
        <v>230</v>
      </c>
      <c r="H183" t="s">
        <v>19</v>
      </c>
      <c r="J183" s="10" t="s">
        <v>2688</v>
      </c>
      <c r="U183" s="10" t="str">
        <f t="shared" ca="1" si="6"/>
        <v/>
      </c>
      <c r="V183" s="10" t="str">
        <f t="shared" ca="1" si="7"/>
        <v/>
      </c>
      <c r="AE183" s="10" t="s">
        <v>2654</v>
      </c>
    </row>
    <row r="184" spans="1:31" ht="43.5" hidden="1">
      <c r="A184" s="2" t="s">
        <v>228</v>
      </c>
      <c r="B184" s="2"/>
      <c r="C184" s="2"/>
      <c r="D184" s="2" t="s">
        <v>1484</v>
      </c>
      <c r="E184" s="2" t="s">
        <v>1485</v>
      </c>
      <c r="J184" s="10" t="s">
        <v>2688</v>
      </c>
      <c r="U184" s="10" t="str">
        <f t="shared" ca="1" si="6"/>
        <v/>
      </c>
      <c r="V184" s="10" t="str">
        <f t="shared" ca="1" si="7"/>
        <v/>
      </c>
      <c r="AE184" s="10" t="s">
        <v>2651</v>
      </c>
    </row>
    <row r="185" spans="1:31" ht="43.5">
      <c r="A185" s="2" t="s">
        <v>228</v>
      </c>
      <c r="B185" s="2"/>
      <c r="C185" s="2"/>
      <c r="D185" s="2" t="s">
        <v>1486</v>
      </c>
      <c r="E185" s="2" t="s">
        <v>1487</v>
      </c>
      <c r="H185" t="s">
        <v>23</v>
      </c>
      <c r="I185" t="s">
        <v>1488</v>
      </c>
      <c r="J185" s="10" t="s">
        <v>2686</v>
      </c>
      <c r="T185" s="10" t="s">
        <v>2696</v>
      </c>
      <c r="U185" s="10" t="str">
        <f t="shared" ca="1" si="6"/>
        <v/>
      </c>
      <c r="V185" s="10" t="str">
        <f t="shared" ca="1" si="7"/>
        <v/>
      </c>
      <c r="AE185" s="10" t="s">
        <v>2645</v>
      </c>
    </row>
    <row r="186" spans="1:31">
      <c r="A186" s="2" t="s">
        <v>231</v>
      </c>
      <c r="B186" s="2"/>
      <c r="C186" s="2"/>
      <c r="D186" s="2" t="s">
        <v>1489</v>
      </c>
      <c r="E186" s="2" t="s">
        <v>1490</v>
      </c>
      <c r="H186" t="s">
        <v>19</v>
      </c>
      <c r="J186" s="10" t="s">
        <v>2686</v>
      </c>
      <c r="T186" s="10" t="s">
        <v>2696</v>
      </c>
      <c r="U186" s="10" t="str">
        <f t="shared" ca="1" si="6"/>
        <v/>
      </c>
      <c r="V186" s="10" t="str">
        <f t="shared" ca="1" si="7"/>
        <v/>
      </c>
      <c r="AE186" s="10" t="s">
        <v>2645</v>
      </c>
    </row>
    <row r="187" spans="1:31" ht="29" hidden="1">
      <c r="A187" s="2" t="s">
        <v>232</v>
      </c>
      <c r="B187" s="2"/>
      <c r="C187" s="2"/>
      <c r="D187" s="2" t="s">
        <v>1492</v>
      </c>
      <c r="E187" s="2" t="s">
        <v>1493</v>
      </c>
      <c r="J187" s="10" t="s">
        <v>2688</v>
      </c>
      <c r="U187" s="10" t="str">
        <f t="shared" ca="1" si="6"/>
        <v/>
      </c>
      <c r="V187" s="10" t="str">
        <f t="shared" ca="1" si="7"/>
        <v/>
      </c>
    </row>
    <row r="188" spans="1:31" ht="29" hidden="1">
      <c r="A188" s="2" t="s">
        <v>232</v>
      </c>
      <c r="B188" s="2"/>
      <c r="C188" s="2"/>
      <c r="D188" s="3" t="s">
        <v>1491</v>
      </c>
      <c r="E188" s="2" t="s">
        <v>1494</v>
      </c>
      <c r="F188" t="s">
        <v>15</v>
      </c>
      <c r="U188" s="10" t="str">
        <f t="shared" ca="1" si="6"/>
        <v/>
      </c>
      <c r="V188" s="10" t="str">
        <f t="shared" ca="1" si="7"/>
        <v/>
      </c>
    </row>
    <row r="189" spans="1:31" ht="29" hidden="1">
      <c r="A189" s="2" t="s">
        <v>232</v>
      </c>
      <c r="B189" s="2"/>
      <c r="C189" s="2"/>
      <c r="D189" s="2" t="s">
        <v>1495</v>
      </c>
      <c r="E189" s="2" t="s">
        <v>1496</v>
      </c>
      <c r="J189" s="10" t="s">
        <v>2689</v>
      </c>
      <c r="T189" s="10">
        <f>56-250</f>
        <v>-194</v>
      </c>
      <c r="U189" s="10">
        <f t="shared" ca="1" si="6"/>
        <v>250</v>
      </c>
      <c r="V189" s="10">
        <f t="shared" ca="1" si="7"/>
        <v>56</v>
      </c>
    </row>
    <row r="190" spans="1:31" hidden="1">
      <c r="A190" s="2" t="s">
        <v>232</v>
      </c>
      <c r="B190" s="2"/>
      <c r="C190" s="2"/>
      <c r="D190" s="2" t="s">
        <v>234</v>
      </c>
      <c r="E190" s="2" t="s">
        <v>233</v>
      </c>
      <c r="J190" s="10" t="s">
        <v>2688</v>
      </c>
      <c r="U190" s="10" t="str">
        <f t="shared" ref="U190:U253" ca="1" si="8">IF(ISNUMBER(T190),VALUE(MID(_xlfn.FORMULATEXT(T190),SEARCH("-",_xlfn.FORMULATEXT(T190))+1,LEN(_xlfn.FORMULATEXT(T190))-SEARCH("-",_xlfn.FORMULATEXT(T190)))), "")</f>
        <v/>
      </c>
      <c r="V190" s="10" t="str">
        <f t="shared" ref="V190:V253" ca="1" si="9">IF(ISNUMBER(T190), VALUE(MID(_xlfn.FORMULATEXT(T190), 2, SEARCH("-", _xlfn.FORMULATEXT(T190)) - 2)), "")</f>
        <v/>
      </c>
      <c r="AE190" s="10" t="s">
        <v>2645</v>
      </c>
    </row>
    <row r="191" spans="1:31" hidden="1">
      <c r="A191" s="2" t="s">
        <v>232</v>
      </c>
      <c r="B191" s="2"/>
      <c r="C191" s="2"/>
      <c r="D191" s="2" t="s">
        <v>1498</v>
      </c>
      <c r="E191" s="2" t="s">
        <v>1497</v>
      </c>
      <c r="H191" t="s">
        <v>19</v>
      </c>
      <c r="J191" s="10" t="s">
        <v>2686</v>
      </c>
      <c r="T191" s="10" t="s">
        <v>2696</v>
      </c>
      <c r="U191" s="10" t="str">
        <f t="shared" ca="1" si="8"/>
        <v/>
      </c>
      <c r="V191" s="10" t="str">
        <f t="shared" ca="1" si="9"/>
        <v/>
      </c>
      <c r="AB191" s="10" t="s">
        <v>2692</v>
      </c>
      <c r="AC191" s="10" t="s">
        <v>2801</v>
      </c>
      <c r="AD191" s="10" t="s">
        <v>19</v>
      </c>
    </row>
    <row r="192" spans="1:31" hidden="1">
      <c r="A192" s="2" t="s">
        <v>235</v>
      </c>
      <c r="B192" s="2"/>
      <c r="C192" s="2"/>
      <c r="D192" s="2" t="s">
        <v>237</v>
      </c>
      <c r="E192" s="2" t="s">
        <v>236</v>
      </c>
      <c r="J192" s="10" t="s">
        <v>2688</v>
      </c>
      <c r="U192" s="10" t="str">
        <f t="shared" ca="1" si="8"/>
        <v/>
      </c>
      <c r="V192" s="10" t="str">
        <f t="shared" ca="1" si="9"/>
        <v/>
      </c>
      <c r="AC192" s="10" t="s">
        <v>2710</v>
      </c>
      <c r="AD192" s="10" t="s">
        <v>19</v>
      </c>
      <c r="AE192" s="10" t="s">
        <v>2645</v>
      </c>
    </row>
    <row r="193" spans="1:31">
      <c r="A193" s="2" t="s">
        <v>238</v>
      </c>
      <c r="B193" s="2"/>
      <c r="C193" s="2"/>
      <c r="D193" s="5" t="s">
        <v>1500</v>
      </c>
      <c r="E193" s="2" t="s">
        <v>1499</v>
      </c>
      <c r="F193" t="s">
        <v>11</v>
      </c>
      <c r="U193" s="10" t="str">
        <f t="shared" ca="1" si="8"/>
        <v/>
      </c>
      <c r="V193" s="10" t="str">
        <f t="shared" ca="1" si="9"/>
        <v/>
      </c>
    </row>
    <row r="194" spans="1:31" ht="72.5">
      <c r="A194" s="2" t="s">
        <v>239</v>
      </c>
      <c r="B194" s="2"/>
      <c r="C194" s="2"/>
      <c r="D194" s="2" t="s">
        <v>1501</v>
      </c>
      <c r="E194" s="2" t="s">
        <v>1502</v>
      </c>
      <c r="I194" t="s">
        <v>2711</v>
      </c>
      <c r="J194" s="10" t="s">
        <v>25</v>
      </c>
      <c r="L194" s="10">
        <v>13</v>
      </c>
      <c r="M194" s="10">
        <v>53</v>
      </c>
      <c r="O194" s="10" t="s">
        <v>2641</v>
      </c>
      <c r="P194" s="10" t="s">
        <v>2712</v>
      </c>
      <c r="Q194" s="11" t="s">
        <v>2713</v>
      </c>
      <c r="S194" s="10">
        <v>3</v>
      </c>
      <c r="U194" s="10" t="str">
        <f t="shared" ca="1" si="8"/>
        <v/>
      </c>
      <c r="V194" s="10" t="str">
        <f t="shared" ca="1" si="9"/>
        <v/>
      </c>
    </row>
    <row r="195" spans="1:31" hidden="1">
      <c r="A195" s="2" t="s">
        <v>242</v>
      </c>
      <c r="B195" s="2"/>
      <c r="C195" s="2"/>
      <c r="D195" s="2" t="s">
        <v>1503</v>
      </c>
      <c r="E195" s="2" t="s">
        <v>244</v>
      </c>
      <c r="H195" t="s">
        <v>19</v>
      </c>
      <c r="J195" s="10" t="s">
        <v>2686</v>
      </c>
      <c r="T195" s="10">
        <f>0-3</f>
        <v>-3</v>
      </c>
      <c r="U195" s="10">
        <f t="shared" ca="1" si="8"/>
        <v>3</v>
      </c>
      <c r="V195" s="10">
        <f t="shared" ca="1" si="9"/>
        <v>0</v>
      </c>
    </row>
    <row r="196" spans="1:31" hidden="1">
      <c r="A196" s="2" t="s">
        <v>242</v>
      </c>
      <c r="B196" s="2"/>
      <c r="C196" s="2"/>
      <c r="D196" s="2" t="s">
        <v>392</v>
      </c>
      <c r="E196" s="2" t="s">
        <v>245</v>
      </c>
      <c r="H196" t="s">
        <v>19</v>
      </c>
      <c r="J196" s="10" t="s">
        <v>2686</v>
      </c>
      <c r="T196" s="10" t="s">
        <v>2696</v>
      </c>
      <c r="U196" s="10" t="str">
        <f t="shared" ca="1" si="8"/>
        <v/>
      </c>
      <c r="V196" s="10" t="str">
        <f t="shared" ca="1" si="9"/>
        <v/>
      </c>
      <c r="AC196" s="10" t="s">
        <v>2703</v>
      </c>
      <c r="AD196" s="10" t="s">
        <v>19</v>
      </c>
      <c r="AE196" s="10" t="s">
        <v>2645</v>
      </c>
    </row>
    <row r="197" spans="1:31" hidden="1">
      <c r="A197" s="2" t="s">
        <v>242</v>
      </c>
      <c r="B197" s="2"/>
      <c r="C197" s="2"/>
      <c r="D197" s="2" t="s">
        <v>1504</v>
      </c>
      <c r="E197" s="2" t="s">
        <v>1505</v>
      </c>
      <c r="F197" t="s">
        <v>17</v>
      </c>
      <c r="H197" t="s">
        <v>19</v>
      </c>
      <c r="U197" s="10" t="str">
        <f t="shared" ca="1" si="8"/>
        <v/>
      </c>
      <c r="V197" s="10" t="str">
        <f t="shared" ca="1" si="9"/>
        <v/>
      </c>
    </row>
    <row r="198" spans="1:31" hidden="1">
      <c r="A198" s="2" t="s">
        <v>246</v>
      </c>
      <c r="B198" s="2"/>
      <c r="C198" s="2"/>
      <c r="D198" s="2" t="s">
        <v>265</v>
      </c>
      <c r="E198" s="2" t="s">
        <v>247</v>
      </c>
      <c r="H198" t="s">
        <v>19</v>
      </c>
      <c r="J198" s="10" t="s">
        <v>2686</v>
      </c>
      <c r="R198" s="10" t="s">
        <v>2642</v>
      </c>
      <c r="T198" s="10" t="s">
        <v>2696</v>
      </c>
      <c r="U198" s="10" t="str">
        <f t="shared" ca="1" si="8"/>
        <v/>
      </c>
      <c r="V198" s="10" t="str">
        <f t="shared" ca="1" si="9"/>
        <v/>
      </c>
      <c r="AE198" s="10" t="s">
        <v>2645</v>
      </c>
    </row>
    <row r="199" spans="1:31" hidden="1">
      <c r="A199" s="2" t="s">
        <v>248</v>
      </c>
      <c r="B199" s="2"/>
      <c r="C199" s="2"/>
      <c r="D199" s="2" t="s">
        <v>250</v>
      </c>
      <c r="E199" s="2" t="s">
        <v>249</v>
      </c>
      <c r="J199" s="10" t="s">
        <v>2686</v>
      </c>
      <c r="T199" s="10">
        <f>0-26</f>
        <v>-26</v>
      </c>
      <c r="U199" s="10">
        <f t="shared" ca="1" si="8"/>
        <v>26</v>
      </c>
      <c r="V199" s="10">
        <f t="shared" ca="1" si="9"/>
        <v>0</v>
      </c>
    </row>
    <row r="200" spans="1:31" hidden="1">
      <c r="A200" s="2" t="s">
        <v>251</v>
      </c>
      <c r="B200" s="2"/>
      <c r="C200" s="2"/>
      <c r="D200" s="3" t="s">
        <v>253</v>
      </c>
      <c r="E200" s="2" t="s">
        <v>252</v>
      </c>
      <c r="F200" t="s">
        <v>15</v>
      </c>
      <c r="U200" s="10" t="str">
        <f t="shared" ca="1" si="8"/>
        <v/>
      </c>
      <c r="V200" s="10" t="str">
        <f t="shared" ca="1" si="9"/>
        <v/>
      </c>
    </row>
    <row r="201" spans="1:31">
      <c r="A201" s="2" t="s">
        <v>254</v>
      </c>
      <c r="B201" s="2"/>
      <c r="C201" s="2"/>
      <c r="D201" s="2" t="s">
        <v>1506</v>
      </c>
      <c r="E201" s="2" t="s">
        <v>1506</v>
      </c>
      <c r="G201" t="s">
        <v>20</v>
      </c>
      <c r="I201" t="s">
        <v>2956</v>
      </c>
      <c r="U201" s="10" t="str">
        <f t="shared" ca="1" si="8"/>
        <v/>
      </c>
      <c r="V201" s="10" t="str">
        <f t="shared" ca="1" si="9"/>
        <v/>
      </c>
    </row>
    <row r="202" spans="1:31" ht="29">
      <c r="A202" s="2" t="s">
        <v>256</v>
      </c>
      <c r="B202" s="2"/>
      <c r="C202" s="2"/>
      <c r="D202" s="2" t="s">
        <v>1508</v>
      </c>
      <c r="E202" s="2" t="s">
        <v>1507</v>
      </c>
      <c r="I202" t="s">
        <v>2714</v>
      </c>
      <c r="J202" s="10" t="s">
        <v>26</v>
      </c>
      <c r="U202" s="10" t="str">
        <f t="shared" ca="1" si="8"/>
        <v/>
      </c>
      <c r="V202" s="10" t="str">
        <f t="shared" ca="1" si="9"/>
        <v/>
      </c>
    </row>
    <row r="203" spans="1:31" hidden="1">
      <c r="A203" s="2" t="s">
        <v>257</v>
      </c>
      <c r="B203" s="2"/>
      <c r="C203" s="2"/>
      <c r="D203" s="2" t="s">
        <v>1509</v>
      </c>
      <c r="E203" s="2" t="s">
        <v>1510</v>
      </c>
      <c r="J203" s="10" t="s">
        <v>2686</v>
      </c>
      <c r="T203" s="10" t="s">
        <v>2687</v>
      </c>
      <c r="U203" s="10" t="str">
        <f t="shared" ca="1" si="8"/>
        <v/>
      </c>
      <c r="V203" s="10" t="str">
        <f t="shared" ca="1" si="9"/>
        <v/>
      </c>
      <c r="AC203" s="10" t="s">
        <v>2801</v>
      </c>
      <c r="AD203" s="10" t="s">
        <v>19</v>
      </c>
      <c r="AE203" s="10" t="s">
        <v>2645</v>
      </c>
    </row>
    <row r="204" spans="1:31" hidden="1">
      <c r="A204" s="2" t="s">
        <v>258</v>
      </c>
      <c r="B204" s="2"/>
      <c r="C204" s="2"/>
      <c r="D204" s="2" t="s">
        <v>2715</v>
      </c>
      <c r="E204" s="3" t="s">
        <v>1511</v>
      </c>
      <c r="F204" t="s">
        <v>16</v>
      </c>
      <c r="G204" t="s">
        <v>19</v>
      </c>
      <c r="J204" s="10" t="s">
        <v>25</v>
      </c>
      <c r="L204" s="10">
        <v>1</v>
      </c>
      <c r="M204" s="10">
        <v>2</v>
      </c>
      <c r="N204" s="10" t="s">
        <v>2664</v>
      </c>
      <c r="O204" s="10" t="s">
        <v>2687</v>
      </c>
      <c r="S204" s="10">
        <v>613</v>
      </c>
      <c r="U204" s="10" t="str">
        <f t="shared" ca="1" si="8"/>
        <v/>
      </c>
      <c r="V204" s="10" t="str">
        <f t="shared" ca="1" si="9"/>
        <v/>
      </c>
    </row>
    <row r="205" spans="1:31" hidden="1">
      <c r="A205" s="2" t="s">
        <v>258</v>
      </c>
      <c r="B205" s="2"/>
      <c r="C205" s="2"/>
      <c r="D205" s="2" t="s">
        <v>2716</v>
      </c>
      <c r="E205" s="2" t="s">
        <v>2717</v>
      </c>
      <c r="G205" t="s">
        <v>19</v>
      </c>
      <c r="J205" s="10" t="s">
        <v>2686</v>
      </c>
      <c r="T205" s="10">
        <f>6-0</f>
        <v>6</v>
      </c>
      <c r="U205" s="10">
        <f t="shared" ca="1" si="8"/>
        <v>0</v>
      </c>
      <c r="V205" s="10">
        <f t="shared" ca="1" si="9"/>
        <v>6</v>
      </c>
    </row>
    <row r="206" spans="1:31">
      <c r="A206" s="2" t="s">
        <v>258</v>
      </c>
      <c r="B206" s="2"/>
      <c r="C206" s="2"/>
      <c r="D206" s="2" t="s">
        <v>1512</v>
      </c>
      <c r="E206" s="2" t="s">
        <v>1513</v>
      </c>
      <c r="G206" t="s">
        <v>21</v>
      </c>
      <c r="I206" t="s">
        <v>1514</v>
      </c>
      <c r="J206" s="10" t="s">
        <v>2686</v>
      </c>
      <c r="T206" s="10" t="s">
        <v>2687</v>
      </c>
      <c r="U206" s="10" t="str">
        <f t="shared" ca="1" si="8"/>
        <v/>
      </c>
      <c r="V206" s="10" t="str">
        <f t="shared" ca="1" si="9"/>
        <v/>
      </c>
      <c r="AE206" s="10" t="s">
        <v>2645</v>
      </c>
    </row>
    <row r="207" spans="1:31" hidden="1">
      <c r="A207" s="2" t="s">
        <v>259</v>
      </c>
      <c r="B207" s="2"/>
      <c r="C207" s="2"/>
      <c r="D207" s="13" t="s">
        <v>1515</v>
      </c>
      <c r="E207" s="2" t="s">
        <v>260</v>
      </c>
      <c r="H207" t="s">
        <v>19</v>
      </c>
      <c r="J207" s="10" t="s">
        <v>2686</v>
      </c>
      <c r="T207" s="10">
        <f>0-5</f>
        <v>-5</v>
      </c>
      <c r="U207" s="10">
        <f t="shared" ca="1" si="8"/>
        <v>5</v>
      </c>
      <c r="V207" s="10">
        <f t="shared" ca="1" si="9"/>
        <v>0</v>
      </c>
    </row>
    <row r="208" spans="1:31" ht="29">
      <c r="A208" s="2" t="s">
        <v>259</v>
      </c>
      <c r="B208" s="2"/>
      <c r="C208" s="2"/>
      <c r="D208" s="2" t="s">
        <v>1516</v>
      </c>
      <c r="E208" s="2" t="s">
        <v>1517</v>
      </c>
      <c r="H208" t="s">
        <v>22</v>
      </c>
      <c r="I208" t="s">
        <v>1520</v>
      </c>
      <c r="J208" s="10" t="s">
        <v>2686</v>
      </c>
      <c r="T208" s="10" t="s">
        <v>2696</v>
      </c>
      <c r="U208" s="10" t="str">
        <f t="shared" ca="1" si="8"/>
        <v/>
      </c>
      <c r="V208" s="10" t="str">
        <f t="shared" ca="1" si="9"/>
        <v/>
      </c>
      <c r="AE208" s="10" t="s">
        <v>2645</v>
      </c>
    </row>
    <row r="209" spans="1:31" ht="29">
      <c r="A209" s="2" t="s">
        <v>259</v>
      </c>
      <c r="B209" s="2"/>
      <c r="C209" s="2"/>
      <c r="D209" s="2" t="s">
        <v>1519</v>
      </c>
      <c r="E209" s="2" t="s">
        <v>1518</v>
      </c>
      <c r="G209" t="s">
        <v>21</v>
      </c>
      <c r="I209" t="s">
        <v>1521</v>
      </c>
      <c r="J209" s="10" t="s">
        <v>2688</v>
      </c>
      <c r="U209" s="10" t="str">
        <f t="shared" ca="1" si="8"/>
        <v/>
      </c>
      <c r="V209" s="10" t="str">
        <f t="shared" ca="1" si="9"/>
        <v/>
      </c>
    </row>
    <row r="210" spans="1:31" hidden="1">
      <c r="A210" s="2" t="s">
        <v>261</v>
      </c>
      <c r="B210" s="2"/>
      <c r="C210" s="2"/>
      <c r="D210" s="2" t="s">
        <v>1523</v>
      </c>
      <c r="E210" s="2" t="s">
        <v>1522</v>
      </c>
      <c r="J210" s="10" t="s">
        <v>25</v>
      </c>
      <c r="L210" s="10">
        <v>1</v>
      </c>
      <c r="M210" s="10">
        <v>1</v>
      </c>
      <c r="N210" s="10" t="s">
        <v>2662</v>
      </c>
      <c r="O210" s="10" t="s">
        <v>2687</v>
      </c>
      <c r="R210" s="10" t="s">
        <v>2642</v>
      </c>
      <c r="S210" s="10">
        <v>99</v>
      </c>
      <c r="U210" s="10" t="str">
        <f t="shared" ca="1" si="8"/>
        <v/>
      </c>
      <c r="V210" s="10" t="str">
        <f t="shared" ca="1" si="9"/>
        <v/>
      </c>
      <c r="AE210" s="10" t="s">
        <v>2657</v>
      </c>
    </row>
    <row r="211" spans="1:31">
      <c r="A211" s="2" t="s">
        <v>261</v>
      </c>
      <c r="B211" s="2"/>
      <c r="C211" s="2"/>
      <c r="D211" s="2" t="s">
        <v>1524</v>
      </c>
      <c r="E211" s="2" t="s">
        <v>1525</v>
      </c>
      <c r="F211" t="s">
        <v>2690</v>
      </c>
      <c r="I211" t="s">
        <v>2718</v>
      </c>
      <c r="J211" s="10" t="s">
        <v>2688</v>
      </c>
      <c r="U211" s="10" t="str">
        <f t="shared" ca="1" si="8"/>
        <v/>
      </c>
      <c r="V211" s="10" t="str">
        <f t="shared" ca="1" si="9"/>
        <v/>
      </c>
      <c r="AE211" s="10" t="s">
        <v>2645</v>
      </c>
    </row>
    <row r="212" spans="1:31" hidden="1">
      <c r="A212" s="2" t="s">
        <v>262</v>
      </c>
      <c r="B212" s="2"/>
      <c r="C212" s="2"/>
      <c r="D212" s="2" t="s">
        <v>2911</v>
      </c>
      <c r="E212" s="2" t="s">
        <v>1526</v>
      </c>
      <c r="J212" s="10" t="s">
        <v>25</v>
      </c>
      <c r="L212" s="10">
        <v>1</v>
      </c>
      <c r="M212" s="10">
        <v>2</v>
      </c>
      <c r="N212" s="10" t="s">
        <v>2662</v>
      </c>
      <c r="O212" s="10" t="s">
        <v>2687</v>
      </c>
      <c r="S212" s="10">
        <v>743</v>
      </c>
      <c r="U212" s="10" t="str">
        <f t="shared" ca="1" si="8"/>
        <v/>
      </c>
      <c r="V212" s="10" t="str">
        <f t="shared" ca="1" si="9"/>
        <v/>
      </c>
    </row>
    <row r="213" spans="1:31" hidden="1">
      <c r="A213" s="2" t="s">
        <v>262</v>
      </c>
      <c r="B213" s="2"/>
      <c r="C213" s="2"/>
      <c r="D213" s="2" t="s">
        <v>1527</v>
      </c>
      <c r="E213" s="2" t="s">
        <v>1528</v>
      </c>
      <c r="J213" s="10" t="s">
        <v>2686</v>
      </c>
      <c r="T213" s="10" t="s">
        <v>2696</v>
      </c>
      <c r="U213" s="10" t="str">
        <f t="shared" ca="1" si="8"/>
        <v/>
      </c>
      <c r="V213" s="10" t="str">
        <f t="shared" ca="1" si="9"/>
        <v/>
      </c>
      <c r="AE213" s="10" t="s">
        <v>2654</v>
      </c>
    </row>
    <row r="214" spans="1:31" hidden="1">
      <c r="A214" s="2" t="s">
        <v>263</v>
      </c>
      <c r="B214" s="2"/>
      <c r="C214" s="2"/>
      <c r="D214" s="2" t="s">
        <v>240</v>
      </c>
      <c r="E214" s="2" t="s">
        <v>264</v>
      </c>
      <c r="J214" s="10" t="s">
        <v>2686</v>
      </c>
      <c r="T214" s="10" t="s">
        <v>2696</v>
      </c>
      <c r="U214" s="10" t="str">
        <f t="shared" ca="1" si="8"/>
        <v/>
      </c>
      <c r="V214" s="10" t="str">
        <f t="shared" ca="1" si="9"/>
        <v/>
      </c>
      <c r="AE214" s="10" t="s">
        <v>2645</v>
      </c>
    </row>
    <row r="215" spans="1:31" hidden="1">
      <c r="A215" s="2" t="s">
        <v>263</v>
      </c>
      <c r="B215" s="2"/>
      <c r="C215" s="2"/>
      <c r="D215" s="2" t="s">
        <v>1529</v>
      </c>
      <c r="E215" s="2" t="s">
        <v>1530</v>
      </c>
      <c r="J215" s="10" t="s">
        <v>2688</v>
      </c>
      <c r="U215" s="10" t="str">
        <f t="shared" ca="1" si="8"/>
        <v/>
      </c>
      <c r="V215" s="10" t="str">
        <f t="shared" ca="1" si="9"/>
        <v/>
      </c>
      <c r="AE215" s="10" t="s">
        <v>2657</v>
      </c>
    </row>
    <row r="216" spans="1:31" ht="29" hidden="1">
      <c r="A216" s="2" t="s">
        <v>266</v>
      </c>
      <c r="B216" s="2"/>
      <c r="C216" s="2"/>
      <c r="D216" s="2" t="s">
        <v>1532</v>
      </c>
      <c r="E216" s="2" t="s">
        <v>1533</v>
      </c>
      <c r="J216" s="10" t="s">
        <v>2688</v>
      </c>
      <c r="U216" s="10" t="str">
        <f t="shared" ca="1" si="8"/>
        <v/>
      </c>
      <c r="V216" s="10" t="str">
        <f t="shared" ca="1" si="9"/>
        <v/>
      </c>
    </row>
    <row r="217" spans="1:31" ht="29" hidden="1">
      <c r="A217" s="2" t="s">
        <v>266</v>
      </c>
      <c r="B217" s="2"/>
      <c r="C217" s="2"/>
      <c r="D217" s="2" t="s">
        <v>1534</v>
      </c>
      <c r="E217" s="2" t="s">
        <v>1531</v>
      </c>
      <c r="J217" s="10" t="s">
        <v>25</v>
      </c>
      <c r="L217" s="10">
        <v>1</v>
      </c>
      <c r="M217" s="10">
        <v>2</v>
      </c>
      <c r="N217" s="10" t="s">
        <v>2662</v>
      </c>
      <c r="O217" s="10" t="s">
        <v>2687</v>
      </c>
      <c r="S217" s="10">
        <v>743</v>
      </c>
      <c r="U217" s="10" t="str">
        <f t="shared" ca="1" si="8"/>
        <v/>
      </c>
      <c r="V217" s="10" t="str">
        <f t="shared" ca="1" si="9"/>
        <v/>
      </c>
    </row>
    <row r="218" spans="1:31" hidden="1">
      <c r="A218" s="2" t="s">
        <v>267</v>
      </c>
      <c r="B218" s="2"/>
      <c r="C218" s="2"/>
      <c r="D218" s="2" t="s">
        <v>269</v>
      </c>
      <c r="E218" s="2" t="s">
        <v>268</v>
      </c>
      <c r="J218" s="10" t="s">
        <v>2686</v>
      </c>
      <c r="T218" s="10" t="s">
        <v>2696</v>
      </c>
      <c r="U218" s="10" t="str">
        <f t="shared" ca="1" si="8"/>
        <v/>
      </c>
      <c r="V218" s="10" t="str">
        <f t="shared" ca="1" si="9"/>
        <v/>
      </c>
      <c r="AC218" s="10" t="s">
        <v>2709</v>
      </c>
      <c r="AD218" s="10" t="s">
        <v>19</v>
      </c>
      <c r="AE218" s="10" t="s">
        <v>2645</v>
      </c>
    </row>
    <row r="219" spans="1:31" hidden="1">
      <c r="A219" s="2" t="s">
        <v>267</v>
      </c>
      <c r="B219" s="2"/>
      <c r="C219" s="2"/>
      <c r="D219" s="2" t="s">
        <v>1535</v>
      </c>
      <c r="E219" s="2" t="s">
        <v>1536</v>
      </c>
      <c r="J219" s="10" t="s">
        <v>2689</v>
      </c>
      <c r="T219" s="10">
        <f>7-7</f>
        <v>0</v>
      </c>
      <c r="U219" s="10">
        <f t="shared" ca="1" si="8"/>
        <v>7</v>
      </c>
      <c r="V219" s="10">
        <f t="shared" ca="1" si="9"/>
        <v>7</v>
      </c>
    </row>
    <row r="220" spans="1:31">
      <c r="A220" s="2" t="s">
        <v>270</v>
      </c>
      <c r="B220" s="2"/>
      <c r="C220" s="2"/>
      <c r="D220" s="2" t="s">
        <v>271</v>
      </c>
      <c r="E220" s="2" t="s">
        <v>271</v>
      </c>
      <c r="F220" t="s">
        <v>35</v>
      </c>
      <c r="I220" t="s">
        <v>1537</v>
      </c>
      <c r="U220" s="10" t="str">
        <f t="shared" ca="1" si="8"/>
        <v/>
      </c>
      <c r="V220" s="10" t="str">
        <f t="shared" ca="1" si="9"/>
        <v/>
      </c>
    </row>
    <row r="221" spans="1:31" hidden="1">
      <c r="A221" s="2" t="s">
        <v>270</v>
      </c>
      <c r="B221" s="2"/>
      <c r="C221" s="2"/>
      <c r="D221" s="2" t="s">
        <v>273</v>
      </c>
      <c r="E221" s="2" t="s">
        <v>272</v>
      </c>
      <c r="J221" s="10" t="s">
        <v>2686</v>
      </c>
      <c r="T221" s="10" t="s">
        <v>2696</v>
      </c>
      <c r="U221" s="10" t="str">
        <f t="shared" ca="1" si="8"/>
        <v/>
      </c>
      <c r="V221" s="10" t="str">
        <f t="shared" ca="1" si="9"/>
        <v/>
      </c>
      <c r="AE221" s="10" t="s">
        <v>2645</v>
      </c>
    </row>
    <row r="222" spans="1:31" ht="29" hidden="1">
      <c r="A222" s="2" t="s">
        <v>274</v>
      </c>
      <c r="B222" s="2"/>
      <c r="C222" s="2"/>
      <c r="D222" s="2" t="s">
        <v>1538</v>
      </c>
      <c r="E222" s="2" t="s">
        <v>1539</v>
      </c>
      <c r="H222" t="s">
        <v>19</v>
      </c>
      <c r="J222" s="10" t="s">
        <v>2686</v>
      </c>
      <c r="T222" s="10">
        <f>266-86</f>
        <v>180</v>
      </c>
      <c r="U222" s="10">
        <f t="shared" ca="1" si="8"/>
        <v>86</v>
      </c>
      <c r="V222" s="10">
        <f t="shared" ca="1" si="9"/>
        <v>266</v>
      </c>
    </row>
    <row r="223" spans="1:31" hidden="1">
      <c r="A223" s="2" t="s">
        <v>274</v>
      </c>
      <c r="B223" s="2"/>
      <c r="C223" s="2"/>
      <c r="D223" s="3" t="s">
        <v>276</v>
      </c>
      <c r="E223" s="2" t="s">
        <v>275</v>
      </c>
      <c r="F223" t="s">
        <v>15</v>
      </c>
      <c r="U223" s="10" t="str">
        <f t="shared" ca="1" si="8"/>
        <v/>
      </c>
      <c r="V223" s="10" t="str">
        <f t="shared" ca="1" si="9"/>
        <v/>
      </c>
    </row>
    <row r="224" spans="1:31" hidden="1">
      <c r="A224" s="2" t="s">
        <v>277</v>
      </c>
      <c r="B224" s="2"/>
      <c r="C224" s="2"/>
      <c r="D224" s="2" t="s">
        <v>279</v>
      </c>
      <c r="E224" s="3" t="s">
        <v>278</v>
      </c>
      <c r="F224" t="s">
        <v>16</v>
      </c>
      <c r="U224" s="10" t="str">
        <f t="shared" ca="1" si="8"/>
        <v/>
      </c>
      <c r="V224" s="10" t="str">
        <f t="shared" ca="1" si="9"/>
        <v/>
      </c>
    </row>
    <row r="225" spans="1:31">
      <c r="A225" s="2" t="s">
        <v>277</v>
      </c>
      <c r="B225" s="2"/>
      <c r="C225" s="2"/>
      <c r="D225" s="2" t="s">
        <v>281</v>
      </c>
      <c r="E225" s="2" t="s">
        <v>280</v>
      </c>
      <c r="F225" t="s">
        <v>28</v>
      </c>
      <c r="H225" t="s">
        <v>19</v>
      </c>
      <c r="I225" t="s">
        <v>2957</v>
      </c>
      <c r="J225" s="10" t="s">
        <v>2686</v>
      </c>
      <c r="T225" s="10" t="s">
        <v>2696</v>
      </c>
      <c r="U225" s="10" t="str">
        <f t="shared" ca="1" si="8"/>
        <v/>
      </c>
      <c r="V225" s="10" t="str">
        <f t="shared" ca="1" si="9"/>
        <v/>
      </c>
      <c r="AC225" s="10" t="s">
        <v>2699</v>
      </c>
      <c r="AD225" s="10" t="s">
        <v>20</v>
      </c>
      <c r="AE225" s="10" t="s">
        <v>2645</v>
      </c>
    </row>
    <row r="226" spans="1:31" ht="43.5">
      <c r="A226" s="2" t="s">
        <v>282</v>
      </c>
      <c r="B226" s="2"/>
      <c r="C226" s="2"/>
      <c r="D226" s="2" t="s">
        <v>1540</v>
      </c>
      <c r="E226" s="2" t="s">
        <v>1541</v>
      </c>
      <c r="F226" t="s">
        <v>11</v>
      </c>
      <c r="G226" t="s">
        <v>20</v>
      </c>
      <c r="U226" s="10" t="str">
        <f t="shared" ca="1" si="8"/>
        <v/>
      </c>
      <c r="V226" s="10" t="str">
        <f t="shared" ca="1" si="9"/>
        <v/>
      </c>
    </row>
    <row r="227" spans="1:31" ht="29">
      <c r="A227" s="2" t="s">
        <v>283</v>
      </c>
      <c r="B227" s="2"/>
      <c r="C227" s="2"/>
      <c r="D227" s="2" t="s">
        <v>1542</v>
      </c>
      <c r="E227" s="2" t="s">
        <v>1543</v>
      </c>
      <c r="H227" t="s">
        <v>23</v>
      </c>
      <c r="I227" t="s">
        <v>1544</v>
      </c>
      <c r="J227" s="10" t="s">
        <v>2686</v>
      </c>
      <c r="T227" s="10">
        <f>0-1</f>
        <v>-1</v>
      </c>
      <c r="U227" s="10">
        <f t="shared" ca="1" si="8"/>
        <v>1</v>
      </c>
      <c r="V227" s="10">
        <f t="shared" ca="1" si="9"/>
        <v>0</v>
      </c>
    </row>
    <row r="228" spans="1:31" hidden="1">
      <c r="A228" s="2" t="s">
        <v>284</v>
      </c>
      <c r="B228" s="2"/>
      <c r="C228" s="2"/>
      <c r="D228" s="2" t="s">
        <v>1545</v>
      </c>
      <c r="E228" s="2" t="s">
        <v>1546</v>
      </c>
      <c r="H228" t="s">
        <v>19</v>
      </c>
      <c r="J228" s="10" t="s">
        <v>2686</v>
      </c>
      <c r="T228" s="10" t="s">
        <v>2696</v>
      </c>
      <c r="U228" s="10" t="str">
        <f t="shared" ca="1" si="8"/>
        <v/>
      </c>
      <c r="V228" s="10" t="str">
        <f t="shared" ca="1" si="9"/>
        <v/>
      </c>
      <c r="AE228" s="10" t="s">
        <v>2645</v>
      </c>
    </row>
    <row r="229" spans="1:31" hidden="1">
      <c r="A229" s="2" t="s">
        <v>285</v>
      </c>
      <c r="B229" s="2"/>
      <c r="C229" s="2"/>
      <c r="D229" s="2" t="s">
        <v>1547</v>
      </c>
      <c r="E229" s="2" t="s">
        <v>286</v>
      </c>
      <c r="H229" t="s">
        <v>19</v>
      </c>
      <c r="J229" s="10" t="s">
        <v>2686</v>
      </c>
      <c r="T229" s="10" t="s">
        <v>2696</v>
      </c>
      <c r="U229" s="10" t="str">
        <f t="shared" ca="1" si="8"/>
        <v/>
      </c>
      <c r="V229" s="10" t="str">
        <f t="shared" ca="1" si="9"/>
        <v/>
      </c>
      <c r="AE229" s="10" t="s">
        <v>2645</v>
      </c>
    </row>
    <row r="230" spans="1:31">
      <c r="A230" s="2" t="s">
        <v>287</v>
      </c>
      <c r="B230" s="2"/>
      <c r="C230" s="2"/>
      <c r="D230" s="2" t="s">
        <v>1549</v>
      </c>
      <c r="E230" s="2" t="s">
        <v>1548</v>
      </c>
      <c r="I230" t="s">
        <v>2719</v>
      </c>
      <c r="J230" s="10" t="s">
        <v>2689</v>
      </c>
      <c r="T230" s="10">
        <f>0-124</f>
        <v>-124</v>
      </c>
      <c r="U230" s="10">
        <f t="shared" ca="1" si="8"/>
        <v>124</v>
      </c>
      <c r="V230" s="10">
        <f t="shared" ca="1" si="9"/>
        <v>0</v>
      </c>
    </row>
    <row r="231" spans="1:31" hidden="1">
      <c r="A231" s="2" t="s">
        <v>287</v>
      </c>
      <c r="B231" s="2"/>
      <c r="C231" s="2"/>
      <c r="D231" s="2" t="s">
        <v>289</v>
      </c>
      <c r="E231" s="2" t="s">
        <v>288</v>
      </c>
      <c r="H231" t="s">
        <v>19</v>
      </c>
      <c r="J231" s="10" t="s">
        <v>2686</v>
      </c>
      <c r="T231" s="10" t="s">
        <v>2696</v>
      </c>
      <c r="U231" s="10" t="str">
        <f t="shared" ca="1" si="8"/>
        <v/>
      </c>
      <c r="V231" s="10" t="str">
        <f t="shared" ca="1" si="9"/>
        <v/>
      </c>
      <c r="AE231" s="10" t="s">
        <v>2645</v>
      </c>
    </row>
    <row r="232" spans="1:31">
      <c r="A232" s="2" t="s">
        <v>290</v>
      </c>
      <c r="B232" s="2"/>
      <c r="C232" s="2"/>
      <c r="D232" s="3" t="s">
        <v>1550</v>
      </c>
      <c r="E232" s="2" t="s">
        <v>1551</v>
      </c>
      <c r="F232" t="s">
        <v>31</v>
      </c>
      <c r="I232" t="s">
        <v>1552</v>
      </c>
      <c r="J232" s="10" t="s">
        <v>2688</v>
      </c>
      <c r="U232" s="10" t="str">
        <f t="shared" ca="1" si="8"/>
        <v/>
      </c>
      <c r="V232" s="10" t="str">
        <f t="shared" ca="1" si="9"/>
        <v/>
      </c>
      <c r="AC232" s="10" t="s">
        <v>2699</v>
      </c>
      <c r="AD232" s="10" t="s">
        <v>19</v>
      </c>
    </row>
    <row r="233" spans="1:31" hidden="1">
      <c r="A233" s="2" t="s">
        <v>291</v>
      </c>
      <c r="B233" s="2"/>
      <c r="C233" s="2"/>
      <c r="D233" s="2" t="s">
        <v>293</v>
      </c>
      <c r="E233" s="2" t="s">
        <v>292</v>
      </c>
      <c r="H233" t="s">
        <v>19</v>
      </c>
      <c r="J233" s="10" t="s">
        <v>2686</v>
      </c>
      <c r="T233" s="10" t="s">
        <v>2696</v>
      </c>
      <c r="U233" s="10" t="str">
        <f t="shared" ca="1" si="8"/>
        <v/>
      </c>
      <c r="V233" s="10" t="str">
        <f t="shared" ca="1" si="9"/>
        <v/>
      </c>
      <c r="AB233" s="10" t="s">
        <v>2692</v>
      </c>
      <c r="AD233" s="10" t="s">
        <v>19</v>
      </c>
    </row>
    <row r="234" spans="1:31" hidden="1">
      <c r="A234" s="2" t="s">
        <v>291</v>
      </c>
      <c r="B234" s="2"/>
      <c r="C234" s="2"/>
      <c r="D234" s="2" t="s">
        <v>1554</v>
      </c>
      <c r="E234" s="2" t="s">
        <v>1553</v>
      </c>
      <c r="J234" s="10" t="s">
        <v>2686</v>
      </c>
      <c r="T234" s="10">
        <f>31-280</f>
        <v>-249</v>
      </c>
      <c r="U234" s="10">
        <f t="shared" ca="1" si="8"/>
        <v>280</v>
      </c>
      <c r="V234" s="10">
        <f t="shared" ca="1" si="9"/>
        <v>31</v>
      </c>
    </row>
    <row r="235" spans="1:31" hidden="1">
      <c r="A235" s="2" t="s">
        <v>294</v>
      </c>
      <c r="B235" s="2"/>
      <c r="C235" s="2"/>
      <c r="D235" s="2" t="s">
        <v>1555</v>
      </c>
      <c r="E235" s="2" t="s">
        <v>1556</v>
      </c>
      <c r="H235" t="s">
        <v>19</v>
      </c>
      <c r="J235" s="10" t="s">
        <v>2688</v>
      </c>
      <c r="U235" s="10" t="str">
        <f t="shared" ca="1" si="8"/>
        <v/>
      </c>
      <c r="V235" s="10" t="str">
        <f t="shared" ca="1" si="9"/>
        <v/>
      </c>
      <c r="AE235" s="10" t="s">
        <v>2651</v>
      </c>
    </row>
    <row r="236" spans="1:31" hidden="1">
      <c r="A236" s="2" t="s">
        <v>295</v>
      </c>
      <c r="B236" s="2"/>
      <c r="C236" s="2"/>
      <c r="D236" s="2" t="s">
        <v>1557</v>
      </c>
      <c r="E236" s="2" t="s">
        <v>296</v>
      </c>
      <c r="H236" t="s">
        <v>19</v>
      </c>
      <c r="J236" s="10" t="s">
        <v>2686</v>
      </c>
      <c r="T236" s="10" t="s">
        <v>2696</v>
      </c>
      <c r="U236" s="10" t="str">
        <f t="shared" ca="1" si="8"/>
        <v/>
      </c>
      <c r="V236" s="10" t="str">
        <f t="shared" ca="1" si="9"/>
        <v/>
      </c>
      <c r="AB236" s="10" t="s">
        <v>2692</v>
      </c>
      <c r="AD236" s="10" t="s">
        <v>19</v>
      </c>
    </row>
    <row r="237" spans="1:31" hidden="1">
      <c r="A237" s="2" t="s">
        <v>295</v>
      </c>
      <c r="B237" s="2"/>
      <c r="C237" s="2"/>
      <c r="D237" s="2" t="s">
        <v>298</v>
      </c>
      <c r="E237" s="2" t="s">
        <v>297</v>
      </c>
      <c r="J237" s="10" t="s">
        <v>2686</v>
      </c>
      <c r="T237" s="10" t="s">
        <v>2696</v>
      </c>
      <c r="U237" s="10" t="str">
        <f t="shared" ca="1" si="8"/>
        <v/>
      </c>
      <c r="V237" s="10" t="str">
        <f t="shared" ca="1" si="9"/>
        <v/>
      </c>
      <c r="AE237" s="10" t="s">
        <v>2645</v>
      </c>
    </row>
    <row r="238" spans="1:31" hidden="1">
      <c r="A238" s="2" t="s">
        <v>299</v>
      </c>
      <c r="B238" s="2"/>
      <c r="C238" s="2"/>
      <c r="D238" s="2" t="s">
        <v>301</v>
      </c>
      <c r="E238" s="2" t="s">
        <v>300</v>
      </c>
      <c r="J238" s="10" t="s">
        <v>2686</v>
      </c>
      <c r="T238" s="10" t="s">
        <v>2696</v>
      </c>
      <c r="U238" s="10" t="str">
        <f t="shared" ca="1" si="8"/>
        <v/>
      </c>
      <c r="V238" s="10" t="str">
        <f t="shared" ca="1" si="9"/>
        <v/>
      </c>
      <c r="AB238" s="10" t="s">
        <v>2692</v>
      </c>
      <c r="AC238" s="10" t="s">
        <v>2709</v>
      </c>
      <c r="AD238" s="10" t="s">
        <v>19</v>
      </c>
    </row>
    <row r="239" spans="1:31" hidden="1">
      <c r="A239" s="2" t="s">
        <v>302</v>
      </c>
      <c r="B239" s="2"/>
      <c r="C239" s="2"/>
      <c r="D239" s="2" t="s">
        <v>1559</v>
      </c>
      <c r="E239" s="2" t="s">
        <v>1558</v>
      </c>
      <c r="F239" t="s">
        <v>11</v>
      </c>
      <c r="U239" s="10" t="str">
        <f t="shared" ca="1" si="8"/>
        <v/>
      </c>
      <c r="V239" s="10" t="str">
        <f t="shared" ca="1" si="9"/>
        <v/>
      </c>
    </row>
    <row r="240" spans="1:31" hidden="1">
      <c r="A240" s="2" t="s">
        <v>303</v>
      </c>
      <c r="B240" s="2"/>
      <c r="C240" s="2"/>
      <c r="D240" s="2" t="s">
        <v>1560</v>
      </c>
      <c r="E240" s="2" t="s">
        <v>304</v>
      </c>
      <c r="H240" t="s">
        <v>19</v>
      </c>
      <c r="J240" s="10" t="s">
        <v>2686</v>
      </c>
      <c r="T240" s="10" t="s">
        <v>2696</v>
      </c>
      <c r="U240" s="10" t="str">
        <f t="shared" ca="1" si="8"/>
        <v/>
      </c>
      <c r="V240" s="10" t="str">
        <f t="shared" ca="1" si="9"/>
        <v/>
      </c>
      <c r="AB240" s="10" t="s">
        <v>2692</v>
      </c>
      <c r="AD240" s="10" t="s">
        <v>19</v>
      </c>
    </row>
    <row r="241" spans="1:31" hidden="1">
      <c r="A241" s="2" t="s">
        <v>305</v>
      </c>
      <c r="B241" s="2"/>
      <c r="C241" s="2"/>
      <c r="D241" s="2" t="s">
        <v>1561</v>
      </c>
      <c r="E241" s="2" t="s">
        <v>1562</v>
      </c>
      <c r="H241" t="s">
        <v>19</v>
      </c>
      <c r="J241" s="10" t="s">
        <v>25</v>
      </c>
      <c r="L241" s="10">
        <v>1</v>
      </c>
      <c r="M241" s="10">
        <v>4</v>
      </c>
      <c r="N241" s="10" t="s">
        <v>2660</v>
      </c>
      <c r="O241" s="10" t="s">
        <v>2647</v>
      </c>
      <c r="S241" s="10">
        <v>52</v>
      </c>
      <c r="U241" s="10" t="str">
        <f t="shared" ca="1" si="8"/>
        <v/>
      </c>
      <c r="V241" s="10" t="str">
        <f t="shared" ca="1" si="9"/>
        <v/>
      </c>
    </row>
    <row r="242" spans="1:31" hidden="1">
      <c r="A242" s="2" t="s">
        <v>306</v>
      </c>
      <c r="B242" s="2"/>
      <c r="C242" s="2"/>
      <c r="D242" s="2" t="s">
        <v>308</v>
      </c>
      <c r="E242" s="2" t="s">
        <v>307</v>
      </c>
      <c r="J242" s="10" t="s">
        <v>2686</v>
      </c>
      <c r="T242" s="10" t="s">
        <v>2696</v>
      </c>
      <c r="U242" s="10" t="str">
        <f t="shared" ca="1" si="8"/>
        <v/>
      </c>
      <c r="V242" s="10" t="str">
        <f t="shared" ca="1" si="9"/>
        <v/>
      </c>
      <c r="AC242" s="10" t="s">
        <v>2701</v>
      </c>
      <c r="AD242" s="10" t="s">
        <v>19</v>
      </c>
      <c r="AE242" s="10" t="s">
        <v>2645</v>
      </c>
    </row>
    <row r="243" spans="1:31" hidden="1">
      <c r="A243" s="2" t="s">
        <v>306</v>
      </c>
      <c r="B243" s="2"/>
      <c r="C243" s="2"/>
      <c r="D243" s="2" t="s">
        <v>1563</v>
      </c>
      <c r="E243" s="2" t="s">
        <v>1564</v>
      </c>
      <c r="J243" s="10" t="s">
        <v>2689</v>
      </c>
      <c r="T243" s="10">
        <f>54-52</f>
        <v>2</v>
      </c>
      <c r="U243" s="10">
        <f t="shared" ca="1" si="8"/>
        <v>52</v>
      </c>
      <c r="V243" s="10">
        <f t="shared" ca="1" si="9"/>
        <v>54</v>
      </c>
    </row>
    <row r="244" spans="1:31" ht="72.5">
      <c r="A244" s="2" t="s">
        <v>309</v>
      </c>
      <c r="B244" s="2"/>
      <c r="C244" s="2"/>
      <c r="D244" s="2" t="s">
        <v>2720</v>
      </c>
      <c r="E244" s="2" t="s">
        <v>1565</v>
      </c>
      <c r="G244" t="s">
        <v>19</v>
      </c>
      <c r="I244" t="s">
        <v>2722</v>
      </c>
      <c r="J244" s="10" t="s">
        <v>25</v>
      </c>
      <c r="L244" s="10">
        <v>7</v>
      </c>
      <c r="M244" s="10">
        <v>31</v>
      </c>
      <c r="O244" s="10" t="s">
        <v>2641</v>
      </c>
      <c r="P244" s="10" t="s">
        <v>2712</v>
      </c>
      <c r="Q244" s="11" t="s">
        <v>2721</v>
      </c>
      <c r="R244" s="10" t="s">
        <v>2642</v>
      </c>
      <c r="S244" s="10">
        <v>5</v>
      </c>
      <c r="U244" s="10" t="str">
        <f t="shared" ca="1" si="8"/>
        <v/>
      </c>
      <c r="V244" s="10" t="str">
        <f t="shared" ca="1" si="9"/>
        <v/>
      </c>
    </row>
    <row r="245" spans="1:31" ht="58" hidden="1">
      <c r="A245" s="2" t="s">
        <v>310</v>
      </c>
      <c r="B245" s="2"/>
      <c r="C245" s="2"/>
      <c r="D245" s="3" t="s">
        <v>1566</v>
      </c>
      <c r="E245" s="2" t="s">
        <v>1567</v>
      </c>
      <c r="F245" t="s">
        <v>15</v>
      </c>
      <c r="U245" s="10" t="str">
        <f t="shared" ca="1" si="8"/>
        <v/>
      </c>
      <c r="V245" s="10" t="str">
        <f t="shared" ca="1" si="9"/>
        <v/>
      </c>
    </row>
    <row r="246" spans="1:31" hidden="1">
      <c r="A246" s="2" t="s">
        <v>311</v>
      </c>
      <c r="B246" s="2"/>
      <c r="C246" s="2"/>
      <c r="D246" s="2" t="s">
        <v>312</v>
      </c>
      <c r="E246" s="2" t="s">
        <v>167</v>
      </c>
      <c r="J246" s="10" t="s">
        <v>2686</v>
      </c>
      <c r="R246" s="10" t="s">
        <v>2642</v>
      </c>
      <c r="T246" s="10" t="s">
        <v>2696</v>
      </c>
      <c r="U246" s="10" t="str">
        <f t="shared" ca="1" si="8"/>
        <v/>
      </c>
      <c r="V246" s="10" t="str">
        <f t="shared" ca="1" si="9"/>
        <v/>
      </c>
      <c r="AC246" s="10" t="s">
        <v>2800</v>
      </c>
      <c r="AD246" s="10" t="s">
        <v>19</v>
      </c>
      <c r="AE246" s="10" t="s">
        <v>2654</v>
      </c>
    </row>
    <row r="247" spans="1:31" ht="29">
      <c r="A247" s="2" t="s">
        <v>311</v>
      </c>
      <c r="B247" s="2"/>
      <c r="C247" s="2"/>
      <c r="D247" s="2" t="s">
        <v>1568</v>
      </c>
      <c r="E247" s="2" t="s">
        <v>2937</v>
      </c>
      <c r="F247" t="s">
        <v>11</v>
      </c>
      <c r="U247" s="10" t="str">
        <f t="shared" ca="1" si="8"/>
        <v/>
      </c>
      <c r="V247" s="10" t="str">
        <f t="shared" ca="1" si="9"/>
        <v/>
      </c>
    </row>
    <row r="248" spans="1:31" ht="29">
      <c r="A248" s="2" t="s">
        <v>311</v>
      </c>
      <c r="B248" s="2"/>
      <c r="C248" s="2"/>
      <c r="D248" s="2" t="s">
        <v>1569</v>
      </c>
      <c r="E248" s="2" t="s">
        <v>2938</v>
      </c>
      <c r="H248" t="s">
        <v>19</v>
      </c>
      <c r="I248" t="s">
        <v>2939</v>
      </c>
      <c r="J248" s="10" t="s">
        <v>2689</v>
      </c>
      <c r="T248" s="10">
        <f>2475-56</f>
        <v>2419</v>
      </c>
      <c r="U248" s="10">
        <f t="shared" ca="1" si="8"/>
        <v>56</v>
      </c>
      <c r="V248" s="10">
        <v>2475</v>
      </c>
      <c r="AE248" s="10" t="s">
        <v>2651</v>
      </c>
    </row>
    <row r="249" spans="1:31" ht="43.5" hidden="1">
      <c r="A249" s="2" t="s">
        <v>313</v>
      </c>
      <c r="B249" s="2"/>
      <c r="C249" s="2"/>
      <c r="D249" s="2" t="s">
        <v>1570</v>
      </c>
      <c r="E249" s="2" t="s">
        <v>1571</v>
      </c>
      <c r="J249" s="10" t="s">
        <v>2686</v>
      </c>
      <c r="T249" s="10" t="s">
        <v>2687</v>
      </c>
      <c r="U249" s="10" t="str">
        <f t="shared" ca="1" si="8"/>
        <v/>
      </c>
      <c r="V249" s="10" t="str">
        <f t="shared" ca="1" si="9"/>
        <v/>
      </c>
      <c r="AE249" s="10" t="s">
        <v>2654</v>
      </c>
    </row>
    <row r="250" spans="1:31" ht="43.5" hidden="1">
      <c r="A250" s="2" t="s">
        <v>313</v>
      </c>
      <c r="B250" s="2"/>
      <c r="C250" s="2"/>
      <c r="D250" s="2" t="s">
        <v>1572</v>
      </c>
      <c r="E250" s="2" t="s">
        <v>1573</v>
      </c>
      <c r="H250" t="s">
        <v>19</v>
      </c>
      <c r="J250" s="10" t="s">
        <v>2689</v>
      </c>
      <c r="T250" s="10" t="s">
        <v>2687</v>
      </c>
      <c r="U250" s="10" t="str">
        <f t="shared" ca="1" si="8"/>
        <v/>
      </c>
      <c r="V250" s="10" t="str">
        <f t="shared" ca="1" si="9"/>
        <v/>
      </c>
      <c r="AE250" s="10" t="s">
        <v>2645</v>
      </c>
    </row>
    <row r="251" spans="1:31" hidden="1">
      <c r="A251" s="2" t="s">
        <v>314</v>
      </c>
      <c r="B251" s="2"/>
      <c r="C251" s="2"/>
      <c r="D251" s="3" t="s">
        <v>316</v>
      </c>
      <c r="E251" s="2" t="s">
        <v>315</v>
      </c>
      <c r="F251" t="s">
        <v>15</v>
      </c>
      <c r="U251" s="10" t="str">
        <f t="shared" ca="1" si="8"/>
        <v/>
      </c>
      <c r="V251" s="10" t="str">
        <f t="shared" ca="1" si="9"/>
        <v/>
      </c>
    </row>
    <row r="252" spans="1:31" hidden="1">
      <c r="A252" s="2" t="s">
        <v>314</v>
      </c>
      <c r="B252" s="2"/>
      <c r="C252" s="2"/>
      <c r="D252" s="2" t="s">
        <v>318</v>
      </c>
      <c r="E252" s="2" t="s">
        <v>317</v>
      </c>
      <c r="H252" t="s">
        <v>19</v>
      </c>
      <c r="J252" s="10" t="s">
        <v>2686</v>
      </c>
      <c r="R252" s="10" t="s">
        <v>2642</v>
      </c>
      <c r="T252" s="10" t="s">
        <v>2687</v>
      </c>
      <c r="U252" s="10" t="str">
        <f t="shared" ca="1" si="8"/>
        <v/>
      </c>
      <c r="V252" s="10" t="str">
        <f t="shared" ca="1" si="9"/>
        <v/>
      </c>
      <c r="AE252" s="10" t="s">
        <v>2645</v>
      </c>
    </row>
    <row r="253" spans="1:31" hidden="1">
      <c r="A253" s="2" t="s">
        <v>314</v>
      </c>
      <c r="B253" s="2"/>
      <c r="C253" s="2"/>
      <c r="D253" s="2" t="s">
        <v>1574</v>
      </c>
      <c r="E253" s="2" t="s">
        <v>1575</v>
      </c>
      <c r="J253" s="10" t="s">
        <v>2688</v>
      </c>
      <c r="U253" s="10" t="str">
        <f t="shared" ca="1" si="8"/>
        <v/>
      </c>
      <c r="V253" s="10" t="str">
        <f t="shared" ca="1" si="9"/>
        <v/>
      </c>
      <c r="AE253" s="10" t="s">
        <v>2645</v>
      </c>
    </row>
    <row r="254" spans="1:31" hidden="1">
      <c r="A254" s="2" t="s">
        <v>319</v>
      </c>
      <c r="B254" s="2"/>
      <c r="C254" s="2"/>
      <c r="D254" s="2" t="s">
        <v>1576</v>
      </c>
      <c r="E254" s="2" t="s">
        <v>1577</v>
      </c>
      <c r="J254" s="10" t="s">
        <v>2688</v>
      </c>
      <c r="U254" s="10" t="str">
        <f t="shared" ref="U254:U317" ca="1" si="10">IF(ISNUMBER(T254),VALUE(MID(_xlfn.FORMULATEXT(T254),SEARCH("-",_xlfn.FORMULATEXT(T254))+1,LEN(_xlfn.FORMULATEXT(T254))-SEARCH("-",_xlfn.FORMULATEXT(T254)))), "")</f>
        <v/>
      </c>
      <c r="V254" s="10" t="str">
        <f t="shared" ref="V254:V317" ca="1" si="11">IF(ISNUMBER(T254), VALUE(MID(_xlfn.FORMULATEXT(T254), 2, SEARCH("-", _xlfn.FORMULATEXT(T254)) - 2)), "")</f>
        <v/>
      </c>
      <c r="AE254" s="10" t="s">
        <v>2654</v>
      </c>
    </row>
    <row r="255" spans="1:31">
      <c r="A255" s="2" t="s">
        <v>319</v>
      </c>
      <c r="B255" s="2"/>
      <c r="C255" s="2"/>
      <c r="D255" s="2" t="s">
        <v>321</v>
      </c>
      <c r="E255" s="2" t="s">
        <v>320</v>
      </c>
      <c r="H255" t="s">
        <v>22</v>
      </c>
      <c r="I255" t="s">
        <v>1578</v>
      </c>
      <c r="J255" s="10" t="s">
        <v>2688</v>
      </c>
      <c r="U255" s="10" t="str">
        <f t="shared" ca="1" si="10"/>
        <v/>
      </c>
      <c r="V255" s="10" t="str">
        <f t="shared" ca="1" si="11"/>
        <v/>
      </c>
    </row>
    <row r="256" spans="1:31">
      <c r="A256" s="2" t="s">
        <v>322</v>
      </c>
      <c r="B256" s="2"/>
      <c r="C256" s="2"/>
      <c r="D256" s="5" t="s">
        <v>1579</v>
      </c>
      <c r="E256" s="2" t="s">
        <v>1580</v>
      </c>
      <c r="F256" t="s">
        <v>11</v>
      </c>
      <c r="U256" s="10" t="str">
        <f t="shared" ca="1" si="10"/>
        <v/>
      </c>
      <c r="V256" s="10" t="str">
        <f t="shared" ca="1" si="11"/>
        <v/>
      </c>
    </row>
    <row r="257" spans="1:31" hidden="1">
      <c r="A257" s="2" t="s">
        <v>322</v>
      </c>
      <c r="B257" s="2"/>
      <c r="C257" s="2"/>
      <c r="D257" s="2" t="s">
        <v>1581</v>
      </c>
      <c r="E257" s="2" t="s">
        <v>1582</v>
      </c>
      <c r="J257" s="10" t="s">
        <v>2686</v>
      </c>
      <c r="T257" s="10">
        <f>1-3</f>
        <v>-2</v>
      </c>
      <c r="U257" s="10">
        <f t="shared" ca="1" si="10"/>
        <v>3</v>
      </c>
      <c r="V257" s="10">
        <f t="shared" ca="1" si="11"/>
        <v>1</v>
      </c>
    </row>
    <row r="258" spans="1:31" hidden="1">
      <c r="A258" s="2" t="s">
        <v>322</v>
      </c>
      <c r="B258" s="2"/>
      <c r="C258" s="2"/>
      <c r="D258" s="2" t="s">
        <v>1584</v>
      </c>
      <c r="E258" s="2" t="s">
        <v>1583</v>
      </c>
      <c r="G258" t="s">
        <v>19</v>
      </c>
      <c r="J258" s="10" t="s">
        <v>2689</v>
      </c>
      <c r="T258" s="10">
        <f>63-613</f>
        <v>-550</v>
      </c>
      <c r="U258" s="10">
        <f t="shared" ca="1" si="10"/>
        <v>613</v>
      </c>
      <c r="V258" s="10">
        <f t="shared" ca="1" si="11"/>
        <v>63</v>
      </c>
    </row>
    <row r="259" spans="1:31" hidden="1">
      <c r="A259" s="2" t="s">
        <v>322</v>
      </c>
      <c r="B259" s="2"/>
      <c r="C259" s="2"/>
      <c r="D259" s="2" t="s">
        <v>324</v>
      </c>
      <c r="E259" s="2" t="s">
        <v>323</v>
      </c>
      <c r="J259" s="10" t="s">
        <v>2688</v>
      </c>
      <c r="U259" s="10" t="str">
        <f t="shared" ca="1" si="10"/>
        <v/>
      </c>
      <c r="V259" s="10" t="str">
        <f t="shared" ca="1" si="11"/>
        <v/>
      </c>
      <c r="AE259" s="10" t="s">
        <v>2645</v>
      </c>
    </row>
    <row r="260" spans="1:31" hidden="1">
      <c r="A260" s="2" t="s">
        <v>322</v>
      </c>
      <c r="B260" s="2"/>
      <c r="C260" s="2"/>
      <c r="D260" s="2" t="s">
        <v>1586</v>
      </c>
      <c r="E260" s="2" t="s">
        <v>1585</v>
      </c>
      <c r="J260" s="10" t="s">
        <v>2688</v>
      </c>
      <c r="U260" s="10" t="str">
        <f t="shared" ca="1" si="10"/>
        <v/>
      </c>
      <c r="V260" s="10" t="str">
        <f t="shared" ca="1" si="11"/>
        <v/>
      </c>
    </row>
    <row r="261" spans="1:31" hidden="1">
      <c r="A261" s="2" t="s">
        <v>322</v>
      </c>
      <c r="B261" s="2"/>
      <c r="C261" s="2"/>
      <c r="D261" s="2" t="s">
        <v>326</v>
      </c>
      <c r="E261" s="2" t="s">
        <v>325</v>
      </c>
      <c r="J261" s="10" t="s">
        <v>2689</v>
      </c>
      <c r="T261" s="10" t="s">
        <v>2696</v>
      </c>
      <c r="U261" s="10" t="str">
        <f t="shared" ca="1" si="10"/>
        <v/>
      </c>
      <c r="V261" s="10" t="str">
        <f t="shared" ca="1" si="11"/>
        <v/>
      </c>
      <c r="AE261" s="10" t="s">
        <v>2654</v>
      </c>
    </row>
    <row r="262" spans="1:31" hidden="1">
      <c r="A262" s="2" t="s">
        <v>322</v>
      </c>
      <c r="B262" s="2"/>
      <c r="C262" s="2"/>
      <c r="D262" s="2" t="s">
        <v>1587</v>
      </c>
      <c r="E262" s="2" t="s">
        <v>1588</v>
      </c>
      <c r="J262" s="10" t="s">
        <v>2688</v>
      </c>
      <c r="U262" s="10" t="str">
        <f t="shared" ca="1" si="10"/>
        <v/>
      </c>
      <c r="V262" s="10" t="str">
        <f t="shared" ca="1" si="11"/>
        <v/>
      </c>
      <c r="AE262" s="10" t="s">
        <v>2657</v>
      </c>
    </row>
    <row r="263" spans="1:31" hidden="1">
      <c r="A263" s="2" t="s">
        <v>322</v>
      </c>
      <c r="B263" s="2"/>
      <c r="C263" s="2"/>
      <c r="D263" s="3" t="s">
        <v>328</v>
      </c>
      <c r="E263" s="2" t="s">
        <v>327</v>
      </c>
      <c r="F263" t="s">
        <v>15</v>
      </c>
      <c r="J263" s="10" t="s">
        <v>2686</v>
      </c>
      <c r="T263" s="10" t="s">
        <v>2696</v>
      </c>
      <c r="U263" s="10" t="str">
        <f t="shared" ca="1" si="10"/>
        <v/>
      </c>
      <c r="V263" s="10" t="str">
        <f t="shared" ca="1" si="11"/>
        <v/>
      </c>
      <c r="AE263" s="10" t="s">
        <v>2645</v>
      </c>
    </row>
    <row r="264" spans="1:31" hidden="1">
      <c r="A264" s="2" t="s">
        <v>329</v>
      </c>
      <c r="B264" s="2"/>
      <c r="C264" s="2"/>
      <c r="D264" s="2" t="s">
        <v>331</v>
      </c>
      <c r="E264" s="3" t="s">
        <v>330</v>
      </c>
      <c r="F264" t="s">
        <v>16</v>
      </c>
      <c r="U264" s="10" t="str">
        <f t="shared" ca="1" si="10"/>
        <v/>
      </c>
      <c r="V264" s="10" t="str">
        <f t="shared" ca="1" si="11"/>
        <v/>
      </c>
    </row>
    <row r="265" spans="1:31" hidden="1">
      <c r="A265" s="2" t="s">
        <v>329</v>
      </c>
      <c r="B265" s="2"/>
      <c r="C265" s="2"/>
      <c r="D265" s="2" t="s">
        <v>1589</v>
      </c>
      <c r="E265" s="2" t="s">
        <v>1590</v>
      </c>
      <c r="J265" s="10" t="s">
        <v>2686</v>
      </c>
      <c r="T265" s="10">
        <f>2475-75</f>
        <v>2400</v>
      </c>
      <c r="U265" s="10">
        <f t="shared" ca="1" si="10"/>
        <v>75</v>
      </c>
      <c r="V265" s="10">
        <f t="shared" ca="1" si="11"/>
        <v>2475</v>
      </c>
    </row>
    <row r="266" spans="1:31" hidden="1">
      <c r="A266" s="2" t="s">
        <v>332</v>
      </c>
      <c r="B266" s="2"/>
      <c r="C266" s="2"/>
      <c r="D266" s="2" t="s">
        <v>1591</v>
      </c>
      <c r="E266" s="2" t="s">
        <v>1592</v>
      </c>
      <c r="J266" s="10" t="s">
        <v>2686</v>
      </c>
      <c r="T266" s="10">
        <f>312-743</f>
        <v>-431</v>
      </c>
      <c r="U266" s="10">
        <f t="shared" ca="1" si="10"/>
        <v>743</v>
      </c>
      <c r="V266" s="10">
        <f t="shared" ca="1" si="11"/>
        <v>312</v>
      </c>
    </row>
    <row r="267" spans="1:31" hidden="1">
      <c r="A267" s="2" t="s">
        <v>333</v>
      </c>
      <c r="B267" s="2"/>
      <c r="C267" s="2"/>
      <c r="D267" s="2" t="s">
        <v>1593</v>
      </c>
      <c r="E267" s="2" t="s">
        <v>1594</v>
      </c>
      <c r="H267" t="s">
        <v>19</v>
      </c>
      <c r="J267" s="10" t="s">
        <v>2686</v>
      </c>
      <c r="T267" s="10">
        <f>312-743</f>
        <v>-431</v>
      </c>
      <c r="U267" s="10">
        <f t="shared" ca="1" si="10"/>
        <v>743</v>
      </c>
      <c r="V267" s="10">
        <f t="shared" ca="1" si="11"/>
        <v>312</v>
      </c>
    </row>
    <row r="268" spans="1:31">
      <c r="A268" s="2" t="s">
        <v>334</v>
      </c>
      <c r="B268" s="2"/>
      <c r="C268" s="2"/>
      <c r="D268" s="2" t="s">
        <v>1596</v>
      </c>
      <c r="E268" s="2" t="s">
        <v>1595</v>
      </c>
      <c r="F268" t="s">
        <v>11</v>
      </c>
      <c r="U268" s="10" t="str">
        <f t="shared" ca="1" si="10"/>
        <v/>
      </c>
      <c r="V268" s="10" t="str">
        <f t="shared" ca="1" si="11"/>
        <v/>
      </c>
    </row>
    <row r="269" spans="1:31" ht="29">
      <c r="A269" s="2" t="s">
        <v>335</v>
      </c>
      <c r="B269" s="2"/>
      <c r="C269" s="2"/>
      <c r="D269" s="5" t="s">
        <v>1597</v>
      </c>
      <c r="E269" s="2" t="s">
        <v>1598</v>
      </c>
      <c r="F269" t="s">
        <v>11</v>
      </c>
      <c r="G269" t="s">
        <v>19</v>
      </c>
      <c r="I269" t="s">
        <v>2958</v>
      </c>
      <c r="J269" s="10" t="s">
        <v>30</v>
      </c>
      <c r="U269" s="10" t="str">
        <f t="shared" ca="1" si="10"/>
        <v/>
      </c>
      <c r="V269" s="10" t="str">
        <f t="shared" ca="1" si="11"/>
        <v/>
      </c>
    </row>
    <row r="270" spans="1:31" hidden="1">
      <c r="A270" s="2" t="s">
        <v>335</v>
      </c>
      <c r="B270" s="2"/>
      <c r="C270" s="2"/>
      <c r="D270" s="2" t="s">
        <v>1599</v>
      </c>
      <c r="E270" s="2" t="s">
        <v>336</v>
      </c>
      <c r="H270" t="s">
        <v>19</v>
      </c>
      <c r="J270" s="10" t="s">
        <v>2686</v>
      </c>
      <c r="R270" s="10" t="s">
        <v>2642</v>
      </c>
      <c r="T270" s="10" t="s">
        <v>2696</v>
      </c>
      <c r="U270" s="10" t="str">
        <f t="shared" ca="1" si="10"/>
        <v/>
      </c>
      <c r="V270" s="10" t="str">
        <f t="shared" ca="1" si="11"/>
        <v/>
      </c>
      <c r="AE270" s="10" t="s">
        <v>2645</v>
      </c>
    </row>
    <row r="271" spans="1:31" ht="29" hidden="1">
      <c r="A271" s="2" t="s">
        <v>335</v>
      </c>
      <c r="B271" s="2"/>
      <c r="C271" s="2"/>
      <c r="D271" s="2" t="s">
        <v>1601</v>
      </c>
      <c r="E271" s="2" t="s">
        <v>1600</v>
      </c>
      <c r="H271" t="s">
        <v>19</v>
      </c>
      <c r="J271" s="10" t="s">
        <v>2686</v>
      </c>
      <c r="T271" s="10">
        <f>6-38</f>
        <v>-32</v>
      </c>
      <c r="U271" s="10">
        <f t="shared" ca="1" si="10"/>
        <v>38</v>
      </c>
      <c r="V271" s="10">
        <f t="shared" ca="1" si="11"/>
        <v>6</v>
      </c>
    </row>
    <row r="272" spans="1:31" ht="29" hidden="1">
      <c r="A272" s="2" t="s">
        <v>337</v>
      </c>
      <c r="B272" s="2"/>
      <c r="C272" s="2"/>
      <c r="D272" s="2" t="s">
        <v>1602</v>
      </c>
      <c r="E272" s="2" t="s">
        <v>1603</v>
      </c>
      <c r="H272" t="s">
        <v>19</v>
      </c>
      <c r="J272" s="10" t="s">
        <v>24</v>
      </c>
      <c r="L272" s="10">
        <v>1</v>
      </c>
      <c r="M272" s="10">
        <v>2</v>
      </c>
      <c r="N272" s="10" t="s">
        <v>2664</v>
      </c>
      <c r="O272" s="10" t="s">
        <v>2687</v>
      </c>
      <c r="R272" s="10" t="s">
        <v>2642</v>
      </c>
      <c r="S272" s="10">
        <v>613</v>
      </c>
      <c r="U272" s="10" t="str">
        <f t="shared" ca="1" si="10"/>
        <v/>
      </c>
      <c r="V272" s="10" t="str">
        <f t="shared" ca="1" si="11"/>
        <v/>
      </c>
      <c r="AE272" s="10" t="s">
        <v>2651</v>
      </c>
    </row>
    <row r="273" spans="1:31" hidden="1">
      <c r="A273" s="2" t="s">
        <v>337</v>
      </c>
      <c r="B273" s="2"/>
      <c r="C273" s="2"/>
      <c r="D273" s="2" t="s">
        <v>1604</v>
      </c>
      <c r="E273" s="2" t="s">
        <v>338</v>
      </c>
      <c r="J273" s="10" t="s">
        <v>2688</v>
      </c>
      <c r="U273" s="10" t="str">
        <f t="shared" ca="1" si="10"/>
        <v/>
      </c>
      <c r="V273" s="10" t="str">
        <f t="shared" ca="1" si="11"/>
        <v/>
      </c>
      <c r="AE273" s="10" t="s">
        <v>2645</v>
      </c>
    </row>
    <row r="274" spans="1:31" hidden="1">
      <c r="A274" s="2" t="s">
        <v>339</v>
      </c>
      <c r="B274" s="2"/>
      <c r="C274" s="2"/>
      <c r="D274" s="13" t="s">
        <v>1605</v>
      </c>
      <c r="E274" s="2" t="s">
        <v>340</v>
      </c>
      <c r="H274" t="s">
        <v>19</v>
      </c>
      <c r="J274" s="10" t="s">
        <v>2688</v>
      </c>
      <c r="U274" s="10" t="str">
        <f t="shared" ca="1" si="10"/>
        <v/>
      </c>
      <c r="V274" s="10" t="str">
        <f t="shared" ca="1" si="11"/>
        <v/>
      </c>
    </row>
    <row r="275" spans="1:31" hidden="1">
      <c r="A275" s="2" t="s">
        <v>339</v>
      </c>
      <c r="B275" s="2"/>
      <c r="C275" s="2"/>
      <c r="D275" s="13" t="s">
        <v>1607</v>
      </c>
      <c r="E275" s="2" t="s">
        <v>1606</v>
      </c>
      <c r="H275" t="s">
        <v>19</v>
      </c>
      <c r="J275" s="10" t="s">
        <v>2688</v>
      </c>
      <c r="U275" s="10" t="str">
        <f t="shared" ca="1" si="10"/>
        <v/>
      </c>
      <c r="V275" s="10" t="str">
        <f t="shared" ca="1" si="11"/>
        <v/>
      </c>
      <c r="AE275" s="10" t="s">
        <v>2645</v>
      </c>
    </row>
    <row r="276" spans="1:31" hidden="1">
      <c r="A276" s="2" t="s">
        <v>339</v>
      </c>
      <c r="B276" s="2"/>
      <c r="C276" s="2"/>
      <c r="D276" s="2" t="s">
        <v>342</v>
      </c>
      <c r="E276" s="2" t="s">
        <v>341</v>
      </c>
      <c r="J276" s="10" t="s">
        <v>2688</v>
      </c>
      <c r="U276" s="10" t="str">
        <f t="shared" ca="1" si="10"/>
        <v/>
      </c>
      <c r="V276" s="10" t="str">
        <f t="shared" ca="1" si="11"/>
        <v/>
      </c>
    </row>
    <row r="277" spans="1:31" hidden="1">
      <c r="A277" s="2" t="s">
        <v>339</v>
      </c>
      <c r="B277" s="2"/>
      <c r="C277" s="2"/>
      <c r="D277" s="2" t="s">
        <v>49</v>
      </c>
      <c r="E277" s="3" t="s">
        <v>343</v>
      </c>
      <c r="F277" t="s">
        <v>16</v>
      </c>
      <c r="U277" s="10" t="str">
        <f t="shared" ca="1" si="10"/>
        <v/>
      </c>
      <c r="V277" s="10" t="str">
        <f t="shared" ca="1" si="11"/>
        <v/>
      </c>
    </row>
    <row r="278" spans="1:31">
      <c r="A278" s="2" t="s">
        <v>339</v>
      </c>
      <c r="B278" s="2"/>
      <c r="C278" s="2"/>
      <c r="D278" s="6" t="s">
        <v>1608</v>
      </c>
      <c r="E278" t="s">
        <v>1609</v>
      </c>
      <c r="F278" t="s">
        <v>11</v>
      </c>
      <c r="G278" t="s">
        <v>20</v>
      </c>
      <c r="I278" s="4"/>
      <c r="U278" s="10" t="str">
        <f t="shared" ca="1" si="10"/>
        <v/>
      </c>
      <c r="V278" s="10" t="str">
        <f t="shared" ca="1" si="11"/>
        <v/>
      </c>
    </row>
    <row r="279" spans="1:31" hidden="1">
      <c r="A279" s="2" t="s">
        <v>339</v>
      </c>
      <c r="B279" s="2"/>
      <c r="C279" s="2"/>
      <c r="D279" s="2" t="s">
        <v>345</v>
      </c>
      <c r="E279" s="2" t="s">
        <v>344</v>
      </c>
      <c r="J279" s="10" t="s">
        <v>2686</v>
      </c>
      <c r="R279" s="10" t="s">
        <v>2642</v>
      </c>
      <c r="T279" s="10" t="s">
        <v>2687</v>
      </c>
      <c r="U279" s="10" t="str">
        <f t="shared" ca="1" si="10"/>
        <v/>
      </c>
      <c r="V279" s="10" t="str">
        <f t="shared" ca="1" si="11"/>
        <v/>
      </c>
      <c r="AB279" s="10" t="s">
        <v>2692</v>
      </c>
      <c r="AC279" s="10" t="s">
        <v>2800</v>
      </c>
      <c r="AD279" s="10" t="s">
        <v>19</v>
      </c>
    </row>
    <row r="280" spans="1:31" hidden="1">
      <c r="A280" s="2" t="s">
        <v>346</v>
      </c>
      <c r="B280" s="2"/>
      <c r="C280" s="2"/>
      <c r="D280" s="2" t="s">
        <v>1610</v>
      </c>
      <c r="E280" s="2" t="s">
        <v>1611</v>
      </c>
      <c r="J280" s="10" t="s">
        <v>2689</v>
      </c>
      <c r="T280" s="10" t="s">
        <v>2696</v>
      </c>
      <c r="U280" s="10" t="str">
        <f t="shared" ca="1" si="10"/>
        <v/>
      </c>
      <c r="V280" s="10" t="str">
        <f t="shared" ca="1" si="11"/>
        <v/>
      </c>
      <c r="AE280" s="10" t="s">
        <v>2645</v>
      </c>
    </row>
    <row r="281" spans="1:31" hidden="1">
      <c r="A281" s="2" t="s">
        <v>346</v>
      </c>
      <c r="B281" s="2"/>
      <c r="C281" s="2"/>
      <c r="D281" s="2" t="s">
        <v>1612</v>
      </c>
      <c r="E281" s="2" t="s">
        <v>347</v>
      </c>
      <c r="J281" s="10" t="s">
        <v>2686</v>
      </c>
      <c r="T281" s="10" t="s">
        <v>2696</v>
      </c>
      <c r="U281" s="10" t="str">
        <f t="shared" ca="1" si="10"/>
        <v/>
      </c>
      <c r="V281" s="10" t="str">
        <f t="shared" ca="1" si="11"/>
        <v/>
      </c>
      <c r="AE281" s="10" t="s">
        <v>2645</v>
      </c>
    </row>
    <row r="282" spans="1:31" hidden="1">
      <c r="A282" s="2" t="s">
        <v>348</v>
      </c>
      <c r="B282" s="2"/>
      <c r="C282" s="2"/>
      <c r="D282" s="2" t="s">
        <v>1147</v>
      </c>
      <c r="E282" s="2" t="s">
        <v>349</v>
      </c>
      <c r="H282" t="s">
        <v>19</v>
      </c>
      <c r="J282" s="10" t="s">
        <v>2688</v>
      </c>
      <c r="U282" s="10" t="str">
        <f t="shared" ca="1" si="10"/>
        <v/>
      </c>
      <c r="V282" s="10" t="str">
        <f t="shared" ca="1" si="11"/>
        <v/>
      </c>
      <c r="AE282" s="10" t="s">
        <v>2645</v>
      </c>
    </row>
    <row r="283" spans="1:31" hidden="1">
      <c r="A283" s="2" t="s">
        <v>350</v>
      </c>
      <c r="B283" s="2"/>
      <c r="C283" s="2"/>
      <c r="D283" s="2" t="s">
        <v>1613</v>
      </c>
      <c r="E283" s="2" t="s">
        <v>1614</v>
      </c>
      <c r="H283" t="s">
        <v>19</v>
      </c>
      <c r="J283" s="10" t="s">
        <v>2686</v>
      </c>
      <c r="T283" s="10">
        <f>743-312</f>
        <v>431</v>
      </c>
      <c r="U283" s="10">
        <f t="shared" ca="1" si="10"/>
        <v>312</v>
      </c>
      <c r="V283" s="10">
        <f t="shared" ca="1" si="11"/>
        <v>743</v>
      </c>
    </row>
    <row r="284" spans="1:31" hidden="1">
      <c r="A284" s="2" t="s">
        <v>351</v>
      </c>
      <c r="B284" s="2"/>
      <c r="C284" s="2"/>
      <c r="D284" s="2" t="s">
        <v>353</v>
      </c>
      <c r="E284" s="2" t="s">
        <v>352</v>
      </c>
      <c r="J284" s="10" t="s">
        <v>2688</v>
      </c>
      <c r="U284" s="10" t="str">
        <f t="shared" ca="1" si="10"/>
        <v/>
      </c>
      <c r="V284" s="10" t="str">
        <f t="shared" ca="1" si="11"/>
        <v/>
      </c>
      <c r="AE284" s="10" t="s">
        <v>2645</v>
      </c>
    </row>
    <row r="285" spans="1:31" hidden="1">
      <c r="A285" s="2" t="s">
        <v>351</v>
      </c>
      <c r="B285" s="2"/>
      <c r="C285" s="2"/>
      <c r="D285" s="2" t="s">
        <v>355</v>
      </c>
      <c r="E285" s="2" t="s">
        <v>354</v>
      </c>
      <c r="J285" s="10" t="s">
        <v>2686</v>
      </c>
      <c r="T285" s="10" t="s">
        <v>2696</v>
      </c>
      <c r="U285" s="10" t="str">
        <f t="shared" ca="1" si="10"/>
        <v/>
      </c>
      <c r="V285" s="10" t="str">
        <f t="shared" ca="1" si="11"/>
        <v/>
      </c>
      <c r="AC285" s="10" t="s">
        <v>2709</v>
      </c>
      <c r="AD285" s="10" t="s">
        <v>19</v>
      </c>
      <c r="AE285" s="10" t="s">
        <v>2645</v>
      </c>
    </row>
    <row r="286" spans="1:31" hidden="1">
      <c r="A286" s="2" t="s">
        <v>351</v>
      </c>
      <c r="B286" s="2"/>
      <c r="C286" s="2"/>
      <c r="D286" s="2" t="s">
        <v>342</v>
      </c>
      <c r="E286" s="2" t="s">
        <v>341</v>
      </c>
      <c r="J286" s="10" t="s">
        <v>2688</v>
      </c>
      <c r="U286" s="10" t="str">
        <f t="shared" ca="1" si="10"/>
        <v/>
      </c>
      <c r="V286" s="10" t="str">
        <f t="shared" ca="1" si="11"/>
        <v/>
      </c>
      <c r="AE286" s="10" t="s">
        <v>2645</v>
      </c>
    </row>
    <row r="287" spans="1:31" hidden="1">
      <c r="A287" s="2" t="s">
        <v>356</v>
      </c>
      <c r="B287" s="2"/>
      <c r="C287" s="2"/>
      <c r="D287" s="2" t="s">
        <v>1615</v>
      </c>
      <c r="E287" s="2" t="s">
        <v>357</v>
      </c>
      <c r="H287" t="s">
        <v>19</v>
      </c>
      <c r="J287" s="10" t="s">
        <v>2686</v>
      </c>
      <c r="T287" s="10" t="s">
        <v>2696</v>
      </c>
      <c r="U287" s="10" t="str">
        <f t="shared" ca="1" si="10"/>
        <v/>
      </c>
      <c r="V287" s="10" t="str">
        <f t="shared" ca="1" si="11"/>
        <v/>
      </c>
      <c r="AC287" s="10" t="s">
        <v>2698</v>
      </c>
      <c r="AD287" s="10" t="s">
        <v>19</v>
      </c>
      <c r="AE287" s="10" t="s">
        <v>2645</v>
      </c>
    </row>
    <row r="288" spans="1:31" hidden="1">
      <c r="A288" s="2" t="s">
        <v>358</v>
      </c>
      <c r="B288" s="2"/>
      <c r="C288" s="2"/>
      <c r="D288" s="3" t="s">
        <v>360</v>
      </c>
      <c r="E288" s="2" t="s">
        <v>359</v>
      </c>
      <c r="F288" t="s">
        <v>15</v>
      </c>
      <c r="U288" s="10" t="str">
        <f t="shared" ca="1" si="10"/>
        <v/>
      </c>
      <c r="V288" s="10" t="str">
        <f t="shared" ca="1" si="11"/>
        <v/>
      </c>
    </row>
    <row r="289" spans="1:31" ht="43.5" hidden="1">
      <c r="A289" s="2" t="s">
        <v>361</v>
      </c>
      <c r="B289" s="2"/>
      <c r="C289" s="2"/>
      <c r="D289" s="2" t="s">
        <v>1616</v>
      </c>
      <c r="E289" s="2" t="s">
        <v>1617</v>
      </c>
      <c r="H289" t="s">
        <v>19</v>
      </c>
      <c r="J289" s="10" t="s">
        <v>2686</v>
      </c>
      <c r="T289" s="10" t="s">
        <v>2696</v>
      </c>
      <c r="U289" s="10" t="str">
        <f t="shared" ca="1" si="10"/>
        <v/>
      </c>
      <c r="V289" s="10" t="str">
        <f t="shared" ca="1" si="11"/>
        <v/>
      </c>
      <c r="AE289" s="10" t="s">
        <v>2645</v>
      </c>
    </row>
    <row r="290" spans="1:31" ht="43.5">
      <c r="A290" s="2" t="s">
        <v>361</v>
      </c>
      <c r="B290" s="2"/>
      <c r="C290" s="2"/>
      <c r="D290" s="3" t="s">
        <v>1618</v>
      </c>
      <c r="E290" s="2" t="s">
        <v>1619</v>
      </c>
      <c r="F290" t="s">
        <v>31</v>
      </c>
      <c r="H290" t="s">
        <v>19</v>
      </c>
      <c r="I290" t="s">
        <v>1620</v>
      </c>
      <c r="J290" s="10" t="s">
        <v>2686</v>
      </c>
      <c r="T290" s="10" t="s">
        <v>2696</v>
      </c>
      <c r="U290" s="10" t="str">
        <f t="shared" ca="1" si="10"/>
        <v/>
      </c>
      <c r="V290" s="10" t="str">
        <f t="shared" ca="1" si="11"/>
        <v/>
      </c>
      <c r="AE290" s="10" t="s">
        <v>2645</v>
      </c>
    </row>
    <row r="291" spans="1:31" hidden="1">
      <c r="A291" s="2" t="s">
        <v>362</v>
      </c>
      <c r="B291" s="2"/>
      <c r="C291" s="2"/>
      <c r="D291" s="13" t="s">
        <v>1621</v>
      </c>
      <c r="E291" s="2" t="s">
        <v>363</v>
      </c>
      <c r="H291" t="s">
        <v>19</v>
      </c>
      <c r="J291" s="10" t="s">
        <v>2686</v>
      </c>
      <c r="T291" s="10" t="s">
        <v>2696</v>
      </c>
      <c r="U291" s="10" t="str">
        <f t="shared" ca="1" si="10"/>
        <v/>
      </c>
      <c r="V291" s="10" t="str">
        <f t="shared" ca="1" si="11"/>
        <v/>
      </c>
      <c r="AE291" s="10" t="s">
        <v>2645</v>
      </c>
    </row>
    <row r="292" spans="1:31" hidden="1">
      <c r="A292" s="2" t="s">
        <v>364</v>
      </c>
      <c r="B292" s="2"/>
      <c r="C292" s="2"/>
      <c r="D292" s="2" t="s">
        <v>366</v>
      </c>
      <c r="E292" s="2" t="s">
        <v>365</v>
      </c>
      <c r="J292" s="10" t="s">
        <v>2686</v>
      </c>
      <c r="T292" s="10">
        <f>10-3</f>
        <v>7</v>
      </c>
      <c r="U292" s="10">
        <f t="shared" ca="1" si="10"/>
        <v>3</v>
      </c>
      <c r="V292" s="10">
        <f t="shared" ca="1" si="11"/>
        <v>10</v>
      </c>
    </row>
    <row r="293" spans="1:31">
      <c r="A293" s="2" t="s">
        <v>367</v>
      </c>
      <c r="B293" s="2"/>
      <c r="C293" s="2"/>
      <c r="D293" s="2" t="s">
        <v>369</v>
      </c>
      <c r="E293" s="2" t="s">
        <v>368</v>
      </c>
      <c r="F293" t="s">
        <v>31</v>
      </c>
      <c r="I293" t="s">
        <v>2912</v>
      </c>
      <c r="J293" s="10" t="s">
        <v>2689</v>
      </c>
      <c r="T293" s="10" t="s">
        <v>2696</v>
      </c>
      <c r="U293" s="10" t="str">
        <f t="shared" ca="1" si="10"/>
        <v/>
      </c>
      <c r="V293" s="10" t="str">
        <f t="shared" ca="1" si="11"/>
        <v/>
      </c>
      <c r="AE293" s="10" t="s">
        <v>2645</v>
      </c>
    </row>
    <row r="294" spans="1:31" hidden="1">
      <c r="A294" s="2" t="s">
        <v>367</v>
      </c>
      <c r="B294" s="2"/>
      <c r="C294" s="2"/>
      <c r="D294" s="2" t="s">
        <v>1622</v>
      </c>
      <c r="E294" s="2" t="s">
        <v>1623</v>
      </c>
      <c r="J294" s="10" t="s">
        <v>2686</v>
      </c>
      <c r="T294" s="10">
        <f>17-12</f>
        <v>5</v>
      </c>
      <c r="U294" s="10">
        <f t="shared" ca="1" si="10"/>
        <v>12</v>
      </c>
      <c r="V294" s="10">
        <f t="shared" ca="1" si="11"/>
        <v>17</v>
      </c>
    </row>
    <row r="295" spans="1:31" hidden="1">
      <c r="A295" s="2" t="s">
        <v>370</v>
      </c>
      <c r="B295" s="2"/>
      <c r="C295" s="2"/>
      <c r="D295" s="2" t="s">
        <v>1624</v>
      </c>
      <c r="E295" s="2" t="s">
        <v>1625</v>
      </c>
      <c r="H295" t="s">
        <v>19</v>
      </c>
      <c r="J295" s="10" t="s">
        <v>2688</v>
      </c>
      <c r="U295" s="10" t="str">
        <f t="shared" ca="1" si="10"/>
        <v/>
      </c>
      <c r="V295" s="10" t="str">
        <f t="shared" ca="1" si="11"/>
        <v/>
      </c>
      <c r="AE295" s="10" t="s">
        <v>2651</v>
      </c>
    </row>
    <row r="296" spans="1:31" hidden="1">
      <c r="A296" s="2" t="s">
        <v>371</v>
      </c>
      <c r="B296" s="2"/>
      <c r="C296" s="2"/>
      <c r="D296" s="2" t="s">
        <v>1626</v>
      </c>
      <c r="E296" s="2" t="s">
        <v>372</v>
      </c>
      <c r="H296" t="s">
        <v>19</v>
      </c>
      <c r="J296" s="10" t="s">
        <v>2686</v>
      </c>
      <c r="T296" s="10" t="s">
        <v>2696</v>
      </c>
      <c r="U296" s="10" t="str">
        <f t="shared" ca="1" si="10"/>
        <v/>
      </c>
      <c r="V296" s="10" t="str">
        <f t="shared" ca="1" si="11"/>
        <v/>
      </c>
      <c r="AE296" s="10" t="s">
        <v>2645</v>
      </c>
    </row>
    <row r="297" spans="1:31" hidden="1">
      <c r="A297" s="2" t="s">
        <v>373</v>
      </c>
      <c r="B297" s="2"/>
      <c r="C297" s="2"/>
      <c r="D297" s="2" t="s">
        <v>1628</v>
      </c>
      <c r="E297" s="2" t="s">
        <v>1627</v>
      </c>
      <c r="F297" t="s">
        <v>11</v>
      </c>
      <c r="U297" s="10" t="str">
        <f t="shared" ca="1" si="10"/>
        <v/>
      </c>
      <c r="V297" s="10" t="str">
        <f t="shared" ca="1" si="11"/>
        <v/>
      </c>
    </row>
    <row r="298" spans="1:31" hidden="1">
      <c r="A298" s="2" t="s">
        <v>374</v>
      </c>
      <c r="B298" s="2"/>
      <c r="C298" s="2"/>
      <c r="D298" s="2" t="s">
        <v>376</v>
      </c>
      <c r="E298" s="2" t="s">
        <v>375</v>
      </c>
      <c r="J298" s="10" t="s">
        <v>2686</v>
      </c>
      <c r="T298" s="10" t="s">
        <v>2696</v>
      </c>
      <c r="U298" s="10" t="str">
        <f t="shared" ca="1" si="10"/>
        <v/>
      </c>
      <c r="V298" s="10" t="str">
        <f t="shared" ca="1" si="11"/>
        <v/>
      </c>
      <c r="AC298" s="10" t="s">
        <v>2699</v>
      </c>
      <c r="AD298" s="10" t="s">
        <v>19</v>
      </c>
      <c r="AE298" s="10" t="s">
        <v>2645</v>
      </c>
    </row>
    <row r="299" spans="1:31" hidden="1">
      <c r="A299" s="2" t="s">
        <v>374</v>
      </c>
      <c r="B299" s="2"/>
      <c r="C299" s="2"/>
      <c r="D299" s="3" t="s">
        <v>1629</v>
      </c>
      <c r="E299" s="2" t="s">
        <v>1630</v>
      </c>
      <c r="F299" t="s">
        <v>15</v>
      </c>
      <c r="U299" s="10" t="str">
        <f t="shared" ca="1" si="10"/>
        <v/>
      </c>
      <c r="V299" s="10" t="str">
        <f t="shared" ca="1" si="11"/>
        <v/>
      </c>
    </row>
    <row r="300" spans="1:31" ht="29">
      <c r="A300" s="2" t="s">
        <v>377</v>
      </c>
      <c r="B300" s="2"/>
      <c r="C300" s="2"/>
      <c r="D300" s="2" t="s">
        <v>1631</v>
      </c>
      <c r="E300" s="2" t="s">
        <v>1632</v>
      </c>
      <c r="F300" t="s">
        <v>2690</v>
      </c>
      <c r="H300" t="s">
        <v>19</v>
      </c>
      <c r="U300" s="10" t="str">
        <f t="shared" ca="1" si="10"/>
        <v/>
      </c>
      <c r="V300" s="10" t="str">
        <f t="shared" ca="1" si="11"/>
        <v/>
      </c>
    </row>
    <row r="301" spans="1:31" ht="29" hidden="1">
      <c r="A301" s="2" t="s">
        <v>377</v>
      </c>
      <c r="B301" s="2"/>
      <c r="C301" s="2"/>
      <c r="D301" s="2" t="s">
        <v>1633</v>
      </c>
      <c r="E301" s="2" t="s">
        <v>1634</v>
      </c>
      <c r="J301" s="10" t="s">
        <v>2686</v>
      </c>
      <c r="T301" s="10" t="s">
        <v>2687</v>
      </c>
      <c r="U301" s="10" t="str">
        <f t="shared" ca="1" si="10"/>
        <v/>
      </c>
      <c r="V301" s="10" t="str">
        <f t="shared" ca="1" si="11"/>
        <v/>
      </c>
      <c r="AE301" s="10" t="s">
        <v>2645</v>
      </c>
    </row>
    <row r="302" spans="1:31" hidden="1">
      <c r="A302" s="2" t="s">
        <v>377</v>
      </c>
      <c r="B302" s="2"/>
      <c r="C302" s="2"/>
      <c r="D302" s="2" t="s">
        <v>379</v>
      </c>
      <c r="E302" s="3" t="s">
        <v>378</v>
      </c>
      <c r="F302" t="s">
        <v>16</v>
      </c>
      <c r="U302" s="10" t="str">
        <f t="shared" ca="1" si="10"/>
        <v/>
      </c>
      <c r="V302" s="10" t="str">
        <f t="shared" ca="1" si="11"/>
        <v/>
      </c>
    </row>
    <row r="303" spans="1:31" hidden="1">
      <c r="A303" s="2" t="s">
        <v>380</v>
      </c>
      <c r="B303" s="2"/>
      <c r="C303" s="2"/>
      <c r="D303" s="2" t="s">
        <v>1635</v>
      </c>
      <c r="E303" s="2" t="s">
        <v>381</v>
      </c>
      <c r="H303" t="s">
        <v>19</v>
      </c>
      <c r="J303" s="10" t="s">
        <v>2688</v>
      </c>
      <c r="U303" s="10" t="str">
        <f t="shared" ca="1" si="10"/>
        <v/>
      </c>
      <c r="V303" s="10" t="str">
        <f t="shared" ca="1" si="11"/>
        <v/>
      </c>
      <c r="AE303" s="10" t="s">
        <v>2645</v>
      </c>
    </row>
    <row r="304" spans="1:31" ht="29" hidden="1">
      <c r="A304" s="2" t="s">
        <v>382</v>
      </c>
      <c r="B304" s="2"/>
      <c r="C304" s="2"/>
      <c r="D304" s="2" t="s">
        <v>1636</v>
      </c>
      <c r="E304" s="2" t="s">
        <v>1637</v>
      </c>
      <c r="H304" t="s">
        <v>19</v>
      </c>
      <c r="J304" s="10" t="s">
        <v>25</v>
      </c>
      <c r="L304" s="10">
        <v>1</v>
      </c>
      <c r="M304" s="10">
        <v>3</v>
      </c>
      <c r="N304" s="10" t="s">
        <v>2655</v>
      </c>
      <c r="O304" s="10" t="s">
        <v>2647</v>
      </c>
      <c r="S304" s="10">
        <v>1701</v>
      </c>
      <c r="U304" s="10" t="str">
        <f t="shared" ca="1" si="10"/>
        <v/>
      </c>
      <c r="V304" s="10" t="str">
        <f t="shared" ca="1" si="11"/>
        <v/>
      </c>
    </row>
    <row r="305" spans="1:31" ht="29">
      <c r="A305" s="2" t="s">
        <v>382</v>
      </c>
      <c r="B305" s="2"/>
      <c r="C305" s="2"/>
      <c r="D305" s="5" t="s">
        <v>1638</v>
      </c>
      <c r="E305" s="2" t="s">
        <v>1639</v>
      </c>
      <c r="F305" t="s">
        <v>13</v>
      </c>
      <c r="U305" s="10" t="str">
        <f t="shared" ca="1" si="10"/>
        <v/>
      </c>
      <c r="V305" s="10" t="str">
        <f t="shared" ca="1" si="11"/>
        <v/>
      </c>
    </row>
    <row r="306" spans="1:31" ht="29">
      <c r="A306" s="2" t="s">
        <v>382</v>
      </c>
      <c r="B306" s="2"/>
      <c r="C306" s="2"/>
      <c r="D306" s="2" t="s">
        <v>1640</v>
      </c>
      <c r="E306" s="2" t="s">
        <v>1641</v>
      </c>
      <c r="G306" t="s">
        <v>20</v>
      </c>
      <c r="I306" t="s">
        <v>1642</v>
      </c>
      <c r="U306" s="10" t="str">
        <f t="shared" ca="1" si="10"/>
        <v/>
      </c>
      <c r="V306" s="10" t="str">
        <f t="shared" ca="1" si="11"/>
        <v/>
      </c>
    </row>
    <row r="307" spans="1:31" hidden="1">
      <c r="A307" s="2" t="s">
        <v>382</v>
      </c>
      <c r="B307" s="2"/>
      <c r="C307" s="2"/>
      <c r="D307" s="3" t="s">
        <v>1643</v>
      </c>
      <c r="E307" s="2" t="s">
        <v>1644</v>
      </c>
      <c r="F307" t="s">
        <v>15</v>
      </c>
      <c r="U307" s="10" t="str">
        <f t="shared" ca="1" si="10"/>
        <v/>
      </c>
      <c r="V307" s="10" t="str">
        <f t="shared" ca="1" si="11"/>
        <v/>
      </c>
    </row>
    <row r="308" spans="1:31" hidden="1">
      <c r="A308" s="2" t="s">
        <v>383</v>
      </c>
      <c r="B308" s="2"/>
      <c r="C308" s="2"/>
      <c r="D308" s="2" t="s">
        <v>1645</v>
      </c>
      <c r="E308" s="2" t="s">
        <v>1646</v>
      </c>
      <c r="H308" t="s">
        <v>19</v>
      </c>
      <c r="J308" s="10" t="s">
        <v>25</v>
      </c>
      <c r="L308" s="10">
        <v>1</v>
      </c>
      <c r="M308" s="10">
        <v>1</v>
      </c>
      <c r="N308" s="10" t="s">
        <v>2646</v>
      </c>
      <c r="O308" s="10" t="s">
        <v>2687</v>
      </c>
      <c r="S308" s="10">
        <v>2475</v>
      </c>
      <c r="U308" s="10" t="str">
        <f t="shared" ca="1" si="10"/>
        <v/>
      </c>
      <c r="V308" s="10" t="str">
        <f t="shared" ca="1" si="11"/>
        <v/>
      </c>
    </row>
    <row r="309" spans="1:31" hidden="1">
      <c r="A309" s="2" t="s">
        <v>384</v>
      </c>
      <c r="B309" s="2"/>
      <c r="C309" s="2"/>
      <c r="D309" s="2" t="s">
        <v>1647</v>
      </c>
      <c r="E309" s="2" t="s">
        <v>1648</v>
      </c>
      <c r="J309" s="10" t="s">
        <v>2686</v>
      </c>
      <c r="T309" s="10" t="s">
        <v>2687</v>
      </c>
      <c r="U309" s="10" t="str">
        <f t="shared" ca="1" si="10"/>
        <v/>
      </c>
      <c r="V309" s="10" t="str">
        <f t="shared" ca="1" si="11"/>
        <v/>
      </c>
      <c r="AE309" s="10" t="s">
        <v>2654</v>
      </c>
    </row>
    <row r="310" spans="1:31" hidden="1">
      <c r="A310" s="2" t="s">
        <v>384</v>
      </c>
      <c r="B310" s="2"/>
      <c r="C310" s="2"/>
      <c r="D310" s="2" t="s">
        <v>386</v>
      </c>
      <c r="E310" s="2" t="s">
        <v>385</v>
      </c>
      <c r="J310" s="10" t="s">
        <v>2686</v>
      </c>
      <c r="T310" s="10" t="s">
        <v>2687</v>
      </c>
      <c r="U310" s="10" t="str">
        <f t="shared" ca="1" si="10"/>
        <v/>
      </c>
      <c r="V310" s="10" t="str">
        <f t="shared" ca="1" si="11"/>
        <v/>
      </c>
      <c r="AE310" s="10" t="s">
        <v>2645</v>
      </c>
    </row>
    <row r="311" spans="1:31" hidden="1">
      <c r="A311" s="2" t="s">
        <v>384</v>
      </c>
      <c r="B311" s="2"/>
      <c r="C311" s="2"/>
      <c r="D311" s="2" t="s">
        <v>1649</v>
      </c>
      <c r="E311" s="2" t="s">
        <v>387</v>
      </c>
      <c r="H311" t="s">
        <v>19</v>
      </c>
      <c r="J311" s="10" t="s">
        <v>2689</v>
      </c>
      <c r="T311" s="10">
        <f>1-5</f>
        <v>-4</v>
      </c>
      <c r="U311" s="10">
        <f t="shared" ca="1" si="10"/>
        <v>5</v>
      </c>
      <c r="V311" s="10">
        <f t="shared" ca="1" si="11"/>
        <v>1</v>
      </c>
      <c r="AE311" s="10" t="s">
        <v>2645</v>
      </c>
    </row>
    <row r="312" spans="1:31" hidden="1">
      <c r="A312" s="2" t="s">
        <v>388</v>
      </c>
      <c r="B312" s="2"/>
      <c r="C312" s="2"/>
      <c r="D312" s="2" t="s">
        <v>390</v>
      </c>
      <c r="E312" s="2" t="s">
        <v>389</v>
      </c>
      <c r="J312" s="10" t="s">
        <v>2686</v>
      </c>
      <c r="T312" s="10" t="s">
        <v>2696</v>
      </c>
      <c r="U312" s="10" t="str">
        <f t="shared" ca="1" si="10"/>
        <v/>
      </c>
      <c r="V312" s="10" t="str">
        <f t="shared" ca="1" si="11"/>
        <v/>
      </c>
      <c r="AE312" s="10" t="s">
        <v>2645</v>
      </c>
    </row>
    <row r="313" spans="1:31" hidden="1">
      <c r="A313" s="2" t="s">
        <v>391</v>
      </c>
      <c r="B313" s="2"/>
      <c r="C313" s="2"/>
      <c r="D313" s="2" t="s">
        <v>392</v>
      </c>
      <c r="E313" s="2" t="s">
        <v>245</v>
      </c>
      <c r="J313" s="10" t="s">
        <v>2686</v>
      </c>
      <c r="T313" s="10" t="s">
        <v>2696</v>
      </c>
      <c r="U313" s="10" t="str">
        <f t="shared" ca="1" si="10"/>
        <v/>
      </c>
      <c r="V313" s="10" t="str">
        <f t="shared" ca="1" si="11"/>
        <v/>
      </c>
      <c r="AC313" s="10" t="s">
        <v>2703</v>
      </c>
      <c r="AD313" s="10" t="s">
        <v>19</v>
      </c>
      <c r="AE313" s="10" t="s">
        <v>2645</v>
      </c>
    </row>
    <row r="314" spans="1:31" hidden="1">
      <c r="A314" s="2" t="s">
        <v>393</v>
      </c>
      <c r="B314" s="2"/>
      <c r="C314" s="2"/>
      <c r="D314" s="2" t="s">
        <v>395</v>
      </c>
      <c r="E314" s="2" t="s">
        <v>394</v>
      </c>
      <c r="J314" s="10" t="s">
        <v>2688</v>
      </c>
      <c r="U314" s="10" t="str">
        <f t="shared" ca="1" si="10"/>
        <v/>
      </c>
      <c r="V314" s="10" t="str">
        <f t="shared" ca="1" si="11"/>
        <v/>
      </c>
      <c r="AC314" s="10" t="s">
        <v>2709</v>
      </c>
      <c r="AD314" s="10" t="s">
        <v>19</v>
      </c>
    </row>
    <row r="315" spans="1:31" ht="29" hidden="1">
      <c r="A315" s="2" t="s">
        <v>393</v>
      </c>
      <c r="B315" s="2"/>
      <c r="C315" s="2"/>
      <c r="D315" s="2" t="s">
        <v>1651</v>
      </c>
      <c r="E315" s="2" t="s">
        <v>1650</v>
      </c>
      <c r="J315" s="10" t="s">
        <v>25</v>
      </c>
      <c r="L315" s="10">
        <v>1</v>
      </c>
      <c r="M315" s="10">
        <v>5</v>
      </c>
      <c r="N315" s="10" t="s">
        <v>2662</v>
      </c>
      <c r="O315" s="10" t="s">
        <v>2647</v>
      </c>
      <c r="S315" s="10">
        <v>830</v>
      </c>
      <c r="U315" s="10" t="str">
        <f t="shared" ca="1" si="10"/>
        <v/>
      </c>
      <c r="V315" s="10" t="str">
        <f t="shared" ca="1" si="11"/>
        <v/>
      </c>
    </row>
    <row r="316" spans="1:31" ht="29" hidden="1">
      <c r="A316" s="2" t="s">
        <v>393</v>
      </c>
      <c r="B316" s="2"/>
      <c r="C316" s="2"/>
      <c r="D316" s="2" t="s">
        <v>1652</v>
      </c>
      <c r="E316" s="2" t="s">
        <v>1650</v>
      </c>
      <c r="J316" s="10" t="s">
        <v>25</v>
      </c>
      <c r="L316" s="10">
        <v>1</v>
      </c>
      <c r="M316" s="10">
        <v>3</v>
      </c>
      <c r="N316" s="10" t="s">
        <v>2646</v>
      </c>
      <c r="O316" s="10" t="s">
        <v>2647</v>
      </c>
      <c r="S316" s="10">
        <v>2475</v>
      </c>
      <c r="U316" s="10" t="str">
        <f t="shared" ca="1" si="10"/>
        <v/>
      </c>
      <c r="V316" s="10" t="str">
        <f t="shared" ca="1" si="11"/>
        <v/>
      </c>
    </row>
    <row r="317" spans="1:31" hidden="1">
      <c r="A317" s="2" t="s">
        <v>396</v>
      </c>
      <c r="B317" s="2"/>
      <c r="C317" s="2"/>
      <c r="D317" s="2" t="s">
        <v>398</v>
      </c>
      <c r="E317" s="2" t="s">
        <v>397</v>
      </c>
      <c r="J317" s="10" t="s">
        <v>2686</v>
      </c>
      <c r="T317" s="10" t="s">
        <v>2696</v>
      </c>
      <c r="U317" s="10" t="str">
        <f t="shared" ca="1" si="10"/>
        <v/>
      </c>
      <c r="V317" s="10" t="str">
        <f t="shared" ca="1" si="11"/>
        <v/>
      </c>
      <c r="AE317" s="10" t="s">
        <v>2645</v>
      </c>
    </row>
    <row r="318" spans="1:31" hidden="1">
      <c r="A318" s="2" t="s">
        <v>396</v>
      </c>
      <c r="B318" s="2"/>
      <c r="C318" s="2"/>
      <c r="D318" s="2" t="s">
        <v>1653</v>
      </c>
      <c r="E318" s="2" t="s">
        <v>1654</v>
      </c>
      <c r="H318" t="s">
        <v>19</v>
      </c>
      <c r="J318" s="10" t="s">
        <v>2686</v>
      </c>
      <c r="T318" s="10" t="s">
        <v>2696</v>
      </c>
      <c r="U318" s="10" t="str">
        <f t="shared" ref="U318:U381" ca="1" si="12">IF(ISNUMBER(T318),VALUE(MID(_xlfn.FORMULATEXT(T318),SEARCH("-",_xlfn.FORMULATEXT(T318))+1,LEN(_xlfn.FORMULATEXT(T318))-SEARCH("-",_xlfn.FORMULATEXT(T318)))), "")</f>
        <v/>
      </c>
      <c r="V318" s="10" t="str">
        <f t="shared" ref="V318:V381" ca="1" si="13">IF(ISNUMBER(T318), VALUE(MID(_xlfn.FORMULATEXT(T318), 2, SEARCH("-", _xlfn.FORMULATEXT(T318)) - 2)), "")</f>
        <v/>
      </c>
      <c r="AE318" s="10" t="s">
        <v>2645</v>
      </c>
    </row>
    <row r="319" spans="1:31">
      <c r="A319" s="2" t="s">
        <v>399</v>
      </c>
      <c r="B319" s="2"/>
      <c r="C319" s="2"/>
      <c r="D319" s="2" t="s">
        <v>1655</v>
      </c>
      <c r="E319" s="2" t="s">
        <v>1655</v>
      </c>
      <c r="F319" t="s">
        <v>35</v>
      </c>
      <c r="I319" t="s">
        <v>2959</v>
      </c>
      <c r="U319" s="10" t="str">
        <f t="shared" ca="1" si="12"/>
        <v/>
      </c>
      <c r="V319" s="10" t="str">
        <f t="shared" ca="1" si="13"/>
        <v/>
      </c>
    </row>
    <row r="320" spans="1:31" hidden="1">
      <c r="A320" s="2" t="s">
        <v>400</v>
      </c>
      <c r="B320" s="2"/>
      <c r="C320" s="2"/>
      <c r="D320" s="2" t="s">
        <v>1657</v>
      </c>
      <c r="E320" s="2" t="s">
        <v>1656</v>
      </c>
      <c r="J320" s="10" t="s">
        <v>2688</v>
      </c>
      <c r="U320" s="10" t="str">
        <f t="shared" ca="1" si="12"/>
        <v/>
      </c>
      <c r="V320" s="10" t="str">
        <f t="shared" ca="1" si="13"/>
        <v/>
      </c>
      <c r="AE320" s="10" t="s">
        <v>2657</v>
      </c>
    </row>
    <row r="321" spans="1:31">
      <c r="A321" s="2" t="s">
        <v>401</v>
      </c>
      <c r="B321" s="2"/>
      <c r="C321" s="2"/>
      <c r="D321" s="2" t="s">
        <v>1658</v>
      </c>
      <c r="E321" s="2" t="s">
        <v>1659</v>
      </c>
      <c r="F321" t="s">
        <v>36</v>
      </c>
      <c r="I321" s="4"/>
      <c r="J321" s="10" t="s">
        <v>2688</v>
      </c>
      <c r="U321" s="10" t="str">
        <f t="shared" ca="1" si="12"/>
        <v/>
      </c>
      <c r="V321" s="10" t="str">
        <f t="shared" ca="1" si="13"/>
        <v/>
      </c>
      <c r="AB321" s="10" t="s">
        <v>2659</v>
      </c>
      <c r="AD321" s="10" t="s">
        <v>19</v>
      </c>
      <c r="AE321" s="10" t="s">
        <v>2657</v>
      </c>
    </row>
    <row r="322" spans="1:31" hidden="1">
      <c r="A322" s="2" t="s">
        <v>402</v>
      </c>
      <c r="B322" s="2"/>
      <c r="C322" s="2"/>
      <c r="D322" s="2" t="s">
        <v>1660</v>
      </c>
      <c r="E322" s="2" t="s">
        <v>1661</v>
      </c>
      <c r="J322" s="10" t="s">
        <v>2688</v>
      </c>
      <c r="U322" s="10" t="str">
        <f t="shared" ca="1" si="12"/>
        <v/>
      </c>
      <c r="V322" s="10" t="str">
        <f t="shared" ca="1" si="13"/>
        <v/>
      </c>
    </row>
    <row r="323" spans="1:31" hidden="1">
      <c r="A323" s="2" t="s">
        <v>403</v>
      </c>
      <c r="B323" s="2"/>
      <c r="C323" s="2"/>
      <c r="D323" s="2" t="s">
        <v>1662</v>
      </c>
      <c r="E323" s="2" t="s">
        <v>405</v>
      </c>
      <c r="F323" t="s">
        <v>11</v>
      </c>
      <c r="U323" s="10" t="str">
        <f t="shared" ca="1" si="12"/>
        <v/>
      </c>
      <c r="V323" s="10" t="str">
        <f t="shared" ca="1" si="13"/>
        <v/>
      </c>
    </row>
    <row r="324" spans="1:31" hidden="1">
      <c r="A324" s="2" t="s">
        <v>407</v>
      </c>
      <c r="B324" s="2"/>
      <c r="C324" s="2"/>
      <c r="D324" s="2" t="s">
        <v>1663</v>
      </c>
      <c r="E324" s="2" t="s">
        <v>1664</v>
      </c>
      <c r="H324" t="s">
        <v>19</v>
      </c>
      <c r="J324" s="10" t="s">
        <v>2686</v>
      </c>
      <c r="T324" s="10" t="s">
        <v>2696</v>
      </c>
      <c r="U324" s="10" t="str">
        <f t="shared" ca="1" si="12"/>
        <v/>
      </c>
      <c r="V324" s="10" t="str">
        <f t="shared" ca="1" si="13"/>
        <v/>
      </c>
      <c r="AE324" s="10" t="s">
        <v>2645</v>
      </c>
    </row>
    <row r="325" spans="1:31">
      <c r="A325" s="2" t="s">
        <v>408</v>
      </c>
      <c r="B325" s="2"/>
      <c r="C325" s="2"/>
      <c r="D325" s="2" t="s">
        <v>409</v>
      </c>
      <c r="E325" s="2" t="s">
        <v>409</v>
      </c>
      <c r="F325" t="s">
        <v>35</v>
      </c>
      <c r="I325" t="s">
        <v>1665</v>
      </c>
      <c r="U325" s="10" t="str">
        <f t="shared" ca="1" si="12"/>
        <v/>
      </c>
      <c r="V325" s="10" t="str">
        <f t="shared" ca="1" si="13"/>
        <v/>
      </c>
    </row>
    <row r="326" spans="1:31" hidden="1">
      <c r="A326" s="2" t="s">
        <v>410</v>
      </c>
      <c r="B326" s="2"/>
      <c r="C326" s="2"/>
      <c r="D326" s="2" t="s">
        <v>1666</v>
      </c>
      <c r="E326" s="2" t="s">
        <v>411</v>
      </c>
      <c r="H326" t="s">
        <v>19</v>
      </c>
      <c r="J326" s="10" t="s">
        <v>2686</v>
      </c>
      <c r="T326" s="10" t="s">
        <v>2696</v>
      </c>
      <c r="U326" s="10" t="str">
        <f t="shared" ca="1" si="12"/>
        <v/>
      </c>
      <c r="V326" s="10" t="str">
        <f t="shared" ca="1" si="13"/>
        <v/>
      </c>
      <c r="AE326" s="10" t="s">
        <v>2645</v>
      </c>
    </row>
    <row r="327" spans="1:31" ht="29">
      <c r="A327" s="2" t="s">
        <v>412</v>
      </c>
      <c r="B327" s="2"/>
      <c r="C327" s="2"/>
      <c r="D327" s="2" t="s">
        <v>1667</v>
      </c>
      <c r="E327" s="2" t="s">
        <v>1668</v>
      </c>
      <c r="F327" t="s">
        <v>11</v>
      </c>
      <c r="U327" s="10" t="str">
        <f t="shared" ca="1" si="12"/>
        <v/>
      </c>
      <c r="V327" s="10" t="str">
        <f t="shared" ca="1" si="13"/>
        <v/>
      </c>
    </row>
    <row r="328" spans="1:31" hidden="1">
      <c r="A328" s="2" t="s">
        <v>413</v>
      </c>
      <c r="B328" s="2"/>
      <c r="C328" s="2"/>
      <c r="D328" s="2" t="s">
        <v>1669</v>
      </c>
      <c r="E328" s="2" t="s">
        <v>1670</v>
      </c>
      <c r="J328" s="10" t="s">
        <v>2686</v>
      </c>
      <c r="T328" s="10" t="s">
        <v>2696</v>
      </c>
      <c r="U328" s="10" t="str">
        <f t="shared" ca="1" si="12"/>
        <v/>
      </c>
      <c r="V328" s="10" t="str">
        <f t="shared" ca="1" si="13"/>
        <v/>
      </c>
      <c r="AB328" s="10" t="s">
        <v>2692</v>
      </c>
      <c r="AD328" s="10" t="s">
        <v>19</v>
      </c>
    </row>
    <row r="329" spans="1:31" ht="29" hidden="1">
      <c r="A329" s="2" t="s">
        <v>414</v>
      </c>
      <c r="B329" s="2"/>
      <c r="C329" s="2"/>
      <c r="D329" s="2" t="s">
        <v>1672</v>
      </c>
      <c r="E329" s="3" t="s">
        <v>1671</v>
      </c>
      <c r="F329" t="s">
        <v>16</v>
      </c>
      <c r="U329" s="10" t="str">
        <f t="shared" ca="1" si="12"/>
        <v/>
      </c>
      <c r="V329" s="10" t="str">
        <f t="shared" ca="1" si="13"/>
        <v/>
      </c>
    </row>
    <row r="330" spans="1:31" hidden="1">
      <c r="A330" s="2" t="s">
        <v>415</v>
      </c>
      <c r="B330" s="2"/>
      <c r="C330" s="2"/>
      <c r="D330" s="2" t="s">
        <v>416</v>
      </c>
      <c r="E330" s="2" t="s">
        <v>1673</v>
      </c>
      <c r="H330" t="s">
        <v>19</v>
      </c>
      <c r="J330" s="10" t="s">
        <v>2686</v>
      </c>
      <c r="T330" s="10" t="s">
        <v>2696</v>
      </c>
      <c r="U330" s="10" t="str">
        <f t="shared" ca="1" si="12"/>
        <v/>
      </c>
      <c r="V330" s="10" t="str">
        <f t="shared" ca="1" si="13"/>
        <v/>
      </c>
      <c r="AE330" s="10" t="s">
        <v>2645</v>
      </c>
    </row>
    <row r="331" spans="1:31" hidden="1">
      <c r="A331" s="2" t="s">
        <v>417</v>
      </c>
      <c r="B331" s="2"/>
      <c r="C331" s="2"/>
      <c r="D331" s="2" t="s">
        <v>1675</v>
      </c>
      <c r="E331" s="2" t="s">
        <v>1674</v>
      </c>
      <c r="J331" s="10" t="s">
        <v>25</v>
      </c>
      <c r="L331" s="10">
        <v>1</v>
      </c>
      <c r="M331" s="10">
        <v>1</v>
      </c>
      <c r="N331" s="10" t="s">
        <v>2646</v>
      </c>
      <c r="O331" s="10" t="s">
        <v>2687</v>
      </c>
      <c r="S331" s="10">
        <v>2475</v>
      </c>
      <c r="U331" s="10" t="str">
        <f t="shared" ca="1" si="12"/>
        <v/>
      </c>
      <c r="V331" s="10" t="str">
        <f t="shared" ca="1" si="13"/>
        <v/>
      </c>
    </row>
    <row r="332" spans="1:31" ht="43.5">
      <c r="A332" s="2" t="s">
        <v>417</v>
      </c>
      <c r="B332" s="2"/>
      <c r="C332" s="2"/>
      <c r="D332" s="3" t="s">
        <v>1676</v>
      </c>
      <c r="E332" s="2" t="s">
        <v>1677</v>
      </c>
      <c r="F332" t="s">
        <v>15</v>
      </c>
      <c r="U332" s="10" t="str">
        <f t="shared" ca="1" si="12"/>
        <v/>
      </c>
      <c r="V332" s="10" t="str">
        <f t="shared" ca="1" si="13"/>
        <v/>
      </c>
    </row>
    <row r="333" spans="1:31" ht="43.5" hidden="1">
      <c r="A333" s="2" t="s">
        <v>417</v>
      </c>
      <c r="B333" s="2"/>
      <c r="C333" s="2"/>
      <c r="D333" s="2" t="s">
        <v>1678</v>
      </c>
      <c r="E333" s="2" t="s">
        <v>1679</v>
      </c>
      <c r="G333" t="s">
        <v>19</v>
      </c>
      <c r="J333" s="10" t="s">
        <v>2688</v>
      </c>
      <c r="U333" s="10" t="str">
        <f t="shared" ca="1" si="12"/>
        <v/>
      </c>
      <c r="V333" s="10" t="str">
        <f t="shared" ca="1" si="13"/>
        <v/>
      </c>
      <c r="AC333" s="10" t="s">
        <v>2710</v>
      </c>
      <c r="AD333" s="10" t="s">
        <v>19</v>
      </c>
      <c r="AE333" s="10" t="s">
        <v>2657</v>
      </c>
    </row>
    <row r="334" spans="1:31" ht="43.5" hidden="1">
      <c r="A334" s="2" t="s">
        <v>418</v>
      </c>
      <c r="B334" s="2"/>
      <c r="C334" s="2"/>
      <c r="D334" s="2" t="s">
        <v>1680</v>
      </c>
      <c r="E334" s="2" t="s">
        <v>1681</v>
      </c>
      <c r="H334" t="s">
        <v>19</v>
      </c>
      <c r="J334" s="10" t="s">
        <v>2688</v>
      </c>
      <c r="U334" s="10" t="str">
        <f t="shared" ca="1" si="12"/>
        <v/>
      </c>
      <c r="V334" s="10" t="str">
        <f t="shared" ca="1" si="13"/>
        <v/>
      </c>
      <c r="AE334" s="10" t="s">
        <v>2651</v>
      </c>
    </row>
    <row r="335" spans="1:31" hidden="1">
      <c r="A335" s="2" t="s">
        <v>418</v>
      </c>
      <c r="B335" s="2"/>
      <c r="C335" s="2"/>
      <c r="D335" s="2" t="s">
        <v>1684</v>
      </c>
      <c r="E335" s="2" t="s">
        <v>1683</v>
      </c>
      <c r="H335" t="s">
        <v>19</v>
      </c>
      <c r="J335" s="10" t="s">
        <v>25</v>
      </c>
      <c r="L335" s="10">
        <v>1</v>
      </c>
      <c r="M335" s="10">
        <v>3</v>
      </c>
      <c r="N335" s="10" t="s">
        <v>2655</v>
      </c>
      <c r="O335" s="10" t="s">
        <v>2647</v>
      </c>
      <c r="S335" s="10">
        <v>1701</v>
      </c>
      <c r="U335" s="10" t="str">
        <f t="shared" ca="1" si="12"/>
        <v/>
      </c>
      <c r="V335" s="10" t="str">
        <f t="shared" ca="1" si="13"/>
        <v/>
      </c>
    </row>
    <row r="336" spans="1:31" hidden="1">
      <c r="A336" s="2" t="s">
        <v>418</v>
      </c>
      <c r="B336" s="2"/>
      <c r="C336" s="2"/>
      <c r="D336" s="2" t="s">
        <v>1682</v>
      </c>
      <c r="E336" s="2" t="s">
        <v>1685</v>
      </c>
      <c r="H336" t="s">
        <v>19</v>
      </c>
      <c r="J336" s="10" t="s">
        <v>24</v>
      </c>
      <c r="L336" s="10">
        <v>1</v>
      </c>
      <c r="M336" s="10">
        <v>2</v>
      </c>
      <c r="N336" s="10" t="s">
        <v>2662</v>
      </c>
      <c r="O336" s="10" t="s">
        <v>2687</v>
      </c>
      <c r="S336" s="10">
        <v>35</v>
      </c>
      <c r="U336" s="10" t="str">
        <f t="shared" ca="1" si="12"/>
        <v/>
      </c>
      <c r="V336" s="10" t="str">
        <f t="shared" ca="1" si="13"/>
        <v/>
      </c>
      <c r="AE336" s="10" t="s">
        <v>2651</v>
      </c>
    </row>
    <row r="337" spans="1:31">
      <c r="A337" s="2" t="s">
        <v>419</v>
      </c>
      <c r="B337" s="2"/>
      <c r="C337" s="2"/>
      <c r="D337" s="6" t="s">
        <v>1686</v>
      </c>
      <c r="E337" t="s">
        <v>1687</v>
      </c>
      <c r="F337" t="s">
        <v>11</v>
      </c>
      <c r="U337" s="10" t="str">
        <f t="shared" ca="1" si="12"/>
        <v/>
      </c>
      <c r="V337" s="10" t="str">
        <f t="shared" ca="1" si="13"/>
        <v/>
      </c>
    </row>
    <row r="338" spans="1:31" ht="43.5" hidden="1">
      <c r="A338" s="2" t="s">
        <v>420</v>
      </c>
      <c r="B338" s="2"/>
      <c r="C338" s="2"/>
      <c r="D338" s="2" t="s">
        <v>1688</v>
      </c>
      <c r="E338" s="2" t="s">
        <v>1689</v>
      </c>
      <c r="F338" t="s">
        <v>11</v>
      </c>
      <c r="U338" s="10" t="str">
        <f t="shared" ca="1" si="12"/>
        <v/>
      </c>
      <c r="V338" s="10" t="str">
        <f t="shared" ca="1" si="13"/>
        <v/>
      </c>
    </row>
    <row r="339" spans="1:31" ht="43.5" hidden="1">
      <c r="A339" s="2" t="s">
        <v>420</v>
      </c>
      <c r="B339" s="2"/>
      <c r="C339" s="2"/>
      <c r="D339" s="2" t="s">
        <v>1690</v>
      </c>
      <c r="E339" s="2" t="s">
        <v>1691</v>
      </c>
      <c r="F339" t="s">
        <v>11</v>
      </c>
      <c r="U339" s="10" t="str">
        <f t="shared" ca="1" si="12"/>
        <v/>
      </c>
      <c r="V339" s="10" t="str">
        <f t="shared" ca="1" si="13"/>
        <v/>
      </c>
    </row>
    <row r="340" spans="1:31" ht="43.5">
      <c r="A340" s="2" t="s">
        <v>420</v>
      </c>
      <c r="B340" s="2"/>
      <c r="C340" s="2"/>
      <c r="D340" s="2" t="s">
        <v>1692</v>
      </c>
      <c r="E340" s="2" t="s">
        <v>1693</v>
      </c>
      <c r="G340" t="s">
        <v>20</v>
      </c>
      <c r="H340" t="s">
        <v>19</v>
      </c>
      <c r="I340" t="s">
        <v>1696</v>
      </c>
      <c r="J340" s="10" t="s">
        <v>2686</v>
      </c>
      <c r="T340" s="10" t="s">
        <v>2696</v>
      </c>
      <c r="U340" s="10" t="str">
        <f t="shared" ca="1" si="12"/>
        <v/>
      </c>
      <c r="V340" s="10" t="str">
        <f t="shared" ca="1" si="13"/>
        <v/>
      </c>
      <c r="AE340" s="10" t="s">
        <v>2654</v>
      </c>
    </row>
    <row r="341" spans="1:31" ht="43.5">
      <c r="A341" s="2" t="s">
        <v>420</v>
      </c>
      <c r="B341" s="2"/>
      <c r="C341" s="2"/>
      <c r="D341" s="2" t="s">
        <v>1694</v>
      </c>
      <c r="E341" s="2" t="s">
        <v>1695</v>
      </c>
      <c r="G341" t="s">
        <v>20</v>
      </c>
      <c r="I341" t="s">
        <v>1697</v>
      </c>
      <c r="U341" s="10" t="str">
        <f t="shared" ca="1" si="12"/>
        <v/>
      </c>
      <c r="V341" s="10" t="str">
        <f t="shared" ca="1" si="13"/>
        <v/>
      </c>
    </row>
    <row r="342" spans="1:31" hidden="1">
      <c r="A342" s="2" t="s">
        <v>421</v>
      </c>
      <c r="B342" s="2"/>
      <c r="C342" s="2"/>
      <c r="D342" s="2" t="s">
        <v>1698</v>
      </c>
      <c r="E342" s="2" t="s">
        <v>1699</v>
      </c>
      <c r="J342" s="10" t="s">
        <v>2686</v>
      </c>
      <c r="T342" s="10">
        <f>166-105</f>
        <v>61</v>
      </c>
      <c r="U342" s="10">
        <f t="shared" ca="1" si="12"/>
        <v>105</v>
      </c>
      <c r="V342" s="10">
        <f t="shared" ca="1" si="13"/>
        <v>166</v>
      </c>
    </row>
    <row r="343" spans="1:31" ht="29" hidden="1">
      <c r="A343" s="2" t="s">
        <v>421</v>
      </c>
      <c r="B343" s="2"/>
      <c r="C343" s="2"/>
      <c r="D343" s="2" t="s">
        <v>1700</v>
      </c>
      <c r="E343" s="2" t="s">
        <v>1701</v>
      </c>
      <c r="H343" t="s">
        <v>19</v>
      </c>
      <c r="J343" s="10" t="s">
        <v>2686</v>
      </c>
      <c r="T343" s="10" t="s">
        <v>2696</v>
      </c>
      <c r="U343" s="10" t="str">
        <f t="shared" ca="1" si="12"/>
        <v/>
      </c>
      <c r="V343" s="10" t="str">
        <f t="shared" ca="1" si="13"/>
        <v/>
      </c>
      <c r="AE343" s="10" t="s">
        <v>2645</v>
      </c>
    </row>
    <row r="344" spans="1:31" ht="29">
      <c r="A344" s="2" t="s">
        <v>421</v>
      </c>
      <c r="B344" s="2"/>
      <c r="C344" s="2"/>
      <c r="D344" s="2" t="s">
        <v>1702</v>
      </c>
      <c r="E344" s="2" t="s">
        <v>1703</v>
      </c>
      <c r="F344" t="s">
        <v>35</v>
      </c>
      <c r="I344" t="s">
        <v>1704</v>
      </c>
      <c r="U344" s="10" t="str">
        <f t="shared" ca="1" si="12"/>
        <v/>
      </c>
      <c r="V344" s="10" t="str">
        <f t="shared" ca="1" si="13"/>
        <v/>
      </c>
    </row>
    <row r="345" spans="1:31" hidden="1">
      <c r="A345" s="2" t="s">
        <v>422</v>
      </c>
      <c r="B345" s="2"/>
      <c r="C345" s="2"/>
      <c r="D345" s="7" t="s">
        <v>1705</v>
      </c>
      <c r="E345" t="s">
        <v>1706</v>
      </c>
      <c r="F345" t="s">
        <v>15</v>
      </c>
      <c r="U345" s="10" t="str">
        <f t="shared" ca="1" si="12"/>
        <v/>
      </c>
      <c r="V345" s="10" t="str">
        <f t="shared" ca="1" si="13"/>
        <v/>
      </c>
    </row>
    <row r="346" spans="1:31">
      <c r="A346" s="2" t="s">
        <v>422</v>
      </c>
      <c r="B346" s="2"/>
      <c r="C346" s="2"/>
      <c r="D346" s="2" t="s">
        <v>1707</v>
      </c>
      <c r="E346" s="2" t="s">
        <v>423</v>
      </c>
      <c r="H346" t="s">
        <v>19</v>
      </c>
      <c r="J346" s="10" t="s">
        <v>2686</v>
      </c>
      <c r="T346" s="10" t="s">
        <v>2696</v>
      </c>
      <c r="U346" s="10" t="str">
        <f t="shared" ca="1" si="12"/>
        <v/>
      </c>
      <c r="V346" s="10" t="str">
        <f t="shared" ca="1" si="13"/>
        <v/>
      </c>
      <c r="AE346" s="10" t="s">
        <v>2654</v>
      </c>
    </row>
    <row r="347" spans="1:31" hidden="1">
      <c r="A347" s="2" t="s">
        <v>424</v>
      </c>
      <c r="B347" s="2"/>
      <c r="C347" s="2"/>
      <c r="D347" s="13" t="s">
        <v>1708</v>
      </c>
      <c r="E347" t="s">
        <v>1709</v>
      </c>
      <c r="J347" s="10" t="s">
        <v>2686</v>
      </c>
      <c r="T347" s="10">
        <f>280-31</f>
        <v>249</v>
      </c>
      <c r="U347" s="10">
        <f t="shared" ca="1" si="12"/>
        <v>31</v>
      </c>
      <c r="V347" s="10">
        <f t="shared" ca="1" si="13"/>
        <v>280</v>
      </c>
    </row>
    <row r="348" spans="1:31" hidden="1">
      <c r="A348" s="2" t="s">
        <v>424</v>
      </c>
      <c r="B348" s="2"/>
      <c r="C348" s="2"/>
      <c r="D348" s="13" t="s">
        <v>1710</v>
      </c>
      <c r="E348" t="s">
        <v>1711</v>
      </c>
      <c r="J348" s="10" t="s">
        <v>2688</v>
      </c>
      <c r="U348" s="10" t="str">
        <f t="shared" ca="1" si="12"/>
        <v/>
      </c>
      <c r="V348" s="10" t="str">
        <f t="shared" ca="1" si="13"/>
        <v/>
      </c>
      <c r="AB348" s="10" t="s">
        <v>2797</v>
      </c>
      <c r="AD348" s="10" t="s">
        <v>19</v>
      </c>
    </row>
    <row r="349" spans="1:31" ht="29" hidden="1">
      <c r="A349" s="2" t="s">
        <v>425</v>
      </c>
      <c r="B349" s="2"/>
      <c r="C349" s="2"/>
      <c r="D349" s="2" t="s">
        <v>1712</v>
      </c>
      <c r="E349" s="2" t="s">
        <v>1713</v>
      </c>
      <c r="J349" s="10" t="s">
        <v>2688</v>
      </c>
      <c r="U349" s="10" t="str">
        <f t="shared" ca="1" si="12"/>
        <v/>
      </c>
      <c r="V349" s="10" t="str">
        <f t="shared" ca="1" si="13"/>
        <v/>
      </c>
      <c r="AE349" s="10" t="s">
        <v>2654</v>
      </c>
    </row>
    <row r="350" spans="1:31" ht="29" hidden="1">
      <c r="A350" s="2" t="s">
        <v>425</v>
      </c>
      <c r="B350" s="2"/>
      <c r="C350" s="2"/>
      <c r="D350" s="2" t="s">
        <v>1714</v>
      </c>
      <c r="E350" s="2" t="s">
        <v>1715</v>
      </c>
      <c r="H350" t="s">
        <v>19</v>
      </c>
      <c r="J350" s="10" t="s">
        <v>2688</v>
      </c>
      <c r="U350" s="10" t="str">
        <f t="shared" ca="1" si="12"/>
        <v/>
      </c>
      <c r="V350" s="10" t="str">
        <f t="shared" ca="1" si="13"/>
        <v/>
      </c>
      <c r="AE350" s="10" t="s">
        <v>2645</v>
      </c>
    </row>
    <row r="351" spans="1:31" hidden="1">
      <c r="A351" s="2" t="s">
        <v>425</v>
      </c>
      <c r="B351" s="2"/>
      <c r="C351" s="2"/>
      <c r="D351" s="2" t="s">
        <v>427</v>
      </c>
      <c r="E351" s="2" t="s">
        <v>426</v>
      </c>
      <c r="J351" s="10" t="s">
        <v>2686</v>
      </c>
      <c r="R351" s="10" t="s">
        <v>2642</v>
      </c>
      <c r="T351" s="10" t="s">
        <v>2696</v>
      </c>
      <c r="U351" s="10" t="str">
        <f t="shared" ca="1" si="12"/>
        <v/>
      </c>
      <c r="V351" s="10" t="str">
        <f t="shared" ca="1" si="13"/>
        <v/>
      </c>
      <c r="AE351" s="10" t="s">
        <v>2645</v>
      </c>
    </row>
    <row r="352" spans="1:31" hidden="1">
      <c r="A352" s="2" t="s">
        <v>428</v>
      </c>
      <c r="B352" s="2"/>
      <c r="C352" s="2"/>
      <c r="D352" s="2" t="s">
        <v>1716</v>
      </c>
      <c r="E352" s="2" t="s">
        <v>1717</v>
      </c>
      <c r="H352" t="s">
        <v>19</v>
      </c>
      <c r="J352" s="10" t="s">
        <v>25</v>
      </c>
      <c r="L352" s="10">
        <v>1</v>
      </c>
      <c r="M352" s="10">
        <v>2</v>
      </c>
      <c r="N352" s="10" t="s">
        <v>2646</v>
      </c>
      <c r="O352" s="10" t="s">
        <v>2687</v>
      </c>
      <c r="S352" s="10">
        <v>2475</v>
      </c>
      <c r="U352" s="10" t="str">
        <f t="shared" ca="1" si="12"/>
        <v/>
      </c>
      <c r="V352" s="10" t="str">
        <f t="shared" ca="1" si="13"/>
        <v/>
      </c>
    </row>
    <row r="353" spans="1:31" hidden="1">
      <c r="A353" s="2" t="s">
        <v>429</v>
      </c>
      <c r="B353" s="2"/>
      <c r="C353" s="2"/>
      <c r="D353" s="13" t="s">
        <v>1718</v>
      </c>
      <c r="E353" t="s">
        <v>1719</v>
      </c>
      <c r="H353" t="s">
        <v>19</v>
      </c>
      <c r="J353" s="10" t="s">
        <v>2686</v>
      </c>
      <c r="T353" s="10" t="s">
        <v>2696</v>
      </c>
      <c r="U353" s="10" t="str">
        <f t="shared" ca="1" si="12"/>
        <v/>
      </c>
      <c r="V353" s="10" t="str">
        <f t="shared" ca="1" si="13"/>
        <v/>
      </c>
      <c r="AE353" s="10" t="s">
        <v>2645</v>
      </c>
    </row>
    <row r="354" spans="1:31" hidden="1">
      <c r="A354" s="2" t="s">
        <v>429</v>
      </c>
      <c r="B354" s="2"/>
      <c r="C354" s="2"/>
      <c r="D354" s="13" t="s">
        <v>1720</v>
      </c>
      <c r="E354" t="s">
        <v>1721</v>
      </c>
      <c r="H354" t="s">
        <v>19</v>
      </c>
      <c r="J354" s="10" t="s">
        <v>2688</v>
      </c>
      <c r="U354" s="10" t="str">
        <f t="shared" ca="1" si="12"/>
        <v/>
      </c>
      <c r="V354" s="10" t="str">
        <f t="shared" ca="1" si="13"/>
        <v/>
      </c>
      <c r="AE354" s="10" t="s">
        <v>2645</v>
      </c>
    </row>
    <row r="355" spans="1:31" hidden="1">
      <c r="A355" s="2" t="s">
        <v>430</v>
      </c>
      <c r="B355" s="2"/>
      <c r="C355" s="2"/>
      <c r="D355" s="2" t="s">
        <v>432</v>
      </c>
      <c r="E355" s="2" t="s">
        <v>431</v>
      </c>
      <c r="J355" s="10" t="s">
        <v>2686</v>
      </c>
      <c r="T355" s="10" t="s">
        <v>2696</v>
      </c>
      <c r="U355" s="10" t="str">
        <f t="shared" ca="1" si="12"/>
        <v/>
      </c>
      <c r="V355" s="10" t="str">
        <f t="shared" ca="1" si="13"/>
        <v/>
      </c>
      <c r="AC355" s="10" t="s">
        <v>2699</v>
      </c>
      <c r="AD355" s="10" t="s">
        <v>19</v>
      </c>
      <c r="AE355" s="10" t="s">
        <v>2654</v>
      </c>
    </row>
    <row r="356" spans="1:31" hidden="1">
      <c r="A356" s="2" t="s">
        <v>430</v>
      </c>
      <c r="B356" s="2"/>
      <c r="C356" s="2"/>
      <c r="D356" s="2" t="s">
        <v>434</v>
      </c>
      <c r="E356" s="2" t="s">
        <v>433</v>
      </c>
      <c r="J356" s="10" t="s">
        <v>2686</v>
      </c>
      <c r="T356" s="10" t="s">
        <v>2696</v>
      </c>
      <c r="U356" s="10" t="str">
        <f t="shared" ca="1" si="12"/>
        <v/>
      </c>
      <c r="V356" s="10" t="str">
        <f t="shared" ca="1" si="13"/>
        <v/>
      </c>
      <c r="AE356" s="10" t="s">
        <v>2645</v>
      </c>
    </row>
    <row r="357" spans="1:31" hidden="1">
      <c r="A357" s="2" t="s">
        <v>435</v>
      </c>
      <c r="B357" s="2"/>
      <c r="C357" s="2"/>
      <c r="D357" s="2" t="s">
        <v>1723</v>
      </c>
      <c r="E357" s="2" t="s">
        <v>1722</v>
      </c>
      <c r="H357" t="s">
        <v>19</v>
      </c>
      <c r="J357" s="10" t="s">
        <v>2686</v>
      </c>
      <c r="T357" s="10" t="s">
        <v>2696</v>
      </c>
      <c r="U357" s="10" t="str">
        <f t="shared" ca="1" si="12"/>
        <v/>
      </c>
      <c r="V357" s="10" t="str">
        <f t="shared" ca="1" si="13"/>
        <v/>
      </c>
      <c r="AE357" s="10" t="s">
        <v>2645</v>
      </c>
    </row>
    <row r="358" spans="1:31" hidden="1">
      <c r="A358" s="2" t="s">
        <v>435</v>
      </c>
      <c r="B358" s="2"/>
      <c r="C358" s="2"/>
      <c r="D358" s="2" t="s">
        <v>1724</v>
      </c>
      <c r="E358" s="2" t="s">
        <v>1725</v>
      </c>
      <c r="H358" t="s">
        <v>19</v>
      </c>
      <c r="J358" s="10" t="s">
        <v>2688</v>
      </c>
      <c r="U358" s="10" t="str">
        <f t="shared" ca="1" si="12"/>
        <v/>
      </c>
      <c r="V358" s="10" t="str">
        <f t="shared" ca="1" si="13"/>
        <v/>
      </c>
      <c r="AE358" s="10" t="s">
        <v>2651</v>
      </c>
    </row>
    <row r="359" spans="1:31" hidden="1">
      <c r="A359" s="2" t="s">
        <v>436</v>
      </c>
      <c r="B359" s="2"/>
      <c r="C359" s="2"/>
      <c r="D359" s="2" t="s">
        <v>2723</v>
      </c>
      <c r="E359" s="2" t="s">
        <v>1726</v>
      </c>
      <c r="H359" t="s">
        <v>19</v>
      </c>
      <c r="J359" s="10" t="s">
        <v>2688</v>
      </c>
      <c r="U359" s="10" t="str">
        <f t="shared" ca="1" si="12"/>
        <v/>
      </c>
      <c r="V359" s="10" t="str">
        <f t="shared" ca="1" si="13"/>
        <v/>
      </c>
      <c r="AC359" s="10" t="s">
        <v>2699</v>
      </c>
      <c r="AD359" s="10" t="s">
        <v>19</v>
      </c>
    </row>
    <row r="360" spans="1:31" ht="29" hidden="1">
      <c r="A360" s="2" t="s">
        <v>437</v>
      </c>
      <c r="B360" s="2"/>
      <c r="C360" s="2"/>
      <c r="D360" s="3" t="s">
        <v>1727</v>
      </c>
      <c r="E360" s="2" t="s">
        <v>1728</v>
      </c>
      <c r="F360" t="s">
        <v>15</v>
      </c>
      <c r="U360" s="10" t="str">
        <f t="shared" ca="1" si="12"/>
        <v/>
      </c>
      <c r="V360" s="10" t="str">
        <f t="shared" ca="1" si="13"/>
        <v/>
      </c>
    </row>
    <row r="361" spans="1:31" hidden="1">
      <c r="A361" s="2" t="s">
        <v>438</v>
      </c>
      <c r="B361" s="2"/>
      <c r="C361" s="2"/>
      <c r="D361" s="2" t="s">
        <v>66</v>
      </c>
      <c r="E361" s="2" t="s">
        <v>38</v>
      </c>
      <c r="J361" s="10" t="s">
        <v>2686</v>
      </c>
      <c r="T361" s="10" t="s">
        <v>2696</v>
      </c>
      <c r="U361" s="10" t="str">
        <f t="shared" ca="1" si="12"/>
        <v/>
      </c>
      <c r="V361" s="10" t="str">
        <f t="shared" ca="1" si="13"/>
        <v/>
      </c>
      <c r="AB361" s="10" t="s">
        <v>2692</v>
      </c>
      <c r="AD361" s="10" t="s">
        <v>19</v>
      </c>
    </row>
    <row r="362" spans="1:31" hidden="1">
      <c r="A362" s="2" t="s">
        <v>439</v>
      </c>
      <c r="B362" s="2"/>
      <c r="C362" s="2"/>
      <c r="D362" s="3" t="s">
        <v>441</v>
      </c>
      <c r="E362" s="2" t="s">
        <v>440</v>
      </c>
      <c r="F362" t="s">
        <v>15</v>
      </c>
      <c r="U362" s="10" t="str">
        <f t="shared" ca="1" si="12"/>
        <v/>
      </c>
      <c r="V362" s="10" t="str">
        <f t="shared" ca="1" si="13"/>
        <v/>
      </c>
    </row>
    <row r="363" spans="1:31" ht="29" hidden="1">
      <c r="A363" s="2" t="s">
        <v>442</v>
      </c>
      <c r="B363" s="2"/>
      <c r="C363" s="2"/>
      <c r="D363" s="3" t="s">
        <v>1729</v>
      </c>
      <c r="E363" s="2" t="s">
        <v>1730</v>
      </c>
      <c r="F363" t="s">
        <v>15</v>
      </c>
      <c r="U363" s="10" t="str">
        <f t="shared" ca="1" si="12"/>
        <v/>
      </c>
      <c r="V363" s="10" t="str">
        <f t="shared" ca="1" si="13"/>
        <v/>
      </c>
    </row>
    <row r="364" spans="1:31" ht="29" hidden="1">
      <c r="A364" s="2" t="s">
        <v>442</v>
      </c>
      <c r="B364" s="2"/>
      <c r="C364" s="2"/>
      <c r="D364" s="2" t="s">
        <v>1732</v>
      </c>
      <c r="E364" s="2" t="s">
        <v>1731</v>
      </c>
      <c r="H364" t="s">
        <v>19</v>
      </c>
      <c r="J364" s="10" t="s">
        <v>2686</v>
      </c>
      <c r="T364" s="10" t="s">
        <v>2696</v>
      </c>
      <c r="U364" s="10" t="str">
        <f t="shared" ca="1" si="12"/>
        <v/>
      </c>
      <c r="V364" s="10" t="str">
        <f t="shared" ca="1" si="13"/>
        <v/>
      </c>
      <c r="AE364" s="10" t="s">
        <v>2645</v>
      </c>
    </row>
    <row r="365" spans="1:31" hidden="1">
      <c r="A365" s="2" t="s">
        <v>443</v>
      </c>
      <c r="B365" s="2"/>
      <c r="C365" s="2"/>
      <c r="D365" s="2" t="s">
        <v>445</v>
      </c>
      <c r="E365" s="2" t="s">
        <v>444</v>
      </c>
      <c r="F365" t="s">
        <v>12</v>
      </c>
      <c r="J365" s="10" t="s">
        <v>2686</v>
      </c>
      <c r="T365" s="10" t="s">
        <v>2696</v>
      </c>
      <c r="U365" s="10" t="str">
        <f t="shared" ca="1" si="12"/>
        <v/>
      </c>
      <c r="V365" s="10" t="str">
        <f t="shared" ca="1" si="13"/>
        <v/>
      </c>
      <c r="AE365" s="10" t="s">
        <v>2645</v>
      </c>
    </row>
    <row r="366" spans="1:31">
      <c r="A366" s="2" t="s">
        <v>446</v>
      </c>
      <c r="B366" s="2"/>
      <c r="C366" s="2"/>
      <c r="D366" s="13" t="s">
        <v>447</v>
      </c>
      <c r="E366" t="s">
        <v>1733</v>
      </c>
      <c r="H366" t="s">
        <v>19</v>
      </c>
      <c r="J366" s="10" t="s">
        <v>2688</v>
      </c>
      <c r="U366" s="10" t="str">
        <f t="shared" ca="1" si="12"/>
        <v/>
      </c>
      <c r="V366" s="10" t="str">
        <f t="shared" ca="1" si="13"/>
        <v/>
      </c>
    </row>
    <row r="367" spans="1:31" ht="58">
      <c r="A367" s="2" t="s">
        <v>446</v>
      </c>
      <c r="B367" s="2"/>
      <c r="C367" s="2"/>
      <c r="D367" s="2" t="s">
        <v>1735</v>
      </c>
      <c r="E367" s="2" t="s">
        <v>1734</v>
      </c>
      <c r="G367" t="s">
        <v>19</v>
      </c>
      <c r="J367" s="10" t="s">
        <v>24</v>
      </c>
      <c r="L367" s="10">
        <v>40</v>
      </c>
      <c r="M367" s="10">
        <v>195</v>
      </c>
      <c r="O367" s="10" t="s">
        <v>2641</v>
      </c>
      <c r="P367" s="10" t="s">
        <v>2724</v>
      </c>
      <c r="Q367" s="11" t="s">
        <v>2725</v>
      </c>
      <c r="S367" s="10">
        <v>2</v>
      </c>
      <c r="U367" s="10" t="str">
        <f t="shared" ca="1" si="12"/>
        <v/>
      </c>
      <c r="V367" s="10" t="str">
        <f t="shared" ca="1" si="13"/>
        <v/>
      </c>
    </row>
    <row r="368" spans="1:31">
      <c r="A368" s="2" t="s">
        <v>448</v>
      </c>
      <c r="B368" s="2"/>
      <c r="C368" s="2"/>
      <c r="D368" s="2" t="s">
        <v>1736</v>
      </c>
      <c r="E368" s="2" t="s">
        <v>449</v>
      </c>
      <c r="F368" t="s">
        <v>11</v>
      </c>
      <c r="G368" t="s">
        <v>21</v>
      </c>
      <c r="I368" t="s">
        <v>1739</v>
      </c>
      <c r="U368" s="10" t="str">
        <f t="shared" ca="1" si="12"/>
        <v/>
      </c>
      <c r="V368" s="10" t="str">
        <f t="shared" ca="1" si="13"/>
        <v/>
      </c>
    </row>
    <row r="369" spans="1:31" hidden="1">
      <c r="A369" s="2" t="s">
        <v>448</v>
      </c>
      <c r="B369" s="2"/>
      <c r="C369" s="2"/>
      <c r="D369" s="2" t="s">
        <v>1737</v>
      </c>
      <c r="E369" s="2" t="s">
        <v>1738</v>
      </c>
      <c r="J369" s="10" t="s">
        <v>25</v>
      </c>
      <c r="L369" s="10">
        <v>1</v>
      </c>
      <c r="M369" s="10">
        <v>3</v>
      </c>
      <c r="N369" s="10" t="s">
        <v>2646</v>
      </c>
      <c r="O369" s="10" t="s">
        <v>2647</v>
      </c>
      <c r="S369" s="10">
        <v>2475</v>
      </c>
      <c r="U369" s="10" t="str">
        <f t="shared" ca="1" si="12"/>
        <v/>
      </c>
      <c r="V369" s="10" t="str">
        <f t="shared" ca="1" si="13"/>
        <v/>
      </c>
    </row>
    <row r="370" spans="1:31" ht="29" hidden="1">
      <c r="A370" s="2" t="s">
        <v>450</v>
      </c>
      <c r="B370" s="2"/>
      <c r="C370" s="2"/>
      <c r="D370" s="2" t="s">
        <v>1741</v>
      </c>
      <c r="E370" s="2" t="s">
        <v>1740</v>
      </c>
      <c r="G370" t="s">
        <v>19</v>
      </c>
      <c r="J370" s="10" t="s">
        <v>25</v>
      </c>
      <c r="L370" s="10">
        <v>2</v>
      </c>
      <c r="M370" s="10">
        <v>8</v>
      </c>
      <c r="O370" s="10" t="s">
        <v>2647</v>
      </c>
      <c r="S370" s="10">
        <v>166</v>
      </c>
      <c r="U370" s="10" t="str">
        <f t="shared" ca="1" si="12"/>
        <v/>
      </c>
      <c r="V370" s="10" t="str">
        <f t="shared" ca="1" si="13"/>
        <v/>
      </c>
    </row>
    <row r="371" spans="1:31" hidden="1">
      <c r="A371" s="2" t="s">
        <v>450</v>
      </c>
      <c r="B371" s="2"/>
      <c r="C371" s="2"/>
      <c r="D371" s="2" t="s">
        <v>1742</v>
      </c>
      <c r="E371" s="2" t="s">
        <v>1743</v>
      </c>
      <c r="J371" s="10" t="s">
        <v>2686</v>
      </c>
      <c r="T371" s="10" t="s">
        <v>2696</v>
      </c>
      <c r="U371" s="10" t="str">
        <f t="shared" ca="1" si="12"/>
        <v/>
      </c>
      <c r="V371" s="10" t="str">
        <f t="shared" ca="1" si="13"/>
        <v/>
      </c>
      <c r="AE371" s="10" t="s">
        <v>2645</v>
      </c>
    </row>
    <row r="372" spans="1:31" hidden="1">
      <c r="A372" s="2" t="s">
        <v>451</v>
      </c>
      <c r="B372" s="2"/>
      <c r="C372" s="2"/>
      <c r="D372" s="2" t="s">
        <v>453</v>
      </c>
      <c r="E372" s="2" t="s">
        <v>452</v>
      </c>
      <c r="J372" s="10" t="s">
        <v>2686</v>
      </c>
      <c r="T372" s="10" t="s">
        <v>2696</v>
      </c>
      <c r="U372" s="10" t="str">
        <f t="shared" ca="1" si="12"/>
        <v/>
      </c>
      <c r="V372" s="10" t="str">
        <f t="shared" ca="1" si="13"/>
        <v/>
      </c>
      <c r="AC372" s="10" t="s">
        <v>2697</v>
      </c>
      <c r="AD372" s="10" t="s">
        <v>19</v>
      </c>
      <c r="AE372" s="10" t="s">
        <v>2645</v>
      </c>
    </row>
    <row r="373" spans="1:31" hidden="1">
      <c r="A373" s="2" t="s">
        <v>451</v>
      </c>
      <c r="B373" s="2"/>
      <c r="C373" s="2"/>
      <c r="D373" s="2" t="s">
        <v>1745</v>
      </c>
      <c r="E373" s="2" t="s">
        <v>1744</v>
      </c>
      <c r="J373" s="10" t="s">
        <v>2688</v>
      </c>
      <c r="U373" s="10" t="str">
        <f t="shared" ca="1" si="12"/>
        <v/>
      </c>
      <c r="V373" s="10" t="str">
        <f t="shared" ca="1" si="13"/>
        <v/>
      </c>
    </row>
    <row r="374" spans="1:31" hidden="1">
      <c r="A374" s="2" t="s">
        <v>454</v>
      </c>
      <c r="B374" s="2"/>
      <c r="C374" s="2"/>
      <c r="D374" s="2" t="s">
        <v>456</v>
      </c>
      <c r="E374" s="2" t="s">
        <v>455</v>
      </c>
      <c r="J374" s="10" t="s">
        <v>2686</v>
      </c>
      <c r="T374" s="10" t="s">
        <v>2696</v>
      </c>
      <c r="U374" s="10" t="str">
        <f t="shared" ca="1" si="12"/>
        <v/>
      </c>
      <c r="V374" s="10" t="str">
        <f t="shared" ca="1" si="13"/>
        <v/>
      </c>
      <c r="AE374" s="10" t="s">
        <v>2645</v>
      </c>
    </row>
    <row r="375" spans="1:31" hidden="1">
      <c r="A375" s="2" t="s">
        <v>457</v>
      </c>
      <c r="B375" s="2"/>
      <c r="C375" s="2"/>
      <c r="D375" s="2" t="s">
        <v>1746</v>
      </c>
      <c r="E375" s="2" t="s">
        <v>458</v>
      </c>
      <c r="H375" t="s">
        <v>19</v>
      </c>
      <c r="J375" s="10" t="s">
        <v>2686</v>
      </c>
      <c r="T375" s="10" t="s">
        <v>2696</v>
      </c>
      <c r="U375" s="10" t="str">
        <f t="shared" ca="1" si="12"/>
        <v/>
      </c>
      <c r="V375" s="10" t="str">
        <f t="shared" ca="1" si="13"/>
        <v/>
      </c>
      <c r="AC375" s="10" t="s">
        <v>2710</v>
      </c>
      <c r="AD375" s="10" t="s">
        <v>19</v>
      </c>
      <c r="AE375" s="10" t="s">
        <v>2645</v>
      </c>
    </row>
    <row r="376" spans="1:31" hidden="1">
      <c r="A376" s="2" t="s">
        <v>459</v>
      </c>
      <c r="B376" s="2"/>
      <c r="C376" s="2"/>
      <c r="D376" s="2" t="s">
        <v>1747</v>
      </c>
      <c r="E376" s="2" t="s">
        <v>1748</v>
      </c>
      <c r="J376" s="10" t="s">
        <v>2688</v>
      </c>
      <c r="U376" s="10" t="str">
        <f t="shared" ca="1" si="12"/>
        <v/>
      </c>
      <c r="V376" s="10" t="str">
        <f t="shared" ca="1" si="13"/>
        <v/>
      </c>
      <c r="AB376" s="10" t="s">
        <v>2797</v>
      </c>
      <c r="AD376" s="10" t="s">
        <v>19</v>
      </c>
    </row>
    <row r="377" spans="1:31" hidden="1">
      <c r="A377" s="2" t="s">
        <v>460</v>
      </c>
      <c r="B377" s="2"/>
      <c r="C377" s="2"/>
      <c r="D377" s="2" t="s">
        <v>461</v>
      </c>
      <c r="E377" s="2" t="s">
        <v>461</v>
      </c>
      <c r="G377" t="s">
        <v>20</v>
      </c>
      <c r="U377" s="10" t="str">
        <f t="shared" ca="1" si="12"/>
        <v/>
      </c>
      <c r="V377" s="10" t="str">
        <f t="shared" ca="1" si="13"/>
        <v/>
      </c>
    </row>
    <row r="378" spans="1:31" hidden="1">
      <c r="A378" s="2" t="s">
        <v>462</v>
      </c>
      <c r="B378" s="2"/>
      <c r="C378" s="2"/>
      <c r="D378" s="2" t="s">
        <v>1749</v>
      </c>
      <c r="E378" s="2" t="s">
        <v>463</v>
      </c>
      <c r="H378" t="s">
        <v>19</v>
      </c>
      <c r="J378" s="10" t="s">
        <v>2686</v>
      </c>
      <c r="R378" s="10" t="s">
        <v>2642</v>
      </c>
      <c r="T378" s="10" t="s">
        <v>2696</v>
      </c>
      <c r="U378" s="10" t="str">
        <f t="shared" ca="1" si="12"/>
        <v/>
      </c>
      <c r="V378" s="10" t="str">
        <f t="shared" ca="1" si="13"/>
        <v/>
      </c>
      <c r="AE378" s="10" t="s">
        <v>2645</v>
      </c>
    </row>
    <row r="379" spans="1:31" hidden="1">
      <c r="A379" s="2" t="s">
        <v>462</v>
      </c>
      <c r="B379" s="2"/>
      <c r="C379" s="2"/>
      <c r="D379" s="3" t="s">
        <v>1750</v>
      </c>
      <c r="E379" s="2" t="s">
        <v>1751</v>
      </c>
      <c r="F379" t="s">
        <v>15</v>
      </c>
      <c r="U379" s="10" t="str">
        <f t="shared" ca="1" si="12"/>
        <v/>
      </c>
      <c r="V379" s="10" t="str">
        <f t="shared" ca="1" si="13"/>
        <v/>
      </c>
    </row>
    <row r="380" spans="1:31" ht="29" hidden="1">
      <c r="A380" s="2" t="s">
        <v>464</v>
      </c>
      <c r="B380" s="2"/>
      <c r="C380" s="2"/>
      <c r="D380" s="2" t="s">
        <v>1753</v>
      </c>
      <c r="E380" s="2" t="s">
        <v>1752</v>
      </c>
      <c r="J380" s="10" t="s">
        <v>25</v>
      </c>
      <c r="L380" s="10">
        <v>2</v>
      </c>
      <c r="M380" s="10">
        <v>13</v>
      </c>
      <c r="O380" s="10" t="s">
        <v>2647</v>
      </c>
      <c r="S380" s="10">
        <v>1</v>
      </c>
      <c r="U380" s="10" t="str">
        <f t="shared" ca="1" si="12"/>
        <v/>
      </c>
      <c r="V380" s="10" t="str">
        <f t="shared" ca="1" si="13"/>
        <v/>
      </c>
    </row>
    <row r="381" spans="1:31" hidden="1">
      <c r="A381" s="2" t="s">
        <v>464</v>
      </c>
      <c r="B381" s="2"/>
      <c r="C381" s="2"/>
      <c r="D381" s="2" t="s">
        <v>466</v>
      </c>
      <c r="E381" s="2" t="s">
        <v>465</v>
      </c>
      <c r="F381" t="s">
        <v>11</v>
      </c>
      <c r="U381" s="10" t="str">
        <f t="shared" ca="1" si="12"/>
        <v/>
      </c>
      <c r="V381" s="10" t="str">
        <f t="shared" ca="1" si="13"/>
        <v/>
      </c>
    </row>
    <row r="382" spans="1:31" hidden="1">
      <c r="A382" s="2" t="s">
        <v>467</v>
      </c>
      <c r="B382" s="2"/>
      <c r="C382" s="2"/>
      <c r="D382" s="3" t="s">
        <v>1754</v>
      </c>
      <c r="E382" s="2" t="s">
        <v>2913</v>
      </c>
      <c r="F382" t="s">
        <v>15</v>
      </c>
      <c r="U382" s="10" t="str">
        <f t="shared" ref="U382:U444" ca="1" si="14">IF(ISNUMBER(T382),VALUE(MID(_xlfn.FORMULATEXT(T382),SEARCH("-",_xlfn.FORMULATEXT(T382))+1,LEN(_xlfn.FORMULATEXT(T382))-SEARCH("-",_xlfn.FORMULATEXT(T382)))), "")</f>
        <v/>
      </c>
      <c r="V382" s="10" t="str">
        <f t="shared" ref="V382:V444" ca="1" si="15">IF(ISNUMBER(T382), VALUE(MID(_xlfn.FORMULATEXT(T382), 2, SEARCH("-", _xlfn.FORMULATEXT(T382)) - 2)), "")</f>
        <v/>
      </c>
    </row>
    <row r="383" spans="1:31" hidden="1">
      <c r="A383" s="2" t="s">
        <v>467</v>
      </c>
      <c r="B383" s="2"/>
      <c r="C383" s="2"/>
      <c r="D383" s="3" t="s">
        <v>1755</v>
      </c>
      <c r="E383" s="2" t="s">
        <v>2914</v>
      </c>
      <c r="F383" t="s">
        <v>15</v>
      </c>
      <c r="U383" s="10" t="str">
        <f t="shared" ca="1" si="14"/>
        <v/>
      </c>
      <c r="V383" s="10" t="str">
        <f t="shared" ca="1" si="15"/>
        <v/>
      </c>
    </row>
    <row r="384" spans="1:31" ht="29" hidden="1">
      <c r="A384" s="2" t="s">
        <v>467</v>
      </c>
      <c r="B384" s="2"/>
      <c r="C384" s="2"/>
      <c r="D384" s="2" t="s">
        <v>1756</v>
      </c>
      <c r="E384" s="2" t="s">
        <v>1757</v>
      </c>
      <c r="H384" t="s">
        <v>19</v>
      </c>
      <c r="J384" s="10" t="s">
        <v>2688</v>
      </c>
      <c r="U384" s="10" t="str">
        <f t="shared" ca="1" si="14"/>
        <v/>
      </c>
      <c r="V384" s="10" t="str">
        <f t="shared" ca="1" si="15"/>
        <v/>
      </c>
      <c r="AE384" s="10" t="s">
        <v>2645</v>
      </c>
    </row>
    <row r="385" spans="1:31" ht="87" hidden="1">
      <c r="A385" s="2" t="s">
        <v>468</v>
      </c>
      <c r="B385" s="2"/>
      <c r="C385" s="2"/>
      <c r="D385" s="2" t="s">
        <v>1759</v>
      </c>
      <c r="E385" s="2" t="s">
        <v>1760</v>
      </c>
      <c r="J385" s="10" t="s">
        <v>2686</v>
      </c>
      <c r="T385" s="10">
        <f>210-79</f>
        <v>131</v>
      </c>
      <c r="U385" s="10">
        <f t="shared" ca="1" si="14"/>
        <v>79</v>
      </c>
      <c r="V385" s="10">
        <f t="shared" ca="1" si="15"/>
        <v>210</v>
      </c>
    </row>
    <row r="386" spans="1:31" ht="87">
      <c r="A386" s="2" t="s">
        <v>468</v>
      </c>
      <c r="B386" s="2"/>
      <c r="C386" s="2"/>
      <c r="D386" s="2" t="s">
        <v>1762</v>
      </c>
      <c r="E386" s="2" t="s">
        <v>1761</v>
      </c>
      <c r="J386" s="10" t="s">
        <v>2686</v>
      </c>
      <c r="R386" s="10" t="s">
        <v>2642</v>
      </c>
      <c r="T386" s="10" t="s">
        <v>2696</v>
      </c>
      <c r="U386" s="10" t="str">
        <f t="shared" ca="1" si="14"/>
        <v/>
      </c>
      <c r="V386" s="10" t="str">
        <f t="shared" ca="1" si="15"/>
        <v/>
      </c>
      <c r="AE386" s="10" t="s">
        <v>2645</v>
      </c>
    </row>
    <row r="387" spans="1:31" ht="87">
      <c r="A387" s="2" t="s">
        <v>468</v>
      </c>
      <c r="B387" s="2"/>
      <c r="C387" s="2"/>
      <c r="D387" s="2" t="s">
        <v>1763</v>
      </c>
      <c r="E387" s="2" t="s">
        <v>1758</v>
      </c>
      <c r="H387" t="s">
        <v>19</v>
      </c>
      <c r="I387" t="s">
        <v>2726</v>
      </c>
      <c r="J387" s="10" t="s">
        <v>25</v>
      </c>
      <c r="L387" s="10">
        <v>9</v>
      </c>
      <c r="M387" s="10">
        <v>42</v>
      </c>
      <c r="O387" s="10" t="s">
        <v>2647</v>
      </c>
      <c r="S387" s="10">
        <v>2</v>
      </c>
      <c r="U387" s="10" t="str">
        <f t="shared" ca="1" si="14"/>
        <v/>
      </c>
      <c r="V387" s="10" t="str">
        <f t="shared" ca="1" si="15"/>
        <v/>
      </c>
    </row>
    <row r="388" spans="1:31" hidden="1">
      <c r="A388" s="2" t="s">
        <v>469</v>
      </c>
      <c r="B388" s="2"/>
      <c r="C388" s="2"/>
      <c r="D388" s="2" t="s">
        <v>471</v>
      </c>
      <c r="E388" s="2" t="s">
        <v>470</v>
      </c>
      <c r="J388" s="10" t="s">
        <v>2688</v>
      </c>
      <c r="U388" s="10" t="str">
        <f t="shared" ca="1" si="14"/>
        <v/>
      </c>
      <c r="V388" s="10" t="str">
        <f t="shared" ca="1" si="15"/>
        <v/>
      </c>
      <c r="AE388" s="10" t="s">
        <v>2651</v>
      </c>
    </row>
    <row r="389" spans="1:31" hidden="1">
      <c r="A389" s="2" t="s">
        <v>469</v>
      </c>
      <c r="B389" s="2"/>
      <c r="C389" s="2"/>
      <c r="D389" s="2" t="s">
        <v>473</v>
      </c>
      <c r="E389" s="2" t="s">
        <v>472</v>
      </c>
      <c r="J389" s="10" t="s">
        <v>2686</v>
      </c>
      <c r="T389" s="10" t="s">
        <v>2696</v>
      </c>
      <c r="U389" s="10" t="str">
        <f t="shared" ca="1" si="14"/>
        <v/>
      </c>
      <c r="V389" s="10" t="str">
        <f t="shared" ca="1" si="15"/>
        <v/>
      </c>
      <c r="AB389" s="10" t="s">
        <v>2692</v>
      </c>
      <c r="AD389" s="10" t="s">
        <v>19</v>
      </c>
    </row>
    <row r="390" spans="1:31" hidden="1">
      <c r="A390" s="2" t="s">
        <v>469</v>
      </c>
      <c r="B390" s="2"/>
      <c r="C390" s="2"/>
      <c r="D390" s="13" t="s">
        <v>1764</v>
      </c>
      <c r="E390" s="2" t="s">
        <v>474</v>
      </c>
      <c r="H390" t="s">
        <v>19</v>
      </c>
      <c r="J390" s="10" t="s">
        <v>2686</v>
      </c>
      <c r="T390" s="10" t="s">
        <v>2696</v>
      </c>
      <c r="U390" s="10" t="str">
        <f t="shared" ca="1" si="14"/>
        <v/>
      </c>
      <c r="V390" s="10" t="str">
        <f t="shared" ca="1" si="15"/>
        <v/>
      </c>
      <c r="AE390" s="10" t="s">
        <v>2645</v>
      </c>
    </row>
    <row r="391" spans="1:31">
      <c r="A391" s="2" t="s">
        <v>475</v>
      </c>
      <c r="B391" s="2"/>
      <c r="C391" s="2"/>
      <c r="D391" s="2" t="s">
        <v>477</v>
      </c>
      <c r="E391" s="2" t="s">
        <v>476</v>
      </c>
      <c r="F391" t="s">
        <v>17</v>
      </c>
      <c r="H391" t="s">
        <v>22</v>
      </c>
      <c r="I391" t="s">
        <v>2960</v>
      </c>
      <c r="J391" s="10" t="s">
        <v>2686</v>
      </c>
      <c r="U391" s="10" t="str">
        <f t="shared" ca="1" si="14"/>
        <v/>
      </c>
      <c r="V391" s="10" t="str">
        <f t="shared" ca="1" si="15"/>
        <v/>
      </c>
    </row>
    <row r="392" spans="1:31" hidden="1">
      <c r="A392" s="2" t="s">
        <v>475</v>
      </c>
      <c r="B392" s="2"/>
      <c r="C392" s="2"/>
      <c r="D392" s="2" t="s">
        <v>1765</v>
      </c>
      <c r="E392" s="2" t="s">
        <v>478</v>
      </c>
      <c r="H392" t="s">
        <v>19</v>
      </c>
      <c r="J392" s="10" t="s">
        <v>2688</v>
      </c>
      <c r="U392" s="10" t="str">
        <f t="shared" ca="1" si="14"/>
        <v/>
      </c>
      <c r="V392" s="10" t="str">
        <f t="shared" ca="1" si="15"/>
        <v/>
      </c>
      <c r="AC392" s="10" t="s">
        <v>2703</v>
      </c>
      <c r="AD392" s="10" t="s">
        <v>19</v>
      </c>
      <c r="AE392" s="10" t="s">
        <v>2645</v>
      </c>
    </row>
    <row r="393" spans="1:31" ht="29" hidden="1">
      <c r="A393" s="2" t="s">
        <v>475</v>
      </c>
      <c r="B393" s="2"/>
      <c r="C393" s="2"/>
      <c r="D393" s="2" t="s">
        <v>1767</v>
      </c>
      <c r="E393" s="3" t="s">
        <v>1766</v>
      </c>
      <c r="F393" t="s">
        <v>16</v>
      </c>
      <c r="U393" s="10" t="str">
        <f t="shared" ca="1" si="14"/>
        <v/>
      </c>
      <c r="V393" s="10" t="str">
        <f t="shared" ca="1" si="15"/>
        <v/>
      </c>
    </row>
    <row r="394" spans="1:31" ht="29" hidden="1">
      <c r="A394" s="2" t="s">
        <v>475</v>
      </c>
      <c r="B394" s="2"/>
      <c r="C394" s="2"/>
      <c r="D394" s="2" t="s">
        <v>1768</v>
      </c>
      <c r="E394" s="2" t="s">
        <v>1769</v>
      </c>
      <c r="J394" s="10" t="s">
        <v>2688</v>
      </c>
      <c r="U394" s="10" t="str">
        <f t="shared" ca="1" si="14"/>
        <v/>
      </c>
      <c r="V394" s="10" t="str">
        <f t="shared" ca="1" si="15"/>
        <v/>
      </c>
    </row>
    <row r="395" spans="1:31" hidden="1">
      <c r="A395" s="2" t="s">
        <v>479</v>
      </c>
      <c r="B395" s="2"/>
      <c r="C395" s="2"/>
      <c r="D395" s="2" t="s">
        <v>481</v>
      </c>
      <c r="E395" s="2" t="s">
        <v>480</v>
      </c>
      <c r="F395" t="s">
        <v>11</v>
      </c>
      <c r="U395" s="10" t="str">
        <f t="shared" ca="1" si="14"/>
        <v/>
      </c>
      <c r="V395" s="10" t="str">
        <f t="shared" ca="1" si="15"/>
        <v/>
      </c>
    </row>
    <row r="396" spans="1:31" hidden="1">
      <c r="A396" s="2" t="s">
        <v>479</v>
      </c>
      <c r="B396" s="2"/>
      <c r="C396" s="2"/>
      <c r="D396" s="2" t="s">
        <v>1770</v>
      </c>
      <c r="E396" s="2" t="s">
        <v>1771</v>
      </c>
      <c r="J396" s="10" t="s">
        <v>2688</v>
      </c>
      <c r="U396" s="10" t="str">
        <f t="shared" ca="1" si="14"/>
        <v/>
      </c>
      <c r="V396" s="10" t="str">
        <f t="shared" ca="1" si="15"/>
        <v/>
      </c>
    </row>
    <row r="397" spans="1:31" hidden="1">
      <c r="A397" s="2" t="s">
        <v>482</v>
      </c>
      <c r="B397" s="2"/>
      <c r="C397" s="2"/>
      <c r="D397" s="13" t="s">
        <v>1772</v>
      </c>
      <c r="E397" t="s">
        <v>1773</v>
      </c>
      <c r="H397" t="s">
        <v>19</v>
      </c>
      <c r="J397" s="10" t="s">
        <v>2688</v>
      </c>
      <c r="U397" s="10" t="str">
        <f t="shared" ca="1" si="14"/>
        <v/>
      </c>
      <c r="V397" s="10" t="str">
        <f t="shared" ca="1" si="15"/>
        <v/>
      </c>
      <c r="AE397" s="10" t="s">
        <v>2651</v>
      </c>
    </row>
    <row r="398" spans="1:31" hidden="1">
      <c r="A398" s="2" t="s">
        <v>483</v>
      </c>
      <c r="B398" s="2"/>
      <c r="C398" s="2"/>
      <c r="D398" s="2" t="s">
        <v>1775</v>
      </c>
      <c r="E398" s="2" t="s">
        <v>1774</v>
      </c>
      <c r="J398" s="10" t="s">
        <v>25</v>
      </c>
      <c r="L398" s="10">
        <v>1</v>
      </c>
      <c r="M398" s="10">
        <v>4</v>
      </c>
      <c r="N398" s="10" t="s">
        <v>2660</v>
      </c>
      <c r="O398" s="10" t="s">
        <v>2647</v>
      </c>
      <c r="S398" s="10" t="s">
        <v>2696</v>
      </c>
      <c r="U398" s="10" t="str">
        <f t="shared" ca="1" si="14"/>
        <v/>
      </c>
      <c r="V398" s="10" t="str">
        <f t="shared" ca="1" si="15"/>
        <v/>
      </c>
      <c r="AE398" s="10" t="s">
        <v>2654</v>
      </c>
    </row>
    <row r="399" spans="1:31" hidden="1">
      <c r="A399" s="2" t="s">
        <v>484</v>
      </c>
      <c r="B399" s="2"/>
      <c r="C399" s="2"/>
      <c r="D399" s="13" t="s">
        <v>1776</v>
      </c>
      <c r="E399" t="s">
        <v>1777</v>
      </c>
      <c r="J399" s="10" t="s">
        <v>2686</v>
      </c>
      <c r="T399" s="10">
        <f>2475-75</f>
        <v>2400</v>
      </c>
      <c r="U399" s="10">
        <f t="shared" ca="1" si="14"/>
        <v>75</v>
      </c>
      <c r="V399" s="10">
        <f t="shared" ca="1" si="15"/>
        <v>2475</v>
      </c>
    </row>
    <row r="400" spans="1:31">
      <c r="A400" s="2" t="s">
        <v>485</v>
      </c>
      <c r="B400" s="2"/>
      <c r="C400" s="2"/>
      <c r="D400" s="13" t="s">
        <v>1779</v>
      </c>
      <c r="E400" t="s">
        <v>1778</v>
      </c>
      <c r="I400" t="s">
        <v>2727</v>
      </c>
      <c r="J400" s="10" t="s">
        <v>2686</v>
      </c>
      <c r="T400" s="10">
        <f>171-37</f>
        <v>134</v>
      </c>
      <c r="U400" s="10">
        <f t="shared" ca="1" si="14"/>
        <v>37</v>
      </c>
      <c r="V400" s="10">
        <f t="shared" ca="1" si="15"/>
        <v>171</v>
      </c>
    </row>
    <row r="401" spans="1:31" hidden="1">
      <c r="A401" s="2" t="s">
        <v>486</v>
      </c>
      <c r="B401" s="2"/>
      <c r="C401" s="2"/>
      <c r="D401" s="2" t="s">
        <v>488</v>
      </c>
      <c r="E401" s="3" t="s">
        <v>487</v>
      </c>
      <c r="F401" t="s">
        <v>16</v>
      </c>
      <c r="U401" s="10" t="str">
        <f t="shared" ca="1" si="14"/>
        <v/>
      </c>
      <c r="V401" s="10" t="str">
        <f t="shared" ca="1" si="15"/>
        <v/>
      </c>
    </row>
    <row r="402" spans="1:31" hidden="1">
      <c r="A402" s="2" t="s">
        <v>486</v>
      </c>
      <c r="B402" s="2"/>
      <c r="C402" s="2"/>
      <c r="D402" s="2" t="s">
        <v>1780</v>
      </c>
      <c r="E402" s="2" t="s">
        <v>1781</v>
      </c>
      <c r="H402" t="s">
        <v>19</v>
      </c>
      <c r="J402" s="10" t="s">
        <v>2686</v>
      </c>
      <c r="T402" s="10">
        <f>613-295</f>
        <v>318</v>
      </c>
      <c r="U402" s="10">
        <f t="shared" ca="1" si="14"/>
        <v>295</v>
      </c>
      <c r="V402" s="10">
        <f t="shared" ca="1" si="15"/>
        <v>613</v>
      </c>
      <c r="AC402" s="10" t="s">
        <v>2699</v>
      </c>
      <c r="AD402" s="10" t="s">
        <v>19</v>
      </c>
      <c r="AE402" s="10" t="s">
        <v>2651</v>
      </c>
    </row>
    <row r="403" spans="1:31" hidden="1">
      <c r="A403" s="2" t="s">
        <v>489</v>
      </c>
      <c r="B403" s="2"/>
      <c r="C403" s="2"/>
      <c r="D403" s="13" t="s">
        <v>1782</v>
      </c>
      <c r="E403" t="s">
        <v>1783</v>
      </c>
      <c r="J403" s="10" t="s">
        <v>2688</v>
      </c>
      <c r="U403" s="10" t="str">
        <f t="shared" ca="1" si="14"/>
        <v/>
      </c>
      <c r="V403" s="10" t="str">
        <f t="shared" ca="1" si="15"/>
        <v/>
      </c>
      <c r="AC403" s="10" t="s">
        <v>2697</v>
      </c>
      <c r="AD403" s="10" t="s">
        <v>19</v>
      </c>
    </row>
    <row r="404" spans="1:31" hidden="1">
      <c r="A404" s="2" t="s">
        <v>490</v>
      </c>
      <c r="B404" s="2"/>
      <c r="C404" s="2"/>
      <c r="D404" s="13" t="s">
        <v>1776</v>
      </c>
      <c r="E404" t="s">
        <v>1777</v>
      </c>
      <c r="J404" s="10" t="s">
        <v>2686</v>
      </c>
      <c r="T404" s="10">
        <f>2475-75</f>
        <v>2400</v>
      </c>
      <c r="U404" s="10">
        <f t="shared" ca="1" si="14"/>
        <v>75</v>
      </c>
      <c r="V404" s="10">
        <f t="shared" ca="1" si="15"/>
        <v>2475</v>
      </c>
    </row>
    <row r="405" spans="1:31" ht="29" hidden="1">
      <c r="A405" s="2" t="s">
        <v>491</v>
      </c>
      <c r="B405" s="2"/>
      <c r="C405" s="2"/>
      <c r="D405" s="3" t="s">
        <v>1784</v>
      </c>
      <c r="E405" s="2" t="s">
        <v>1785</v>
      </c>
      <c r="F405" t="s">
        <v>15</v>
      </c>
      <c r="U405" s="10" t="str">
        <f t="shared" ca="1" si="14"/>
        <v/>
      </c>
      <c r="V405" s="10" t="str">
        <f t="shared" ca="1" si="15"/>
        <v/>
      </c>
    </row>
    <row r="406" spans="1:31" ht="29" hidden="1">
      <c r="A406" s="2" t="s">
        <v>491</v>
      </c>
      <c r="B406" s="2"/>
      <c r="C406" s="2"/>
      <c r="D406" s="3" t="s">
        <v>1786</v>
      </c>
      <c r="E406" s="2" t="s">
        <v>1787</v>
      </c>
      <c r="F406" t="s">
        <v>15</v>
      </c>
      <c r="U406" s="10" t="str">
        <f t="shared" ca="1" si="14"/>
        <v/>
      </c>
      <c r="V406" s="10" t="str">
        <f t="shared" ca="1" si="15"/>
        <v/>
      </c>
    </row>
    <row r="407" spans="1:31" ht="29">
      <c r="A407" s="2" t="s">
        <v>491</v>
      </c>
      <c r="B407" s="2"/>
      <c r="C407" s="2"/>
      <c r="D407" s="2" t="s">
        <v>1788</v>
      </c>
      <c r="E407" s="2" t="s">
        <v>1789</v>
      </c>
      <c r="F407" t="s">
        <v>11</v>
      </c>
      <c r="U407" s="10" t="str">
        <f t="shared" ca="1" si="14"/>
        <v/>
      </c>
      <c r="V407" s="10" t="str">
        <f t="shared" ca="1" si="15"/>
        <v/>
      </c>
    </row>
    <row r="408" spans="1:31" hidden="1">
      <c r="A408" s="2" t="s">
        <v>492</v>
      </c>
      <c r="B408" s="2"/>
      <c r="C408" s="2"/>
      <c r="D408" s="13" t="s">
        <v>1790</v>
      </c>
      <c r="E408" t="s">
        <v>1791</v>
      </c>
      <c r="H408" t="s">
        <v>19</v>
      </c>
      <c r="J408" s="10" t="s">
        <v>2686</v>
      </c>
      <c r="T408" s="10">
        <f>613-27</f>
        <v>586</v>
      </c>
      <c r="U408" s="10">
        <f t="shared" ca="1" si="14"/>
        <v>27</v>
      </c>
      <c r="V408" s="10">
        <f t="shared" ca="1" si="15"/>
        <v>613</v>
      </c>
    </row>
    <row r="409" spans="1:31" hidden="1">
      <c r="A409" s="2" t="s">
        <v>493</v>
      </c>
      <c r="B409" s="2"/>
      <c r="C409" s="2"/>
      <c r="D409" s="3" t="s">
        <v>1793</v>
      </c>
      <c r="E409" s="2" t="s">
        <v>1792</v>
      </c>
      <c r="F409" t="s">
        <v>15</v>
      </c>
      <c r="U409" s="10" t="str">
        <f t="shared" ca="1" si="14"/>
        <v/>
      </c>
      <c r="V409" s="10" t="str">
        <f t="shared" ca="1" si="15"/>
        <v/>
      </c>
    </row>
    <row r="410" spans="1:31" hidden="1">
      <c r="A410" s="2" t="s">
        <v>494</v>
      </c>
      <c r="B410" s="2"/>
      <c r="C410" s="2"/>
      <c r="D410" s="2" t="s">
        <v>1794</v>
      </c>
      <c r="E410" s="2" t="s">
        <v>1795</v>
      </c>
      <c r="F410" t="s">
        <v>11</v>
      </c>
      <c r="U410" s="10" t="str">
        <f t="shared" ca="1" si="14"/>
        <v/>
      </c>
      <c r="V410" s="10" t="str">
        <f t="shared" ca="1" si="15"/>
        <v/>
      </c>
    </row>
    <row r="411" spans="1:31" ht="29" hidden="1">
      <c r="A411" s="2" t="s">
        <v>495</v>
      </c>
      <c r="B411" s="2"/>
      <c r="C411" s="2"/>
      <c r="D411" s="2" t="s">
        <v>1796</v>
      </c>
      <c r="E411" s="3" t="s">
        <v>1797</v>
      </c>
      <c r="F411" t="s">
        <v>16</v>
      </c>
      <c r="U411" s="10" t="str">
        <f t="shared" ca="1" si="14"/>
        <v/>
      </c>
      <c r="V411" s="10" t="str">
        <f t="shared" ca="1" si="15"/>
        <v/>
      </c>
    </row>
    <row r="412" spans="1:31" ht="29" hidden="1">
      <c r="A412" s="2" t="s">
        <v>495</v>
      </c>
      <c r="B412" s="2"/>
      <c r="C412" s="2"/>
      <c r="D412" s="2" t="s">
        <v>1798</v>
      </c>
      <c r="E412" s="2" t="s">
        <v>1799</v>
      </c>
      <c r="F412" t="s">
        <v>11</v>
      </c>
      <c r="H412" t="s">
        <v>19</v>
      </c>
      <c r="U412" s="10" t="str">
        <f t="shared" ca="1" si="14"/>
        <v/>
      </c>
      <c r="V412" s="10" t="str">
        <f t="shared" ca="1" si="15"/>
        <v/>
      </c>
    </row>
    <row r="413" spans="1:31" hidden="1">
      <c r="A413" s="2" t="s">
        <v>496</v>
      </c>
      <c r="B413" s="2"/>
      <c r="C413" s="2"/>
      <c r="D413" s="3" t="s">
        <v>1801</v>
      </c>
      <c r="E413" s="2" t="s">
        <v>1800</v>
      </c>
      <c r="F413" t="s">
        <v>15</v>
      </c>
      <c r="U413" s="10" t="str">
        <f t="shared" ca="1" si="14"/>
        <v/>
      </c>
      <c r="V413" s="10" t="str">
        <f t="shared" ca="1" si="15"/>
        <v/>
      </c>
    </row>
    <row r="414" spans="1:31" hidden="1">
      <c r="A414" s="2" t="s">
        <v>497</v>
      </c>
      <c r="B414" s="2"/>
      <c r="C414" s="2"/>
      <c r="D414" s="3" t="s">
        <v>1802</v>
      </c>
      <c r="E414" s="2" t="s">
        <v>1803</v>
      </c>
      <c r="F414" t="s">
        <v>15</v>
      </c>
      <c r="U414" s="10" t="str">
        <f t="shared" ca="1" si="14"/>
        <v/>
      </c>
      <c r="V414" s="10" t="str">
        <f t="shared" ca="1" si="15"/>
        <v/>
      </c>
    </row>
    <row r="415" spans="1:31" hidden="1">
      <c r="A415" s="2" t="s">
        <v>497</v>
      </c>
      <c r="B415" s="2"/>
      <c r="C415" s="2"/>
      <c r="D415" s="2" t="s">
        <v>1804</v>
      </c>
      <c r="E415" s="2" t="s">
        <v>1805</v>
      </c>
      <c r="H415" t="s">
        <v>19</v>
      </c>
      <c r="J415" s="10" t="s">
        <v>2689</v>
      </c>
      <c r="T415" s="10">
        <f>0-99</f>
        <v>-99</v>
      </c>
      <c r="U415" s="10">
        <f t="shared" ca="1" si="14"/>
        <v>99</v>
      </c>
      <c r="V415" s="10">
        <f t="shared" ca="1" si="15"/>
        <v>0</v>
      </c>
      <c r="AE415" s="10" t="s">
        <v>2651</v>
      </c>
    </row>
    <row r="416" spans="1:31" hidden="1">
      <c r="A416" s="2" t="s">
        <v>497</v>
      </c>
      <c r="B416" s="2"/>
      <c r="C416" s="2"/>
      <c r="D416" s="2" t="s">
        <v>1807</v>
      </c>
      <c r="E416" s="2" t="s">
        <v>1806</v>
      </c>
      <c r="J416" s="10" t="s">
        <v>2686</v>
      </c>
      <c r="T416" s="10" t="s">
        <v>2696</v>
      </c>
      <c r="U416" s="10" t="str">
        <f t="shared" ca="1" si="14"/>
        <v/>
      </c>
      <c r="V416" s="10" t="str">
        <f t="shared" ca="1" si="15"/>
        <v/>
      </c>
      <c r="AE416" s="10" t="s">
        <v>2645</v>
      </c>
    </row>
    <row r="417" spans="1:31" hidden="1">
      <c r="A417" s="2" t="s">
        <v>498</v>
      </c>
      <c r="B417" s="2"/>
      <c r="C417" s="2"/>
      <c r="D417" s="2" t="s">
        <v>1808</v>
      </c>
      <c r="E417" s="2" t="s">
        <v>1809</v>
      </c>
      <c r="J417" s="10" t="s">
        <v>2686</v>
      </c>
      <c r="T417" s="10" t="s">
        <v>2696</v>
      </c>
      <c r="U417" s="10" t="str">
        <f t="shared" ca="1" si="14"/>
        <v/>
      </c>
      <c r="V417" s="10" t="str">
        <f t="shared" ca="1" si="15"/>
        <v/>
      </c>
      <c r="AE417" s="10" t="s">
        <v>2654</v>
      </c>
    </row>
    <row r="418" spans="1:31" hidden="1">
      <c r="A418" s="2" t="s">
        <v>499</v>
      </c>
      <c r="B418" s="2"/>
      <c r="C418" s="2"/>
      <c r="D418" s="2" t="s">
        <v>1811</v>
      </c>
      <c r="E418" s="2" t="s">
        <v>1810</v>
      </c>
      <c r="J418" s="10" t="s">
        <v>25</v>
      </c>
      <c r="L418" s="10">
        <v>1</v>
      </c>
      <c r="M418" s="10">
        <v>3</v>
      </c>
      <c r="N418" s="10" t="s">
        <v>2646</v>
      </c>
      <c r="O418" s="10" t="s">
        <v>2647</v>
      </c>
      <c r="S418" s="10">
        <v>2475</v>
      </c>
      <c r="U418" s="10" t="str">
        <f t="shared" ca="1" si="14"/>
        <v/>
      </c>
      <c r="V418" s="10" t="str">
        <f t="shared" ca="1" si="15"/>
        <v/>
      </c>
    </row>
    <row r="419" spans="1:31" hidden="1">
      <c r="A419" s="2" t="s">
        <v>499</v>
      </c>
      <c r="B419" s="2"/>
      <c r="C419" s="2"/>
      <c r="D419" s="13" t="s">
        <v>1812</v>
      </c>
      <c r="E419" t="s">
        <v>1813</v>
      </c>
      <c r="H419" t="s">
        <v>19</v>
      </c>
      <c r="J419" s="10" t="s">
        <v>2686</v>
      </c>
      <c r="T419" s="10" t="s">
        <v>2696</v>
      </c>
      <c r="U419" s="10" t="str">
        <f t="shared" ca="1" si="14"/>
        <v/>
      </c>
      <c r="V419" s="10" t="str">
        <f t="shared" ca="1" si="15"/>
        <v/>
      </c>
      <c r="AE419" s="10" t="s">
        <v>2645</v>
      </c>
    </row>
    <row r="420" spans="1:31" ht="29" hidden="1">
      <c r="A420" s="2" t="s">
        <v>500</v>
      </c>
      <c r="B420" s="2"/>
      <c r="C420" s="2"/>
      <c r="D420" s="2" t="s">
        <v>1814</v>
      </c>
      <c r="E420" s="2" t="s">
        <v>1815</v>
      </c>
      <c r="H420" t="s">
        <v>19</v>
      </c>
      <c r="J420" s="10" t="s">
        <v>2686</v>
      </c>
      <c r="T420" s="10" t="s">
        <v>2696</v>
      </c>
      <c r="U420" s="10" t="str">
        <f t="shared" ca="1" si="14"/>
        <v/>
      </c>
      <c r="V420" s="10" t="str">
        <f t="shared" ca="1" si="15"/>
        <v/>
      </c>
      <c r="AE420" s="10" t="s">
        <v>2645</v>
      </c>
    </row>
    <row r="421" spans="1:31" ht="29" hidden="1">
      <c r="A421" s="2" t="s">
        <v>500</v>
      </c>
      <c r="B421" s="2"/>
      <c r="C421" s="2"/>
      <c r="D421" s="2" t="s">
        <v>1817</v>
      </c>
      <c r="E421" s="2" t="s">
        <v>1816</v>
      </c>
      <c r="J421" s="10" t="s">
        <v>2686</v>
      </c>
      <c r="T421" s="10">
        <f>2-2</f>
        <v>0</v>
      </c>
      <c r="U421" s="10">
        <f t="shared" ca="1" si="14"/>
        <v>2</v>
      </c>
      <c r="V421" s="10">
        <f t="shared" ca="1" si="15"/>
        <v>2</v>
      </c>
    </row>
    <row r="422" spans="1:31" ht="29" hidden="1">
      <c r="A422" s="2" t="s">
        <v>500</v>
      </c>
      <c r="B422" s="2"/>
      <c r="C422" s="2"/>
      <c r="D422" s="2" t="s">
        <v>1818</v>
      </c>
      <c r="E422" s="2" t="s">
        <v>1819</v>
      </c>
      <c r="H422" t="s">
        <v>19</v>
      </c>
      <c r="J422" s="10" t="s">
        <v>2686</v>
      </c>
      <c r="T422" s="10" t="s">
        <v>2696</v>
      </c>
      <c r="U422" s="10" t="str">
        <f t="shared" ca="1" si="14"/>
        <v/>
      </c>
      <c r="V422" s="10" t="str">
        <f t="shared" ca="1" si="15"/>
        <v/>
      </c>
      <c r="AC422" s="10" t="s">
        <v>2801</v>
      </c>
      <c r="AD422" s="10" t="s">
        <v>19</v>
      </c>
      <c r="AE422" s="10" t="s">
        <v>2645</v>
      </c>
    </row>
    <row r="423" spans="1:31" ht="29" hidden="1">
      <c r="A423" s="2" t="s">
        <v>500</v>
      </c>
      <c r="B423" s="2"/>
      <c r="C423" s="2"/>
      <c r="D423" s="2" t="s">
        <v>1821</v>
      </c>
      <c r="E423" s="2" t="s">
        <v>1820</v>
      </c>
      <c r="H423" t="s">
        <v>19</v>
      </c>
      <c r="J423" s="10" t="s">
        <v>2686</v>
      </c>
      <c r="T423" s="10" t="s">
        <v>2696</v>
      </c>
      <c r="U423" s="10" t="str">
        <f t="shared" ca="1" si="14"/>
        <v/>
      </c>
      <c r="V423" s="10" t="str">
        <f t="shared" ca="1" si="15"/>
        <v/>
      </c>
      <c r="AE423" s="10" t="s">
        <v>2645</v>
      </c>
    </row>
    <row r="424" spans="1:31" hidden="1">
      <c r="A424" s="2" t="s">
        <v>501</v>
      </c>
      <c r="B424" s="2"/>
      <c r="C424" s="2"/>
      <c r="D424" s="2" t="s">
        <v>503</v>
      </c>
      <c r="E424" s="2" t="s">
        <v>502</v>
      </c>
      <c r="H424" t="s">
        <v>19</v>
      </c>
      <c r="J424" s="10" t="s">
        <v>2688</v>
      </c>
      <c r="U424" s="10" t="str">
        <f t="shared" ca="1" si="14"/>
        <v/>
      </c>
      <c r="V424" s="10" t="str">
        <f t="shared" ca="1" si="15"/>
        <v/>
      </c>
      <c r="AE424" s="10" t="s">
        <v>2645</v>
      </c>
    </row>
    <row r="425" spans="1:31">
      <c r="A425" s="2" t="s">
        <v>501</v>
      </c>
      <c r="B425" s="2"/>
      <c r="C425" s="2"/>
      <c r="D425" s="3" t="s">
        <v>505</v>
      </c>
      <c r="E425" s="2" t="s">
        <v>504</v>
      </c>
      <c r="F425" t="s">
        <v>31</v>
      </c>
      <c r="H425" t="s">
        <v>19</v>
      </c>
      <c r="I425" t="s">
        <v>1822</v>
      </c>
      <c r="J425" s="10" t="s">
        <v>2686</v>
      </c>
      <c r="T425" s="10" t="s">
        <v>2696</v>
      </c>
      <c r="U425" s="10" t="str">
        <f t="shared" ca="1" si="14"/>
        <v/>
      </c>
      <c r="V425" s="10" t="str">
        <f t="shared" ca="1" si="15"/>
        <v/>
      </c>
      <c r="AB425" s="10" t="s">
        <v>2692</v>
      </c>
      <c r="AD425" s="10" t="s">
        <v>19</v>
      </c>
    </row>
    <row r="426" spans="1:31" hidden="1">
      <c r="A426" s="2" t="s">
        <v>501</v>
      </c>
      <c r="B426" s="2"/>
      <c r="C426" s="2"/>
      <c r="D426" s="13" t="s">
        <v>1823</v>
      </c>
      <c r="E426" t="s">
        <v>1824</v>
      </c>
      <c r="H426" t="s">
        <v>19</v>
      </c>
      <c r="J426" s="10" t="s">
        <v>2686</v>
      </c>
      <c r="T426" s="10" t="s">
        <v>2696</v>
      </c>
      <c r="U426" s="10" t="str">
        <f t="shared" ca="1" si="14"/>
        <v/>
      </c>
      <c r="V426" s="10" t="str">
        <f t="shared" ca="1" si="15"/>
        <v/>
      </c>
      <c r="AE426" s="10" t="s">
        <v>2645</v>
      </c>
    </row>
    <row r="427" spans="1:31" hidden="1">
      <c r="A427" s="2" t="s">
        <v>506</v>
      </c>
      <c r="B427" s="2"/>
      <c r="C427" s="2"/>
      <c r="D427" s="2" t="s">
        <v>1825</v>
      </c>
      <c r="E427" s="2" t="s">
        <v>507</v>
      </c>
      <c r="H427" t="s">
        <v>19</v>
      </c>
      <c r="J427" s="10" t="s">
        <v>2688</v>
      </c>
      <c r="U427" s="10" t="str">
        <f t="shared" ca="1" si="14"/>
        <v/>
      </c>
      <c r="V427" s="10" t="str">
        <f t="shared" ca="1" si="15"/>
        <v/>
      </c>
      <c r="AE427" s="10" t="s">
        <v>2645</v>
      </c>
    </row>
    <row r="428" spans="1:31" hidden="1">
      <c r="A428" s="2" t="s">
        <v>508</v>
      </c>
      <c r="B428" s="2"/>
      <c r="C428" s="2"/>
      <c r="D428" s="2" t="s">
        <v>509</v>
      </c>
      <c r="E428" s="2" t="s">
        <v>224</v>
      </c>
      <c r="J428" s="10" t="s">
        <v>2688</v>
      </c>
      <c r="U428" s="10" t="str">
        <f t="shared" ca="1" si="14"/>
        <v/>
      </c>
      <c r="V428" s="10" t="str">
        <f t="shared" ca="1" si="15"/>
        <v/>
      </c>
    </row>
    <row r="429" spans="1:31" hidden="1">
      <c r="A429" s="2" t="s">
        <v>510</v>
      </c>
      <c r="B429" s="2"/>
      <c r="C429" s="2"/>
      <c r="D429" s="7" t="s">
        <v>1826</v>
      </c>
      <c r="E429" t="s">
        <v>1827</v>
      </c>
      <c r="F429" t="s">
        <v>15</v>
      </c>
      <c r="U429" s="10" t="str">
        <f t="shared" ca="1" si="14"/>
        <v/>
      </c>
      <c r="V429" s="10" t="str">
        <f t="shared" ca="1" si="15"/>
        <v/>
      </c>
    </row>
    <row r="430" spans="1:31" hidden="1">
      <c r="A430" s="2" t="s">
        <v>511</v>
      </c>
      <c r="B430" s="2"/>
      <c r="C430" s="2"/>
      <c r="D430" s="13" t="s">
        <v>1828</v>
      </c>
      <c r="E430" t="s">
        <v>1829</v>
      </c>
      <c r="J430" s="10" t="s">
        <v>2688</v>
      </c>
      <c r="U430" s="10" t="str">
        <f t="shared" ca="1" si="14"/>
        <v/>
      </c>
      <c r="V430" s="10" t="str">
        <f t="shared" ca="1" si="15"/>
        <v/>
      </c>
    </row>
    <row r="431" spans="1:31" hidden="1">
      <c r="A431" s="2" t="s">
        <v>512</v>
      </c>
      <c r="B431" s="2"/>
      <c r="C431" s="2"/>
      <c r="D431" s="2" t="s">
        <v>2728</v>
      </c>
      <c r="E431" s="2" t="s">
        <v>2729</v>
      </c>
      <c r="J431" s="10" t="s">
        <v>2688</v>
      </c>
      <c r="U431" s="10" t="str">
        <f t="shared" ca="1" si="14"/>
        <v/>
      </c>
      <c r="V431" s="10" t="str">
        <f t="shared" ca="1" si="15"/>
        <v/>
      </c>
    </row>
    <row r="432" spans="1:31" hidden="1">
      <c r="A432" s="2" t="s">
        <v>512</v>
      </c>
      <c r="B432" s="2"/>
      <c r="C432" s="2"/>
      <c r="D432" s="2" t="s">
        <v>2730</v>
      </c>
      <c r="E432" s="2" t="s">
        <v>1830</v>
      </c>
      <c r="J432" s="10" t="s">
        <v>25</v>
      </c>
      <c r="L432" s="10">
        <v>1</v>
      </c>
      <c r="M432" s="10">
        <v>2</v>
      </c>
      <c r="N432" s="10" t="s">
        <v>2646</v>
      </c>
      <c r="O432" s="10" t="s">
        <v>2687</v>
      </c>
      <c r="S432" s="10">
        <v>2475</v>
      </c>
      <c r="U432" s="10" t="str">
        <f t="shared" ca="1" si="14"/>
        <v/>
      </c>
      <c r="V432" s="10" t="str">
        <f t="shared" ca="1" si="15"/>
        <v/>
      </c>
    </row>
    <row r="433" spans="1:31" hidden="1">
      <c r="A433" s="2" t="s">
        <v>512</v>
      </c>
      <c r="B433" s="2"/>
      <c r="C433" s="2"/>
      <c r="D433" s="13" t="s">
        <v>1831</v>
      </c>
      <c r="E433" s="2" t="s">
        <v>513</v>
      </c>
      <c r="H433" t="s">
        <v>19</v>
      </c>
      <c r="J433" s="10" t="s">
        <v>2686</v>
      </c>
      <c r="T433" s="10" t="s">
        <v>2696</v>
      </c>
      <c r="U433" s="10" t="str">
        <f t="shared" ca="1" si="14"/>
        <v/>
      </c>
      <c r="V433" s="10" t="str">
        <f t="shared" ca="1" si="15"/>
        <v/>
      </c>
      <c r="AE433" s="10" t="s">
        <v>2654</v>
      </c>
    </row>
    <row r="434" spans="1:31" ht="29" hidden="1">
      <c r="A434" s="2" t="s">
        <v>514</v>
      </c>
      <c r="B434" s="2"/>
      <c r="C434" s="2"/>
      <c r="D434" s="2" t="s">
        <v>1832</v>
      </c>
      <c r="E434" s="2" t="s">
        <v>1833</v>
      </c>
      <c r="J434" s="10" t="s">
        <v>2686</v>
      </c>
      <c r="T434" s="10">
        <f>1701-2475</f>
        <v>-774</v>
      </c>
      <c r="U434" s="10">
        <f t="shared" ca="1" si="14"/>
        <v>2475</v>
      </c>
      <c r="V434" s="10">
        <f t="shared" ca="1" si="15"/>
        <v>1701</v>
      </c>
    </row>
    <row r="435" spans="1:31" hidden="1">
      <c r="A435" s="2" t="s">
        <v>514</v>
      </c>
      <c r="B435" s="2"/>
      <c r="C435" s="2"/>
      <c r="D435" s="13" t="s">
        <v>1834</v>
      </c>
      <c r="E435" t="s">
        <v>1835</v>
      </c>
      <c r="H435" t="s">
        <v>19</v>
      </c>
      <c r="J435" s="10" t="s">
        <v>2688</v>
      </c>
      <c r="U435" s="10" t="str">
        <f t="shared" ca="1" si="14"/>
        <v/>
      </c>
      <c r="V435" s="10" t="str">
        <f t="shared" ca="1" si="15"/>
        <v/>
      </c>
      <c r="AE435" s="10" t="s">
        <v>2651</v>
      </c>
    </row>
    <row r="436" spans="1:31" ht="29" hidden="1">
      <c r="A436" s="2" t="s">
        <v>515</v>
      </c>
      <c r="B436" s="2"/>
      <c r="C436" s="2"/>
      <c r="D436" s="2" t="s">
        <v>1836</v>
      </c>
      <c r="E436" s="2" t="s">
        <v>1837</v>
      </c>
      <c r="H436" t="s">
        <v>19</v>
      </c>
      <c r="J436" s="10" t="s">
        <v>24</v>
      </c>
      <c r="L436" s="10">
        <v>1</v>
      </c>
      <c r="M436" s="10">
        <v>2</v>
      </c>
      <c r="N436" s="10" t="s">
        <v>2646</v>
      </c>
      <c r="O436" s="10" t="s">
        <v>2687</v>
      </c>
      <c r="S436" s="10">
        <v>2475</v>
      </c>
      <c r="U436" s="10" t="str">
        <f t="shared" ca="1" si="14"/>
        <v/>
      </c>
      <c r="V436" s="10" t="str">
        <f t="shared" ca="1" si="15"/>
        <v/>
      </c>
    </row>
    <row r="437" spans="1:31" ht="29" hidden="1">
      <c r="A437" s="2" t="s">
        <v>515</v>
      </c>
      <c r="B437" s="2"/>
      <c r="C437" s="2"/>
      <c r="D437" s="2" t="s">
        <v>1839</v>
      </c>
      <c r="E437" s="2" t="s">
        <v>1838</v>
      </c>
      <c r="F437" t="s">
        <v>11</v>
      </c>
      <c r="U437" s="10" t="str">
        <f t="shared" ca="1" si="14"/>
        <v/>
      </c>
      <c r="V437" s="10" t="str">
        <f t="shared" ca="1" si="15"/>
        <v/>
      </c>
    </row>
    <row r="438" spans="1:31" hidden="1">
      <c r="A438" s="2" t="s">
        <v>516</v>
      </c>
      <c r="B438" s="2"/>
      <c r="C438" s="2"/>
      <c r="D438" s="2" t="s">
        <v>517</v>
      </c>
      <c r="E438" s="2" t="s">
        <v>1840</v>
      </c>
      <c r="J438" s="10" t="s">
        <v>2688</v>
      </c>
      <c r="U438" s="10" t="str">
        <f t="shared" ca="1" si="14"/>
        <v/>
      </c>
      <c r="V438" s="10" t="str">
        <f t="shared" ca="1" si="15"/>
        <v/>
      </c>
      <c r="AB438" s="10" t="s">
        <v>2797</v>
      </c>
      <c r="AD438" s="10" t="s">
        <v>19</v>
      </c>
    </row>
    <row r="439" spans="1:31" hidden="1">
      <c r="A439" s="2" t="s">
        <v>516</v>
      </c>
      <c r="B439" s="2"/>
      <c r="C439" s="2"/>
      <c r="D439" s="2" t="s">
        <v>519</v>
      </c>
      <c r="E439" s="2" t="s">
        <v>518</v>
      </c>
      <c r="J439" s="10" t="s">
        <v>2686</v>
      </c>
      <c r="T439" s="10" t="s">
        <v>2696</v>
      </c>
      <c r="U439" s="10" t="str">
        <f t="shared" ca="1" si="14"/>
        <v/>
      </c>
      <c r="V439" s="10" t="str">
        <f t="shared" ca="1" si="15"/>
        <v/>
      </c>
      <c r="AE439" s="10" t="s">
        <v>2645</v>
      </c>
    </row>
    <row r="440" spans="1:31" hidden="1">
      <c r="A440" s="2" t="s">
        <v>520</v>
      </c>
      <c r="B440" s="2"/>
      <c r="C440" s="2"/>
      <c r="D440" s="2" t="s">
        <v>1841</v>
      </c>
      <c r="E440" s="3" t="s">
        <v>1842</v>
      </c>
      <c r="F440" t="s">
        <v>16</v>
      </c>
      <c r="U440" s="10" t="str">
        <f t="shared" ca="1" si="14"/>
        <v/>
      </c>
      <c r="V440" s="10" t="str">
        <f t="shared" ca="1" si="15"/>
        <v/>
      </c>
    </row>
    <row r="441" spans="1:31" hidden="1">
      <c r="A441" s="2" t="s">
        <v>521</v>
      </c>
      <c r="B441" s="2"/>
      <c r="C441" s="2"/>
      <c r="D441" s="2" t="s">
        <v>523</v>
      </c>
      <c r="E441" s="2" t="s">
        <v>522</v>
      </c>
      <c r="H441" t="s">
        <v>19</v>
      </c>
      <c r="J441" s="10" t="s">
        <v>2686</v>
      </c>
      <c r="T441" s="10" t="s">
        <v>2696</v>
      </c>
      <c r="U441" s="10" t="str">
        <f t="shared" ca="1" si="14"/>
        <v/>
      </c>
      <c r="V441" s="10" t="str">
        <f t="shared" ca="1" si="15"/>
        <v/>
      </c>
      <c r="AE441" s="10" t="s">
        <v>2645</v>
      </c>
    </row>
    <row r="442" spans="1:31" hidden="1">
      <c r="A442" s="2" t="s">
        <v>521</v>
      </c>
      <c r="B442" s="2"/>
      <c r="C442" s="2"/>
      <c r="D442" s="2" t="s">
        <v>1843</v>
      </c>
      <c r="E442" s="2" t="s">
        <v>1844</v>
      </c>
      <c r="H442" t="s">
        <v>19</v>
      </c>
      <c r="J442" s="10" t="s">
        <v>2686</v>
      </c>
      <c r="T442" s="10" t="s">
        <v>2696</v>
      </c>
      <c r="U442" s="10" t="str">
        <f t="shared" ca="1" si="14"/>
        <v/>
      </c>
      <c r="V442" s="10" t="str">
        <f t="shared" ca="1" si="15"/>
        <v/>
      </c>
      <c r="AE442" s="10" t="s">
        <v>2645</v>
      </c>
    </row>
    <row r="443" spans="1:31" ht="58" hidden="1">
      <c r="A443" s="2" t="s">
        <v>524</v>
      </c>
      <c r="B443" s="2"/>
      <c r="C443" s="2"/>
      <c r="D443" s="2" t="s">
        <v>1845</v>
      </c>
      <c r="E443" s="2" t="s">
        <v>1846</v>
      </c>
      <c r="H443" t="s">
        <v>19</v>
      </c>
      <c r="J443" s="10" t="s">
        <v>2686</v>
      </c>
      <c r="T443" s="10" t="s">
        <v>2696</v>
      </c>
      <c r="U443" s="10" t="str">
        <f t="shared" ca="1" si="14"/>
        <v/>
      </c>
      <c r="V443" s="10" t="str">
        <f t="shared" ca="1" si="15"/>
        <v/>
      </c>
      <c r="AE443" s="10" t="s">
        <v>2645</v>
      </c>
    </row>
    <row r="444" spans="1:31" ht="58" hidden="1">
      <c r="A444" s="2" t="s">
        <v>524</v>
      </c>
      <c r="B444" s="2"/>
      <c r="C444" s="2"/>
      <c r="D444" s="2" t="s">
        <v>1847</v>
      </c>
      <c r="E444" s="2" t="s">
        <v>1848</v>
      </c>
      <c r="H444" t="s">
        <v>19</v>
      </c>
      <c r="J444" s="10" t="s">
        <v>2689</v>
      </c>
      <c r="T444" s="10">
        <f>23-18</f>
        <v>5</v>
      </c>
      <c r="U444" s="10">
        <f t="shared" ca="1" si="14"/>
        <v>18</v>
      </c>
      <c r="V444" s="10">
        <f t="shared" ca="1" si="15"/>
        <v>23</v>
      </c>
      <c r="AE444" s="10" t="s">
        <v>2651</v>
      </c>
    </row>
    <row r="445" spans="1:31" ht="58" hidden="1">
      <c r="A445" s="2" t="s">
        <v>524</v>
      </c>
      <c r="B445" s="2"/>
      <c r="C445" s="2"/>
      <c r="D445" s="2" t="s">
        <v>1849</v>
      </c>
      <c r="E445" s="2" t="s">
        <v>1850</v>
      </c>
      <c r="H445" t="s">
        <v>19</v>
      </c>
      <c r="J445" s="10" t="s">
        <v>2686</v>
      </c>
      <c r="T445" s="10" t="s">
        <v>2696</v>
      </c>
      <c r="U445" s="10" t="str">
        <f t="shared" ref="U445:U508" ca="1" si="16">IF(ISNUMBER(T445),VALUE(MID(_xlfn.FORMULATEXT(T445),SEARCH("-",_xlfn.FORMULATEXT(T445))+1,LEN(_xlfn.FORMULATEXT(T445))-SEARCH("-",_xlfn.FORMULATEXT(T445)))), "")</f>
        <v/>
      </c>
      <c r="V445" s="10" t="str">
        <f t="shared" ref="V445:V508" ca="1" si="17">IF(ISNUMBER(T445), VALUE(MID(_xlfn.FORMULATEXT(T445), 2, SEARCH("-", _xlfn.FORMULATEXT(T445)) - 2)), "")</f>
        <v/>
      </c>
      <c r="AE445" s="10" t="s">
        <v>2645</v>
      </c>
    </row>
    <row r="446" spans="1:31" ht="58" hidden="1">
      <c r="A446" s="2" t="s">
        <v>524</v>
      </c>
      <c r="B446" s="2"/>
      <c r="C446" s="2"/>
      <c r="D446" s="2" t="s">
        <v>1851</v>
      </c>
      <c r="E446" s="2" t="s">
        <v>1852</v>
      </c>
      <c r="J446" s="10" t="s">
        <v>2689</v>
      </c>
      <c r="T446" s="10" t="s">
        <v>2696</v>
      </c>
      <c r="U446" s="10" t="str">
        <f t="shared" ca="1" si="16"/>
        <v/>
      </c>
      <c r="V446" s="10" t="str">
        <f t="shared" ca="1" si="17"/>
        <v/>
      </c>
      <c r="AE446" s="10" t="s">
        <v>2645</v>
      </c>
    </row>
    <row r="447" spans="1:31" hidden="1">
      <c r="A447" s="2" t="s">
        <v>525</v>
      </c>
      <c r="B447" s="2"/>
      <c r="C447" s="2"/>
      <c r="D447" s="2" t="s">
        <v>1853</v>
      </c>
      <c r="E447" s="2" t="s">
        <v>526</v>
      </c>
      <c r="H447" t="s">
        <v>19</v>
      </c>
      <c r="J447" s="10" t="s">
        <v>2688</v>
      </c>
      <c r="U447" s="10" t="str">
        <f t="shared" ca="1" si="16"/>
        <v/>
      </c>
      <c r="V447" s="10" t="str">
        <f t="shared" ca="1" si="17"/>
        <v/>
      </c>
    </row>
    <row r="448" spans="1:31" hidden="1">
      <c r="A448" s="2" t="s">
        <v>527</v>
      </c>
      <c r="B448" s="2"/>
      <c r="C448" s="2"/>
      <c r="D448" s="2" t="s">
        <v>529</v>
      </c>
      <c r="E448" s="2" t="s">
        <v>528</v>
      </c>
      <c r="J448" s="10" t="s">
        <v>2688</v>
      </c>
      <c r="U448" s="10" t="str">
        <f t="shared" ca="1" si="16"/>
        <v/>
      </c>
      <c r="V448" s="10" t="str">
        <f t="shared" ca="1" si="17"/>
        <v/>
      </c>
      <c r="AC448" s="10" t="s">
        <v>2709</v>
      </c>
      <c r="AD448" s="10" t="s">
        <v>19</v>
      </c>
    </row>
    <row r="449" spans="1:31" hidden="1">
      <c r="A449" s="2" t="s">
        <v>527</v>
      </c>
      <c r="B449" s="2"/>
      <c r="C449" s="2"/>
      <c r="D449" s="3" t="s">
        <v>531</v>
      </c>
      <c r="E449" s="2" t="s">
        <v>530</v>
      </c>
      <c r="F449" t="s">
        <v>15</v>
      </c>
      <c r="U449" s="10" t="str">
        <f t="shared" ca="1" si="16"/>
        <v/>
      </c>
      <c r="V449" s="10" t="str">
        <f t="shared" ca="1" si="17"/>
        <v/>
      </c>
    </row>
    <row r="450" spans="1:31" hidden="1">
      <c r="A450" s="2" t="s">
        <v>527</v>
      </c>
      <c r="B450" s="2"/>
      <c r="C450" s="2"/>
      <c r="D450" s="13" t="s">
        <v>1854</v>
      </c>
      <c r="E450" s="2" t="s">
        <v>532</v>
      </c>
      <c r="H450" t="s">
        <v>19</v>
      </c>
      <c r="J450" s="10" t="s">
        <v>2688</v>
      </c>
      <c r="U450" s="10" t="str">
        <f t="shared" ca="1" si="16"/>
        <v/>
      </c>
      <c r="V450" s="10" t="str">
        <f t="shared" ca="1" si="17"/>
        <v/>
      </c>
      <c r="AE450" s="10" t="s">
        <v>2645</v>
      </c>
    </row>
    <row r="451" spans="1:31" hidden="1">
      <c r="A451" s="2" t="s">
        <v>533</v>
      </c>
      <c r="B451" s="2"/>
      <c r="C451" s="2"/>
      <c r="D451" s="2" t="s">
        <v>1855</v>
      </c>
      <c r="E451" s="2" t="s">
        <v>1856</v>
      </c>
      <c r="J451" s="10" t="s">
        <v>2689</v>
      </c>
      <c r="T451" s="10">
        <f>108-14</f>
        <v>94</v>
      </c>
      <c r="U451" s="10">
        <f t="shared" ca="1" si="16"/>
        <v>14</v>
      </c>
      <c r="V451" s="10">
        <f t="shared" ca="1" si="17"/>
        <v>108</v>
      </c>
    </row>
    <row r="452" spans="1:31" hidden="1">
      <c r="A452" s="2" t="s">
        <v>533</v>
      </c>
      <c r="B452" s="2"/>
      <c r="C452" s="2"/>
      <c r="D452" s="2" t="s">
        <v>1857</v>
      </c>
      <c r="E452" s="2" t="s">
        <v>1858</v>
      </c>
      <c r="J452" s="10" t="s">
        <v>2688</v>
      </c>
      <c r="U452" s="10" t="str">
        <f t="shared" ca="1" si="16"/>
        <v/>
      </c>
      <c r="V452" s="10" t="str">
        <f t="shared" ca="1" si="17"/>
        <v/>
      </c>
      <c r="AC452" s="10" t="s">
        <v>2709</v>
      </c>
      <c r="AD452" s="10" t="s">
        <v>19</v>
      </c>
    </row>
    <row r="453" spans="1:31" ht="29" hidden="1">
      <c r="A453" s="2" t="s">
        <v>533</v>
      </c>
      <c r="B453" s="2"/>
      <c r="C453" s="2"/>
      <c r="D453" s="2" t="s">
        <v>2731</v>
      </c>
      <c r="E453" s="2" t="s">
        <v>2732</v>
      </c>
      <c r="H453" t="s">
        <v>19</v>
      </c>
      <c r="J453" s="10" t="s">
        <v>2688</v>
      </c>
      <c r="U453" s="10" t="str">
        <f t="shared" ca="1" si="16"/>
        <v/>
      </c>
      <c r="V453" s="10" t="str">
        <f t="shared" ca="1" si="17"/>
        <v/>
      </c>
      <c r="AE453" s="10" t="s">
        <v>2651</v>
      </c>
    </row>
    <row r="454" spans="1:31" hidden="1">
      <c r="A454" s="2" t="s">
        <v>534</v>
      </c>
      <c r="B454" s="2"/>
      <c r="C454" s="2"/>
      <c r="D454" s="13" t="s">
        <v>1379</v>
      </c>
      <c r="E454" s="2" t="s">
        <v>535</v>
      </c>
      <c r="H454" t="s">
        <v>19</v>
      </c>
      <c r="J454" s="10" t="s">
        <v>2688</v>
      </c>
      <c r="U454" s="10" t="str">
        <f t="shared" ca="1" si="16"/>
        <v/>
      </c>
      <c r="V454" s="10" t="str">
        <f t="shared" ca="1" si="17"/>
        <v/>
      </c>
      <c r="AE454" s="10" t="s">
        <v>2645</v>
      </c>
    </row>
    <row r="455" spans="1:31" hidden="1">
      <c r="A455" s="2" t="s">
        <v>534</v>
      </c>
      <c r="B455" s="2"/>
      <c r="C455" s="2"/>
      <c r="D455" s="7" t="s">
        <v>1860</v>
      </c>
      <c r="E455" t="s">
        <v>1859</v>
      </c>
      <c r="F455" t="s">
        <v>15</v>
      </c>
      <c r="U455" s="10" t="str">
        <f t="shared" ca="1" si="16"/>
        <v/>
      </c>
      <c r="V455" s="10" t="str">
        <f t="shared" ca="1" si="17"/>
        <v/>
      </c>
    </row>
    <row r="456" spans="1:31" hidden="1">
      <c r="A456" s="2" t="s">
        <v>534</v>
      </c>
      <c r="B456" s="2"/>
      <c r="C456" s="2"/>
      <c r="D456" s="13" t="s">
        <v>1861</v>
      </c>
      <c r="E456" s="2" t="s">
        <v>536</v>
      </c>
      <c r="H456" t="s">
        <v>19</v>
      </c>
      <c r="J456" s="10" t="s">
        <v>2686</v>
      </c>
      <c r="R456" s="10" t="s">
        <v>2642</v>
      </c>
      <c r="T456" s="10" t="s">
        <v>2696</v>
      </c>
      <c r="U456" s="10" t="str">
        <f t="shared" ca="1" si="16"/>
        <v/>
      </c>
      <c r="V456" s="10" t="str">
        <f t="shared" ca="1" si="17"/>
        <v/>
      </c>
      <c r="AE456" s="10" t="s">
        <v>2645</v>
      </c>
    </row>
    <row r="457" spans="1:31" hidden="1">
      <c r="A457" s="2" t="s">
        <v>534</v>
      </c>
      <c r="B457" s="2"/>
      <c r="C457" s="2"/>
      <c r="D457" s="2" t="s">
        <v>538</v>
      </c>
      <c r="E457" s="2" t="s">
        <v>537</v>
      </c>
      <c r="J457" s="10" t="s">
        <v>2686</v>
      </c>
      <c r="T457" s="10" t="s">
        <v>2696</v>
      </c>
      <c r="U457" s="10" t="str">
        <f t="shared" ca="1" si="16"/>
        <v/>
      </c>
      <c r="V457" s="10" t="str">
        <f t="shared" ca="1" si="17"/>
        <v/>
      </c>
      <c r="AE457" s="10" t="s">
        <v>2654</v>
      </c>
    </row>
    <row r="458" spans="1:31" hidden="1">
      <c r="A458" s="2" t="s">
        <v>534</v>
      </c>
      <c r="B458" s="2"/>
      <c r="C458" s="2"/>
      <c r="D458" s="2" t="s">
        <v>540</v>
      </c>
      <c r="E458" s="2" t="s">
        <v>539</v>
      </c>
      <c r="H458" t="s">
        <v>19</v>
      </c>
      <c r="J458" s="10" t="s">
        <v>2688</v>
      </c>
      <c r="U458" s="10" t="str">
        <f t="shared" ca="1" si="16"/>
        <v/>
      </c>
      <c r="V458" s="10" t="str">
        <f t="shared" ca="1" si="17"/>
        <v/>
      </c>
      <c r="AE458" s="10" t="s">
        <v>2645</v>
      </c>
    </row>
    <row r="459" spans="1:31" hidden="1">
      <c r="A459" s="2" t="s">
        <v>534</v>
      </c>
      <c r="B459" s="2"/>
      <c r="C459" s="2"/>
      <c r="D459" s="2" t="s">
        <v>542</v>
      </c>
      <c r="E459" s="2" t="s">
        <v>541</v>
      </c>
      <c r="F459" t="s">
        <v>11</v>
      </c>
      <c r="U459" s="10" t="str">
        <f t="shared" ca="1" si="16"/>
        <v/>
      </c>
      <c r="V459" s="10" t="str">
        <f t="shared" ca="1" si="17"/>
        <v/>
      </c>
    </row>
    <row r="460" spans="1:31" hidden="1">
      <c r="A460" s="2" t="s">
        <v>543</v>
      </c>
      <c r="B460" s="2"/>
      <c r="C460" s="2"/>
      <c r="D460" s="2" t="s">
        <v>1862</v>
      </c>
      <c r="E460" s="2" t="s">
        <v>1863</v>
      </c>
      <c r="F460" t="s">
        <v>13</v>
      </c>
      <c r="U460" s="10" t="str">
        <f t="shared" ca="1" si="16"/>
        <v/>
      </c>
      <c r="V460" s="10" t="str">
        <f t="shared" ca="1" si="17"/>
        <v/>
      </c>
    </row>
    <row r="461" spans="1:31" hidden="1">
      <c r="A461" s="2" t="s">
        <v>543</v>
      </c>
      <c r="B461" s="2"/>
      <c r="C461" s="2"/>
      <c r="D461" s="2" t="s">
        <v>2733</v>
      </c>
      <c r="E461" s="2" t="s">
        <v>2734</v>
      </c>
      <c r="J461" s="10" t="s">
        <v>2686</v>
      </c>
      <c r="T461" s="10">
        <f>2-1701</f>
        <v>-1699</v>
      </c>
      <c r="U461" s="10">
        <f t="shared" ca="1" si="16"/>
        <v>1701</v>
      </c>
      <c r="V461" s="10">
        <f t="shared" ca="1" si="17"/>
        <v>2</v>
      </c>
    </row>
    <row r="462" spans="1:31" hidden="1">
      <c r="A462" s="2" t="s">
        <v>543</v>
      </c>
      <c r="B462" s="2"/>
      <c r="C462" s="2"/>
      <c r="D462" s="2" t="s">
        <v>2735</v>
      </c>
      <c r="E462" s="2" t="s">
        <v>2736</v>
      </c>
      <c r="J462" s="10" t="s">
        <v>2686</v>
      </c>
      <c r="T462" s="10">
        <f>16-1</f>
        <v>15</v>
      </c>
      <c r="U462" s="10">
        <f t="shared" ca="1" si="16"/>
        <v>1</v>
      </c>
      <c r="V462" s="10">
        <f t="shared" ca="1" si="17"/>
        <v>16</v>
      </c>
    </row>
    <row r="463" spans="1:31" hidden="1">
      <c r="A463" s="2" t="s">
        <v>544</v>
      </c>
      <c r="B463" s="2"/>
      <c r="C463" s="2"/>
      <c r="D463" s="13" t="s">
        <v>1864</v>
      </c>
      <c r="E463" t="s">
        <v>1865</v>
      </c>
      <c r="H463" t="s">
        <v>19</v>
      </c>
      <c r="J463" s="10" t="s">
        <v>2688</v>
      </c>
      <c r="U463" s="10" t="str">
        <f t="shared" ca="1" si="16"/>
        <v/>
      </c>
      <c r="V463" s="10" t="str">
        <f t="shared" ca="1" si="17"/>
        <v/>
      </c>
    </row>
    <row r="464" spans="1:31" hidden="1">
      <c r="A464" s="2" t="s">
        <v>545</v>
      </c>
      <c r="B464" s="2"/>
      <c r="C464" s="2"/>
      <c r="D464" s="13" t="s">
        <v>1866</v>
      </c>
      <c r="E464" s="2" t="s">
        <v>1867</v>
      </c>
      <c r="H464" t="s">
        <v>19</v>
      </c>
      <c r="J464" s="10" t="s">
        <v>2686</v>
      </c>
      <c r="T464" s="10" t="s">
        <v>2696</v>
      </c>
      <c r="U464" s="10" t="str">
        <f t="shared" ca="1" si="16"/>
        <v/>
      </c>
      <c r="V464" s="10" t="str">
        <f t="shared" ca="1" si="17"/>
        <v/>
      </c>
      <c r="AE464" s="10" t="s">
        <v>2645</v>
      </c>
    </row>
    <row r="465" spans="1:31" hidden="1">
      <c r="A465" s="2" t="s">
        <v>546</v>
      </c>
      <c r="B465" s="2"/>
      <c r="C465" s="2"/>
      <c r="D465" s="2" t="s">
        <v>167</v>
      </c>
      <c r="E465" s="2" t="s">
        <v>547</v>
      </c>
      <c r="F465" t="s">
        <v>17</v>
      </c>
      <c r="H465" t="s">
        <v>19</v>
      </c>
      <c r="U465" s="10" t="str">
        <f t="shared" ca="1" si="16"/>
        <v/>
      </c>
      <c r="V465" s="10" t="str">
        <f t="shared" ca="1" si="17"/>
        <v/>
      </c>
    </row>
    <row r="466" spans="1:31" hidden="1">
      <c r="A466" s="2" t="s">
        <v>546</v>
      </c>
      <c r="B466" s="2"/>
      <c r="C466" s="2"/>
      <c r="D466" s="2" t="s">
        <v>548</v>
      </c>
      <c r="E466" s="2" t="s">
        <v>549</v>
      </c>
      <c r="J466" s="10" t="s">
        <v>2686</v>
      </c>
      <c r="T466" s="10" t="s">
        <v>2696</v>
      </c>
      <c r="U466" s="10" t="str">
        <f t="shared" ca="1" si="16"/>
        <v/>
      </c>
      <c r="V466" s="10" t="str">
        <f t="shared" ca="1" si="17"/>
        <v/>
      </c>
      <c r="AC466" s="10" t="s">
        <v>2699</v>
      </c>
      <c r="AD466" s="10" t="s">
        <v>19</v>
      </c>
      <c r="AE466" s="10" t="s">
        <v>2654</v>
      </c>
    </row>
    <row r="467" spans="1:31" hidden="1">
      <c r="A467" s="2" t="s">
        <v>550</v>
      </c>
      <c r="B467" s="2"/>
      <c r="C467" s="2"/>
      <c r="D467" s="2" t="s">
        <v>552</v>
      </c>
      <c r="E467" s="2" t="s">
        <v>551</v>
      </c>
      <c r="J467" s="10" t="s">
        <v>2686</v>
      </c>
      <c r="T467" s="10" t="s">
        <v>2696</v>
      </c>
      <c r="U467" s="10" t="str">
        <f t="shared" ca="1" si="16"/>
        <v/>
      </c>
      <c r="V467" s="10" t="str">
        <f t="shared" ca="1" si="17"/>
        <v/>
      </c>
      <c r="AE467" s="10" t="s">
        <v>2645</v>
      </c>
    </row>
    <row r="468" spans="1:31" hidden="1">
      <c r="A468" s="2" t="s">
        <v>553</v>
      </c>
      <c r="B468" s="2"/>
      <c r="C468" s="2"/>
      <c r="D468" s="2" t="s">
        <v>555</v>
      </c>
      <c r="E468" s="2" t="s">
        <v>554</v>
      </c>
      <c r="J468" s="10" t="s">
        <v>2688</v>
      </c>
      <c r="U468" s="10" t="str">
        <f t="shared" ca="1" si="16"/>
        <v/>
      </c>
      <c r="V468" s="10" t="str">
        <f t="shared" ca="1" si="17"/>
        <v/>
      </c>
    </row>
    <row r="469" spans="1:31" hidden="1">
      <c r="A469" s="2" t="s">
        <v>556</v>
      </c>
      <c r="B469" s="2"/>
      <c r="C469" s="2"/>
      <c r="D469" s="2" t="s">
        <v>558</v>
      </c>
      <c r="E469" s="2" t="s">
        <v>557</v>
      </c>
      <c r="H469" t="s">
        <v>19</v>
      </c>
      <c r="J469" s="10" t="s">
        <v>2686</v>
      </c>
      <c r="T469" s="10" t="s">
        <v>2696</v>
      </c>
      <c r="U469" s="10" t="str">
        <f t="shared" ca="1" si="16"/>
        <v/>
      </c>
      <c r="V469" s="10" t="str">
        <f t="shared" ca="1" si="17"/>
        <v/>
      </c>
      <c r="AE469" s="10" t="s">
        <v>2645</v>
      </c>
    </row>
    <row r="470" spans="1:31" hidden="1">
      <c r="A470" s="2" t="s">
        <v>556</v>
      </c>
      <c r="B470" s="2"/>
      <c r="C470" s="2"/>
      <c r="D470" s="2" t="s">
        <v>1868</v>
      </c>
      <c r="E470" s="2" t="s">
        <v>1869</v>
      </c>
      <c r="H470" t="s">
        <v>19</v>
      </c>
      <c r="J470" s="10" t="s">
        <v>2688</v>
      </c>
      <c r="U470" s="10" t="str">
        <f t="shared" ca="1" si="16"/>
        <v/>
      </c>
      <c r="V470" s="10" t="str">
        <f t="shared" ca="1" si="17"/>
        <v/>
      </c>
    </row>
    <row r="471" spans="1:31" ht="29" hidden="1">
      <c r="A471" s="2" t="s">
        <v>559</v>
      </c>
      <c r="B471" s="2"/>
      <c r="C471" s="2"/>
      <c r="D471" s="2" t="s">
        <v>1871</v>
      </c>
      <c r="E471" s="2" t="s">
        <v>1870</v>
      </c>
      <c r="G471" t="s">
        <v>19</v>
      </c>
      <c r="H471" t="s">
        <v>19</v>
      </c>
      <c r="J471" s="10" t="s">
        <v>2688</v>
      </c>
      <c r="U471" s="10" t="str">
        <f t="shared" ca="1" si="16"/>
        <v/>
      </c>
      <c r="V471" s="10" t="str">
        <f t="shared" ca="1" si="17"/>
        <v/>
      </c>
      <c r="AE471" s="10" t="s">
        <v>2651</v>
      </c>
    </row>
    <row r="472" spans="1:31" hidden="1">
      <c r="A472" s="2" t="s">
        <v>560</v>
      </c>
      <c r="B472" s="2"/>
      <c r="C472" s="2"/>
      <c r="D472" s="2" t="s">
        <v>1872</v>
      </c>
      <c r="E472" s="2" t="s">
        <v>561</v>
      </c>
      <c r="H472" t="s">
        <v>19</v>
      </c>
      <c r="J472" s="10" t="s">
        <v>2688</v>
      </c>
      <c r="U472" s="10" t="str">
        <f t="shared" ca="1" si="16"/>
        <v/>
      </c>
      <c r="V472" s="10" t="str">
        <f t="shared" ca="1" si="17"/>
        <v/>
      </c>
      <c r="AC472" s="10" t="s">
        <v>2701</v>
      </c>
      <c r="AD472" s="10" t="s">
        <v>19</v>
      </c>
      <c r="AE472" s="10" t="s">
        <v>2645</v>
      </c>
    </row>
    <row r="473" spans="1:31" hidden="1">
      <c r="A473" s="2" t="s">
        <v>560</v>
      </c>
      <c r="B473" s="2"/>
      <c r="C473" s="2"/>
      <c r="D473" s="13" t="s">
        <v>1873</v>
      </c>
      <c r="E473" s="2" t="s">
        <v>2737</v>
      </c>
      <c r="H473" t="s">
        <v>19</v>
      </c>
      <c r="J473" s="10" t="s">
        <v>2686</v>
      </c>
      <c r="T473" s="10">
        <f>17-12</f>
        <v>5</v>
      </c>
      <c r="U473" s="10">
        <f t="shared" ca="1" si="16"/>
        <v>12</v>
      </c>
      <c r="V473" s="10">
        <f t="shared" ca="1" si="17"/>
        <v>17</v>
      </c>
    </row>
    <row r="474" spans="1:31" hidden="1">
      <c r="A474" s="2" t="s">
        <v>560</v>
      </c>
      <c r="B474" s="2"/>
      <c r="C474" s="2"/>
      <c r="D474" s="2" t="s">
        <v>1874</v>
      </c>
      <c r="E474" s="2" t="s">
        <v>562</v>
      </c>
      <c r="H474" t="s">
        <v>19</v>
      </c>
      <c r="J474" s="10" t="s">
        <v>2686</v>
      </c>
      <c r="T474" s="10" t="s">
        <v>2696</v>
      </c>
      <c r="U474" s="10" t="str">
        <f t="shared" ca="1" si="16"/>
        <v/>
      </c>
      <c r="V474" s="10" t="str">
        <f t="shared" ca="1" si="17"/>
        <v/>
      </c>
      <c r="AE474" s="10" t="s">
        <v>2645</v>
      </c>
    </row>
    <row r="475" spans="1:31" hidden="1">
      <c r="A475" s="2" t="s">
        <v>563</v>
      </c>
      <c r="B475" s="2"/>
      <c r="C475" s="2"/>
      <c r="D475" s="13" t="s">
        <v>1875</v>
      </c>
      <c r="E475" t="s">
        <v>1876</v>
      </c>
      <c r="J475" s="10" t="s">
        <v>2688</v>
      </c>
      <c r="U475" s="10" t="str">
        <f t="shared" ca="1" si="16"/>
        <v/>
      </c>
      <c r="V475" s="10" t="str">
        <f t="shared" ca="1" si="17"/>
        <v/>
      </c>
      <c r="AE475" s="10" t="s">
        <v>2651</v>
      </c>
    </row>
    <row r="476" spans="1:31" hidden="1">
      <c r="A476" s="2" t="s">
        <v>564</v>
      </c>
      <c r="B476" s="2"/>
      <c r="C476" s="2"/>
      <c r="D476" s="2" t="s">
        <v>566</v>
      </c>
      <c r="E476" s="2" t="s">
        <v>565</v>
      </c>
      <c r="J476" s="10" t="s">
        <v>2686</v>
      </c>
      <c r="T476" s="10" t="s">
        <v>2696</v>
      </c>
      <c r="U476" s="10" t="str">
        <f t="shared" ca="1" si="16"/>
        <v/>
      </c>
      <c r="V476" s="10" t="str">
        <f t="shared" ca="1" si="17"/>
        <v/>
      </c>
      <c r="AE476" s="10" t="s">
        <v>2654</v>
      </c>
    </row>
    <row r="477" spans="1:31" hidden="1">
      <c r="A477" s="2" t="s">
        <v>567</v>
      </c>
      <c r="B477" s="2"/>
      <c r="C477" s="2"/>
      <c r="D477" s="13" t="s">
        <v>1877</v>
      </c>
      <c r="E477" s="2" t="s">
        <v>568</v>
      </c>
      <c r="H477" t="s">
        <v>19</v>
      </c>
      <c r="J477" s="10" t="s">
        <v>2686</v>
      </c>
      <c r="T477" s="10" t="s">
        <v>2696</v>
      </c>
      <c r="U477" s="10" t="str">
        <f t="shared" ca="1" si="16"/>
        <v/>
      </c>
      <c r="V477" s="10" t="str">
        <f t="shared" ca="1" si="17"/>
        <v/>
      </c>
      <c r="AE477" s="10" t="s">
        <v>2645</v>
      </c>
    </row>
    <row r="478" spans="1:31" hidden="1">
      <c r="A478" s="2" t="s">
        <v>569</v>
      </c>
      <c r="B478" s="2"/>
      <c r="C478" s="2"/>
      <c r="D478" s="2" t="s">
        <v>1879</v>
      </c>
      <c r="E478" s="2" t="s">
        <v>1878</v>
      </c>
      <c r="J478" s="10" t="s">
        <v>2686</v>
      </c>
      <c r="T478" s="10">
        <f>166-613</f>
        <v>-447</v>
      </c>
      <c r="U478" s="10">
        <f t="shared" ca="1" si="16"/>
        <v>613</v>
      </c>
      <c r="V478" s="10">
        <f t="shared" ca="1" si="17"/>
        <v>166</v>
      </c>
    </row>
    <row r="479" spans="1:31">
      <c r="A479" s="2" t="s">
        <v>570</v>
      </c>
      <c r="B479" s="2"/>
      <c r="C479" s="2"/>
      <c r="D479" s="2" t="s">
        <v>1880</v>
      </c>
      <c r="E479" s="2" t="s">
        <v>1881</v>
      </c>
      <c r="H479" t="s">
        <v>19</v>
      </c>
      <c r="J479" s="10" t="s">
        <v>2686</v>
      </c>
      <c r="T479" s="10" t="s">
        <v>2696</v>
      </c>
      <c r="U479" s="10" t="str">
        <f t="shared" ca="1" si="16"/>
        <v/>
      </c>
      <c r="V479" s="10" t="str">
        <f t="shared" ca="1" si="17"/>
        <v/>
      </c>
      <c r="AE479" s="10" t="s">
        <v>2645</v>
      </c>
    </row>
    <row r="480" spans="1:31" hidden="1">
      <c r="A480" s="2" t="s">
        <v>570</v>
      </c>
      <c r="B480" s="2"/>
      <c r="C480" s="2"/>
      <c r="D480" s="13" t="s">
        <v>1882</v>
      </c>
      <c r="E480" t="s">
        <v>1883</v>
      </c>
      <c r="J480" s="10" t="s">
        <v>2686</v>
      </c>
      <c r="T480" s="10">
        <f>17-63</f>
        <v>-46</v>
      </c>
      <c r="U480" s="10">
        <f t="shared" ca="1" si="16"/>
        <v>63</v>
      </c>
      <c r="V480" s="10">
        <f t="shared" ca="1" si="17"/>
        <v>17</v>
      </c>
    </row>
    <row r="481" spans="1:31" hidden="1">
      <c r="A481" s="2" t="s">
        <v>570</v>
      </c>
      <c r="B481" s="2"/>
      <c r="C481" s="2"/>
      <c r="D481" s="2" t="s">
        <v>1884</v>
      </c>
      <c r="E481" s="2" t="s">
        <v>1885</v>
      </c>
      <c r="H481" t="s">
        <v>19</v>
      </c>
      <c r="J481" s="10" t="s">
        <v>2688</v>
      </c>
      <c r="U481" s="10" t="str">
        <f t="shared" ca="1" si="16"/>
        <v/>
      </c>
      <c r="V481" s="10" t="str">
        <f t="shared" ca="1" si="17"/>
        <v/>
      </c>
    </row>
    <row r="482" spans="1:31" hidden="1">
      <c r="A482" s="2" t="s">
        <v>571</v>
      </c>
      <c r="B482" s="2"/>
      <c r="C482" s="2"/>
      <c r="D482" s="2" t="s">
        <v>1886</v>
      </c>
      <c r="E482" s="2" t="s">
        <v>1887</v>
      </c>
      <c r="H482" t="s">
        <v>19</v>
      </c>
      <c r="J482" s="10" t="s">
        <v>2688</v>
      </c>
      <c r="U482" s="10" t="str">
        <f t="shared" ca="1" si="16"/>
        <v/>
      </c>
      <c r="V482" s="10" t="str">
        <f t="shared" ca="1" si="17"/>
        <v/>
      </c>
      <c r="AC482" s="10" t="s">
        <v>2698</v>
      </c>
      <c r="AD482" s="10" t="s">
        <v>19</v>
      </c>
    </row>
    <row r="483" spans="1:31" hidden="1">
      <c r="A483" s="2" t="s">
        <v>572</v>
      </c>
      <c r="B483" s="2"/>
      <c r="C483" s="2"/>
      <c r="D483" s="2" t="s">
        <v>574</v>
      </c>
      <c r="E483" s="2" t="s">
        <v>573</v>
      </c>
      <c r="F483" t="s">
        <v>11</v>
      </c>
      <c r="U483" s="10" t="str">
        <f t="shared" ca="1" si="16"/>
        <v/>
      </c>
      <c r="V483" s="10" t="str">
        <f t="shared" ca="1" si="17"/>
        <v/>
      </c>
    </row>
    <row r="484" spans="1:31" ht="29" hidden="1">
      <c r="A484" s="2" t="s">
        <v>572</v>
      </c>
      <c r="B484" s="2"/>
      <c r="C484" s="2"/>
      <c r="D484" s="2" t="s">
        <v>1888</v>
      </c>
      <c r="E484" s="2" t="s">
        <v>1889</v>
      </c>
      <c r="J484" s="10" t="s">
        <v>2688</v>
      </c>
      <c r="U484" s="10" t="str">
        <f t="shared" ca="1" si="16"/>
        <v/>
      </c>
      <c r="V484" s="10" t="str">
        <f t="shared" ca="1" si="17"/>
        <v/>
      </c>
    </row>
    <row r="485" spans="1:31" ht="29" hidden="1">
      <c r="A485" s="2" t="s">
        <v>572</v>
      </c>
      <c r="B485" s="2"/>
      <c r="C485" s="2"/>
      <c r="D485" s="2" t="s">
        <v>1890</v>
      </c>
      <c r="E485" s="2" t="s">
        <v>1891</v>
      </c>
      <c r="H485" t="s">
        <v>19</v>
      </c>
      <c r="J485" s="10" t="s">
        <v>2686</v>
      </c>
      <c r="T485" s="10" t="s">
        <v>2696</v>
      </c>
      <c r="U485" s="10" t="str">
        <f t="shared" ca="1" si="16"/>
        <v/>
      </c>
      <c r="V485" s="10" t="str">
        <f t="shared" ca="1" si="17"/>
        <v/>
      </c>
      <c r="AE485" s="10" t="s">
        <v>2645</v>
      </c>
    </row>
    <row r="486" spans="1:31" hidden="1">
      <c r="A486" s="2" t="s">
        <v>575</v>
      </c>
      <c r="B486" s="2"/>
      <c r="C486" s="2"/>
      <c r="D486" s="2" t="s">
        <v>1892</v>
      </c>
      <c r="E486" s="2" t="s">
        <v>1893</v>
      </c>
      <c r="H486" t="s">
        <v>19</v>
      </c>
      <c r="J486" s="10" t="s">
        <v>2688</v>
      </c>
      <c r="U486" s="10" t="str">
        <f t="shared" ca="1" si="16"/>
        <v/>
      </c>
      <c r="V486" s="10" t="str">
        <f t="shared" ca="1" si="17"/>
        <v/>
      </c>
      <c r="AE486" s="10" t="s">
        <v>2651</v>
      </c>
    </row>
    <row r="487" spans="1:31" hidden="1">
      <c r="A487" s="2" t="s">
        <v>575</v>
      </c>
      <c r="B487" s="2"/>
      <c r="C487" s="2"/>
      <c r="D487" s="2" t="s">
        <v>1894</v>
      </c>
      <c r="E487" s="2" t="s">
        <v>576</v>
      </c>
      <c r="H487" t="s">
        <v>19</v>
      </c>
      <c r="J487" s="10" t="s">
        <v>2688</v>
      </c>
      <c r="U487" s="10" t="str">
        <f t="shared" ca="1" si="16"/>
        <v/>
      </c>
      <c r="V487" s="10" t="str">
        <f t="shared" ca="1" si="17"/>
        <v/>
      </c>
    </row>
    <row r="488" spans="1:31" hidden="1">
      <c r="A488" s="2" t="s">
        <v>577</v>
      </c>
      <c r="B488" s="2"/>
      <c r="C488" s="2"/>
      <c r="D488" s="2" t="s">
        <v>1895</v>
      </c>
      <c r="E488" s="2" t="s">
        <v>578</v>
      </c>
      <c r="H488" t="s">
        <v>19</v>
      </c>
      <c r="J488" s="10" t="s">
        <v>2686</v>
      </c>
      <c r="T488" s="10" t="s">
        <v>2696</v>
      </c>
      <c r="U488" s="10" t="str">
        <f t="shared" ca="1" si="16"/>
        <v/>
      </c>
      <c r="V488" s="10" t="str">
        <f t="shared" ca="1" si="17"/>
        <v/>
      </c>
      <c r="AE488" s="10" t="s">
        <v>2645</v>
      </c>
    </row>
    <row r="489" spans="1:31" hidden="1">
      <c r="A489" s="2" t="s">
        <v>577</v>
      </c>
      <c r="B489" s="2"/>
      <c r="C489" s="2"/>
      <c r="D489" s="13" t="s">
        <v>1896</v>
      </c>
      <c r="E489" s="2" t="s">
        <v>579</v>
      </c>
      <c r="H489" t="s">
        <v>19</v>
      </c>
      <c r="J489" s="10" t="s">
        <v>2686</v>
      </c>
      <c r="T489" s="10" t="s">
        <v>2696</v>
      </c>
      <c r="U489" s="10" t="str">
        <f t="shared" ca="1" si="16"/>
        <v/>
      </c>
      <c r="V489" s="10" t="str">
        <f t="shared" ca="1" si="17"/>
        <v/>
      </c>
      <c r="AE489" s="10" t="s">
        <v>2645</v>
      </c>
    </row>
    <row r="490" spans="1:31" hidden="1">
      <c r="A490" s="2" t="s">
        <v>580</v>
      </c>
      <c r="B490" s="2"/>
      <c r="C490" s="2"/>
      <c r="D490" s="2" t="s">
        <v>582</v>
      </c>
      <c r="E490" s="2" t="s">
        <v>581</v>
      </c>
      <c r="J490" s="10" t="s">
        <v>2686</v>
      </c>
      <c r="T490" s="10" t="s">
        <v>2696</v>
      </c>
      <c r="U490" s="10" t="str">
        <f t="shared" ca="1" si="16"/>
        <v/>
      </c>
      <c r="V490" s="10" t="str">
        <f t="shared" ca="1" si="17"/>
        <v/>
      </c>
      <c r="AC490" s="10" t="s">
        <v>2801</v>
      </c>
      <c r="AD490" s="10" t="s">
        <v>19</v>
      </c>
      <c r="AE490" s="10" t="s">
        <v>2645</v>
      </c>
    </row>
    <row r="491" spans="1:31" ht="29" hidden="1">
      <c r="A491" s="2" t="s">
        <v>583</v>
      </c>
      <c r="B491" s="2"/>
      <c r="C491" s="2"/>
      <c r="D491" s="2" t="s">
        <v>1897</v>
      </c>
      <c r="E491" s="2" t="s">
        <v>1898</v>
      </c>
      <c r="F491" t="s">
        <v>17</v>
      </c>
      <c r="H491" t="s">
        <v>19</v>
      </c>
      <c r="U491" s="10" t="str">
        <f t="shared" ca="1" si="16"/>
        <v/>
      </c>
      <c r="V491" s="10" t="str">
        <f t="shared" ca="1" si="17"/>
        <v/>
      </c>
    </row>
    <row r="492" spans="1:31" hidden="1">
      <c r="A492" s="2" t="s">
        <v>584</v>
      </c>
      <c r="B492" s="2"/>
      <c r="C492" s="2"/>
      <c r="D492" s="2" t="s">
        <v>1900</v>
      </c>
      <c r="E492" s="2" t="s">
        <v>1899</v>
      </c>
      <c r="H492" t="s">
        <v>19</v>
      </c>
      <c r="J492" s="10" t="s">
        <v>25</v>
      </c>
      <c r="L492" s="10">
        <v>1</v>
      </c>
      <c r="M492" s="10">
        <v>3</v>
      </c>
      <c r="N492" s="10" t="s">
        <v>2646</v>
      </c>
      <c r="O492" s="10" t="s">
        <v>2647</v>
      </c>
      <c r="S492" s="10">
        <v>2475</v>
      </c>
      <c r="U492" s="10" t="str">
        <f t="shared" ca="1" si="16"/>
        <v/>
      </c>
      <c r="V492" s="10" t="str">
        <f t="shared" ca="1" si="17"/>
        <v/>
      </c>
    </row>
    <row r="493" spans="1:31" hidden="1">
      <c r="A493" s="2" t="s">
        <v>584</v>
      </c>
      <c r="B493" s="2"/>
      <c r="C493" s="2"/>
      <c r="D493" s="2" t="s">
        <v>1902</v>
      </c>
      <c r="E493" s="2" t="s">
        <v>1901</v>
      </c>
      <c r="J493" s="10" t="s">
        <v>2686</v>
      </c>
      <c r="T493" s="10" t="s">
        <v>2696</v>
      </c>
      <c r="U493" s="10" t="str">
        <f t="shared" ca="1" si="16"/>
        <v/>
      </c>
      <c r="V493" s="10" t="str">
        <f t="shared" ca="1" si="17"/>
        <v/>
      </c>
      <c r="AC493" s="10" t="s">
        <v>2698</v>
      </c>
      <c r="AD493" s="10" t="s">
        <v>19</v>
      </c>
      <c r="AE493" s="10" t="s">
        <v>2645</v>
      </c>
    </row>
    <row r="494" spans="1:31" ht="29" hidden="1">
      <c r="A494" s="2" t="s">
        <v>585</v>
      </c>
      <c r="B494" s="2"/>
      <c r="C494" s="2"/>
      <c r="D494" s="2" t="s">
        <v>1905</v>
      </c>
      <c r="E494" s="2" t="s">
        <v>1904</v>
      </c>
      <c r="H494" t="s">
        <v>19</v>
      </c>
      <c r="J494" s="10" t="s">
        <v>25</v>
      </c>
      <c r="L494" s="10">
        <v>1</v>
      </c>
      <c r="M494" s="10">
        <v>3</v>
      </c>
      <c r="N494" s="10" t="s">
        <v>2662</v>
      </c>
      <c r="O494" s="10" t="s">
        <v>2647</v>
      </c>
      <c r="S494" s="10">
        <v>743</v>
      </c>
      <c r="U494" s="10" t="str">
        <f t="shared" ca="1" si="16"/>
        <v/>
      </c>
      <c r="V494" s="10" t="str">
        <f t="shared" ca="1" si="17"/>
        <v/>
      </c>
    </row>
    <row r="495" spans="1:31" ht="29" hidden="1">
      <c r="A495" s="2" t="s">
        <v>585</v>
      </c>
      <c r="B495" s="2"/>
      <c r="C495" s="2"/>
      <c r="D495" s="2" t="s">
        <v>1903</v>
      </c>
      <c r="E495" s="2" t="s">
        <v>1906</v>
      </c>
      <c r="H495" t="s">
        <v>19</v>
      </c>
      <c r="J495" s="10" t="s">
        <v>24</v>
      </c>
      <c r="L495" s="10">
        <v>1</v>
      </c>
      <c r="M495" s="10">
        <v>3</v>
      </c>
      <c r="N495" s="10" t="s">
        <v>2664</v>
      </c>
      <c r="O495" s="10" t="s">
        <v>2647</v>
      </c>
      <c r="S495" s="10">
        <v>112</v>
      </c>
      <c r="U495" s="10" t="str">
        <f t="shared" ca="1" si="16"/>
        <v/>
      </c>
      <c r="V495" s="10" t="str">
        <f t="shared" ca="1" si="17"/>
        <v/>
      </c>
    </row>
    <row r="496" spans="1:31" hidden="1">
      <c r="A496" s="2" t="s">
        <v>585</v>
      </c>
      <c r="B496" s="2"/>
      <c r="C496" s="2"/>
      <c r="D496" s="13" t="s">
        <v>1907</v>
      </c>
      <c r="E496" s="2" t="s">
        <v>586</v>
      </c>
      <c r="H496" t="s">
        <v>19</v>
      </c>
      <c r="J496" s="10" t="s">
        <v>2686</v>
      </c>
      <c r="R496" s="10" t="s">
        <v>2642</v>
      </c>
      <c r="T496" s="10" t="s">
        <v>2696</v>
      </c>
      <c r="U496" s="10" t="str">
        <f t="shared" ca="1" si="16"/>
        <v/>
      </c>
      <c r="V496" s="10" t="str">
        <f t="shared" ca="1" si="17"/>
        <v/>
      </c>
      <c r="AE496" s="10" t="s">
        <v>2645</v>
      </c>
    </row>
    <row r="497" spans="1:31" hidden="1">
      <c r="A497" s="2" t="s">
        <v>585</v>
      </c>
      <c r="B497" s="2"/>
      <c r="C497" s="2"/>
      <c r="D497" s="13" t="s">
        <v>839</v>
      </c>
      <c r="E497" s="2" t="s">
        <v>587</v>
      </c>
      <c r="H497" t="s">
        <v>19</v>
      </c>
      <c r="J497" s="10" t="s">
        <v>2686</v>
      </c>
      <c r="T497" s="10" t="s">
        <v>2696</v>
      </c>
      <c r="U497" s="10" t="str">
        <f t="shared" ca="1" si="16"/>
        <v/>
      </c>
      <c r="V497" s="10" t="str">
        <f t="shared" ca="1" si="17"/>
        <v/>
      </c>
      <c r="AE497" s="10" t="s">
        <v>2645</v>
      </c>
    </row>
    <row r="498" spans="1:31">
      <c r="A498" s="2" t="s">
        <v>588</v>
      </c>
      <c r="B498" s="2"/>
      <c r="C498" s="2"/>
      <c r="D498" s="2" t="s">
        <v>1909</v>
      </c>
      <c r="E498" s="2" t="s">
        <v>1908</v>
      </c>
      <c r="J498" s="10" t="s">
        <v>2688</v>
      </c>
      <c r="U498" s="10" t="str">
        <f t="shared" ca="1" si="16"/>
        <v/>
      </c>
      <c r="V498" s="10" t="str">
        <f t="shared" ca="1" si="17"/>
        <v/>
      </c>
      <c r="AE498" s="10" t="s">
        <v>2645</v>
      </c>
    </row>
    <row r="499" spans="1:31" hidden="1">
      <c r="A499" s="2" t="s">
        <v>588</v>
      </c>
      <c r="B499" s="2"/>
      <c r="C499" s="2"/>
      <c r="D499" s="2" t="s">
        <v>590</v>
      </c>
      <c r="E499" s="2" t="s">
        <v>589</v>
      </c>
      <c r="F499" t="s">
        <v>17</v>
      </c>
      <c r="H499" t="s">
        <v>19</v>
      </c>
      <c r="U499" s="10" t="str">
        <f t="shared" ca="1" si="16"/>
        <v/>
      </c>
      <c r="V499" s="10" t="str">
        <f t="shared" ca="1" si="17"/>
        <v/>
      </c>
    </row>
    <row r="500" spans="1:31" hidden="1">
      <c r="A500" s="2" t="s">
        <v>591</v>
      </c>
      <c r="B500" s="2"/>
      <c r="C500" s="2"/>
      <c r="D500" s="13" t="s">
        <v>1910</v>
      </c>
      <c r="E500" s="2" t="s">
        <v>592</v>
      </c>
      <c r="H500" t="s">
        <v>19</v>
      </c>
      <c r="J500" s="10" t="s">
        <v>2686</v>
      </c>
      <c r="T500" s="10">
        <f>0-2</f>
        <v>-2</v>
      </c>
      <c r="U500" s="10">
        <f t="shared" ca="1" si="16"/>
        <v>2</v>
      </c>
      <c r="V500" s="10">
        <f t="shared" ca="1" si="17"/>
        <v>0</v>
      </c>
      <c r="AE500" s="10" t="s">
        <v>2651</v>
      </c>
    </row>
    <row r="501" spans="1:31" hidden="1">
      <c r="A501" s="2" t="s">
        <v>593</v>
      </c>
      <c r="B501" s="2"/>
      <c r="C501" s="2"/>
      <c r="D501" s="2" t="s">
        <v>2781</v>
      </c>
      <c r="E501" s="2" t="s">
        <v>594</v>
      </c>
      <c r="J501" s="10" t="s">
        <v>2688</v>
      </c>
      <c r="U501" s="10" t="str">
        <f t="shared" ca="1" si="16"/>
        <v/>
      </c>
      <c r="V501" s="10" t="str">
        <f t="shared" ca="1" si="17"/>
        <v/>
      </c>
      <c r="AC501" s="10" t="s">
        <v>2699</v>
      </c>
      <c r="AD501" s="10" t="s">
        <v>19</v>
      </c>
    </row>
    <row r="502" spans="1:31" ht="29" hidden="1">
      <c r="A502" s="2" t="s">
        <v>593</v>
      </c>
      <c r="B502" s="2"/>
      <c r="C502" s="2"/>
      <c r="D502" s="2" t="s">
        <v>1911</v>
      </c>
      <c r="E502" s="2" t="s">
        <v>1912</v>
      </c>
      <c r="H502" t="s">
        <v>19</v>
      </c>
      <c r="J502" s="10" t="s">
        <v>2688</v>
      </c>
      <c r="U502" s="10" t="str">
        <f t="shared" ca="1" si="16"/>
        <v/>
      </c>
      <c r="V502" s="10" t="str">
        <f t="shared" ca="1" si="17"/>
        <v/>
      </c>
      <c r="AE502" s="10" t="s">
        <v>2651</v>
      </c>
    </row>
    <row r="503" spans="1:31" hidden="1">
      <c r="A503" s="2" t="s">
        <v>593</v>
      </c>
      <c r="B503" s="2"/>
      <c r="C503" s="2"/>
      <c r="D503" s="2" t="s">
        <v>1913</v>
      </c>
      <c r="E503" s="2" t="s">
        <v>1914</v>
      </c>
      <c r="H503" t="s">
        <v>19</v>
      </c>
      <c r="J503" s="10" t="s">
        <v>2688</v>
      </c>
      <c r="U503" s="10" t="str">
        <f t="shared" ca="1" si="16"/>
        <v/>
      </c>
      <c r="V503" s="10" t="str">
        <f t="shared" ca="1" si="17"/>
        <v/>
      </c>
      <c r="AE503" s="10" t="s">
        <v>2651</v>
      </c>
    </row>
    <row r="504" spans="1:31" hidden="1">
      <c r="A504" s="2" t="s">
        <v>593</v>
      </c>
      <c r="B504" s="2"/>
      <c r="C504" s="2"/>
      <c r="D504" s="2" t="s">
        <v>596</v>
      </c>
      <c r="E504" s="2" t="s">
        <v>595</v>
      </c>
      <c r="J504" s="10" t="s">
        <v>2688</v>
      </c>
      <c r="U504" s="10" t="str">
        <f t="shared" ca="1" si="16"/>
        <v/>
      </c>
      <c r="V504" s="10" t="str">
        <f t="shared" ca="1" si="17"/>
        <v/>
      </c>
    </row>
    <row r="505" spans="1:31" hidden="1">
      <c r="A505" s="2" t="s">
        <v>597</v>
      </c>
      <c r="B505" s="2"/>
      <c r="C505" s="2"/>
      <c r="D505" s="2" t="s">
        <v>1916</v>
      </c>
      <c r="E505" s="2" t="s">
        <v>1915</v>
      </c>
      <c r="H505" t="s">
        <v>19</v>
      </c>
      <c r="J505" s="10" t="s">
        <v>2686</v>
      </c>
      <c r="T505" s="10" t="s">
        <v>2696</v>
      </c>
      <c r="U505" s="10" t="str">
        <f t="shared" ca="1" si="16"/>
        <v/>
      </c>
      <c r="V505" s="10" t="str">
        <f t="shared" ca="1" si="17"/>
        <v/>
      </c>
      <c r="AE505" s="10" t="s">
        <v>2645</v>
      </c>
    </row>
    <row r="506" spans="1:31" hidden="1">
      <c r="A506" s="2" t="s">
        <v>597</v>
      </c>
      <c r="B506" s="2"/>
      <c r="C506" s="2"/>
      <c r="D506" s="7" t="s">
        <v>1917</v>
      </c>
      <c r="E506" t="s">
        <v>1918</v>
      </c>
      <c r="F506" t="s">
        <v>15</v>
      </c>
      <c r="U506" s="10" t="str">
        <f t="shared" ca="1" si="16"/>
        <v/>
      </c>
      <c r="V506" s="10" t="str">
        <f t="shared" ca="1" si="17"/>
        <v/>
      </c>
    </row>
    <row r="507" spans="1:31" ht="29" hidden="1">
      <c r="A507" s="2" t="s">
        <v>597</v>
      </c>
      <c r="B507" s="2"/>
      <c r="C507" s="2"/>
      <c r="D507" s="2" t="s">
        <v>1919</v>
      </c>
      <c r="E507" s="2" t="s">
        <v>1920</v>
      </c>
      <c r="J507" s="10" t="s">
        <v>2686</v>
      </c>
      <c r="T507" s="10">
        <f>1-14</f>
        <v>-13</v>
      </c>
      <c r="U507" s="10">
        <f t="shared" ca="1" si="16"/>
        <v>14</v>
      </c>
      <c r="V507" s="10">
        <f t="shared" ca="1" si="17"/>
        <v>1</v>
      </c>
    </row>
    <row r="508" spans="1:31" ht="29" hidden="1">
      <c r="A508" s="2" t="s">
        <v>597</v>
      </c>
      <c r="B508" s="2"/>
      <c r="C508" s="2"/>
      <c r="D508" s="2" t="s">
        <v>1921</v>
      </c>
      <c r="E508" s="2" t="s">
        <v>1922</v>
      </c>
      <c r="H508" t="s">
        <v>19</v>
      </c>
      <c r="J508" s="10" t="s">
        <v>2688</v>
      </c>
      <c r="U508" s="10" t="str">
        <f t="shared" ca="1" si="16"/>
        <v/>
      </c>
      <c r="V508" s="10" t="str">
        <f t="shared" ca="1" si="17"/>
        <v/>
      </c>
      <c r="AB508" s="10" t="s">
        <v>2798</v>
      </c>
      <c r="AD508" s="10" t="s">
        <v>19</v>
      </c>
    </row>
    <row r="509" spans="1:31" ht="29" hidden="1">
      <c r="A509" s="2" t="s">
        <v>597</v>
      </c>
      <c r="B509" s="2"/>
      <c r="C509" s="2"/>
      <c r="D509" s="2" t="s">
        <v>1924</v>
      </c>
      <c r="E509" s="2" t="s">
        <v>1923</v>
      </c>
      <c r="H509" t="s">
        <v>19</v>
      </c>
      <c r="J509" s="10" t="s">
        <v>2686</v>
      </c>
      <c r="T509" s="10" t="s">
        <v>2696</v>
      </c>
      <c r="U509" s="10" t="str">
        <f t="shared" ref="U509:U572" ca="1" si="18">IF(ISNUMBER(T509),VALUE(MID(_xlfn.FORMULATEXT(T509),SEARCH("-",_xlfn.FORMULATEXT(T509))+1,LEN(_xlfn.FORMULATEXT(T509))-SEARCH("-",_xlfn.FORMULATEXT(T509)))), "")</f>
        <v/>
      </c>
      <c r="V509" s="10" t="str">
        <f t="shared" ref="V509:V572" ca="1" si="19">IF(ISNUMBER(T509), VALUE(MID(_xlfn.FORMULATEXT(T509), 2, SEARCH("-", _xlfn.FORMULATEXT(T509)) - 2)), "")</f>
        <v/>
      </c>
      <c r="AC509" s="10" t="s">
        <v>2703</v>
      </c>
      <c r="AD509" s="10" t="s">
        <v>19</v>
      </c>
      <c r="AE509" s="10" t="s">
        <v>2645</v>
      </c>
    </row>
    <row r="510" spans="1:31" hidden="1">
      <c r="A510" s="2" t="s">
        <v>599</v>
      </c>
      <c r="B510" s="2"/>
      <c r="C510" s="2"/>
      <c r="D510" s="13" t="s">
        <v>1925</v>
      </c>
      <c r="E510" s="2" t="s">
        <v>600</v>
      </c>
      <c r="H510" t="s">
        <v>19</v>
      </c>
      <c r="J510" s="10" t="s">
        <v>2686</v>
      </c>
      <c r="T510" s="10" t="s">
        <v>2696</v>
      </c>
      <c r="U510" s="10" t="str">
        <f t="shared" ca="1" si="18"/>
        <v/>
      </c>
      <c r="V510" s="10" t="str">
        <f t="shared" ca="1" si="19"/>
        <v/>
      </c>
      <c r="AE510" s="10" t="s">
        <v>2645</v>
      </c>
    </row>
    <row r="511" spans="1:31" ht="29" hidden="1">
      <c r="A511" s="2" t="s">
        <v>601</v>
      </c>
      <c r="B511" s="2"/>
      <c r="C511" s="2"/>
      <c r="D511" s="13" t="s">
        <v>2782</v>
      </c>
      <c r="E511" s="2" t="s">
        <v>2783</v>
      </c>
      <c r="H511" t="s">
        <v>19</v>
      </c>
      <c r="J511" s="10" t="s">
        <v>2688</v>
      </c>
      <c r="U511" s="10" t="str">
        <f t="shared" ca="1" si="18"/>
        <v/>
      </c>
      <c r="V511" s="10" t="str">
        <f t="shared" ca="1" si="19"/>
        <v/>
      </c>
    </row>
    <row r="512" spans="1:31" hidden="1">
      <c r="A512" s="2" t="s">
        <v>601</v>
      </c>
      <c r="B512" s="2"/>
      <c r="C512" s="2"/>
      <c r="D512" s="2" t="s">
        <v>1926</v>
      </c>
      <c r="E512" s="2" t="s">
        <v>1927</v>
      </c>
      <c r="H512" t="s">
        <v>19</v>
      </c>
      <c r="J512" s="10" t="s">
        <v>24</v>
      </c>
      <c r="L512" s="10">
        <v>1</v>
      </c>
      <c r="M512" s="10">
        <v>4</v>
      </c>
      <c r="N512" s="10" t="s">
        <v>2660</v>
      </c>
      <c r="O512" s="10" t="s">
        <v>2647</v>
      </c>
      <c r="S512" s="10">
        <v>132</v>
      </c>
      <c r="U512" s="10" t="str">
        <f t="shared" ca="1" si="18"/>
        <v/>
      </c>
      <c r="V512" s="10" t="str">
        <f t="shared" ca="1" si="19"/>
        <v/>
      </c>
    </row>
    <row r="513" spans="1:32" hidden="1">
      <c r="A513" s="2" t="s">
        <v>602</v>
      </c>
      <c r="B513" s="2"/>
      <c r="C513" s="2"/>
      <c r="D513" s="2" t="s">
        <v>1928</v>
      </c>
      <c r="E513" s="2" t="s">
        <v>1929</v>
      </c>
      <c r="J513" s="10" t="s">
        <v>2688</v>
      </c>
      <c r="U513" s="10" t="str">
        <f t="shared" ca="1" si="18"/>
        <v/>
      </c>
      <c r="V513" s="10" t="str">
        <f t="shared" ca="1" si="19"/>
        <v/>
      </c>
    </row>
    <row r="514" spans="1:32" hidden="1">
      <c r="A514" s="2" t="s">
        <v>603</v>
      </c>
      <c r="B514" s="2"/>
      <c r="C514" s="2"/>
      <c r="D514" s="2" t="s">
        <v>605</v>
      </c>
      <c r="E514" s="2" t="s">
        <v>604</v>
      </c>
      <c r="F514" t="s">
        <v>11</v>
      </c>
      <c r="U514" s="10" t="str">
        <f t="shared" ca="1" si="18"/>
        <v/>
      </c>
      <c r="V514" s="10" t="str">
        <f t="shared" ca="1" si="19"/>
        <v/>
      </c>
    </row>
    <row r="515" spans="1:32" ht="43.5">
      <c r="A515" s="2" t="s">
        <v>603</v>
      </c>
      <c r="B515" s="2"/>
      <c r="C515" s="2"/>
      <c r="D515" s="13" t="s">
        <v>1930</v>
      </c>
      <c r="E515" s="2" t="s">
        <v>1931</v>
      </c>
      <c r="H515" t="s">
        <v>19</v>
      </c>
      <c r="I515" t="s">
        <v>2738</v>
      </c>
      <c r="J515" s="10" t="s">
        <v>24</v>
      </c>
      <c r="L515" s="10">
        <v>4</v>
      </c>
      <c r="M515" s="10">
        <v>19</v>
      </c>
      <c r="O515" s="10" t="s">
        <v>2647</v>
      </c>
      <c r="R515" s="10" t="s">
        <v>2648</v>
      </c>
      <c r="S515" s="10">
        <v>146</v>
      </c>
      <c r="U515" s="10" t="str">
        <f t="shared" ca="1" si="18"/>
        <v/>
      </c>
      <c r="V515" s="10" t="str">
        <f t="shared" ca="1" si="19"/>
        <v/>
      </c>
    </row>
    <row r="516" spans="1:32">
      <c r="A516" s="2" t="s">
        <v>606</v>
      </c>
      <c r="B516" s="2"/>
      <c r="C516" s="2"/>
      <c r="D516" s="8" t="s">
        <v>608</v>
      </c>
      <c r="E516" s="8" t="s">
        <v>607</v>
      </c>
      <c r="F516" s="4" t="s">
        <v>36</v>
      </c>
      <c r="G516" s="4"/>
      <c r="H516" s="4"/>
      <c r="I516" s="4" t="s">
        <v>2961</v>
      </c>
      <c r="J516" s="10" t="s">
        <v>2686</v>
      </c>
      <c r="T516" s="10" t="s">
        <v>2687</v>
      </c>
      <c r="U516" s="10" t="str">
        <f t="shared" ca="1" si="18"/>
        <v/>
      </c>
      <c r="V516" s="10" t="str">
        <f t="shared" ca="1" si="19"/>
        <v/>
      </c>
      <c r="AE516" s="10" t="s">
        <v>2654</v>
      </c>
      <c r="AF516" s="10" t="s">
        <v>19</v>
      </c>
    </row>
    <row r="517" spans="1:32" ht="29" hidden="1">
      <c r="A517" s="2" t="s">
        <v>609</v>
      </c>
      <c r="B517" s="2"/>
      <c r="C517" s="2"/>
      <c r="D517" s="2" t="s">
        <v>1932</v>
      </c>
      <c r="E517" s="2" t="s">
        <v>1933</v>
      </c>
      <c r="H517" t="s">
        <v>19</v>
      </c>
      <c r="J517" s="10" t="s">
        <v>2688</v>
      </c>
      <c r="U517" s="10" t="str">
        <f t="shared" ca="1" si="18"/>
        <v/>
      </c>
      <c r="V517" s="10" t="str">
        <f t="shared" ca="1" si="19"/>
        <v/>
      </c>
      <c r="AE517" s="10" t="s">
        <v>2645</v>
      </c>
    </row>
    <row r="518" spans="1:32" hidden="1">
      <c r="A518" s="2" t="s">
        <v>610</v>
      </c>
      <c r="B518" s="2"/>
      <c r="C518" s="2"/>
      <c r="D518" t="s">
        <v>1934</v>
      </c>
      <c r="E518" s="2" t="s">
        <v>611</v>
      </c>
      <c r="F518" t="s">
        <v>17</v>
      </c>
      <c r="H518" t="s">
        <v>19</v>
      </c>
      <c r="U518" s="10" t="str">
        <f t="shared" ca="1" si="18"/>
        <v/>
      </c>
      <c r="V518" s="10" t="str">
        <f t="shared" ca="1" si="19"/>
        <v/>
      </c>
    </row>
    <row r="519" spans="1:32" hidden="1">
      <c r="A519" s="2" t="s">
        <v>610</v>
      </c>
      <c r="B519" s="2"/>
      <c r="C519" s="2"/>
      <c r="D519" s="13" t="s">
        <v>1935</v>
      </c>
      <c r="E519" s="2" t="s">
        <v>612</v>
      </c>
      <c r="H519" t="s">
        <v>19</v>
      </c>
      <c r="J519" s="10" t="s">
        <v>2686</v>
      </c>
      <c r="T519" s="10" t="s">
        <v>2696</v>
      </c>
      <c r="U519" s="10" t="str">
        <f t="shared" ca="1" si="18"/>
        <v/>
      </c>
      <c r="V519" s="10" t="str">
        <f t="shared" ca="1" si="19"/>
        <v/>
      </c>
      <c r="AE519" s="10" t="s">
        <v>2645</v>
      </c>
    </row>
    <row r="520" spans="1:32" hidden="1">
      <c r="A520" s="2" t="s">
        <v>610</v>
      </c>
      <c r="B520" s="2"/>
      <c r="C520" s="2"/>
      <c r="D520" s="2" t="s">
        <v>614</v>
      </c>
      <c r="E520" s="2" t="s">
        <v>613</v>
      </c>
      <c r="G520" t="s">
        <v>19</v>
      </c>
      <c r="J520" s="10" t="s">
        <v>2686</v>
      </c>
      <c r="T520" s="10">
        <f>44-1</f>
        <v>43</v>
      </c>
      <c r="U520" s="10">
        <f t="shared" ca="1" si="18"/>
        <v>1</v>
      </c>
      <c r="V520" s="10">
        <f t="shared" ca="1" si="19"/>
        <v>44</v>
      </c>
    </row>
    <row r="521" spans="1:32">
      <c r="A521" s="2" t="s">
        <v>615</v>
      </c>
      <c r="B521" s="2"/>
      <c r="C521" s="2"/>
      <c r="D521" s="2" t="s">
        <v>617</v>
      </c>
      <c r="E521" s="2" t="s">
        <v>616</v>
      </c>
      <c r="I521" t="s">
        <v>2739</v>
      </c>
      <c r="J521" s="10" t="s">
        <v>2686</v>
      </c>
      <c r="T521" s="10">
        <f>0-5</f>
        <v>-5</v>
      </c>
      <c r="U521" s="10">
        <f t="shared" ca="1" si="18"/>
        <v>5</v>
      </c>
      <c r="V521" s="10">
        <f t="shared" ca="1" si="19"/>
        <v>0</v>
      </c>
      <c r="AC521" s="10" t="s">
        <v>2709</v>
      </c>
      <c r="AD521" s="10" t="s">
        <v>19</v>
      </c>
    </row>
    <row r="522" spans="1:32" hidden="1">
      <c r="A522" s="2" t="s">
        <v>618</v>
      </c>
      <c r="B522" s="2"/>
      <c r="C522" s="2"/>
      <c r="D522" s="2" t="s">
        <v>1936</v>
      </c>
      <c r="E522" s="2" t="s">
        <v>1937</v>
      </c>
      <c r="F522" t="s">
        <v>11</v>
      </c>
      <c r="U522" s="10" t="str">
        <f t="shared" ca="1" si="18"/>
        <v/>
      </c>
      <c r="V522" s="10" t="str">
        <f t="shared" ca="1" si="19"/>
        <v/>
      </c>
    </row>
    <row r="523" spans="1:32" hidden="1">
      <c r="A523" s="2" t="s">
        <v>619</v>
      </c>
      <c r="B523" s="2"/>
      <c r="C523" s="2"/>
      <c r="D523" s="13" t="s">
        <v>1938</v>
      </c>
      <c r="E523" t="s">
        <v>1939</v>
      </c>
      <c r="J523" s="10" t="s">
        <v>2686</v>
      </c>
      <c r="T523" s="10" t="s">
        <v>2687</v>
      </c>
      <c r="U523" s="10" t="str">
        <f t="shared" ca="1" si="18"/>
        <v/>
      </c>
      <c r="V523" s="10" t="str">
        <f t="shared" ca="1" si="19"/>
        <v/>
      </c>
      <c r="AB523" s="10" t="s">
        <v>2692</v>
      </c>
      <c r="AD523" s="10" t="s">
        <v>19</v>
      </c>
    </row>
    <row r="524" spans="1:32" hidden="1">
      <c r="A524" s="2" t="s">
        <v>619</v>
      </c>
      <c r="B524" s="2"/>
      <c r="C524" s="2"/>
      <c r="D524" s="2" t="s">
        <v>1940</v>
      </c>
      <c r="E524" s="2" t="s">
        <v>1941</v>
      </c>
      <c r="H524" t="s">
        <v>19</v>
      </c>
      <c r="J524" s="10" t="s">
        <v>2688</v>
      </c>
      <c r="U524" s="10" t="str">
        <f t="shared" ca="1" si="18"/>
        <v/>
      </c>
      <c r="V524" s="10" t="str">
        <f t="shared" ca="1" si="19"/>
        <v/>
      </c>
      <c r="AE524" s="10" t="s">
        <v>2651</v>
      </c>
    </row>
    <row r="525" spans="1:32" hidden="1">
      <c r="A525" s="2" t="s">
        <v>620</v>
      </c>
      <c r="B525" s="2"/>
      <c r="C525" s="2"/>
      <c r="D525" s="2" t="s">
        <v>621</v>
      </c>
      <c r="E525" s="3" t="s">
        <v>241</v>
      </c>
      <c r="F525" t="s">
        <v>16</v>
      </c>
      <c r="U525" s="10" t="str">
        <f t="shared" ca="1" si="18"/>
        <v/>
      </c>
      <c r="V525" s="10" t="str">
        <f t="shared" ca="1" si="19"/>
        <v/>
      </c>
    </row>
    <row r="526" spans="1:32" hidden="1">
      <c r="A526" s="2" t="s">
        <v>620</v>
      </c>
      <c r="B526" s="2"/>
      <c r="C526" s="2"/>
      <c r="D526" s="2" t="s">
        <v>1942</v>
      </c>
      <c r="E526" s="2" t="s">
        <v>1943</v>
      </c>
      <c r="J526" s="10" t="s">
        <v>2688</v>
      </c>
      <c r="U526" s="10" t="str">
        <f t="shared" ca="1" si="18"/>
        <v/>
      </c>
      <c r="V526" s="10" t="str">
        <f t="shared" ca="1" si="19"/>
        <v/>
      </c>
      <c r="AE526" s="10" t="s">
        <v>2645</v>
      </c>
    </row>
    <row r="527" spans="1:32" hidden="1">
      <c r="A527" s="2" t="s">
        <v>622</v>
      </c>
      <c r="B527" s="2"/>
      <c r="C527" s="2"/>
      <c r="D527" s="2" t="s">
        <v>1944</v>
      </c>
      <c r="E527" s="2" t="s">
        <v>2784</v>
      </c>
      <c r="J527" s="10" t="s">
        <v>2688</v>
      </c>
      <c r="U527" s="10" t="str">
        <f t="shared" ca="1" si="18"/>
        <v/>
      </c>
      <c r="V527" s="10" t="str">
        <f t="shared" ca="1" si="19"/>
        <v/>
      </c>
    </row>
    <row r="528" spans="1:32" hidden="1">
      <c r="A528" s="2" t="s">
        <v>622</v>
      </c>
      <c r="B528" s="2"/>
      <c r="C528" s="2"/>
      <c r="D528" s="3" t="s">
        <v>624</v>
      </c>
      <c r="E528" s="2" t="s">
        <v>623</v>
      </c>
      <c r="F528" t="s">
        <v>15</v>
      </c>
      <c r="U528" s="10" t="str">
        <f t="shared" ca="1" si="18"/>
        <v/>
      </c>
      <c r="V528" s="10" t="str">
        <f t="shared" ca="1" si="19"/>
        <v/>
      </c>
    </row>
    <row r="529" spans="1:31" hidden="1">
      <c r="A529" s="2" t="s">
        <v>625</v>
      </c>
      <c r="B529" s="2"/>
      <c r="C529" s="2"/>
      <c r="D529" s="2" t="s">
        <v>1945</v>
      </c>
      <c r="E529" s="2" t="s">
        <v>1946</v>
      </c>
      <c r="J529" s="10" t="s">
        <v>2686</v>
      </c>
      <c r="T529" s="10">
        <f>26-79</f>
        <v>-53</v>
      </c>
      <c r="U529" s="10">
        <f t="shared" ca="1" si="18"/>
        <v>79</v>
      </c>
      <c r="V529" s="10">
        <f t="shared" ca="1" si="19"/>
        <v>26</v>
      </c>
      <c r="AC529" s="10" t="s">
        <v>2697</v>
      </c>
      <c r="AD529" s="10" t="s">
        <v>19</v>
      </c>
    </row>
    <row r="530" spans="1:31" hidden="1">
      <c r="A530" s="2" t="s">
        <v>626</v>
      </c>
      <c r="B530" s="2"/>
      <c r="C530" s="2"/>
      <c r="D530" s="2" t="s">
        <v>1947</v>
      </c>
      <c r="E530" s="2" t="s">
        <v>2740</v>
      </c>
      <c r="H530" t="s">
        <v>19</v>
      </c>
      <c r="J530" s="10" t="s">
        <v>2686</v>
      </c>
      <c r="T530" s="10">
        <f>12-44</f>
        <v>-32</v>
      </c>
      <c r="U530" s="10">
        <f t="shared" ca="1" si="18"/>
        <v>44</v>
      </c>
      <c r="V530" s="10">
        <f t="shared" ca="1" si="19"/>
        <v>12</v>
      </c>
    </row>
    <row r="531" spans="1:31" hidden="1">
      <c r="A531" s="2" t="s">
        <v>627</v>
      </c>
      <c r="B531" s="2"/>
      <c r="C531" s="2"/>
      <c r="D531" s="2" t="s">
        <v>1948</v>
      </c>
      <c r="E531" s="2" t="s">
        <v>1949</v>
      </c>
      <c r="F531" t="s">
        <v>12</v>
      </c>
      <c r="J531" s="10" t="s">
        <v>25</v>
      </c>
      <c r="L531" s="10">
        <v>1</v>
      </c>
      <c r="M531" s="10">
        <v>1</v>
      </c>
      <c r="N531" s="10" t="s">
        <v>2655</v>
      </c>
      <c r="O531" s="10" t="s">
        <v>2687</v>
      </c>
      <c r="S531" s="10">
        <v>1701</v>
      </c>
      <c r="U531" s="10" t="str">
        <f t="shared" ca="1" si="18"/>
        <v/>
      </c>
      <c r="V531" s="10" t="str">
        <f t="shared" ca="1" si="19"/>
        <v/>
      </c>
    </row>
    <row r="532" spans="1:31" hidden="1">
      <c r="A532" s="2" t="s">
        <v>628</v>
      </c>
      <c r="B532" s="2"/>
      <c r="C532" s="2"/>
      <c r="D532" s="2" t="s">
        <v>1950</v>
      </c>
      <c r="E532" s="2" t="s">
        <v>1951</v>
      </c>
      <c r="J532" s="10" t="s">
        <v>2686</v>
      </c>
      <c r="T532" s="10">
        <f>2475-124</f>
        <v>2351</v>
      </c>
      <c r="U532" s="10">
        <f t="shared" ca="1" si="18"/>
        <v>124</v>
      </c>
      <c r="V532" s="10">
        <f t="shared" ca="1" si="19"/>
        <v>2475</v>
      </c>
    </row>
    <row r="533" spans="1:31" hidden="1">
      <c r="A533" s="2" t="s">
        <v>628</v>
      </c>
      <c r="B533" s="2"/>
      <c r="C533" s="2"/>
      <c r="D533" s="2" t="s">
        <v>1953</v>
      </c>
      <c r="E533" s="2" t="s">
        <v>1952</v>
      </c>
      <c r="J533" s="10" t="s">
        <v>25</v>
      </c>
      <c r="L533" s="10">
        <v>1</v>
      </c>
      <c r="M533" s="10">
        <v>2</v>
      </c>
      <c r="N533" s="10" t="s">
        <v>2646</v>
      </c>
      <c r="O533" s="10" t="s">
        <v>2687</v>
      </c>
      <c r="S533" s="10">
        <v>2475</v>
      </c>
      <c r="U533" s="10" t="str">
        <f t="shared" ca="1" si="18"/>
        <v/>
      </c>
      <c r="V533" s="10" t="str">
        <f t="shared" ca="1" si="19"/>
        <v/>
      </c>
    </row>
    <row r="534" spans="1:31" hidden="1">
      <c r="A534" s="2" t="s">
        <v>628</v>
      </c>
      <c r="B534" s="2"/>
      <c r="C534" s="2"/>
      <c r="D534" s="2" t="s">
        <v>2785</v>
      </c>
      <c r="E534" s="2" t="s">
        <v>2786</v>
      </c>
      <c r="J534" s="10" t="s">
        <v>2688</v>
      </c>
      <c r="U534" s="10" t="str">
        <f t="shared" ca="1" si="18"/>
        <v/>
      </c>
      <c r="V534" s="10" t="str">
        <f t="shared" ca="1" si="19"/>
        <v/>
      </c>
      <c r="AE534" s="10" t="s">
        <v>2654</v>
      </c>
    </row>
    <row r="535" spans="1:31" hidden="1">
      <c r="A535" s="2" t="s">
        <v>628</v>
      </c>
      <c r="B535" s="2"/>
      <c r="C535" s="2"/>
      <c r="D535" s="13" t="s">
        <v>993</v>
      </c>
      <c r="E535" s="2" t="s">
        <v>629</v>
      </c>
      <c r="H535" t="s">
        <v>19</v>
      </c>
      <c r="J535" s="10" t="s">
        <v>2686</v>
      </c>
      <c r="T535" s="10" t="s">
        <v>2696</v>
      </c>
      <c r="U535" s="10" t="str">
        <f t="shared" ca="1" si="18"/>
        <v/>
      </c>
      <c r="V535" s="10" t="str">
        <f t="shared" ca="1" si="19"/>
        <v/>
      </c>
      <c r="AE535" s="10" t="s">
        <v>2645</v>
      </c>
    </row>
    <row r="536" spans="1:31" hidden="1">
      <c r="A536" s="2" t="s">
        <v>630</v>
      </c>
      <c r="B536" s="2"/>
      <c r="C536" s="2"/>
      <c r="D536" s="2" t="s">
        <v>632</v>
      </c>
      <c r="E536" s="2" t="s">
        <v>631</v>
      </c>
      <c r="H536" t="s">
        <v>19</v>
      </c>
      <c r="J536" s="10" t="s">
        <v>2686</v>
      </c>
      <c r="T536" s="10" t="s">
        <v>2696</v>
      </c>
      <c r="U536" s="10" t="str">
        <f t="shared" ca="1" si="18"/>
        <v/>
      </c>
      <c r="V536" s="10" t="str">
        <f t="shared" ca="1" si="19"/>
        <v/>
      </c>
      <c r="AE536" s="10" t="s">
        <v>2645</v>
      </c>
    </row>
    <row r="537" spans="1:31" hidden="1">
      <c r="A537" s="2" t="s">
        <v>633</v>
      </c>
      <c r="B537" s="2"/>
      <c r="C537" s="2"/>
      <c r="D537" s="2" t="s">
        <v>635</v>
      </c>
      <c r="E537" s="2" t="s">
        <v>634</v>
      </c>
      <c r="J537" s="10" t="s">
        <v>2688</v>
      </c>
      <c r="U537" s="10" t="str">
        <f t="shared" ca="1" si="18"/>
        <v/>
      </c>
      <c r="V537" s="10" t="str">
        <f t="shared" ca="1" si="19"/>
        <v/>
      </c>
      <c r="AC537" s="10" t="s">
        <v>2703</v>
      </c>
      <c r="AD537" s="10" t="s">
        <v>19</v>
      </c>
    </row>
    <row r="538" spans="1:31" hidden="1">
      <c r="A538" s="2" t="s">
        <v>633</v>
      </c>
      <c r="B538" s="2"/>
      <c r="C538" s="2"/>
      <c r="D538" s="13" t="s">
        <v>1954</v>
      </c>
      <c r="E538" t="s">
        <v>1955</v>
      </c>
      <c r="J538" s="10" t="s">
        <v>2686</v>
      </c>
      <c r="T538" s="10">
        <f>11-295</f>
        <v>-284</v>
      </c>
      <c r="U538" s="10">
        <f t="shared" ca="1" si="18"/>
        <v>295</v>
      </c>
      <c r="V538" s="10">
        <f t="shared" ca="1" si="19"/>
        <v>11</v>
      </c>
      <c r="AE538" s="10" t="s">
        <v>2651</v>
      </c>
    </row>
    <row r="539" spans="1:31" hidden="1">
      <c r="A539" s="2" t="s">
        <v>636</v>
      </c>
      <c r="B539" s="2"/>
      <c r="C539" s="2"/>
      <c r="D539" s="2" t="s">
        <v>1957</v>
      </c>
      <c r="E539" s="2" t="s">
        <v>1956</v>
      </c>
      <c r="J539" s="10" t="s">
        <v>2686</v>
      </c>
      <c r="T539" s="10">
        <f>280-31</f>
        <v>249</v>
      </c>
      <c r="U539" s="10">
        <f t="shared" ca="1" si="18"/>
        <v>31</v>
      </c>
      <c r="V539" s="10">
        <f t="shared" ca="1" si="19"/>
        <v>280</v>
      </c>
    </row>
    <row r="540" spans="1:31" hidden="1">
      <c r="A540" s="2" t="s">
        <v>636</v>
      </c>
      <c r="B540" s="2"/>
      <c r="C540" s="2"/>
      <c r="D540" s="2" t="s">
        <v>638</v>
      </c>
      <c r="E540" s="2" t="s">
        <v>637</v>
      </c>
      <c r="H540" t="s">
        <v>19</v>
      </c>
      <c r="J540" s="10" t="s">
        <v>2688</v>
      </c>
      <c r="U540" s="10" t="str">
        <f t="shared" ca="1" si="18"/>
        <v/>
      </c>
      <c r="V540" s="10" t="str">
        <f t="shared" ca="1" si="19"/>
        <v/>
      </c>
      <c r="AC540" s="10" t="s">
        <v>2699</v>
      </c>
      <c r="AD540" s="10" t="s">
        <v>19</v>
      </c>
      <c r="AE540" s="10" t="s">
        <v>2645</v>
      </c>
    </row>
    <row r="541" spans="1:31" ht="29" hidden="1">
      <c r="A541" s="2" t="s">
        <v>639</v>
      </c>
      <c r="B541" s="2"/>
      <c r="C541" s="2"/>
      <c r="D541" s="3" t="s">
        <v>1958</v>
      </c>
      <c r="E541" s="2" t="s">
        <v>1959</v>
      </c>
      <c r="F541" t="s">
        <v>11</v>
      </c>
      <c r="U541" s="10" t="str">
        <f t="shared" ca="1" si="18"/>
        <v/>
      </c>
      <c r="V541" s="10" t="str">
        <f t="shared" ca="1" si="19"/>
        <v/>
      </c>
    </row>
    <row r="542" spans="1:31" hidden="1">
      <c r="A542" s="2" t="s">
        <v>640</v>
      </c>
      <c r="B542" s="2"/>
      <c r="C542" s="2"/>
      <c r="D542" s="13" t="s">
        <v>2741</v>
      </c>
      <c r="E542" s="2" t="s">
        <v>2742</v>
      </c>
      <c r="H542" t="s">
        <v>19</v>
      </c>
      <c r="J542" s="10" t="s">
        <v>2688</v>
      </c>
      <c r="U542" s="10" t="str">
        <f t="shared" ca="1" si="18"/>
        <v/>
      </c>
      <c r="V542" s="10" t="str">
        <f t="shared" ca="1" si="19"/>
        <v/>
      </c>
      <c r="AE542" s="10" t="s">
        <v>2651</v>
      </c>
    </row>
    <row r="543" spans="1:31" hidden="1">
      <c r="A543" s="2" t="s">
        <v>640</v>
      </c>
      <c r="B543" s="2"/>
      <c r="C543" s="2"/>
      <c r="D543" s="2" t="s">
        <v>1960</v>
      </c>
      <c r="E543" s="2" t="s">
        <v>641</v>
      </c>
      <c r="H543" t="s">
        <v>19</v>
      </c>
      <c r="J543" s="10" t="s">
        <v>2688</v>
      </c>
      <c r="U543" s="10" t="str">
        <f t="shared" ca="1" si="18"/>
        <v/>
      </c>
      <c r="V543" s="10" t="str">
        <f t="shared" ca="1" si="19"/>
        <v/>
      </c>
      <c r="AC543" s="10" t="s">
        <v>2699</v>
      </c>
      <c r="AD543" s="10" t="s">
        <v>19</v>
      </c>
      <c r="AE543" s="10" t="s">
        <v>2645</v>
      </c>
    </row>
    <row r="544" spans="1:31" hidden="1">
      <c r="A544" s="2" t="s">
        <v>642</v>
      </c>
      <c r="B544" s="2"/>
      <c r="C544" s="2"/>
      <c r="D544" s="2" t="s">
        <v>644</v>
      </c>
      <c r="E544" s="3" t="s">
        <v>643</v>
      </c>
      <c r="F544" t="s">
        <v>16</v>
      </c>
      <c r="U544" s="10" t="str">
        <f t="shared" ca="1" si="18"/>
        <v/>
      </c>
      <c r="V544" s="10" t="str">
        <f t="shared" ca="1" si="19"/>
        <v/>
      </c>
    </row>
    <row r="545" spans="1:31" hidden="1">
      <c r="A545" s="2" t="s">
        <v>642</v>
      </c>
      <c r="B545" s="2"/>
      <c r="C545" s="2"/>
      <c r="D545" s="2" t="s">
        <v>1962</v>
      </c>
      <c r="E545" s="2" t="s">
        <v>1961</v>
      </c>
      <c r="J545" s="10" t="s">
        <v>24</v>
      </c>
      <c r="L545" s="10">
        <v>1</v>
      </c>
      <c r="M545" s="10">
        <v>3</v>
      </c>
      <c r="N545" s="10" t="s">
        <v>2655</v>
      </c>
      <c r="O545" s="10" t="s">
        <v>2687</v>
      </c>
      <c r="S545" s="10">
        <v>1701</v>
      </c>
      <c r="U545" s="10" t="str">
        <f t="shared" ca="1" si="18"/>
        <v/>
      </c>
      <c r="V545" s="10" t="str">
        <f t="shared" ca="1" si="19"/>
        <v/>
      </c>
    </row>
    <row r="546" spans="1:31" hidden="1">
      <c r="A546" s="2" t="s">
        <v>645</v>
      </c>
      <c r="B546" s="2"/>
      <c r="C546" s="2"/>
      <c r="D546" s="2" t="s">
        <v>647</v>
      </c>
      <c r="E546" s="2" t="s">
        <v>646</v>
      </c>
      <c r="J546" s="10" t="s">
        <v>2686</v>
      </c>
      <c r="T546" s="10" t="s">
        <v>2696</v>
      </c>
      <c r="U546" s="10" t="str">
        <f t="shared" ca="1" si="18"/>
        <v/>
      </c>
      <c r="V546" s="10" t="str">
        <f t="shared" ca="1" si="19"/>
        <v/>
      </c>
      <c r="AE546" s="10" t="s">
        <v>2645</v>
      </c>
    </row>
    <row r="547" spans="1:31" ht="29" hidden="1">
      <c r="A547" s="2" t="s">
        <v>648</v>
      </c>
      <c r="B547" s="2"/>
      <c r="C547" s="2"/>
      <c r="D547" s="2" t="s">
        <v>1963</v>
      </c>
      <c r="E547" s="2" t="s">
        <v>1964</v>
      </c>
      <c r="F547" t="s">
        <v>17</v>
      </c>
      <c r="H547" t="s">
        <v>19</v>
      </c>
      <c r="U547" s="10" t="str">
        <f t="shared" ca="1" si="18"/>
        <v/>
      </c>
      <c r="V547" s="10" t="str">
        <f t="shared" ca="1" si="19"/>
        <v/>
      </c>
    </row>
    <row r="548" spans="1:31" hidden="1">
      <c r="A548" s="2" t="s">
        <v>648</v>
      </c>
      <c r="B548" s="2"/>
      <c r="C548" s="2"/>
      <c r="D548" s="2" t="s">
        <v>650</v>
      </c>
      <c r="E548" s="2" t="s">
        <v>649</v>
      </c>
      <c r="J548" s="10" t="s">
        <v>2688</v>
      </c>
      <c r="U548" s="10" t="str">
        <f t="shared" ca="1" si="18"/>
        <v/>
      </c>
      <c r="V548" s="10" t="str">
        <f t="shared" ca="1" si="19"/>
        <v/>
      </c>
    </row>
    <row r="549" spans="1:31" hidden="1">
      <c r="A549" s="2" t="s">
        <v>651</v>
      </c>
      <c r="B549" s="2"/>
      <c r="C549" s="2"/>
      <c r="D549" s="2" t="s">
        <v>653</v>
      </c>
      <c r="E549" s="2" t="s">
        <v>652</v>
      </c>
      <c r="J549" s="10" t="s">
        <v>2686</v>
      </c>
      <c r="T549" s="10" t="s">
        <v>2696</v>
      </c>
      <c r="U549" s="10" t="str">
        <f t="shared" ca="1" si="18"/>
        <v/>
      </c>
      <c r="V549" s="10" t="str">
        <f t="shared" ca="1" si="19"/>
        <v/>
      </c>
      <c r="AC549" s="10" t="s">
        <v>2801</v>
      </c>
      <c r="AD549" s="10" t="s">
        <v>19</v>
      </c>
    </row>
    <row r="550" spans="1:31" hidden="1">
      <c r="A550" s="2" t="s">
        <v>651</v>
      </c>
      <c r="B550" s="2"/>
      <c r="C550" s="2"/>
      <c r="D550" s="2" t="s">
        <v>1965</v>
      </c>
      <c r="E550" s="2" t="s">
        <v>1966</v>
      </c>
      <c r="J550" s="10" t="s">
        <v>2688</v>
      </c>
      <c r="U550" s="10" t="str">
        <f t="shared" ca="1" si="18"/>
        <v/>
      </c>
      <c r="V550" s="10" t="str">
        <f t="shared" ca="1" si="19"/>
        <v/>
      </c>
      <c r="AB550" s="10" t="s">
        <v>2798</v>
      </c>
      <c r="AD550" s="10" t="s">
        <v>19</v>
      </c>
    </row>
    <row r="551" spans="1:31" hidden="1">
      <c r="A551" s="2" t="s">
        <v>654</v>
      </c>
      <c r="B551" s="2"/>
      <c r="C551" s="2"/>
      <c r="D551" s="2" t="s">
        <v>656</v>
      </c>
      <c r="E551" s="2" t="s">
        <v>655</v>
      </c>
      <c r="J551" s="10" t="s">
        <v>2686</v>
      </c>
      <c r="T551" s="10" t="s">
        <v>2696</v>
      </c>
      <c r="U551" s="10" t="str">
        <f t="shared" ca="1" si="18"/>
        <v/>
      </c>
      <c r="V551" s="10" t="str">
        <f t="shared" ca="1" si="19"/>
        <v/>
      </c>
      <c r="AC551" s="10" t="s">
        <v>2697</v>
      </c>
      <c r="AD551" s="10" t="s">
        <v>19</v>
      </c>
      <c r="AE551" s="10" t="s">
        <v>2645</v>
      </c>
    </row>
    <row r="552" spans="1:31" hidden="1">
      <c r="A552" s="2" t="s">
        <v>657</v>
      </c>
      <c r="B552" s="2"/>
      <c r="C552" s="2"/>
      <c r="D552" s="2" t="s">
        <v>659</v>
      </c>
      <c r="E552" s="2" t="s">
        <v>658</v>
      </c>
      <c r="J552" s="10" t="s">
        <v>2688</v>
      </c>
      <c r="U552" s="10" t="str">
        <f t="shared" ca="1" si="18"/>
        <v/>
      </c>
      <c r="V552" s="10" t="str">
        <f t="shared" ca="1" si="19"/>
        <v/>
      </c>
      <c r="AC552" s="10" t="s">
        <v>2801</v>
      </c>
      <c r="AD552" s="10" t="s">
        <v>19</v>
      </c>
      <c r="AE552" s="10" t="s">
        <v>2645</v>
      </c>
    </row>
    <row r="553" spans="1:31" hidden="1">
      <c r="A553" s="2" t="s">
        <v>660</v>
      </c>
      <c r="B553" s="2"/>
      <c r="C553" s="2"/>
      <c r="D553" s="2" t="s">
        <v>662</v>
      </c>
      <c r="E553" s="2" t="s">
        <v>661</v>
      </c>
      <c r="H553" t="s">
        <v>19</v>
      </c>
      <c r="J553" s="10" t="s">
        <v>2686</v>
      </c>
      <c r="T553" s="10" t="s">
        <v>2696</v>
      </c>
      <c r="U553" s="10" t="str">
        <f t="shared" ca="1" si="18"/>
        <v/>
      </c>
      <c r="V553" s="10" t="str">
        <f t="shared" ca="1" si="19"/>
        <v/>
      </c>
      <c r="AE553" s="10" t="s">
        <v>2645</v>
      </c>
    </row>
    <row r="554" spans="1:31">
      <c r="A554" s="2" t="s">
        <v>660</v>
      </c>
      <c r="B554" s="2"/>
      <c r="C554" s="2"/>
      <c r="D554" s="2" t="s">
        <v>1967</v>
      </c>
      <c r="E554" s="2" t="s">
        <v>1967</v>
      </c>
      <c r="F554" t="s">
        <v>35</v>
      </c>
      <c r="I554" t="s">
        <v>1968</v>
      </c>
      <c r="U554" s="10" t="str">
        <f t="shared" ca="1" si="18"/>
        <v/>
      </c>
      <c r="V554" s="10" t="str">
        <f t="shared" ca="1" si="19"/>
        <v/>
      </c>
    </row>
    <row r="555" spans="1:31" hidden="1">
      <c r="A555" s="2" t="s">
        <v>660</v>
      </c>
      <c r="B555" s="2"/>
      <c r="C555" s="2"/>
      <c r="D555" s="2" t="s">
        <v>1969</v>
      </c>
      <c r="E555" s="3" t="s">
        <v>1970</v>
      </c>
      <c r="F555" t="s">
        <v>16</v>
      </c>
      <c r="U555" s="10" t="str">
        <f t="shared" ca="1" si="18"/>
        <v/>
      </c>
      <c r="V555" s="10" t="str">
        <f t="shared" ca="1" si="19"/>
        <v/>
      </c>
    </row>
    <row r="556" spans="1:31" hidden="1">
      <c r="A556" s="2" t="s">
        <v>660</v>
      </c>
      <c r="B556" s="2"/>
      <c r="C556" s="2"/>
      <c r="D556" s="13" t="s">
        <v>1971</v>
      </c>
      <c r="E556" t="s">
        <v>1972</v>
      </c>
      <c r="I556" s="4"/>
      <c r="J556" s="10" t="s">
        <v>2688</v>
      </c>
      <c r="U556" s="10" t="str">
        <f t="shared" ca="1" si="18"/>
        <v/>
      </c>
      <c r="V556" s="10" t="str">
        <f t="shared" ca="1" si="19"/>
        <v/>
      </c>
      <c r="AB556" s="10" t="s">
        <v>2798</v>
      </c>
      <c r="AD556" s="10" t="s">
        <v>19</v>
      </c>
    </row>
    <row r="557" spans="1:31" hidden="1">
      <c r="A557" s="2" t="s">
        <v>660</v>
      </c>
      <c r="B557" s="2"/>
      <c r="C557" s="2"/>
      <c r="D557" s="13" t="s">
        <v>1974</v>
      </c>
      <c r="E557" t="s">
        <v>1973</v>
      </c>
      <c r="H557" t="s">
        <v>19</v>
      </c>
      <c r="J557" s="10" t="s">
        <v>2686</v>
      </c>
      <c r="R557" s="10" t="s">
        <v>2642</v>
      </c>
      <c r="T557" s="10" t="s">
        <v>2696</v>
      </c>
      <c r="U557" s="10" t="str">
        <f t="shared" ca="1" si="18"/>
        <v/>
      </c>
      <c r="V557" s="10" t="str">
        <f t="shared" ca="1" si="19"/>
        <v/>
      </c>
      <c r="AE557" s="10" t="s">
        <v>2645</v>
      </c>
    </row>
    <row r="558" spans="1:31" ht="29" hidden="1">
      <c r="A558" s="2" t="s">
        <v>664</v>
      </c>
      <c r="B558" s="2"/>
      <c r="C558" s="2"/>
      <c r="D558" s="2" t="s">
        <v>1975</v>
      </c>
      <c r="E558" s="2" t="s">
        <v>1976</v>
      </c>
      <c r="H558" t="s">
        <v>19</v>
      </c>
      <c r="J558" s="10" t="s">
        <v>2686</v>
      </c>
      <c r="T558" s="10">
        <f>6-280</f>
        <v>-274</v>
      </c>
      <c r="U558" s="10">
        <f t="shared" ca="1" si="18"/>
        <v>280</v>
      </c>
      <c r="V558" s="10">
        <f t="shared" ca="1" si="19"/>
        <v>6</v>
      </c>
    </row>
    <row r="559" spans="1:31" hidden="1">
      <c r="A559" s="2" t="s">
        <v>664</v>
      </c>
      <c r="B559" s="2"/>
      <c r="C559" s="2"/>
      <c r="D559" s="2" t="s">
        <v>1977</v>
      </c>
      <c r="E559" s="2" t="s">
        <v>1978</v>
      </c>
      <c r="J559" s="10" t="s">
        <v>2688</v>
      </c>
      <c r="U559" s="10" t="str">
        <f t="shared" ca="1" si="18"/>
        <v/>
      </c>
      <c r="V559" s="10" t="str">
        <f t="shared" ca="1" si="19"/>
        <v/>
      </c>
      <c r="AE559" s="10" t="s">
        <v>2645</v>
      </c>
    </row>
    <row r="560" spans="1:31" hidden="1">
      <c r="A560" s="2" t="s">
        <v>665</v>
      </c>
      <c r="B560" s="2"/>
      <c r="C560" s="2"/>
      <c r="D560" s="2" t="s">
        <v>1979</v>
      </c>
      <c r="E560" s="2" t="s">
        <v>1980</v>
      </c>
      <c r="H560" t="s">
        <v>19</v>
      </c>
      <c r="J560" s="10" t="s">
        <v>2686</v>
      </c>
      <c r="T560" s="10">
        <f>312-743</f>
        <v>-431</v>
      </c>
      <c r="U560" s="10">
        <f t="shared" ca="1" si="18"/>
        <v>743</v>
      </c>
      <c r="V560" s="10">
        <f t="shared" ca="1" si="19"/>
        <v>312</v>
      </c>
    </row>
    <row r="561" spans="1:31" hidden="1">
      <c r="A561" s="2" t="s">
        <v>665</v>
      </c>
      <c r="B561" s="2"/>
      <c r="C561" s="2"/>
      <c r="D561" s="2" t="s">
        <v>252</v>
      </c>
      <c r="E561" s="2" t="s">
        <v>253</v>
      </c>
      <c r="H561" t="s">
        <v>19</v>
      </c>
      <c r="J561" s="10" t="s">
        <v>2686</v>
      </c>
      <c r="T561" s="10">
        <f>0-2</f>
        <v>-2</v>
      </c>
      <c r="U561" s="10">
        <f t="shared" ca="1" si="18"/>
        <v>2</v>
      </c>
      <c r="V561" s="10">
        <f t="shared" ca="1" si="19"/>
        <v>0</v>
      </c>
    </row>
    <row r="562" spans="1:31" hidden="1">
      <c r="A562" s="2" t="s">
        <v>666</v>
      </c>
      <c r="B562" s="2"/>
      <c r="C562" s="2"/>
      <c r="D562" s="5" t="s">
        <v>1981</v>
      </c>
      <c r="E562" s="2" t="s">
        <v>1982</v>
      </c>
      <c r="J562" s="10" t="s">
        <v>2688</v>
      </c>
      <c r="U562" s="10" t="str">
        <f t="shared" ca="1" si="18"/>
        <v/>
      </c>
      <c r="V562" s="10" t="str">
        <f t="shared" ca="1" si="19"/>
        <v/>
      </c>
    </row>
    <row r="563" spans="1:31" hidden="1">
      <c r="A563" s="2" t="s">
        <v>667</v>
      </c>
      <c r="B563" s="2"/>
      <c r="C563" s="2"/>
      <c r="D563" s="3" t="s">
        <v>1983</v>
      </c>
      <c r="E563" s="2" t="s">
        <v>1984</v>
      </c>
      <c r="F563" t="s">
        <v>15</v>
      </c>
      <c r="U563" s="10" t="str">
        <f t="shared" ca="1" si="18"/>
        <v/>
      </c>
      <c r="V563" s="10" t="str">
        <f t="shared" ca="1" si="19"/>
        <v/>
      </c>
    </row>
    <row r="564" spans="1:31" ht="29" hidden="1">
      <c r="A564" s="2" t="s">
        <v>667</v>
      </c>
      <c r="B564" s="2"/>
      <c r="C564" s="2"/>
      <c r="D564" s="2" t="s">
        <v>1985</v>
      </c>
      <c r="E564" s="2" t="s">
        <v>1986</v>
      </c>
      <c r="J564" s="10" t="s">
        <v>2686</v>
      </c>
      <c r="T564" s="10">
        <f>17-5</f>
        <v>12</v>
      </c>
      <c r="U564" s="10">
        <f t="shared" ca="1" si="18"/>
        <v>5</v>
      </c>
      <c r="V564" s="10">
        <f t="shared" ca="1" si="19"/>
        <v>17</v>
      </c>
      <c r="AE564" s="10" t="s">
        <v>2645</v>
      </c>
    </row>
    <row r="565" spans="1:31" hidden="1">
      <c r="A565" s="2" t="s">
        <v>668</v>
      </c>
      <c r="B565" s="2"/>
      <c r="C565" s="2"/>
      <c r="D565" s="2" t="s">
        <v>670</v>
      </c>
      <c r="E565" s="2" t="s">
        <v>669</v>
      </c>
      <c r="H565" t="s">
        <v>19</v>
      </c>
      <c r="J565" s="10" t="s">
        <v>2686</v>
      </c>
      <c r="T565" s="10" t="s">
        <v>2696</v>
      </c>
      <c r="U565" s="10" t="str">
        <f t="shared" ca="1" si="18"/>
        <v/>
      </c>
      <c r="V565" s="10" t="str">
        <f t="shared" ca="1" si="19"/>
        <v/>
      </c>
      <c r="AE565" s="10" t="s">
        <v>2645</v>
      </c>
    </row>
    <row r="566" spans="1:31" hidden="1">
      <c r="A566" s="2" t="s">
        <v>668</v>
      </c>
      <c r="B566" s="2"/>
      <c r="C566" s="2"/>
      <c r="D566" s="2" t="s">
        <v>1987</v>
      </c>
      <c r="E566" s="2" t="s">
        <v>1988</v>
      </c>
      <c r="J566" s="10" t="s">
        <v>2688</v>
      </c>
      <c r="U566" s="10" t="str">
        <f t="shared" ca="1" si="18"/>
        <v/>
      </c>
      <c r="V566" s="10" t="str">
        <f t="shared" ca="1" si="19"/>
        <v/>
      </c>
      <c r="AB566" s="10" t="s">
        <v>2650</v>
      </c>
      <c r="AD566" s="10" t="s">
        <v>19</v>
      </c>
    </row>
    <row r="567" spans="1:31" hidden="1">
      <c r="A567" s="2" t="s">
        <v>668</v>
      </c>
      <c r="B567" s="2"/>
      <c r="C567" s="2"/>
      <c r="D567" s="2" t="s">
        <v>672</v>
      </c>
      <c r="E567" s="2" t="s">
        <v>671</v>
      </c>
      <c r="G567" t="s">
        <v>19</v>
      </c>
      <c r="J567" s="10" t="s">
        <v>2688</v>
      </c>
      <c r="U567" s="10" t="str">
        <f t="shared" ca="1" si="18"/>
        <v/>
      </c>
      <c r="V567" s="10" t="str">
        <f t="shared" ca="1" si="19"/>
        <v/>
      </c>
    </row>
    <row r="568" spans="1:31" hidden="1">
      <c r="A568" s="2" t="s">
        <v>673</v>
      </c>
      <c r="B568" s="2"/>
      <c r="C568" s="2"/>
      <c r="D568" s="2" t="s">
        <v>675</v>
      </c>
      <c r="E568" s="2" t="s">
        <v>674</v>
      </c>
      <c r="J568" s="10" t="s">
        <v>2688</v>
      </c>
      <c r="U568" s="10" t="str">
        <f t="shared" ca="1" si="18"/>
        <v/>
      </c>
      <c r="V568" s="10" t="str">
        <f t="shared" ca="1" si="19"/>
        <v/>
      </c>
    </row>
    <row r="569" spans="1:31" hidden="1">
      <c r="A569" s="2" t="s">
        <v>676</v>
      </c>
      <c r="B569" s="2"/>
      <c r="C569" s="2"/>
      <c r="D569" s="2" t="s">
        <v>1989</v>
      </c>
      <c r="E569" s="2" t="s">
        <v>677</v>
      </c>
      <c r="H569" t="s">
        <v>19</v>
      </c>
      <c r="J569" s="10" t="s">
        <v>2686</v>
      </c>
      <c r="R569" s="10" t="s">
        <v>2642</v>
      </c>
      <c r="T569" s="10" t="s">
        <v>2696</v>
      </c>
      <c r="U569" s="10" t="str">
        <f t="shared" ca="1" si="18"/>
        <v/>
      </c>
      <c r="V569" s="10" t="str">
        <f t="shared" ca="1" si="19"/>
        <v/>
      </c>
      <c r="AE569" s="10" t="s">
        <v>2645</v>
      </c>
    </row>
    <row r="570" spans="1:31" hidden="1">
      <c r="A570" s="2" t="s">
        <v>678</v>
      </c>
      <c r="B570" s="2"/>
      <c r="C570" s="2"/>
      <c r="D570" s="2" t="s">
        <v>680</v>
      </c>
      <c r="E570" s="2" t="s">
        <v>679</v>
      </c>
      <c r="J570" s="10" t="s">
        <v>2686</v>
      </c>
      <c r="T570" s="10" t="s">
        <v>2696</v>
      </c>
      <c r="U570" s="10" t="str">
        <f t="shared" ca="1" si="18"/>
        <v/>
      </c>
      <c r="V570" s="10" t="str">
        <f t="shared" ca="1" si="19"/>
        <v/>
      </c>
      <c r="AE570" s="10" t="s">
        <v>2645</v>
      </c>
    </row>
    <row r="571" spans="1:31" hidden="1">
      <c r="A571" s="2" t="s">
        <v>681</v>
      </c>
      <c r="B571" s="2"/>
      <c r="C571" s="2"/>
      <c r="D571" s="2" t="s">
        <v>1990</v>
      </c>
      <c r="E571" s="2" t="s">
        <v>1991</v>
      </c>
      <c r="H571" t="s">
        <v>19</v>
      </c>
      <c r="J571" s="10" t="s">
        <v>24</v>
      </c>
      <c r="L571" s="10">
        <v>1</v>
      </c>
      <c r="M571" s="10">
        <v>4</v>
      </c>
      <c r="N571" s="10" t="s">
        <v>2655</v>
      </c>
      <c r="O571" s="10" t="s">
        <v>2647</v>
      </c>
      <c r="S571" s="10">
        <v>1</v>
      </c>
      <c r="U571" s="10" t="str">
        <f t="shared" ca="1" si="18"/>
        <v/>
      </c>
      <c r="V571" s="10" t="str">
        <f t="shared" ca="1" si="19"/>
        <v/>
      </c>
    </row>
    <row r="572" spans="1:31" ht="29" hidden="1">
      <c r="A572" s="2" t="s">
        <v>682</v>
      </c>
      <c r="B572" s="2"/>
      <c r="C572" s="2"/>
      <c r="D572" s="2" t="s">
        <v>1994</v>
      </c>
      <c r="E572" s="2" t="s">
        <v>1992</v>
      </c>
      <c r="J572" s="10" t="s">
        <v>25</v>
      </c>
      <c r="L572" s="10">
        <v>1</v>
      </c>
      <c r="M572" s="10">
        <v>3</v>
      </c>
      <c r="N572" s="10" t="s">
        <v>2655</v>
      </c>
      <c r="O572" s="10" t="s">
        <v>2647</v>
      </c>
      <c r="S572" s="10">
        <v>1701</v>
      </c>
      <c r="U572" s="10" t="str">
        <f t="shared" ca="1" si="18"/>
        <v/>
      </c>
      <c r="V572" s="10" t="str">
        <f t="shared" ca="1" si="19"/>
        <v/>
      </c>
    </row>
    <row r="573" spans="1:31" ht="29" hidden="1">
      <c r="A573" s="2" t="s">
        <v>682</v>
      </c>
      <c r="B573" s="2"/>
      <c r="C573" s="2"/>
      <c r="D573" s="2" t="s">
        <v>1993</v>
      </c>
      <c r="E573" s="2" t="s">
        <v>1995</v>
      </c>
      <c r="J573" s="10" t="s">
        <v>24</v>
      </c>
      <c r="L573" s="10">
        <v>1</v>
      </c>
      <c r="M573" s="10">
        <v>2</v>
      </c>
      <c r="N573" s="10" t="s">
        <v>2646</v>
      </c>
      <c r="O573" s="10" t="s">
        <v>2687</v>
      </c>
      <c r="S573" s="10">
        <v>2475</v>
      </c>
      <c r="U573" s="10" t="str">
        <f t="shared" ref="U573:U634" ca="1" si="20">IF(ISNUMBER(T573),VALUE(MID(_xlfn.FORMULATEXT(T573),SEARCH("-",_xlfn.FORMULATEXT(T573))+1,LEN(_xlfn.FORMULATEXT(T573))-SEARCH("-",_xlfn.FORMULATEXT(T573)))), "")</f>
        <v/>
      </c>
      <c r="V573" s="10" t="str">
        <f t="shared" ref="V573:V634" ca="1" si="21">IF(ISNUMBER(T573), VALUE(MID(_xlfn.FORMULATEXT(T573), 2, SEARCH("-", _xlfn.FORMULATEXT(T573)) - 2)), "")</f>
        <v/>
      </c>
    </row>
    <row r="574" spans="1:31" hidden="1">
      <c r="A574" s="2" t="s">
        <v>682</v>
      </c>
      <c r="B574" s="2"/>
      <c r="C574" s="2"/>
      <c r="D574" s="2" t="s">
        <v>684</v>
      </c>
      <c r="E574" s="2" t="s">
        <v>683</v>
      </c>
      <c r="J574" s="10" t="s">
        <v>2688</v>
      </c>
      <c r="U574" s="10" t="str">
        <f t="shared" ca="1" si="20"/>
        <v/>
      </c>
      <c r="V574" s="10" t="str">
        <f t="shared" ca="1" si="21"/>
        <v/>
      </c>
      <c r="AC574" s="10" t="s">
        <v>2701</v>
      </c>
      <c r="AD574" s="10" t="s">
        <v>19</v>
      </c>
      <c r="AE574" s="10" t="s">
        <v>2645</v>
      </c>
    </row>
    <row r="575" spans="1:31" ht="29" hidden="1">
      <c r="A575" s="2" t="s">
        <v>682</v>
      </c>
      <c r="B575" s="2"/>
      <c r="C575" s="2"/>
      <c r="D575" s="2" t="s">
        <v>1997</v>
      </c>
      <c r="E575" s="2" t="s">
        <v>1996</v>
      </c>
      <c r="J575" s="10" t="s">
        <v>24</v>
      </c>
      <c r="L575" s="10">
        <v>2</v>
      </c>
      <c r="M575" s="10">
        <v>7</v>
      </c>
      <c r="O575" s="10" t="s">
        <v>2647</v>
      </c>
      <c r="S575" s="10">
        <v>132</v>
      </c>
      <c r="U575" s="10" t="str">
        <f t="shared" ca="1" si="20"/>
        <v/>
      </c>
      <c r="V575" s="10" t="str">
        <f t="shared" ca="1" si="21"/>
        <v/>
      </c>
    </row>
    <row r="576" spans="1:31" hidden="1">
      <c r="A576" s="2" t="s">
        <v>682</v>
      </c>
      <c r="B576" s="2"/>
      <c r="C576" s="2"/>
      <c r="D576" s="2" t="s">
        <v>140</v>
      </c>
      <c r="E576" s="2" t="s">
        <v>685</v>
      </c>
      <c r="H576" t="s">
        <v>19</v>
      </c>
      <c r="J576" s="10" t="s">
        <v>2686</v>
      </c>
      <c r="T576" s="10" t="s">
        <v>2696</v>
      </c>
      <c r="U576" s="10" t="str">
        <f t="shared" ca="1" si="20"/>
        <v/>
      </c>
      <c r="V576" s="10" t="str">
        <f t="shared" ca="1" si="21"/>
        <v/>
      </c>
      <c r="AC576" s="10" t="s">
        <v>2697</v>
      </c>
      <c r="AD576" s="10" t="s">
        <v>19</v>
      </c>
      <c r="AE576" s="10" t="s">
        <v>2645</v>
      </c>
    </row>
    <row r="577" spans="1:31" hidden="1">
      <c r="A577" s="2" t="s">
        <v>686</v>
      </c>
      <c r="B577" s="2"/>
      <c r="C577" s="2"/>
      <c r="D577" s="2" t="s">
        <v>688</v>
      </c>
      <c r="E577" s="2" t="s">
        <v>687</v>
      </c>
      <c r="J577" s="10" t="s">
        <v>2688</v>
      </c>
      <c r="U577" s="10" t="str">
        <f t="shared" ca="1" si="20"/>
        <v/>
      </c>
      <c r="V577" s="10" t="str">
        <f t="shared" ca="1" si="21"/>
        <v/>
      </c>
    </row>
    <row r="578" spans="1:31" hidden="1">
      <c r="A578" s="2" t="s">
        <v>689</v>
      </c>
      <c r="B578" s="2"/>
      <c r="C578" s="2"/>
      <c r="D578" s="2" t="s">
        <v>1999</v>
      </c>
      <c r="E578" s="2" t="s">
        <v>1998</v>
      </c>
      <c r="J578" s="10" t="s">
        <v>2688</v>
      </c>
      <c r="U578" s="10" t="str">
        <f t="shared" ca="1" si="20"/>
        <v/>
      </c>
      <c r="V578" s="10" t="str">
        <f t="shared" ca="1" si="21"/>
        <v/>
      </c>
      <c r="AE578" s="10" t="s">
        <v>2651</v>
      </c>
    </row>
    <row r="579" spans="1:31" hidden="1">
      <c r="A579" s="2" t="s">
        <v>690</v>
      </c>
      <c r="B579" s="2"/>
      <c r="C579" s="2"/>
      <c r="D579" s="8" t="s">
        <v>608</v>
      </c>
      <c r="E579" s="8" t="s">
        <v>607</v>
      </c>
      <c r="F579" t="s">
        <v>36</v>
      </c>
      <c r="J579" s="10" t="s">
        <v>2686</v>
      </c>
      <c r="T579" s="10" t="s">
        <v>2696</v>
      </c>
      <c r="U579" s="10" t="str">
        <f t="shared" ca="1" si="20"/>
        <v/>
      </c>
      <c r="V579" s="10" t="str">
        <f t="shared" ca="1" si="21"/>
        <v/>
      </c>
      <c r="AE579" s="10" t="s">
        <v>2654</v>
      </c>
    </row>
    <row r="580" spans="1:31">
      <c r="A580" s="2" t="s">
        <v>690</v>
      </c>
      <c r="B580" s="2"/>
      <c r="C580" s="2"/>
      <c r="D580" s="2" t="s">
        <v>692</v>
      </c>
      <c r="E580" s="2" t="s">
        <v>691</v>
      </c>
      <c r="F580" t="s">
        <v>11</v>
      </c>
      <c r="G580" t="s">
        <v>19</v>
      </c>
      <c r="H580" t="s">
        <v>19</v>
      </c>
      <c r="I580" t="s">
        <v>2000</v>
      </c>
      <c r="U580" s="10" t="str">
        <f t="shared" ca="1" si="20"/>
        <v/>
      </c>
      <c r="V580" s="10" t="str">
        <f t="shared" ca="1" si="21"/>
        <v/>
      </c>
    </row>
    <row r="581" spans="1:31" hidden="1">
      <c r="A581" s="2" t="s">
        <v>693</v>
      </c>
      <c r="B581" s="2"/>
      <c r="C581" s="2"/>
      <c r="D581" s="2" t="s">
        <v>2002</v>
      </c>
      <c r="E581" s="2" t="s">
        <v>2001</v>
      </c>
      <c r="J581" s="10" t="s">
        <v>24</v>
      </c>
      <c r="L581" s="10">
        <v>1</v>
      </c>
      <c r="M581" s="10">
        <v>3</v>
      </c>
      <c r="N581" s="10" t="s">
        <v>2646</v>
      </c>
      <c r="O581" s="10" t="s">
        <v>2647</v>
      </c>
      <c r="S581" s="10">
        <v>2475</v>
      </c>
      <c r="U581" s="10" t="str">
        <f t="shared" ca="1" si="20"/>
        <v/>
      </c>
      <c r="V581" s="10" t="str">
        <f t="shared" ca="1" si="21"/>
        <v/>
      </c>
    </row>
    <row r="582" spans="1:31" hidden="1">
      <c r="A582" s="2" t="s">
        <v>694</v>
      </c>
      <c r="B582" s="2"/>
      <c r="C582" s="2"/>
      <c r="D582" s="2" t="s">
        <v>2003</v>
      </c>
      <c r="E582" s="2" t="s">
        <v>2004</v>
      </c>
      <c r="J582" s="10" t="s">
        <v>2686</v>
      </c>
      <c r="T582" s="10">
        <f>280-31</f>
        <v>249</v>
      </c>
      <c r="U582" s="10">
        <f t="shared" ca="1" si="20"/>
        <v>31</v>
      </c>
      <c r="V582" s="10">
        <f t="shared" ca="1" si="21"/>
        <v>280</v>
      </c>
    </row>
    <row r="583" spans="1:31" hidden="1">
      <c r="A583" s="2" t="s">
        <v>695</v>
      </c>
      <c r="B583" s="2"/>
      <c r="C583" s="2"/>
      <c r="D583" s="2" t="s">
        <v>2005</v>
      </c>
      <c r="E583" s="2" t="s">
        <v>2006</v>
      </c>
      <c r="H583" t="s">
        <v>19</v>
      </c>
      <c r="J583" s="10" t="s">
        <v>2688</v>
      </c>
      <c r="U583" s="10" t="str">
        <f t="shared" ca="1" si="20"/>
        <v/>
      </c>
      <c r="V583" s="10" t="str">
        <f t="shared" ca="1" si="21"/>
        <v/>
      </c>
    </row>
    <row r="584" spans="1:31" hidden="1">
      <c r="A584" s="2" t="s">
        <v>696</v>
      </c>
      <c r="B584" s="2"/>
      <c r="C584" s="2"/>
      <c r="D584" s="2" t="s">
        <v>698</v>
      </c>
      <c r="E584" s="2" t="s">
        <v>697</v>
      </c>
      <c r="J584" s="10" t="s">
        <v>2688</v>
      </c>
      <c r="U584" s="10" t="str">
        <f t="shared" ca="1" si="20"/>
        <v/>
      </c>
      <c r="V584" s="10" t="str">
        <f t="shared" ca="1" si="21"/>
        <v/>
      </c>
      <c r="AE584" s="10" t="s">
        <v>2651</v>
      </c>
    </row>
    <row r="585" spans="1:31" hidden="1">
      <c r="A585" s="2" t="s">
        <v>699</v>
      </c>
      <c r="B585" s="2"/>
      <c r="C585" s="2"/>
      <c r="D585" s="2" t="s">
        <v>1270</v>
      </c>
      <c r="E585" s="2" t="s">
        <v>1271</v>
      </c>
      <c r="J585" s="10" t="s">
        <v>2688</v>
      </c>
      <c r="U585" s="10" t="str">
        <f t="shared" ca="1" si="20"/>
        <v/>
      </c>
      <c r="V585" s="10" t="str">
        <f t="shared" ca="1" si="21"/>
        <v/>
      </c>
      <c r="AB585" s="10" t="s">
        <v>2798</v>
      </c>
      <c r="AD585" s="10" t="s">
        <v>19</v>
      </c>
    </row>
    <row r="586" spans="1:31" hidden="1">
      <c r="A586" s="2" t="s">
        <v>700</v>
      </c>
      <c r="B586" s="2"/>
      <c r="C586" s="2"/>
      <c r="D586" s="2" t="s">
        <v>702</v>
      </c>
      <c r="E586" s="2" t="s">
        <v>701</v>
      </c>
      <c r="F586" t="s">
        <v>11</v>
      </c>
      <c r="U586" s="10" t="str">
        <f t="shared" ca="1" si="20"/>
        <v/>
      </c>
      <c r="V586" s="10" t="str">
        <f t="shared" ca="1" si="21"/>
        <v/>
      </c>
    </row>
    <row r="587" spans="1:31" hidden="1">
      <c r="A587" s="2" t="s">
        <v>700</v>
      </c>
      <c r="B587" s="2"/>
      <c r="C587" s="2"/>
      <c r="D587" s="2" t="s">
        <v>2787</v>
      </c>
      <c r="E587" s="2" t="s">
        <v>2788</v>
      </c>
      <c r="G587" t="s">
        <v>19</v>
      </c>
      <c r="H587" t="s">
        <v>19</v>
      </c>
      <c r="J587" s="10" t="s">
        <v>30</v>
      </c>
      <c r="U587" s="10" t="str">
        <f t="shared" ca="1" si="20"/>
        <v/>
      </c>
      <c r="V587" s="10" t="str">
        <f t="shared" ca="1" si="21"/>
        <v/>
      </c>
    </row>
    <row r="588" spans="1:31" hidden="1">
      <c r="A588" s="2" t="s">
        <v>703</v>
      </c>
      <c r="B588" s="2"/>
      <c r="C588" s="2"/>
      <c r="D588" s="2" t="s">
        <v>404</v>
      </c>
      <c r="E588" s="2" t="s">
        <v>2007</v>
      </c>
      <c r="J588" s="10" t="s">
        <v>2688</v>
      </c>
      <c r="U588" s="10" t="str">
        <f t="shared" ca="1" si="20"/>
        <v/>
      </c>
      <c r="V588" s="10" t="str">
        <f t="shared" ca="1" si="21"/>
        <v/>
      </c>
      <c r="AB588" s="10" t="s">
        <v>2797</v>
      </c>
      <c r="AD588" s="10" t="s">
        <v>19</v>
      </c>
    </row>
    <row r="589" spans="1:31" hidden="1">
      <c r="A589" s="2" t="s">
        <v>703</v>
      </c>
      <c r="B589" s="2"/>
      <c r="C589" s="2"/>
      <c r="D589" s="2" t="s">
        <v>2008</v>
      </c>
      <c r="E589" s="2" t="s">
        <v>704</v>
      </c>
      <c r="F589" t="s">
        <v>11</v>
      </c>
      <c r="U589" s="10" t="str">
        <f t="shared" ca="1" si="20"/>
        <v/>
      </c>
      <c r="V589" s="10" t="str">
        <f t="shared" ca="1" si="21"/>
        <v/>
      </c>
    </row>
    <row r="590" spans="1:31" hidden="1">
      <c r="A590" s="2" t="s">
        <v>705</v>
      </c>
      <c r="B590" s="2"/>
      <c r="C590" s="2"/>
      <c r="D590" s="13" t="s">
        <v>447</v>
      </c>
      <c r="E590" s="2" t="s">
        <v>706</v>
      </c>
      <c r="H590" t="s">
        <v>19</v>
      </c>
      <c r="J590" s="10" t="s">
        <v>2688</v>
      </c>
      <c r="U590" s="10" t="str">
        <f t="shared" ca="1" si="20"/>
        <v/>
      </c>
      <c r="V590" s="10" t="str">
        <f t="shared" ca="1" si="21"/>
        <v/>
      </c>
      <c r="AE590" s="10" t="s">
        <v>2651</v>
      </c>
    </row>
    <row r="591" spans="1:31" hidden="1">
      <c r="A591" s="2" t="s">
        <v>705</v>
      </c>
      <c r="B591" s="2"/>
      <c r="C591" s="2"/>
      <c r="D591" s="13" t="s">
        <v>2009</v>
      </c>
      <c r="E591" t="s">
        <v>2010</v>
      </c>
      <c r="J591" s="10" t="s">
        <v>2688</v>
      </c>
      <c r="U591" s="10" t="str">
        <f t="shared" ca="1" si="20"/>
        <v/>
      </c>
      <c r="V591" s="10" t="str">
        <f t="shared" ca="1" si="21"/>
        <v/>
      </c>
      <c r="AE591" s="10" t="s">
        <v>2645</v>
      </c>
    </row>
    <row r="592" spans="1:31" hidden="1">
      <c r="A592" s="2" t="s">
        <v>707</v>
      </c>
      <c r="B592" s="2"/>
      <c r="C592" s="2"/>
      <c r="D592" s="2" t="s">
        <v>2011</v>
      </c>
      <c r="E592" s="2" t="s">
        <v>2012</v>
      </c>
      <c r="H592" t="s">
        <v>19</v>
      </c>
      <c r="J592" s="10" t="s">
        <v>2686</v>
      </c>
      <c r="T592" s="10">
        <f>2475-99</f>
        <v>2376</v>
      </c>
      <c r="U592" s="10">
        <f t="shared" ca="1" si="20"/>
        <v>99</v>
      </c>
      <c r="V592" s="10">
        <f t="shared" ca="1" si="21"/>
        <v>2475</v>
      </c>
    </row>
    <row r="593" spans="1:31" hidden="1">
      <c r="A593" s="2" t="s">
        <v>707</v>
      </c>
      <c r="B593" s="2"/>
      <c r="C593" s="2"/>
      <c r="D593" s="13" t="s">
        <v>2013</v>
      </c>
      <c r="E593" t="s">
        <v>2014</v>
      </c>
      <c r="J593" s="10" t="s">
        <v>2688</v>
      </c>
      <c r="U593" s="10" t="str">
        <f t="shared" ca="1" si="20"/>
        <v/>
      </c>
      <c r="V593" s="10" t="str">
        <f t="shared" ca="1" si="21"/>
        <v/>
      </c>
      <c r="AB593" s="10" t="s">
        <v>2798</v>
      </c>
      <c r="AD593" s="10" t="s">
        <v>19</v>
      </c>
    </row>
    <row r="594" spans="1:31" hidden="1">
      <c r="A594" s="2" t="s">
        <v>708</v>
      </c>
      <c r="B594" s="2"/>
      <c r="C594" s="2"/>
      <c r="D594" s="2" t="s">
        <v>2015</v>
      </c>
      <c r="E594" s="2" t="s">
        <v>2016</v>
      </c>
      <c r="F594" t="s">
        <v>11</v>
      </c>
      <c r="U594" s="10" t="str">
        <f t="shared" ca="1" si="20"/>
        <v/>
      </c>
      <c r="V594" s="10" t="str">
        <f t="shared" ca="1" si="21"/>
        <v/>
      </c>
    </row>
    <row r="595" spans="1:31" hidden="1">
      <c r="A595" s="2" t="s">
        <v>708</v>
      </c>
      <c r="B595" s="2"/>
      <c r="C595" s="2"/>
      <c r="D595" s="13" t="s">
        <v>825</v>
      </c>
      <c r="E595" s="2" t="s">
        <v>709</v>
      </c>
      <c r="H595" t="s">
        <v>19</v>
      </c>
      <c r="J595" s="10" t="s">
        <v>2686</v>
      </c>
      <c r="T595" s="10">
        <f>0-11</f>
        <v>-11</v>
      </c>
      <c r="U595" s="10">
        <f t="shared" ca="1" si="20"/>
        <v>11</v>
      </c>
      <c r="V595" s="10">
        <f t="shared" ca="1" si="21"/>
        <v>0</v>
      </c>
    </row>
    <row r="596" spans="1:31" ht="29" hidden="1">
      <c r="A596" s="2" t="s">
        <v>710</v>
      </c>
      <c r="B596" s="2"/>
      <c r="C596" s="2"/>
      <c r="D596" s="2" t="s">
        <v>2915</v>
      </c>
      <c r="E596" s="2" t="s">
        <v>2940</v>
      </c>
      <c r="H596" t="s">
        <v>19</v>
      </c>
      <c r="J596" s="10" t="s">
        <v>2688</v>
      </c>
      <c r="U596" s="10" t="str">
        <f t="shared" ca="1" si="20"/>
        <v/>
      </c>
      <c r="V596" s="10" t="str">
        <f t="shared" ca="1" si="21"/>
        <v/>
      </c>
      <c r="AE596" s="10" t="s">
        <v>2651</v>
      </c>
    </row>
    <row r="597" spans="1:31" ht="29">
      <c r="A597" s="2" t="s">
        <v>710</v>
      </c>
      <c r="B597" s="2"/>
      <c r="C597" s="2"/>
      <c r="D597" s="2" t="s">
        <v>2916</v>
      </c>
      <c r="E597" s="2" t="s">
        <v>2917</v>
      </c>
      <c r="G597" t="s">
        <v>20</v>
      </c>
      <c r="I597" t="s">
        <v>2017</v>
      </c>
      <c r="U597" s="10" t="str">
        <f t="shared" ca="1" si="20"/>
        <v/>
      </c>
      <c r="V597" s="10" t="str">
        <f t="shared" ca="1" si="21"/>
        <v/>
      </c>
    </row>
    <row r="598" spans="1:31" hidden="1">
      <c r="A598" s="2" t="s">
        <v>711</v>
      </c>
      <c r="B598" s="2"/>
      <c r="C598" s="2"/>
      <c r="D598" s="3" t="s">
        <v>2018</v>
      </c>
      <c r="E598" s="2" t="s">
        <v>2019</v>
      </c>
      <c r="F598" t="s">
        <v>13</v>
      </c>
      <c r="J598" s="10" t="s">
        <v>2686</v>
      </c>
      <c r="T598" s="10">
        <f>0-171</f>
        <v>-171</v>
      </c>
      <c r="U598" s="10">
        <f t="shared" ca="1" si="20"/>
        <v>171</v>
      </c>
      <c r="V598" s="10">
        <f t="shared" ca="1" si="21"/>
        <v>0</v>
      </c>
    </row>
    <row r="599" spans="1:31" hidden="1">
      <c r="A599" s="2" t="s">
        <v>711</v>
      </c>
      <c r="B599" s="2"/>
      <c r="C599" s="2"/>
      <c r="D599" s="2" t="s">
        <v>2020</v>
      </c>
      <c r="E599" s="2" t="s">
        <v>2021</v>
      </c>
      <c r="J599" s="10" t="s">
        <v>2688</v>
      </c>
      <c r="U599" s="10" t="str">
        <f t="shared" ca="1" si="20"/>
        <v/>
      </c>
      <c r="V599" s="10" t="str">
        <f t="shared" ca="1" si="21"/>
        <v/>
      </c>
      <c r="AC599" s="10" t="s">
        <v>2799</v>
      </c>
      <c r="AD599" s="10" t="s">
        <v>19</v>
      </c>
    </row>
    <row r="600" spans="1:31" hidden="1">
      <c r="A600" s="2" t="s">
        <v>712</v>
      </c>
      <c r="B600" s="2"/>
      <c r="C600" s="2"/>
      <c r="D600" s="2" t="s">
        <v>2022</v>
      </c>
      <c r="E600" s="2" t="s">
        <v>713</v>
      </c>
      <c r="J600" s="10" t="s">
        <v>2688</v>
      </c>
      <c r="T600" s="10">
        <f>0-6</f>
        <v>-6</v>
      </c>
      <c r="U600" s="10">
        <f t="shared" ca="1" si="20"/>
        <v>6</v>
      </c>
      <c r="V600" s="10">
        <f t="shared" ca="1" si="21"/>
        <v>0</v>
      </c>
    </row>
    <row r="601" spans="1:31" hidden="1">
      <c r="A601" s="2" t="s">
        <v>712</v>
      </c>
      <c r="B601" s="2"/>
      <c r="C601" s="2"/>
      <c r="D601" s="2" t="s">
        <v>715</v>
      </c>
      <c r="E601" s="2" t="s">
        <v>714</v>
      </c>
      <c r="J601" s="10" t="s">
        <v>2688</v>
      </c>
      <c r="U601" s="10" t="str">
        <f t="shared" ca="1" si="20"/>
        <v/>
      </c>
      <c r="V601" s="10" t="str">
        <f t="shared" ca="1" si="21"/>
        <v/>
      </c>
      <c r="AE601" s="10" t="s">
        <v>2654</v>
      </c>
    </row>
    <row r="602" spans="1:31" ht="87">
      <c r="A602" s="2" t="s">
        <v>716</v>
      </c>
      <c r="B602" s="2"/>
      <c r="C602" s="2"/>
      <c r="D602" s="2" t="s">
        <v>2024</v>
      </c>
      <c r="E602" s="2" t="s">
        <v>2023</v>
      </c>
      <c r="I602" t="s">
        <v>2743</v>
      </c>
      <c r="J602" s="10" t="s">
        <v>25</v>
      </c>
      <c r="L602" s="10">
        <v>13</v>
      </c>
      <c r="M602" s="10">
        <v>61</v>
      </c>
      <c r="O602" s="10" t="s">
        <v>2641</v>
      </c>
      <c r="P602" s="10" t="s">
        <v>2724</v>
      </c>
      <c r="Q602" s="11" t="s">
        <v>2725</v>
      </c>
      <c r="S602" s="10">
        <v>1</v>
      </c>
      <c r="U602" s="10" t="str">
        <f t="shared" ca="1" si="20"/>
        <v/>
      </c>
      <c r="V602" s="10" t="str">
        <f t="shared" ca="1" si="21"/>
        <v/>
      </c>
    </row>
    <row r="603" spans="1:31" hidden="1">
      <c r="A603" s="2" t="s">
        <v>717</v>
      </c>
      <c r="B603" s="2"/>
      <c r="C603" s="2"/>
      <c r="D603" s="2" t="s">
        <v>2025</v>
      </c>
      <c r="E603" s="2" t="s">
        <v>718</v>
      </c>
      <c r="F603" t="s">
        <v>17</v>
      </c>
      <c r="H603" t="s">
        <v>19</v>
      </c>
      <c r="J603" s="10" t="s">
        <v>2688</v>
      </c>
      <c r="U603" s="10" t="str">
        <f t="shared" ca="1" si="20"/>
        <v/>
      </c>
      <c r="V603" s="10" t="str">
        <f t="shared" ca="1" si="21"/>
        <v/>
      </c>
      <c r="AE603" s="10" t="s">
        <v>2645</v>
      </c>
    </row>
    <row r="604" spans="1:31" hidden="1">
      <c r="A604" s="2" t="s">
        <v>719</v>
      </c>
      <c r="B604" s="2"/>
      <c r="C604" s="2"/>
      <c r="D604" s="2" t="s">
        <v>721</v>
      </c>
      <c r="E604" s="2" t="s">
        <v>720</v>
      </c>
      <c r="G604" t="s">
        <v>19</v>
      </c>
      <c r="J604" s="10" t="s">
        <v>2686</v>
      </c>
      <c r="T604" s="10">
        <f>1-2</f>
        <v>-1</v>
      </c>
      <c r="U604" s="10">
        <f t="shared" ca="1" si="20"/>
        <v>2</v>
      </c>
      <c r="V604" s="10">
        <f t="shared" ca="1" si="21"/>
        <v>1</v>
      </c>
    </row>
    <row r="605" spans="1:31" hidden="1">
      <c r="A605" s="2" t="s">
        <v>722</v>
      </c>
      <c r="B605" s="2"/>
      <c r="C605" s="2"/>
      <c r="D605" s="2" t="s">
        <v>724</v>
      </c>
      <c r="E605" s="2" t="s">
        <v>723</v>
      </c>
      <c r="J605" s="10" t="s">
        <v>2688</v>
      </c>
      <c r="U605" s="10" t="str">
        <f t="shared" ca="1" si="20"/>
        <v/>
      </c>
      <c r="V605" s="10" t="str">
        <f t="shared" ca="1" si="21"/>
        <v/>
      </c>
      <c r="AC605" s="10" t="s">
        <v>2709</v>
      </c>
      <c r="AD605" s="10" t="s">
        <v>19</v>
      </c>
    </row>
    <row r="606" spans="1:31" ht="29" hidden="1">
      <c r="A606" s="2" t="s">
        <v>725</v>
      </c>
      <c r="B606" s="2"/>
      <c r="C606" s="2"/>
      <c r="D606" s="2" t="s">
        <v>2028</v>
      </c>
      <c r="E606" s="2" t="s">
        <v>2027</v>
      </c>
      <c r="H606" t="s">
        <v>19</v>
      </c>
      <c r="J606" s="10" t="s">
        <v>24</v>
      </c>
      <c r="L606" s="10">
        <v>1</v>
      </c>
      <c r="M606" s="10">
        <v>3</v>
      </c>
      <c r="N606" s="10" t="s">
        <v>2655</v>
      </c>
      <c r="O606" s="10" t="s">
        <v>2647</v>
      </c>
      <c r="S606" s="10">
        <v>1701</v>
      </c>
      <c r="U606" s="10" t="str">
        <f t="shared" ca="1" si="20"/>
        <v/>
      </c>
      <c r="V606" s="10" t="str">
        <f t="shared" ca="1" si="21"/>
        <v/>
      </c>
    </row>
    <row r="607" spans="1:31" hidden="1">
      <c r="A607" s="2" t="s">
        <v>725</v>
      </c>
      <c r="B607" s="2"/>
      <c r="C607" s="2"/>
      <c r="D607" s="2" t="s">
        <v>2029</v>
      </c>
      <c r="E607" s="2" t="s">
        <v>2030</v>
      </c>
      <c r="H607" t="s">
        <v>19</v>
      </c>
      <c r="J607" s="10" t="s">
        <v>24</v>
      </c>
      <c r="L607" s="10">
        <v>1</v>
      </c>
      <c r="M607" s="10">
        <v>1</v>
      </c>
      <c r="N607" s="10" t="s">
        <v>2646</v>
      </c>
      <c r="O607" s="10" t="s">
        <v>2687</v>
      </c>
      <c r="S607" s="10">
        <v>2475</v>
      </c>
      <c r="U607" s="10" t="str">
        <f t="shared" ca="1" si="20"/>
        <v/>
      </c>
      <c r="V607" s="10" t="str">
        <f t="shared" ca="1" si="21"/>
        <v/>
      </c>
      <c r="AE607" s="10" t="s">
        <v>2651</v>
      </c>
    </row>
    <row r="608" spans="1:31" hidden="1">
      <c r="A608" s="2" t="s">
        <v>726</v>
      </c>
      <c r="B608" s="2"/>
      <c r="C608" s="2"/>
      <c r="D608" s="2" t="s">
        <v>2031</v>
      </c>
      <c r="E608" s="2" t="s">
        <v>727</v>
      </c>
      <c r="H608" t="s">
        <v>19</v>
      </c>
      <c r="J608" s="10" t="s">
        <v>2686</v>
      </c>
      <c r="T608" s="10" t="s">
        <v>2696</v>
      </c>
      <c r="U608" s="10" t="str">
        <f t="shared" ca="1" si="20"/>
        <v/>
      </c>
      <c r="V608" s="10" t="str">
        <f t="shared" ca="1" si="21"/>
        <v/>
      </c>
      <c r="AE608" s="10" t="s">
        <v>2645</v>
      </c>
    </row>
    <row r="609" spans="1:31" hidden="1">
      <c r="A609" s="2" t="s">
        <v>728</v>
      </c>
      <c r="B609" s="2"/>
      <c r="C609" s="2"/>
      <c r="D609" s="13" t="s">
        <v>2032</v>
      </c>
      <c r="E609" s="2" t="s">
        <v>729</v>
      </c>
      <c r="H609" t="s">
        <v>19</v>
      </c>
      <c r="J609" s="10" t="s">
        <v>2686</v>
      </c>
      <c r="T609" s="10" t="s">
        <v>2696</v>
      </c>
      <c r="U609" s="10" t="str">
        <f t="shared" ca="1" si="20"/>
        <v/>
      </c>
      <c r="V609" s="10" t="str">
        <f t="shared" ca="1" si="21"/>
        <v/>
      </c>
      <c r="AC609" s="10" t="s">
        <v>2800</v>
      </c>
      <c r="AD609" s="10" t="s">
        <v>19</v>
      </c>
      <c r="AE609" s="10" t="s">
        <v>2645</v>
      </c>
    </row>
    <row r="610" spans="1:31" hidden="1">
      <c r="A610" s="2" t="s">
        <v>728</v>
      </c>
      <c r="B610" s="2"/>
      <c r="C610" s="2"/>
      <c r="D610" s="2" t="s">
        <v>731</v>
      </c>
      <c r="E610" s="2" t="s">
        <v>730</v>
      </c>
      <c r="J610" s="10" t="s">
        <v>2688</v>
      </c>
      <c r="U610" s="10" t="str">
        <f t="shared" ca="1" si="20"/>
        <v/>
      </c>
      <c r="V610" s="10" t="str">
        <f t="shared" ca="1" si="21"/>
        <v/>
      </c>
    </row>
    <row r="611" spans="1:31" hidden="1">
      <c r="A611" s="2" t="s">
        <v>732</v>
      </c>
      <c r="B611" s="2"/>
      <c r="C611" s="2"/>
      <c r="D611" s="3" t="s">
        <v>2033</v>
      </c>
      <c r="E611" s="2" t="s">
        <v>2034</v>
      </c>
      <c r="F611" t="s">
        <v>15</v>
      </c>
      <c r="U611" s="10" t="str">
        <f t="shared" ca="1" si="20"/>
        <v/>
      </c>
      <c r="V611" s="10" t="str">
        <f t="shared" ca="1" si="21"/>
        <v/>
      </c>
    </row>
    <row r="612" spans="1:31" hidden="1">
      <c r="A612" s="2" t="s">
        <v>732</v>
      </c>
      <c r="B612" s="2"/>
      <c r="C612" s="2"/>
      <c r="D612" s="2" t="s">
        <v>2036</v>
      </c>
      <c r="E612" s="2" t="s">
        <v>2035</v>
      </c>
      <c r="H612" t="s">
        <v>19</v>
      </c>
      <c r="J612" s="10" t="s">
        <v>2686</v>
      </c>
      <c r="T612" s="10">
        <f>743-312</f>
        <v>431</v>
      </c>
      <c r="U612" s="10">
        <f t="shared" ca="1" si="20"/>
        <v>312</v>
      </c>
      <c r="V612" s="10">
        <f t="shared" ca="1" si="21"/>
        <v>743</v>
      </c>
    </row>
    <row r="613" spans="1:31" hidden="1">
      <c r="A613" s="2" t="s">
        <v>732</v>
      </c>
      <c r="B613" s="2"/>
      <c r="C613" s="2"/>
      <c r="D613" s="2" t="s">
        <v>2037</v>
      </c>
      <c r="E613" s="2" t="s">
        <v>2038</v>
      </c>
      <c r="H613" t="s">
        <v>19</v>
      </c>
      <c r="J613" s="10" t="s">
        <v>25</v>
      </c>
      <c r="L613" s="10">
        <v>1</v>
      </c>
      <c r="M613" s="10">
        <v>3</v>
      </c>
      <c r="N613" s="10" t="s">
        <v>2655</v>
      </c>
      <c r="O613" s="10" t="s">
        <v>2647</v>
      </c>
      <c r="S613" s="10">
        <v>1701</v>
      </c>
      <c r="U613" s="10" t="str">
        <f t="shared" ca="1" si="20"/>
        <v/>
      </c>
      <c r="V613" s="10" t="str">
        <f t="shared" ca="1" si="21"/>
        <v/>
      </c>
    </row>
    <row r="614" spans="1:31" ht="29" hidden="1">
      <c r="A614" s="2" t="s">
        <v>733</v>
      </c>
      <c r="B614" s="2"/>
      <c r="C614" s="2"/>
      <c r="D614" s="2" t="s">
        <v>2039</v>
      </c>
      <c r="E614" s="2" t="s">
        <v>2040</v>
      </c>
      <c r="H614" t="s">
        <v>19</v>
      </c>
      <c r="J614" s="10" t="s">
        <v>24</v>
      </c>
      <c r="L614" s="10">
        <v>1</v>
      </c>
      <c r="M614" s="10">
        <v>1</v>
      </c>
      <c r="N614" s="10" t="s">
        <v>2662</v>
      </c>
      <c r="O614" s="10" t="s">
        <v>2687</v>
      </c>
      <c r="S614" s="10">
        <v>99</v>
      </c>
      <c r="U614" s="10" t="str">
        <f t="shared" ca="1" si="20"/>
        <v/>
      </c>
      <c r="V614" s="10" t="str">
        <f t="shared" ca="1" si="21"/>
        <v/>
      </c>
      <c r="AE614" s="10" t="s">
        <v>2651</v>
      </c>
    </row>
    <row r="615" spans="1:31" ht="29" hidden="1">
      <c r="A615" s="2" t="s">
        <v>733</v>
      </c>
      <c r="B615" s="2"/>
      <c r="C615" s="2"/>
      <c r="D615" s="2" t="s">
        <v>2041</v>
      </c>
      <c r="E615" s="2" t="s">
        <v>2042</v>
      </c>
      <c r="H615" t="s">
        <v>19</v>
      </c>
      <c r="J615" s="10" t="s">
        <v>2688</v>
      </c>
      <c r="U615" s="10" t="str">
        <f t="shared" ca="1" si="20"/>
        <v/>
      </c>
      <c r="V615" s="10" t="str">
        <f t="shared" ca="1" si="21"/>
        <v/>
      </c>
      <c r="AE615" s="10" t="s">
        <v>2645</v>
      </c>
    </row>
    <row r="616" spans="1:31" hidden="1">
      <c r="A616" s="2" t="s">
        <v>733</v>
      </c>
      <c r="B616" s="2"/>
      <c r="C616" s="2"/>
      <c r="D616" s="2" t="s">
        <v>734</v>
      </c>
      <c r="E616" s="2" t="s">
        <v>169</v>
      </c>
      <c r="G616" t="s">
        <v>19</v>
      </c>
      <c r="J616" s="10" t="s">
        <v>2686</v>
      </c>
      <c r="T616" s="10" t="s">
        <v>2696</v>
      </c>
      <c r="U616" s="10" t="str">
        <f t="shared" ca="1" si="20"/>
        <v/>
      </c>
      <c r="V616" s="10" t="str">
        <f t="shared" ca="1" si="21"/>
        <v/>
      </c>
      <c r="AB616" s="10" t="s">
        <v>2692</v>
      </c>
      <c r="AD616" s="10" t="s">
        <v>19</v>
      </c>
    </row>
    <row r="617" spans="1:31" hidden="1">
      <c r="A617" s="2" t="s">
        <v>735</v>
      </c>
      <c r="B617" s="2"/>
      <c r="C617" s="2"/>
      <c r="D617" s="13" t="s">
        <v>2043</v>
      </c>
      <c r="E617" t="s">
        <v>2044</v>
      </c>
      <c r="H617" t="s">
        <v>19</v>
      </c>
      <c r="J617" s="10" t="s">
        <v>2686</v>
      </c>
      <c r="T617" s="10">
        <f>2475-75</f>
        <v>2400</v>
      </c>
      <c r="U617" s="10">
        <f t="shared" ca="1" si="20"/>
        <v>75</v>
      </c>
      <c r="V617" s="10">
        <f t="shared" ca="1" si="21"/>
        <v>2475</v>
      </c>
    </row>
    <row r="618" spans="1:31" hidden="1">
      <c r="A618" s="2" t="s">
        <v>736</v>
      </c>
      <c r="B618" s="2"/>
      <c r="C618" s="2"/>
      <c r="D618" s="2" t="s">
        <v>738</v>
      </c>
      <c r="E618" s="2" t="s">
        <v>737</v>
      </c>
      <c r="J618" s="10" t="s">
        <v>2688</v>
      </c>
      <c r="U618" s="10" t="str">
        <f t="shared" ca="1" si="20"/>
        <v/>
      </c>
      <c r="V618" s="10" t="str">
        <f t="shared" ca="1" si="21"/>
        <v/>
      </c>
    </row>
    <row r="619" spans="1:31" hidden="1">
      <c r="A619" s="2" t="s">
        <v>739</v>
      </c>
      <c r="B619" s="2"/>
      <c r="C619" s="2"/>
      <c r="D619" s="2" t="s">
        <v>2045</v>
      </c>
      <c r="E619" s="2" t="s">
        <v>2046</v>
      </c>
      <c r="H619" t="s">
        <v>19</v>
      </c>
      <c r="J619" s="10" t="s">
        <v>2686</v>
      </c>
      <c r="T619" s="10">
        <f>280-31</f>
        <v>249</v>
      </c>
      <c r="U619" s="10">
        <f t="shared" ca="1" si="20"/>
        <v>31</v>
      </c>
      <c r="V619" s="10">
        <f t="shared" ca="1" si="21"/>
        <v>280</v>
      </c>
    </row>
    <row r="620" spans="1:31" hidden="1">
      <c r="A620" s="2" t="s">
        <v>740</v>
      </c>
      <c r="B620" s="2"/>
      <c r="C620" s="2"/>
      <c r="D620" s="2" t="s">
        <v>2047</v>
      </c>
      <c r="E620" s="2" t="s">
        <v>2048</v>
      </c>
      <c r="H620" t="s">
        <v>19</v>
      </c>
      <c r="J620" s="10" t="s">
        <v>2688</v>
      </c>
      <c r="U620" s="10" t="str">
        <f t="shared" ca="1" si="20"/>
        <v/>
      </c>
      <c r="V620" s="10" t="str">
        <f t="shared" ca="1" si="21"/>
        <v/>
      </c>
      <c r="AE620" s="10" t="s">
        <v>2651</v>
      </c>
    </row>
    <row r="621" spans="1:31" hidden="1">
      <c r="A621" s="2" t="s">
        <v>740</v>
      </c>
      <c r="B621" s="2"/>
      <c r="C621" s="2"/>
      <c r="D621" s="2" t="s">
        <v>742</v>
      </c>
      <c r="E621" s="2" t="s">
        <v>741</v>
      </c>
      <c r="J621" s="10" t="s">
        <v>2688</v>
      </c>
      <c r="U621" s="10" t="str">
        <f t="shared" ca="1" si="20"/>
        <v/>
      </c>
      <c r="V621" s="10" t="str">
        <f t="shared" ca="1" si="21"/>
        <v/>
      </c>
      <c r="AC621" s="10" t="s">
        <v>2709</v>
      </c>
      <c r="AD621" s="10" t="s">
        <v>19</v>
      </c>
    </row>
    <row r="622" spans="1:31" hidden="1">
      <c r="A622" s="2" t="s">
        <v>743</v>
      </c>
      <c r="B622" s="2"/>
      <c r="C622" s="2"/>
      <c r="D622" s="2" t="s">
        <v>745</v>
      </c>
      <c r="E622" s="2" t="s">
        <v>744</v>
      </c>
      <c r="G622" t="s">
        <v>19</v>
      </c>
      <c r="J622" s="10" t="s">
        <v>2688</v>
      </c>
      <c r="U622" s="10" t="str">
        <f t="shared" ca="1" si="20"/>
        <v/>
      </c>
      <c r="V622" s="10" t="str">
        <f t="shared" ca="1" si="21"/>
        <v/>
      </c>
      <c r="AE622" s="10" t="s">
        <v>2657</v>
      </c>
    </row>
    <row r="623" spans="1:31" hidden="1">
      <c r="A623" s="2" t="s">
        <v>746</v>
      </c>
      <c r="B623" s="2"/>
      <c r="C623" s="2"/>
      <c r="D623" s="2" t="s">
        <v>748</v>
      </c>
      <c r="E623" s="2" t="s">
        <v>747</v>
      </c>
      <c r="J623" s="10" t="s">
        <v>2686</v>
      </c>
      <c r="T623" s="10" t="s">
        <v>2696</v>
      </c>
      <c r="U623" s="10" t="str">
        <f t="shared" ca="1" si="20"/>
        <v/>
      </c>
      <c r="V623" s="10" t="str">
        <f t="shared" ca="1" si="21"/>
        <v/>
      </c>
      <c r="AE623" s="10" t="s">
        <v>2645</v>
      </c>
    </row>
    <row r="624" spans="1:31" hidden="1">
      <c r="A624" s="2" t="s">
        <v>749</v>
      </c>
      <c r="B624" s="2"/>
      <c r="C624" s="2"/>
      <c r="D624" s="2" t="s">
        <v>2049</v>
      </c>
      <c r="E624" s="2" t="s">
        <v>2050</v>
      </c>
      <c r="H624" t="s">
        <v>19</v>
      </c>
      <c r="J624" s="10" t="s">
        <v>2688</v>
      </c>
      <c r="U624" s="10" t="str">
        <f t="shared" ca="1" si="20"/>
        <v/>
      </c>
      <c r="V624" s="10" t="str">
        <f t="shared" ca="1" si="21"/>
        <v/>
      </c>
      <c r="AE624" s="10" t="s">
        <v>2651</v>
      </c>
    </row>
    <row r="625" spans="1:31" ht="43.5">
      <c r="A625" s="2" t="s">
        <v>749</v>
      </c>
      <c r="B625" s="2"/>
      <c r="C625" s="2"/>
      <c r="D625" s="3" t="s">
        <v>2051</v>
      </c>
      <c r="E625" s="2" t="s">
        <v>2941</v>
      </c>
      <c r="F625" t="s">
        <v>15</v>
      </c>
      <c r="I625" s="4"/>
      <c r="U625" s="10" t="str">
        <f t="shared" ca="1" si="20"/>
        <v/>
      </c>
      <c r="V625" s="10" t="str">
        <f t="shared" ca="1" si="21"/>
        <v/>
      </c>
    </row>
    <row r="626" spans="1:31" hidden="1">
      <c r="A626" s="2" t="s">
        <v>750</v>
      </c>
      <c r="B626" s="2"/>
      <c r="C626" s="2"/>
      <c r="D626" s="2" t="s">
        <v>2053</v>
      </c>
      <c r="E626" s="2" t="s">
        <v>2052</v>
      </c>
      <c r="H626" t="s">
        <v>19</v>
      </c>
      <c r="J626" s="10" t="s">
        <v>24</v>
      </c>
      <c r="L626" s="10">
        <v>1</v>
      </c>
      <c r="M626" s="10">
        <v>3</v>
      </c>
      <c r="N626" s="10" t="s">
        <v>2660</v>
      </c>
      <c r="O626" s="10" t="s">
        <v>2647</v>
      </c>
      <c r="S626" s="10">
        <v>0</v>
      </c>
      <c r="U626" s="10" t="str">
        <f t="shared" ca="1" si="20"/>
        <v/>
      </c>
      <c r="V626" s="10" t="str">
        <f t="shared" ca="1" si="21"/>
        <v/>
      </c>
      <c r="AE626" s="10" t="s">
        <v>2651</v>
      </c>
    </row>
    <row r="627" spans="1:31" hidden="1">
      <c r="A627" s="2" t="s">
        <v>751</v>
      </c>
      <c r="B627" s="2"/>
      <c r="C627" s="2"/>
      <c r="D627" s="2" t="s">
        <v>753</v>
      </c>
      <c r="E627" s="2" t="s">
        <v>752</v>
      </c>
      <c r="G627" t="s">
        <v>19</v>
      </c>
      <c r="J627" s="10" t="s">
        <v>2688</v>
      </c>
      <c r="U627" s="10" t="str">
        <f t="shared" ca="1" si="20"/>
        <v/>
      </c>
      <c r="V627" s="10" t="str">
        <f t="shared" ca="1" si="21"/>
        <v/>
      </c>
    </row>
    <row r="628" spans="1:31" hidden="1">
      <c r="A628" s="2" t="s">
        <v>751</v>
      </c>
      <c r="B628" s="2"/>
      <c r="C628" s="2"/>
      <c r="D628" s="2" t="s">
        <v>2054</v>
      </c>
      <c r="E628" s="2" t="s">
        <v>2055</v>
      </c>
      <c r="J628" s="10" t="s">
        <v>2688</v>
      </c>
      <c r="U628" s="10" t="str">
        <f t="shared" ca="1" si="20"/>
        <v/>
      </c>
      <c r="V628" s="10" t="str">
        <f t="shared" ca="1" si="21"/>
        <v/>
      </c>
    </row>
    <row r="629" spans="1:31" hidden="1">
      <c r="A629" s="2" t="s">
        <v>751</v>
      </c>
      <c r="B629" s="2"/>
      <c r="C629" s="2"/>
      <c r="D629" s="2" t="s">
        <v>278</v>
      </c>
      <c r="E629" s="2" t="s">
        <v>279</v>
      </c>
      <c r="J629" s="10" t="s">
        <v>2686</v>
      </c>
      <c r="T629" s="10">
        <f>7-10</f>
        <v>-3</v>
      </c>
      <c r="U629" s="10">
        <f t="shared" ca="1" si="20"/>
        <v>10</v>
      </c>
      <c r="V629" s="10">
        <f t="shared" ca="1" si="21"/>
        <v>7</v>
      </c>
    </row>
    <row r="630" spans="1:31" hidden="1">
      <c r="A630" s="2" t="s">
        <v>754</v>
      </c>
      <c r="B630" s="2"/>
      <c r="C630" s="2"/>
      <c r="D630" t="s">
        <v>2056</v>
      </c>
      <c r="E630" s="2" t="s">
        <v>755</v>
      </c>
      <c r="F630" t="s">
        <v>17</v>
      </c>
      <c r="H630" t="s">
        <v>19</v>
      </c>
      <c r="U630" s="10" t="str">
        <f t="shared" ca="1" si="20"/>
        <v/>
      </c>
      <c r="V630" s="10" t="str">
        <f t="shared" ca="1" si="21"/>
        <v/>
      </c>
    </row>
    <row r="631" spans="1:31" hidden="1">
      <c r="A631" s="2" t="s">
        <v>756</v>
      </c>
      <c r="B631" s="2"/>
      <c r="C631" s="2"/>
      <c r="D631" s="2" t="s">
        <v>2058</v>
      </c>
      <c r="E631" s="2" t="s">
        <v>2057</v>
      </c>
      <c r="H631" t="s">
        <v>19</v>
      </c>
      <c r="J631" s="10" t="s">
        <v>2686</v>
      </c>
      <c r="T631" s="10">
        <f>312-743</f>
        <v>-431</v>
      </c>
      <c r="U631" s="10">
        <f t="shared" ca="1" si="20"/>
        <v>743</v>
      </c>
      <c r="V631" s="10">
        <f t="shared" ca="1" si="21"/>
        <v>312</v>
      </c>
    </row>
    <row r="632" spans="1:31" hidden="1">
      <c r="A632" s="2" t="s">
        <v>757</v>
      </c>
      <c r="B632" s="2"/>
      <c r="C632" s="2"/>
      <c r="D632" s="2" t="s">
        <v>2744</v>
      </c>
      <c r="E632" s="2" t="s">
        <v>2745</v>
      </c>
      <c r="H632" t="s">
        <v>19</v>
      </c>
      <c r="J632" s="10" t="s">
        <v>2688</v>
      </c>
      <c r="U632" s="10" t="str">
        <f t="shared" ca="1" si="20"/>
        <v/>
      </c>
      <c r="V632" s="10" t="str">
        <f t="shared" ca="1" si="21"/>
        <v/>
      </c>
      <c r="AE632" s="10" t="s">
        <v>2651</v>
      </c>
    </row>
    <row r="633" spans="1:31" hidden="1">
      <c r="A633" s="2" t="s">
        <v>758</v>
      </c>
      <c r="B633" s="2"/>
      <c r="C633" s="2"/>
      <c r="D633" s="8" t="s">
        <v>608</v>
      </c>
      <c r="E633" s="8" t="s">
        <v>607</v>
      </c>
      <c r="F633" t="s">
        <v>36</v>
      </c>
      <c r="J633" s="10" t="s">
        <v>2686</v>
      </c>
      <c r="T633" s="10" t="s">
        <v>2696</v>
      </c>
      <c r="U633" s="10" t="str">
        <f t="shared" ca="1" si="20"/>
        <v/>
      </c>
      <c r="V633" s="10" t="str">
        <f t="shared" ca="1" si="21"/>
        <v/>
      </c>
      <c r="AE633" s="10" t="s">
        <v>2654</v>
      </c>
    </row>
    <row r="634" spans="1:31" ht="29" hidden="1">
      <c r="A634" s="2" t="s">
        <v>758</v>
      </c>
      <c r="B634" s="2"/>
      <c r="C634" s="2"/>
      <c r="D634" s="2" t="s">
        <v>2060</v>
      </c>
      <c r="E634" s="2" t="s">
        <v>2059</v>
      </c>
      <c r="G634" t="s">
        <v>19</v>
      </c>
      <c r="J634" s="10" t="s">
        <v>2688</v>
      </c>
      <c r="U634" s="10" t="str">
        <f t="shared" ca="1" si="20"/>
        <v/>
      </c>
      <c r="V634" s="10" t="str">
        <f t="shared" ca="1" si="21"/>
        <v/>
      </c>
      <c r="AE634" s="10" t="s">
        <v>2657</v>
      </c>
    </row>
    <row r="635" spans="1:31" hidden="1">
      <c r="A635" s="2" t="s">
        <v>759</v>
      </c>
      <c r="B635" s="2"/>
      <c r="C635" s="2"/>
      <c r="D635" s="2" t="s">
        <v>2061</v>
      </c>
      <c r="E635" s="2" t="s">
        <v>2062</v>
      </c>
      <c r="J635" s="10" t="s">
        <v>2688</v>
      </c>
      <c r="U635" s="10" t="str">
        <f t="shared" ref="U635:U694" ca="1" si="22">IF(ISNUMBER(T635),VALUE(MID(_xlfn.FORMULATEXT(T635),SEARCH("-",_xlfn.FORMULATEXT(T635))+1,LEN(_xlfn.FORMULATEXT(T635))-SEARCH("-",_xlfn.FORMULATEXT(T635)))), "")</f>
        <v/>
      </c>
      <c r="V635" s="10" t="str">
        <f t="shared" ref="V635:V694" ca="1" si="23">IF(ISNUMBER(T635), VALUE(MID(_xlfn.FORMULATEXT(T635), 2, SEARCH("-", _xlfn.FORMULATEXT(T635)) - 2)), "")</f>
        <v/>
      </c>
      <c r="AE635" s="10" t="s">
        <v>2651</v>
      </c>
    </row>
    <row r="636" spans="1:31" hidden="1">
      <c r="A636" s="2" t="s">
        <v>759</v>
      </c>
      <c r="B636" s="2"/>
      <c r="C636" s="2"/>
      <c r="D636" s="2" t="s">
        <v>2063</v>
      </c>
      <c r="E636" s="2" t="s">
        <v>2064</v>
      </c>
      <c r="H636" t="s">
        <v>19</v>
      </c>
      <c r="J636" s="10" t="s">
        <v>2686</v>
      </c>
      <c r="T636" s="10">
        <f>1-79</f>
        <v>-78</v>
      </c>
      <c r="U636" s="10">
        <f t="shared" ca="1" si="22"/>
        <v>79</v>
      </c>
      <c r="V636" s="10">
        <f t="shared" ca="1" si="23"/>
        <v>1</v>
      </c>
    </row>
    <row r="637" spans="1:31" hidden="1">
      <c r="A637" s="2" t="s">
        <v>760</v>
      </c>
      <c r="B637" s="2"/>
      <c r="C637" s="2"/>
      <c r="D637" s="2" t="s">
        <v>762</v>
      </c>
      <c r="E637" s="2" t="s">
        <v>761</v>
      </c>
      <c r="J637" s="10" t="s">
        <v>2688</v>
      </c>
      <c r="U637" s="10" t="str">
        <f t="shared" ca="1" si="22"/>
        <v/>
      </c>
      <c r="V637" s="10" t="str">
        <f t="shared" ca="1" si="23"/>
        <v/>
      </c>
      <c r="AC637" s="10" t="s">
        <v>2701</v>
      </c>
      <c r="AD637" s="10" t="s">
        <v>19</v>
      </c>
    </row>
    <row r="638" spans="1:31" hidden="1">
      <c r="A638" s="2" t="s">
        <v>763</v>
      </c>
      <c r="B638" s="2"/>
      <c r="C638" s="2"/>
      <c r="D638" s="2" t="s">
        <v>2066</v>
      </c>
      <c r="E638" s="2" t="s">
        <v>2065</v>
      </c>
      <c r="H638" t="s">
        <v>19</v>
      </c>
      <c r="J638" s="10" t="s">
        <v>2686</v>
      </c>
      <c r="T638" s="10">
        <f>25-6</f>
        <v>19</v>
      </c>
      <c r="U638" s="10">
        <f t="shared" ca="1" si="22"/>
        <v>6</v>
      </c>
      <c r="V638" s="10">
        <f t="shared" ca="1" si="23"/>
        <v>25</v>
      </c>
    </row>
    <row r="639" spans="1:31" hidden="1">
      <c r="A639" s="2" t="s">
        <v>763</v>
      </c>
      <c r="B639" s="2"/>
      <c r="C639" s="2"/>
      <c r="D639" s="13" t="s">
        <v>2067</v>
      </c>
      <c r="E639" s="2" t="s">
        <v>764</v>
      </c>
      <c r="J639" s="10" t="s">
        <v>2688</v>
      </c>
      <c r="U639" s="10" t="str">
        <f t="shared" ca="1" si="22"/>
        <v/>
      </c>
      <c r="V639" s="10" t="str">
        <f t="shared" ca="1" si="23"/>
        <v/>
      </c>
    </row>
    <row r="640" spans="1:31" hidden="1">
      <c r="A640" s="2" t="s">
        <v>765</v>
      </c>
      <c r="B640" s="2"/>
      <c r="C640" s="2"/>
      <c r="D640" s="7" t="s">
        <v>767</v>
      </c>
      <c r="E640" s="2" t="s">
        <v>766</v>
      </c>
      <c r="F640" t="s">
        <v>15</v>
      </c>
      <c r="U640" s="10" t="str">
        <f t="shared" ca="1" si="22"/>
        <v/>
      </c>
      <c r="V640" s="10" t="str">
        <f t="shared" ca="1" si="23"/>
        <v/>
      </c>
    </row>
    <row r="641" spans="1:31" hidden="1">
      <c r="A641" s="2" t="s">
        <v>765</v>
      </c>
      <c r="B641" s="2"/>
      <c r="C641" s="2"/>
      <c r="D641" s="13" t="s">
        <v>2068</v>
      </c>
      <c r="E641" s="2" t="s">
        <v>113</v>
      </c>
      <c r="H641" t="s">
        <v>19</v>
      </c>
      <c r="J641" s="10" t="s">
        <v>2688</v>
      </c>
      <c r="U641" s="10" t="str">
        <f t="shared" ca="1" si="22"/>
        <v/>
      </c>
      <c r="V641" s="10" t="str">
        <f t="shared" ca="1" si="23"/>
        <v/>
      </c>
      <c r="AE641" s="10" t="s">
        <v>2651</v>
      </c>
    </row>
    <row r="642" spans="1:31" hidden="1">
      <c r="A642" s="2" t="s">
        <v>765</v>
      </c>
      <c r="B642" s="2"/>
      <c r="C642" s="2"/>
      <c r="D642" s="2" t="s">
        <v>2069</v>
      </c>
      <c r="E642" t="s">
        <v>2070</v>
      </c>
      <c r="J642" s="10" t="s">
        <v>2688</v>
      </c>
      <c r="U642" s="10" t="str">
        <f t="shared" ca="1" si="22"/>
        <v/>
      </c>
      <c r="V642" s="10" t="str">
        <f t="shared" ca="1" si="23"/>
        <v/>
      </c>
      <c r="AC642" s="10" t="s">
        <v>2746</v>
      </c>
      <c r="AD642" s="10" t="s">
        <v>19</v>
      </c>
      <c r="AE642" s="10" t="s">
        <v>2645</v>
      </c>
    </row>
    <row r="643" spans="1:31" hidden="1">
      <c r="A643" s="2" t="s">
        <v>768</v>
      </c>
      <c r="B643" s="2"/>
      <c r="C643" s="2"/>
      <c r="D643" s="2" t="s">
        <v>769</v>
      </c>
      <c r="E643" s="2" t="s">
        <v>554</v>
      </c>
      <c r="J643" s="10" t="s">
        <v>2688</v>
      </c>
      <c r="U643" s="10" t="str">
        <f t="shared" ca="1" si="22"/>
        <v/>
      </c>
      <c r="V643" s="10" t="str">
        <f t="shared" ca="1" si="23"/>
        <v/>
      </c>
    </row>
    <row r="644" spans="1:31">
      <c r="A644" s="2" t="s">
        <v>768</v>
      </c>
      <c r="B644" s="2"/>
      <c r="C644" s="2"/>
      <c r="D644" s="3" t="s">
        <v>771</v>
      </c>
      <c r="E644" s="2" t="s">
        <v>770</v>
      </c>
      <c r="F644" t="s">
        <v>31</v>
      </c>
      <c r="I644" t="s">
        <v>2071</v>
      </c>
      <c r="J644" s="10" t="s">
        <v>2688</v>
      </c>
      <c r="U644" s="10" t="str">
        <f t="shared" ca="1" si="22"/>
        <v/>
      </c>
      <c r="V644" s="10" t="str">
        <f t="shared" ca="1" si="23"/>
        <v/>
      </c>
    </row>
    <row r="645" spans="1:31" ht="29" hidden="1">
      <c r="A645" s="2" t="s">
        <v>772</v>
      </c>
      <c r="B645" s="2"/>
      <c r="C645" s="2"/>
      <c r="D645" s="3" t="s">
        <v>2073</v>
      </c>
      <c r="E645" s="2" t="s">
        <v>2072</v>
      </c>
      <c r="F645" t="s">
        <v>15</v>
      </c>
      <c r="U645" s="10" t="str">
        <f t="shared" ca="1" si="22"/>
        <v/>
      </c>
      <c r="V645" s="10" t="str">
        <f t="shared" ca="1" si="23"/>
        <v/>
      </c>
    </row>
    <row r="646" spans="1:31" hidden="1">
      <c r="A646" s="2" t="s">
        <v>773</v>
      </c>
      <c r="B646" s="2"/>
      <c r="C646" s="2"/>
      <c r="D646" s="13" t="s">
        <v>2074</v>
      </c>
      <c r="E646" t="s">
        <v>2075</v>
      </c>
      <c r="H646" t="s">
        <v>19</v>
      </c>
      <c r="J646" s="10" t="s">
        <v>24</v>
      </c>
      <c r="L646" s="10">
        <v>1</v>
      </c>
      <c r="M646" s="10">
        <v>1</v>
      </c>
      <c r="N646" s="10" t="s">
        <v>2646</v>
      </c>
      <c r="O646" s="10" t="s">
        <v>2687</v>
      </c>
      <c r="S646" s="10">
        <v>2475</v>
      </c>
      <c r="U646" s="10" t="str">
        <f t="shared" ca="1" si="22"/>
        <v/>
      </c>
      <c r="V646" s="10" t="str">
        <f t="shared" ca="1" si="23"/>
        <v/>
      </c>
    </row>
    <row r="647" spans="1:31" ht="29">
      <c r="A647" s="2" t="s">
        <v>774</v>
      </c>
      <c r="B647" s="2"/>
      <c r="C647" s="2"/>
      <c r="D647" s="2" t="s">
        <v>2076</v>
      </c>
      <c r="E647" s="2" t="s">
        <v>2077</v>
      </c>
      <c r="I647" t="s">
        <v>2747</v>
      </c>
      <c r="J647" s="10" t="s">
        <v>24</v>
      </c>
      <c r="L647" s="10">
        <v>1</v>
      </c>
      <c r="M647" s="10">
        <v>1</v>
      </c>
      <c r="N647" s="10" t="s">
        <v>2640</v>
      </c>
      <c r="O647" s="10" t="s">
        <v>2687</v>
      </c>
      <c r="S647" s="10">
        <v>1</v>
      </c>
      <c r="U647" s="10" t="str">
        <f t="shared" ca="1" si="22"/>
        <v/>
      </c>
      <c r="V647" s="10" t="str">
        <f t="shared" ca="1" si="23"/>
        <v/>
      </c>
      <c r="AE647" s="10" t="s">
        <v>2651</v>
      </c>
    </row>
    <row r="648" spans="1:31" hidden="1">
      <c r="A648" s="2" t="s">
        <v>775</v>
      </c>
      <c r="B648" s="2"/>
      <c r="C648" s="2"/>
      <c r="D648" s="2" t="s">
        <v>777</v>
      </c>
      <c r="E648" s="2" t="s">
        <v>776</v>
      </c>
      <c r="F648" t="s">
        <v>11</v>
      </c>
      <c r="U648" s="10" t="str">
        <f t="shared" ca="1" si="22"/>
        <v/>
      </c>
      <c r="V648" s="10" t="str">
        <f t="shared" ca="1" si="23"/>
        <v/>
      </c>
    </row>
    <row r="649" spans="1:31" hidden="1">
      <c r="A649" s="2" t="s">
        <v>775</v>
      </c>
      <c r="B649" s="2"/>
      <c r="C649" s="2"/>
      <c r="D649" s="2" t="s">
        <v>779</v>
      </c>
      <c r="E649" s="2" t="s">
        <v>778</v>
      </c>
      <c r="F649" t="s">
        <v>11</v>
      </c>
      <c r="U649" s="10" t="str">
        <f t="shared" ca="1" si="22"/>
        <v/>
      </c>
      <c r="V649" s="10" t="str">
        <f t="shared" ca="1" si="23"/>
        <v/>
      </c>
    </row>
    <row r="650" spans="1:31">
      <c r="A650" s="2" t="s">
        <v>780</v>
      </c>
      <c r="B650" s="2"/>
      <c r="C650" s="2"/>
      <c r="D650" s="13" t="s">
        <v>2078</v>
      </c>
      <c r="E650" t="s">
        <v>2079</v>
      </c>
      <c r="H650" t="s">
        <v>19</v>
      </c>
      <c r="I650" t="s">
        <v>2789</v>
      </c>
      <c r="J650" s="10" t="s">
        <v>25</v>
      </c>
      <c r="L650" s="10">
        <v>1</v>
      </c>
      <c r="M650" s="10">
        <v>3</v>
      </c>
      <c r="N650" s="10" t="s">
        <v>2646</v>
      </c>
      <c r="O650" s="10" t="s">
        <v>2687</v>
      </c>
      <c r="S650" s="10">
        <v>2475</v>
      </c>
      <c r="U650" s="10" t="str">
        <f t="shared" ca="1" si="22"/>
        <v/>
      </c>
      <c r="V650" s="10" t="str">
        <f t="shared" ca="1" si="23"/>
        <v/>
      </c>
      <c r="W650" s="10" t="s">
        <v>4</v>
      </c>
    </row>
    <row r="651" spans="1:31" hidden="1">
      <c r="A651" s="2" t="s">
        <v>781</v>
      </c>
      <c r="B651" s="2"/>
      <c r="C651" s="2"/>
      <c r="D651" s="2" t="s">
        <v>2080</v>
      </c>
      <c r="E651" s="2" t="s">
        <v>2081</v>
      </c>
      <c r="H651" t="s">
        <v>19</v>
      </c>
      <c r="J651" s="10" t="s">
        <v>2688</v>
      </c>
      <c r="U651" s="10" t="str">
        <f t="shared" ca="1" si="22"/>
        <v/>
      </c>
      <c r="V651" s="10" t="str">
        <f t="shared" ca="1" si="23"/>
        <v/>
      </c>
    </row>
    <row r="652" spans="1:31" hidden="1">
      <c r="A652" s="2" t="s">
        <v>782</v>
      </c>
      <c r="B652" s="2"/>
      <c r="C652" s="2"/>
      <c r="D652" s="13" t="s">
        <v>2082</v>
      </c>
      <c r="E652" s="2" t="s">
        <v>783</v>
      </c>
      <c r="H652" t="s">
        <v>19</v>
      </c>
      <c r="J652" s="10" t="s">
        <v>2686</v>
      </c>
      <c r="T652" s="10" t="s">
        <v>2696</v>
      </c>
      <c r="U652" s="10" t="str">
        <f t="shared" ca="1" si="22"/>
        <v/>
      </c>
      <c r="V652" s="10" t="str">
        <f t="shared" ca="1" si="23"/>
        <v/>
      </c>
      <c r="AC652" s="10" t="s">
        <v>2703</v>
      </c>
      <c r="AD652" s="10" t="s">
        <v>20</v>
      </c>
      <c r="AE652" s="10" t="s">
        <v>2645</v>
      </c>
    </row>
    <row r="653" spans="1:31" hidden="1">
      <c r="A653" s="2" t="s">
        <v>784</v>
      </c>
      <c r="B653" s="2"/>
      <c r="C653" s="2"/>
      <c r="D653" s="13" t="s">
        <v>1957</v>
      </c>
      <c r="E653" t="s">
        <v>1956</v>
      </c>
      <c r="J653" s="10" t="s">
        <v>2686</v>
      </c>
      <c r="T653" s="10">
        <f>280-31</f>
        <v>249</v>
      </c>
      <c r="U653" s="10">
        <f t="shared" ca="1" si="22"/>
        <v>31</v>
      </c>
      <c r="V653" s="10">
        <f t="shared" ca="1" si="23"/>
        <v>280</v>
      </c>
    </row>
    <row r="654" spans="1:31" hidden="1">
      <c r="A654" s="2" t="s">
        <v>785</v>
      </c>
      <c r="B654" s="2"/>
      <c r="C654" s="2"/>
      <c r="D654" s="2" t="s">
        <v>2083</v>
      </c>
      <c r="E654" s="2" t="s">
        <v>2084</v>
      </c>
      <c r="H654" t="s">
        <v>19</v>
      </c>
      <c r="J654" s="10" t="s">
        <v>2686</v>
      </c>
      <c r="T654" s="10">
        <f>1701-186</f>
        <v>1515</v>
      </c>
      <c r="U654" s="10">
        <f t="shared" ca="1" si="22"/>
        <v>186</v>
      </c>
      <c r="V654" s="10">
        <f t="shared" ca="1" si="23"/>
        <v>1701</v>
      </c>
    </row>
    <row r="655" spans="1:31" hidden="1">
      <c r="A655" s="2" t="s">
        <v>785</v>
      </c>
      <c r="B655" s="2"/>
      <c r="C655" s="2"/>
      <c r="D655" s="2" t="s">
        <v>2942</v>
      </c>
      <c r="E655" s="2" t="s">
        <v>2943</v>
      </c>
      <c r="J655" s="10" t="s">
        <v>2688</v>
      </c>
      <c r="U655" s="10" t="str">
        <f t="shared" ca="1" si="22"/>
        <v/>
      </c>
      <c r="V655" s="10" t="str">
        <f t="shared" ca="1" si="23"/>
        <v/>
      </c>
      <c r="AE655" s="10" t="s">
        <v>2651</v>
      </c>
    </row>
    <row r="656" spans="1:31">
      <c r="A656" s="2" t="s">
        <v>785</v>
      </c>
      <c r="B656" s="2"/>
      <c r="C656" s="2"/>
      <c r="D656" s="2" t="s">
        <v>2962</v>
      </c>
      <c r="E656" s="2" t="s">
        <v>2944</v>
      </c>
      <c r="I656" t="s">
        <v>2085</v>
      </c>
      <c r="J656" s="10" t="s">
        <v>2688</v>
      </c>
      <c r="U656" s="10" t="str">
        <f t="shared" ca="1" si="22"/>
        <v/>
      </c>
      <c r="V656" s="10" t="str">
        <f t="shared" ca="1" si="23"/>
        <v/>
      </c>
      <c r="AC656" s="10" t="s">
        <v>2697</v>
      </c>
      <c r="AD656" s="10" t="s">
        <v>20</v>
      </c>
      <c r="AE656" s="10" t="s">
        <v>2645</v>
      </c>
    </row>
    <row r="657" spans="1:31" ht="29" hidden="1">
      <c r="A657" s="2" t="s">
        <v>786</v>
      </c>
      <c r="B657" s="2"/>
      <c r="C657" s="2"/>
      <c r="D657" s="2" t="s">
        <v>2087</v>
      </c>
      <c r="E657" s="2" t="s">
        <v>2086</v>
      </c>
      <c r="H657" t="s">
        <v>19</v>
      </c>
      <c r="J657" s="10" t="s">
        <v>25</v>
      </c>
      <c r="L657" s="10">
        <v>1</v>
      </c>
      <c r="M657" s="10">
        <v>5</v>
      </c>
      <c r="N657" s="10" t="s">
        <v>2693</v>
      </c>
      <c r="O657" s="10" t="s">
        <v>2641</v>
      </c>
      <c r="P657" s="10" t="s">
        <v>2704</v>
      </c>
      <c r="Q657" s="11" t="s">
        <v>2705</v>
      </c>
      <c r="S657" s="10">
        <v>116</v>
      </c>
      <c r="U657" s="10" t="str">
        <f t="shared" ca="1" si="22"/>
        <v/>
      </c>
      <c r="V657" s="10" t="str">
        <f t="shared" ca="1" si="23"/>
        <v/>
      </c>
    </row>
    <row r="658" spans="1:31" ht="29" hidden="1">
      <c r="A658" s="2" t="s">
        <v>786</v>
      </c>
      <c r="B658" s="2"/>
      <c r="C658" s="2"/>
      <c r="D658" s="2" t="s">
        <v>2088</v>
      </c>
      <c r="E658" s="2" t="s">
        <v>2089</v>
      </c>
      <c r="H658" t="s">
        <v>19</v>
      </c>
      <c r="J658" s="10" t="s">
        <v>2688</v>
      </c>
      <c r="U658" s="10" t="str">
        <f t="shared" ca="1" si="22"/>
        <v/>
      </c>
      <c r="V658" s="10" t="str">
        <f t="shared" ca="1" si="23"/>
        <v/>
      </c>
      <c r="AC658" s="10" t="s">
        <v>2698</v>
      </c>
      <c r="AD658" s="10" t="s">
        <v>19</v>
      </c>
      <c r="AE658" s="10" t="s">
        <v>2645</v>
      </c>
    </row>
    <row r="659" spans="1:31" ht="29" hidden="1">
      <c r="A659" s="2" t="s">
        <v>787</v>
      </c>
      <c r="B659" s="2"/>
      <c r="C659" s="2"/>
      <c r="D659" s="13" t="s">
        <v>2091</v>
      </c>
      <c r="E659" s="2" t="s">
        <v>2092</v>
      </c>
      <c r="J659" s="10" t="s">
        <v>2688</v>
      </c>
      <c r="U659" s="10" t="str">
        <f t="shared" ca="1" si="22"/>
        <v/>
      </c>
      <c r="V659" s="10" t="str">
        <f t="shared" ca="1" si="23"/>
        <v/>
      </c>
    </row>
    <row r="660" spans="1:31" ht="29" hidden="1">
      <c r="A660" s="2" t="s">
        <v>787</v>
      </c>
      <c r="B660" s="2"/>
      <c r="C660" s="2"/>
      <c r="D660" s="7" t="s">
        <v>2090</v>
      </c>
      <c r="E660" s="2" t="s">
        <v>2093</v>
      </c>
      <c r="F660" t="s">
        <v>15</v>
      </c>
      <c r="U660" s="10" t="str">
        <f t="shared" ca="1" si="22"/>
        <v/>
      </c>
      <c r="V660" s="10" t="str">
        <f t="shared" ca="1" si="23"/>
        <v/>
      </c>
    </row>
    <row r="661" spans="1:31" ht="29" hidden="1">
      <c r="A661" s="2" t="s">
        <v>787</v>
      </c>
      <c r="B661" s="2"/>
      <c r="C661" s="2"/>
      <c r="D661" s="13" t="s">
        <v>2095</v>
      </c>
      <c r="E661" s="2" t="s">
        <v>2094</v>
      </c>
      <c r="H661" t="s">
        <v>19</v>
      </c>
      <c r="J661" s="10" t="s">
        <v>2688</v>
      </c>
      <c r="U661" s="10" t="str">
        <f t="shared" ca="1" si="22"/>
        <v/>
      </c>
      <c r="V661" s="10" t="str">
        <f t="shared" ca="1" si="23"/>
        <v/>
      </c>
      <c r="AE661" s="10" t="s">
        <v>2645</v>
      </c>
    </row>
    <row r="662" spans="1:31">
      <c r="A662" s="2" t="s">
        <v>788</v>
      </c>
      <c r="B662" s="2"/>
      <c r="C662" s="2"/>
      <c r="D662" s="2" t="s">
        <v>2790</v>
      </c>
      <c r="E662" s="2" t="s">
        <v>2791</v>
      </c>
      <c r="J662" s="10" t="s">
        <v>2688</v>
      </c>
      <c r="U662" s="10" t="str">
        <f t="shared" ca="1" si="22"/>
        <v/>
      </c>
      <c r="V662" s="10" t="str">
        <f t="shared" ca="1" si="23"/>
        <v/>
      </c>
      <c r="AE662" s="10" t="s">
        <v>2651</v>
      </c>
    </row>
    <row r="663" spans="1:31" hidden="1">
      <c r="A663" s="2" t="s">
        <v>789</v>
      </c>
      <c r="B663" s="2"/>
      <c r="C663" s="2"/>
      <c r="D663" s="2" t="s">
        <v>2096</v>
      </c>
      <c r="E663" s="2" t="s">
        <v>2097</v>
      </c>
      <c r="H663" t="s">
        <v>19</v>
      </c>
      <c r="J663" s="10" t="s">
        <v>2688</v>
      </c>
      <c r="U663" s="10" t="str">
        <f t="shared" ca="1" si="22"/>
        <v/>
      </c>
      <c r="V663" s="10" t="str">
        <f t="shared" ca="1" si="23"/>
        <v/>
      </c>
      <c r="AE663" s="10" t="s">
        <v>2645</v>
      </c>
    </row>
    <row r="664" spans="1:31" hidden="1">
      <c r="A664" s="2" t="s">
        <v>789</v>
      </c>
      <c r="B664" s="2"/>
      <c r="C664" s="2"/>
      <c r="D664" s="2" t="s">
        <v>791</v>
      </c>
      <c r="E664" s="2" t="s">
        <v>790</v>
      </c>
      <c r="J664" s="10" t="s">
        <v>2686</v>
      </c>
      <c r="T664" s="10">
        <f>0-4</f>
        <v>-4</v>
      </c>
      <c r="U664" s="10">
        <f t="shared" ca="1" si="22"/>
        <v>4</v>
      </c>
      <c r="V664" s="10">
        <f t="shared" ca="1" si="23"/>
        <v>0</v>
      </c>
    </row>
    <row r="665" spans="1:31" hidden="1">
      <c r="A665" s="2" t="s">
        <v>789</v>
      </c>
      <c r="B665" s="2"/>
      <c r="C665" s="2"/>
      <c r="D665" s="2" t="s">
        <v>2098</v>
      </c>
      <c r="E665" s="2" t="s">
        <v>2099</v>
      </c>
      <c r="H665" t="s">
        <v>19</v>
      </c>
      <c r="J665" s="10" t="s">
        <v>25</v>
      </c>
      <c r="L665" s="10">
        <v>1</v>
      </c>
      <c r="M665" s="10">
        <v>3</v>
      </c>
      <c r="N665" s="10" t="s">
        <v>2655</v>
      </c>
      <c r="O665" s="10" t="s">
        <v>2647</v>
      </c>
      <c r="S665" s="10">
        <v>1701</v>
      </c>
      <c r="U665" s="10" t="str">
        <f t="shared" ca="1" si="22"/>
        <v/>
      </c>
      <c r="V665" s="10" t="str">
        <f t="shared" ca="1" si="23"/>
        <v/>
      </c>
    </row>
    <row r="666" spans="1:31" hidden="1">
      <c r="A666" s="2" t="s">
        <v>792</v>
      </c>
      <c r="B666" s="2"/>
      <c r="C666" s="2"/>
      <c r="D666" s="2" t="s">
        <v>794</v>
      </c>
      <c r="E666" s="2" t="s">
        <v>793</v>
      </c>
      <c r="J666" s="10" t="s">
        <v>2688</v>
      </c>
      <c r="U666" s="10" t="str">
        <f t="shared" ca="1" si="22"/>
        <v/>
      </c>
      <c r="V666" s="10" t="str">
        <f t="shared" ca="1" si="23"/>
        <v/>
      </c>
      <c r="AE666" s="10" t="s">
        <v>2645</v>
      </c>
    </row>
    <row r="667" spans="1:31">
      <c r="A667" s="2" t="s">
        <v>795</v>
      </c>
      <c r="B667" s="2"/>
      <c r="C667" s="2"/>
      <c r="D667" s="2" t="s">
        <v>2100</v>
      </c>
      <c r="E667" s="2" t="s">
        <v>796</v>
      </c>
      <c r="H667" t="s">
        <v>19</v>
      </c>
      <c r="J667" s="10" t="s">
        <v>2688</v>
      </c>
      <c r="U667" s="10" t="str">
        <f t="shared" ca="1" si="22"/>
        <v/>
      </c>
      <c r="V667" s="10" t="str">
        <f t="shared" ca="1" si="23"/>
        <v/>
      </c>
    </row>
    <row r="668" spans="1:31" hidden="1">
      <c r="A668" s="2" t="s">
        <v>797</v>
      </c>
      <c r="B668" s="2"/>
      <c r="C668" s="2"/>
      <c r="D668" s="2" t="s">
        <v>2101</v>
      </c>
      <c r="E668" s="2" t="s">
        <v>798</v>
      </c>
      <c r="H668" t="s">
        <v>19</v>
      </c>
      <c r="J668" s="10" t="s">
        <v>2686</v>
      </c>
      <c r="T668" s="10" t="s">
        <v>2687</v>
      </c>
      <c r="U668" s="10" t="str">
        <f t="shared" ca="1" si="22"/>
        <v/>
      </c>
      <c r="V668" s="10" t="str">
        <f t="shared" ca="1" si="23"/>
        <v/>
      </c>
      <c r="AE668" s="10" t="s">
        <v>2645</v>
      </c>
    </row>
    <row r="669" spans="1:31" hidden="1">
      <c r="A669" s="2" t="s">
        <v>797</v>
      </c>
      <c r="B669" s="2"/>
      <c r="C669" s="2"/>
      <c r="D669" s="13" t="s">
        <v>2102</v>
      </c>
      <c r="E669" s="2" t="s">
        <v>799</v>
      </c>
      <c r="H669" t="s">
        <v>19</v>
      </c>
      <c r="J669" s="10" t="s">
        <v>2686</v>
      </c>
      <c r="T669" s="10" t="s">
        <v>2687</v>
      </c>
      <c r="U669" s="10" t="str">
        <f t="shared" ca="1" si="22"/>
        <v/>
      </c>
      <c r="V669" s="10" t="str">
        <f t="shared" ca="1" si="23"/>
        <v/>
      </c>
      <c r="AE669" s="10" t="s">
        <v>2645</v>
      </c>
    </row>
    <row r="670" spans="1:31" hidden="1">
      <c r="A670" s="2" t="s">
        <v>800</v>
      </c>
      <c r="B670" s="2"/>
      <c r="C670" s="2"/>
      <c r="D670" s="8" t="s">
        <v>608</v>
      </c>
      <c r="E670" s="8" t="s">
        <v>607</v>
      </c>
      <c r="F670" t="s">
        <v>36</v>
      </c>
      <c r="J670" s="10" t="s">
        <v>2686</v>
      </c>
      <c r="T670" s="10" t="s">
        <v>2696</v>
      </c>
      <c r="U670" s="10" t="str">
        <f t="shared" ca="1" si="22"/>
        <v/>
      </c>
      <c r="V670" s="10" t="str">
        <f t="shared" ca="1" si="23"/>
        <v/>
      </c>
      <c r="AE670" s="10" t="s">
        <v>2654</v>
      </c>
    </row>
    <row r="671" spans="1:31" hidden="1">
      <c r="A671" s="2" t="s">
        <v>800</v>
      </c>
      <c r="B671" s="2"/>
      <c r="C671" s="2"/>
      <c r="D671" s="2" t="s">
        <v>2104</v>
      </c>
      <c r="E671" s="2" t="s">
        <v>2103</v>
      </c>
      <c r="J671" s="10" t="s">
        <v>2688</v>
      </c>
      <c r="U671" s="10" t="str">
        <f t="shared" ca="1" si="22"/>
        <v/>
      </c>
      <c r="V671" s="10" t="str">
        <f t="shared" ca="1" si="23"/>
        <v/>
      </c>
      <c r="AE671" s="10" t="s">
        <v>2651</v>
      </c>
    </row>
    <row r="672" spans="1:31" hidden="1">
      <c r="A672" s="2" t="s">
        <v>802</v>
      </c>
      <c r="B672" s="2"/>
      <c r="C672" s="2"/>
      <c r="D672" s="2" t="s">
        <v>2105</v>
      </c>
      <c r="E672" s="2" t="s">
        <v>2106</v>
      </c>
      <c r="F672" t="s">
        <v>17</v>
      </c>
      <c r="H672" t="s">
        <v>19</v>
      </c>
      <c r="U672" s="10" t="str">
        <f t="shared" ca="1" si="22"/>
        <v/>
      </c>
      <c r="V672" s="10" t="str">
        <f t="shared" ca="1" si="23"/>
        <v/>
      </c>
    </row>
    <row r="673" spans="1:31" hidden="1">
      <c r="A673" s="2" t="s">
        <v>804</v>
      </c>
      <c r="B673" s="2"/>
      <c r="C673" s="2"/>
      <c r="D673" s="2" t="s">
        <v>2108</v>
      </c>
      <c r="E673" s="2" t="s">
        <v>2107</v>
      </c>
      <c r="J673" s="10" t="s">
        <v>2688</v>
      </c>
      <c r="U673" s="10" t="str">
        <f t="shared" ca="1" si="22"/>
        <v/>
      </c>
      <c r="V673" s="10" t="str">
        <f t="shared" ca="1" si="23"/>
        <v/>
      </c>
      <c r="AB673" s="10" t="s">
        <v>2650</v>
      </c>
      <c r="AD673" s="10" t="s">
        <v>19</v>
      </c>
    </row>
    <row r="674" spans="1:31" hidden="1">
      <c r="A674" s="2" t="s">
        <v>806</v>
      </c>
      <c r="B674" s="2"/>
      <c r="C674" s="2"/>
      <c r="D674" s="2" t="s">
        <v>2109</v>
      </c>
      <c r="E674" s="2" t="s">
        <v>807</v>
      </c>
      <c r="H674" t="s">
        <v>19</v>
      </c>
      <c r="J674" s="10" t="s">
        <v>2688</v>
      </c>
      <c r="U674" s="10" t="str">
        <f t="shared" ca="1" si="22"/>
        <v/>
      </c>
      <c r="V674" s="10" t="str">
        <f t="shared" ca="1" si="23"/>
        <v/>
      </c>
    </row>
    <row r="675" spans="1:31" hidden="1">
      <c r="A675" s="2" t="s">
        <v>806</v>
      </c>
      <c r="B675" s="2"/>
      <c r="C675" s="2"/>
      <c r="D675" s="2" t="s">
        <v>2110</v>
      </c>
      <c r="E675" s="2" t="s">
        <v>2111</v>
      </c>
      <c r="H675" t="s">
        <v>19</v>
      </c>
      <c r="J675" s="10" t="s">
        <v>24</v>
      </c>
      <c r="L675" s="10">
        <v>1</v>
      </c>
      <c r="M675" s="10">
        <v>3</v>
      </c>
      <c r="N675" s="10" t="s">
        <v>2655</v>
      </c>
      <c r="O675" s="10" t="s">
        <v>2647</v>
      </c>
      <c r="S675" s="10">
        <v>1701</v>
      </c>
      <c r="U675" s="10" t="str">
        <f t="shared" ca="1" si="22"/>
        <v/>
      </c>
      <c r="V675" s="10" t="str">
        <f t="shared" ca="1" si="23"/>
        <v/>
      </c>
    </row>
    <row r="676" spans="1:31" hidden="1">
      <c r="A676" s="2" t="s">
        <v>809</v>
      </c>
      <c r="B676" s="2"/>
      <c r="C676" s="2"/>
      <c r="D676" s="2" t="s">
        <v>2112</v>
      </c>
      <c r="E676" s="2" t="s">
        <v>810</v>
      </c>
      <c r="J676" s="10" t="s">
        <v>2686</v>
      </c>
      <c r="U676" s="10" t="str">
        <f t="shared" ca="1" si="22"/>
        <v/>
      </c>
      <c r="V676" s="10" t="str">
        <f t="shared" ca="1" si="23"/>
        <v/>
      </c>
      <c r="AB676" s="10" t="s">
        <v>2692</v>
      </c>
      <c r="AC676" s="10" t="s">
        <v>2800</v>
      </c>
      <c r="AD676" s="10" t="s">
        <v>19</v>
      </c>
    </row>
    <row r="677" spans="1:31" ht="29">
      <c r="A677" s="2" t="s">
        <v>809</v>
      </c>
      <c r="B677" s="2"/>
      <c r="C677" s="2"/>
      <c r="D677" s="2" t="s">
        <v>2113</v>
      </c>
      <c r="E677" s="2" t="s">
        <v>2113</v>
      </c>
      <c r="F677" t="s">
        <v>35</v>
      </c>
      <c r="I677" t="s">
        <v>2114</v>
      </c>
      <c r="U677" s="10" t="str">
        <f t="shared" ca="1" si="22"/>
        <v/>
      </c>
      <c r="V677" s="10" t="str">
        <f t="shared" ca="1" si="23"/>
        <v/>
      </c>
    </row>
    <row r="678" spans="1:31" ht="29">
      <c r="A678" s="2" t="s">
        <v>809</v>
      </c>
      <c r="B678" s="2"/>
      <c r="C678" s="2"/>
      <c r="D678" s="2" t="s">
        <v>2115</v>
      </c>
      <c r="E678" s="3" t="s">
        <v>2115</v>
      </c>
      <c r="F678" t="s">
        <v>32</v>
      </c>
      <c r="I678" t="s">
        <v>2116</v>
      </c>
      <c r="J678" s="10" t="s">
        <v>2686</v>
      </c>
      <c r="U678" s="10" t="str">
        <f t="shared" ca="1" si="22"/>
        <v/>
      </c>
      <c r="V678" s="10" t="str">
        <f t="shared" ca="1" si="23"/>
        <v/>
      </c>
      <c r="AB678" s="10" t="s">
        <v>2692</v>
      </c>
      <c r="AC678" s="10" t="s">
        <v>2800</v>
      </c>
      <c r="AD678" s="10" t="s">
        <v>19</v>
      </c>
    </row>
    <row r="679" spans="1:31" ht="29" hidden="1">
      <c r="A679" s="2" t="s">
        <v>809</v>
      </c>
      <c r="B679" s="2"/>
      <c r="C679" s="2"/>
      <c r="D679" s="2" t="s">
        <v>2117</v>
      </c>
      <c r="E679" s="2" t="s">
        <v>2118</v>
      </c>
      <c r="H679" t="s">
        <v>19</v>
      </c>
      <c r="J679" s="10" t="s">
        <v>25</v>
      </c>
      <c r="L679" s="10">
        <v>1</v>
      </c>
      <c r="M679" s="10">
        <v>7</v>
      </c>
      <c r="N679" s="10" t="s">
        <v>2693</v>
      </c>
      <c r="O679" s="10" t="s">
        <v>2647</v>
      </c>
      <c r="S679" s="10">
        <v>17</v>
      </c>
      <c r="U679" s="10" t="str">
        <f t="shared" ca="1" si="22"/>
        <v/>
      </c>
      <c r="V679" s="10" t="str">
        <f t="shared" ca="1" si="23"/>
        <v/>
      </c>
    </row>
    <row r="680" spans="1:31" ht="29">
      <c r="A680" s="2" t="s">
        <v>811</v>
      </c>
      <c r="B680" s="2"/>
      <c r="C680" s="2"/>
      <c r="D680" s="2" t="s">
        <v>2119</v>
      </c>
      <c r="E680" s="2" t="s">
        <v>2120</v>
      </c>
      <c r="H680" t="s">
        <v>19</v>
      </c>
      <c r="I680" t="s">
        <v>2792</v>
      </c>
      <c r="J680" s="10" t="s">
        <v>2686</v>
      </c>
      <c r="T680" s="10">
        <f>18-830</f>
        <v>-812</v>
      </c>
      <c r="U680" s="10">
        <f t="shared" ca="1" si="22"/>
        <v>830</v>
      </c>
      <c r="V680" s="10">
        <f t="shared" ca="1" si="23"/>
        <v>18</v>
      </c>
      <c r="W680" s="10" t="s">
        <v>4</v>
      </c>
    </row>
    <row r="681" spans="1:31">
      <c r="A681" s="2" t="s">
        <v>815</v>
      </c>
      <c r="B681" s="2"/>
      <c r="C681" s="2"/>
      <c r="D681" s="5" t="s">
        <v>2122</v>
      </c>
      <c r="E681" s="2" t="s">
        <v>2121</v>
      </c>
      <c r="J681" s="10" t="s">
        <v>2686</v>
      </c>
      <c r="T681" s="10">
        <f>56-0</f>
        <v>56</v>
      </c>
      <c r="U681" s="10">
        <f t="shared" ca="1" si="22"/>
        <v>0</v>
      </c>
      <c r="V681" s="10">
        <f t="shared" ca="1" si="23"/>
        <v>56</v>
      </c>
      <c r="AE681" s="10" t="s">
        <v>2657</v>
      </c>
    </row>
    <row r="682" spans="1:31">
      <c r="A682" s="2" t="s">
        <v>817</v>
      </c>
      <c r="B682" s="2"/>
      <c r="C682" s="2"/>
      <c r="D682" s="2" t="s">
        <v>2124</v>
      </c>
      <c r="E682" s="2" t="s">
        <v>2123</v>
      </c>
      <c r="H682" t="s">
        <v>23</v>
      </c>
      <c r="I682" t="s">
        <v>2748</v>
      </c>
      <c r="J682" s="10" t="s">
        <v>2686</v>
      </c>
      <c r="T682" s="10">
        <f>0-1</f>
        <v>-1</v>
      </c>
      <c r="U682" s="10">
        <f t="shared" ca="1" si="22"/>
        <v>1</v>
      </c>
      <c r="V682" s="10">
        <f t="shared" ca="1" si="23"/>
        <v>0</v>
      </c>
      <c r="AC682" s="10" t="s">
        <v>2800</v>
      </c>
      <c r="AD682" s="10" t="s">
        <v>19</v>
      </c>
    </row>
    <row r="683" spans="1:31" hidden="1">
      <c r="A683" s="2" t="s">
        <v>817</v>
      </c>
      <c r="B683" s="2"/>
      <c r="C683" s="2"/>
      <c r="D683" s="2" t="s">
        <v>2126</v>
      </c>
      <c r="E683" s="2" t="s">
        <v>2125</v>
      </c>
      <c r="J683" s="10" t="s">
        <v>2688</v>
      </c>
      <c r="U683" s="10" t="str">
        <f t="shared" ca="1" si="22"/>
        <v/>
      </c>
      <c r="V683" s="10" t="str">
        <f t="shared" ca="1" si="23"/>
        <v/>
      </c>
      <c r="AE683" s="10" t="s">
        <v>2645</v>
      </c>
    </row>
    <row r="684" spans="1:31" ht="29" hidden="1">
      <c r="A684" s="2" t="s">
        <v>821</v>
      </c>
      <c r="B684" s="2"/>
      <c r="C684" s="2"/>
      <c r="D684" s="2" t="s">
        <v>2127</v>
      </c>
      <c r="E684" s="2" t="s">
        <v>2128</v>
      </c>
      <c r="J684" s="10" t="s">
        <v>25</v>
      </c>
      <c r="L684" s="10">
        <v>1</v>
      </c>
      <c r="M684" s="10">
        <v>8</v>
      </c>
      <c r="N684" s="10" t="s">
        <v>2660</v>
      </c>
      <c r="O684" s="10" t="s">
        <v>2641</v>
      </c>
      <c r="P684" s="10" t="s">
        <v>2704</v>
      </c>
      <c r="Q684" s="11" t="s">
        <v>2749</v>
      </c>
      <c r="R684" s="10" t="s">
        <v>2642</v>
      </c>
      <c r="S684" s="10">
        <v>15</v>
      </c>
      <c r="U684" s="10" t="str">
        <f t="shared" ca="1" si="22"/>
        <v/>
      </c>
      <c r="V684" s="10" t="str">
        <f t="shared" ca="1" si="23"/>
        <v/>
      </c>
      <c r="AE684" s="10" t="s">
        <v>2657</v>
      </c>
    </row>
    <row r="685" spans="1:31" ht="29" hidden="1">
      <c r="A685" s="2" t="s">
        <v>822</v>
      </c>
      <c r="B685" s="2"/>
      <c r="C685" s="2"/>
      <c r="D685" s="2" t="s">
        <v>2129</v>
      </c>
      <c r="E685" s="2" t="s">
        <v>2130</v>
      </c>
      <c r="J685" s="10" t="s">
        <v>2686</v>
      </c>
      <c r="T685" s="10">
        <f>166-8</f>
        <v>158</v>
      </c>
      <c r="U685" s="10">
        <f t="shared" ca="1" si="22"/>
        <v>8</v>
      </c>
      <c r="V685" s="10">
        <f t="shared" ca="1" si="23"/>
        <v>166</v>
      </c>
      <c r="AC685" s="10" t="s">
        <v>2701</v>
      </c>
      <c r="AD685" s="10" t="s">
        <v>19</v>
      </c>
      <c r="AE685" s="10" t="s">
        <v>2651</v>
      </c>
    </row>
    <row r="686" spans="1:31" hidden="1">
      <c r="A686" s="2" t="s">
        <v>822</v>
      </c>
      <c r="B686" s="2"/>
      <c r="C686" s="2"/>
      <c r="D686" s="2" t="s">
        <v>2131</v>
      </c>
      <c r="E686" s="2" t="s">
        <v>2132</v>
      </c>
      <c r="H686" t="s">
        <v>19</v>
      </c>
      <c r="J686" s="10" t="s">
        <v>25</v>
      </c>
      <c r="L686" s="10">
        <v>1</v>
      </c>
      <c r="M686" s="10">
        <v>2</v>
      </c>
      <c r="N686" s="10" t="s">
        <v>2662</v>
      </c>
      <c r="O686" s="10" t="s">
        <v>2687</v>
      </c>
      <c r="S686" s="10">
        <v>743</v>
      </c>
      <c r="U686" s="10" t="str">
        <f t="shared" ca="1" si="22"/>
        <v/>
      </c>
      <c r="V686" s="10" t="str">
        <f t="shared" ca="1" si="23"/>
        <v/>
      </c>
    </row>
    <row r="687" spans="1:31" hidden="1">
      <c r="A687" s="2" t="s">
        <v>822</v>
      </c>
      <c r="B687" s="2"/>
      <c r="C687" s="2"/>
      <c r="D687" s="3" t="s">
        <v>2133</v>
      </c>
      <c r="E687" s="2" t="s">
        <v>2134</v>
      </c>
      <c r="F687" t="s">
        <v>15</v>
      </c>
      <c r="U687" s="10" t="str">
        <f t="shared" ca="1" si="22"/>
        <v/>
      </c>
      <c r="V687" s="10" t="str">
        <f t="shared" ca="1" si="23"/>
        <v/>
      </c>
    </row>
    <row r="688" spans="1:31" hidden="1">
      <c r="A688" s="2" t="s">
        <v>823</v>
      </c>
      <c r="B688" s="2"/>
      <c r="C688" s="2"/>
      <c r="D688" s="2" t="s">
        <v>2135</v>
      </c>
      <c r="E688" s="2" t="s">
        <v>2136</v>
      </c>
      <c r="H688" t="s">
        <v>19</v>
      </c>
      <c r="J688" s="10" t="s">
        <v>25</v>
      </c>
      <c r="L688" s="10">
        <v>1</v>
      </c>
      <c r="M688" s="10">
        <v>5</v>
      </c>
      <c r="N688" s="10" t="s">
        <v>2640</v>
      </c>
      <c r="O688" s="10" t="s">
        <v>2647</v>
      </c>
      <c r="S688" s="10">
        <v>4</v>
      </c>
      <c r="U688" s="10" t="str">
        <f t="shared" ca="1" si="22"/>
        <v/>
      </c>
      <c r="V688" s="10" t="str">
        <f t="shared" ca="1" si="23"/>
        <v/>
      </c>
    </row>
    <row r="689" spans="1:31" hidden="1">
      <c r="A689" s="2" t="s">
        <v>823</v>
      </c>
      <c r="B689" s="2"/>
      <c r="C689" s="2"/>
      <c r="D689" s="5" t="s">
        <v>2138</v>
      </c>
      <c r="E689" s="2" t="s">
        <v>2137</v>
      </c>
      <c r="F689" t="s">
        <v>13</v>
      </c>
      <c r="Q689" s="10"/>
      <c r="U689" s="10" t="str">
        <f t="shared" ca="1" si="22"/>
        <v/>
      </c>
      <c r="V689" s="10" t="str">
        <f t="shared" ca="1" si="23"/>
        <v/>
      </c>
    </row>
    <row r="690" spans="1:31" ht="29" hidden="1">
      <c r="A690" s="2" t="s">
        <v>823</v>
      </c>
      <c r="B690" s="2"/>
      <c r="C690" s="2"/>
      <c r="D690" s="2" t="s">
        <v>2918</v>
      </c>
      <c r="E690" s="2" t="s">
        <v>2139</v>
      </c>
      <c r="G690" t="s">
        <v>19</v>
      </c>
      <c r="J690" s="10" t="s">
        <v>2686</v>
      </c>
      <c r="T690" s="10">
        <f>14-86</f>
        <v>-72</v>
      </c>
      <c r="U690" s="10">
        <f t="shared" ca="1" si="22"/>
        <v>86</v>
      </c>
      <c r="V690" s="10">
        <f t="shared" ca="1" si="23"/>
        <v>14</v>
      </c>
    </row>
    <row r="691" spans="1:31" hidden="1">
      <c r="A691" s="2" t="s">
        <v>824</v>
      </c>
      <c r="B691" s="2"/>
      <c r="C691" s="2"/>
      <c r="D691" s="2" t="s">
        <v>2140</v>
      </c>
      <c r="E691" s="2" t="s">
        <v>826</v>
      </c>
      <c r="J691" s="10" t="s">
        <v>2686</v>
      </c>
      <c r="T691" s="10">
        <f>5-0</f>
        <v>5</v>
      </c>
      <c r="U691" s="10">
        <f t="shared" ca="1" si="22"/>
        <v>0</v>
      </c>
      <c r="V691" s="10">
        <f t="shared" ca="1" si="23"/>
        <v>5</v>
      </c>
    </row>
    <row r="692" spans="1:31" hidden="1">
      <c r="A692" s="2" t="s">
        <v>827</v>
      </c>
      <c r="B692" s="2"/>
      <c r="C692" s="2"/>
      <c r="D692" s="2" t="s">
        <v>2144</v>
      </c>
      <c r="E692" s="2" t="s">
        <v>2143</v>
      </c>
      <c r="J692" s="10" t="s">
        <v>24</v>
      </c>
      <c r="L692" s="10">
        <v>1</v>
      </c>
      <c r="M692" s="10">
        <v>2</v>
      </c>
      <c r="N692" s="10" t="s">
        <v>2664</v>
      </c>
      <c r="O692" s="10" t="s">
        <v>2687</v>
      </c>
      <c r="S692" s="10">
        <v>613</v>
      </c>
      <c r="U692" s="10" t="str">
        <f t="shared" ca="1" si="22"/>
        <v/>
      </c>
      <c r="V692" s="10" t="str">
        <f t="shared" ca="1" si="23"/>
        <v/>
      </c>
    </row>
    <row r="693" spans="1:31" hidden="1">
      <c r="A693" s="2" t="s">
        <v>827</v>
      </c>
      <c r="B693" s="2"/>
      <c r="C693" s="2"/>
      <c r="D693" s="2" t="s">
        <v>2146</v>
      </c>
      <c r="E693" s="2" t="s">
        <v>2145</v>
      </c>
      <c r="J693" s="10" t="s">
        <v>24</v>
      </c>
      <c r="L693" s="10">
        <v>1</v>
      </c>
      <c r="M693" s="10">
        <v>1</v>
      </c>
      <c r="N693" s="10" t="s">
        <v>2655</v>
      </c>
      <c r="O693" s="10" t="s">
        <v>2687</v>
      </c>
      <c r="S693" s="10">
        <v>171</v>
      </c>
      <c r="U693" s="10" t="str">
        <f t="shared" ca="1" si="22"/>
        <v/>
      </c>
      <c r="V693" s="10" t="str">
        <f t="shared" ca="1" si="23"/>
        <v/>
      </c>
    </row>
    <row r="694" spans="1:31">
      <c r="A694" s="2" t="s">
        <v>827</v>
      </c>
      <c r="B694" s="2"/>
      <c r="C694" s="2"/>
      <c r="D694" s="2" t="s">
        <v>2147</v>
      </c>
      <c r="E694" s="2" t="s">
        <v>2148</v>
      </c>
      <c r="H694" t="s">
        <v>23</v>
      </c>
      <c r="I694" t="s">
        <v>2149</v>
      </c>
      <c r="J694" s="10" t="s">
        <v>2686</v>
      </c>
      <c r="T694" s="10">
        <f>20-10</f>
        <v>10</v>
      </c>
      <c r="U694" s="10">
        <f t="shared" ca="1" si="22"/>
        <v>10</v>
      </c>
      <c r="V694" s="10">
        <f t="shared" ca="1" si="23"/>
        <v>20</v>
      </c>
    </row>
    <row r="695" spans="1:31" hidden="1">
      <c r="A695" s="2" t="s">
        <v>827</v>
      </c>
      <c r="B695" s="2"/>
      <c r="C695" s="2"/>
      <c r="D695" s="2" t="s">
        <v>2150</v>
      </c>
      <c r="E695" s="2" t="s">
        <v>828</v>
      </c>
      <c r="H695" t="s">
        <v>19</v>
      </c>
      <c r="J695" s="10" t="s">
        <v>2686</v>
      </c>
      <c r="T695" s="10" t="s">
        <v>2696</v>
      </c>
      <c r="U695" s="10" t="str">
        <f t="shared" ref="U695:U759" ca="1" si="24">IF(ISNUMBER(T695),VALUE(MID(_xlfn.FORMULATEXT(T695),SEARCH("-",_xlfn.FORMULATEXT(T695))+1,LEN(_xlfn.FORMULATEXT(T695))-SEARCH("-",_xlfn.FORMULATEXT(T695)))), "")</f>
        <v/>
      </c>
      <c r="V695" s="10" t="str">
        <f t="shared" ref="V695:V759" ca="1" si="25">IF(ISNUMBER(T695), VALUE(MID(_xlfn.FORMULATEXT(T695), 2, SEARCH("-", _xlfn.FORMULATEXT(T695)) - 2)), "")</f>
        <v/>
      </c>
      <c r="AE695" s="10" t="s">
        <v>2645</v>
      </c>
    </row>
    <row r="696" spans="1:31" hidden="1">
      <c r="A696" s="2" t="s">
        <v>827</v>
      </c>
      <c r="B696" s="2"/>
      <c r="C696" s="2"/>
      <c r="D696" s="5" t="s">
        <v>2152</v>
      </c>
      <c r="E696" s="2" t="s">
        <v>2151</v>
      </c>
      <c r="F696" t="s">
        <v>13</v>
      </c>
      <c r="U696" s="10" t="str">
        <f t="shared" ca="1" si="24"/>
        <v/>
      </c>
      <c r="V696" s="10" t="str">
        <f t="shared" ca="1" si="25"/>
        <v/>
      </c>
    </row>
    <row r="697" spans="1:31" hidden="1">
      <c r="A697" s="2" t="s">
        <v>829</v>
      </c>
      <c r="B697" s="2"/>
      <c r="C697" s="2"/>
      <c r="D697" s="2" t="s">
        <v>2142</v>
      </c>
      <c r="E697" s="2" t="s">
        <v>2141</v>
      </c>
      <c r="F697" t="s">
        <v>11</v>
      </c>
      <c r="U697" s="10" t="str">
        <f t="shared" ca="1" si="24"/>
        <v/>
      </c>
      <c r="V697" s="10" t="str">
        <f t="shared" ca="1" si="25"/>
        <v/>
      </c>
    </row>
    <row r="698" spans="1:31" hidden="1">
      <c r="A698" s="2" t="s">
        <v>829</v>
      </c>
      <c r="B698" s="2"/>
      <c r="C698" s="2"/>
      <c r="D698" s="2" t="s">
        <v>2750</v>
      </c>
      <c r="E698" s="2" t="s">
        <v>2751</v>
      </c>
      <c r="H698" t="s">
        <v>19</v>
      </c>
      <c r="J698" s="10" t="s">
        <v>2688</v>
      </c>
      <c r="U698" s="10" t="str">
        <f t="shared" ca="1" si="24"/>
        <v/>
      </c>
      <c r="V698" s="10" t="str">
        <f t="shared" ca="1" si="25"/>
        <v/>
      </c>
      <c r="AE698" s="10" t="s">
        <v>2651</v>
      </c>
    </row>
    <row r="699" spans="1:31" hidden="1">
      <c r="A699" s="2" t="s">
        <v>830</v>
      </c>
      <c r="B699" s="2"/>
      <c r="C699" s="2"/>
      <c r="D699" s="2" t="s">
        <v>2153</v>
      </c>
      <c r="E699" s="2" t="s">
        <v>831</v>
      </c>
      <c r="H699" t="s">
        <v>19</v>
      </c>
      <c r="J699" s="10" t="s">
        <v>2688</v>
      </c>
      <c r="U699" s="10" t="str">
        <f t="shared" ca="1" si="24"/>
        <v/>
      </c>
      <c r="V699" s="10" t="str">
        <f t="shared" ca="1" si="25"/>
        <v/>
      </c>
      <c r="AE699" s="10" t="s">
        <v>2645</v>
      </c>
    </row>
    <row r="700" spans="1:31" hidden="1">
      <c r="A700" s="2" t="s">
        <v>832</v>
      </c>
      <c r="B700" s="2"/>
      <c r="C700" s="2"/>
      <c r="D700" s="2" t="s">
        <v>2155</v>
      </c>
      <c r="E700" s="2" t="s">
        <v>2154</v>
      </c>
      <c r="J700" s="10" t="s">
        <v>25</v>
      </c>
      <c r="L700" s="10">
        <v>1</v>
      </c>
      <c r="M700" s="10">
        <v>3</v>
      </c>
      <c r="N700" s="10" t="s">
        <v>2646</v>
      </c>
      <c r="O700" s="10" t="s">
        <v>2647</v>
      </c>
      <c r="S700" s="10">
        <v>2475</v>
      </c>
      <c r="U700" s="10" t="str">
        <f t="shared" ca="1" si="24"/>
        <v/>
      </c>
      <c r="V700" s="10" t="str">
        <f t="shared" ca="1" si="25"/>
        <v/>
      </c>
    </row>
    <row r="701" spans="1:31" hidden="1">
      <c r="A701" s="2" t="s">
        <v>836</v>
      </c>
      <c r="B701" s="2"/>
      <c r="C701" s="2"/>
      <c r="D701" s="2" t="s">
        <v>2156</v>
      </c>
      <c r="E701" s="2" t="s">
        <v>835</v>
      </c>
      <c r="G701" t="s">
        <v>19</v>
      </c>
      <c r="J701" s="10" t="s">
        <v>2686</v>
      </c>
      <c r="T701" s="10" t="s">
        <v>2696</v>
      </c>
      <c r="U701" s="10" t="str">
        <f t="shared" ca="1" si="24"/>
        <v/>
      </c>
      <c r="V701" s="10" t="str">
        <f t="shared" ca="1" si="25"/>
        <v/>
      </c>
      <c r="AE701" s="10" t="s">
        <v>2654</v>
      </c>
    </row>
    <row r="702" spans="1:31" hidden="1">
      <c r="A702" s="2" t="s">
        <v>836</v>
      </c>
      <c r="B702" s="2"/>
      <c r="C702" s="2"/>
      <c r="D702" s="13" t="s">
        <v>2157</v>
      </c>
      <c r="E702" s="2" t="s">
        <v>838</v>
      </c>
      <c r="H702" t="s">
        <v>19</v>
      </c>
      <c r="J702" s="10" t="s">
        <v>2686</v>
      </c>
      <c r="T702" s="10" t="s">
        <v>2696</v>
      </c>
      <c r="U702" s="10" t="str">
        <f t="shared" ca="1" si="24"/>
        <v/>
      </c>
      <c r="V702" s="10" t="str">
        <f t="shared" ca="1" si="25"/>
        <v/>
      </c>
      <c r="AE702" s="10" t="s">
        <v>2645</v>
      </c>
    </row>
    <row r="703" spans="1:31" hidden="1">
      <c r="A703" s="2" t="s">
        <v>840</v>
      </c>
      <c r="B703" s="2"/>
      <c r="C703" s="2"/>
      <c r="D703" s="5" t="s">
        <v>2158</v>
      </c>
      <c r="E703" s="2" t="s">
        <v>2159</v>
      </c>
      <c r="F703" t="s">
        <v>13</v>
      </c>
      <c r="U703" s="10" t="str">
        <f t="shared" ca="1" si="24"/>
        <v/>
      </c>
      <c r="V703" s="10" t="str">
        <f t="shared" ca="1" si="25"/>
        <v/>
      </c>
    </row>
    <row r="704" spans="1:31" hidden="1">
      <c r="A704" s="2" t="s">
        <v>840</v>
      </c>
      <c r="B704" s="2"/>
      <c r="C704" s="2"/>
      <c r="D704" s="2" t="s">
        <v>2160</v>
      </c>
      <c r="E704" s="3" t="s">
        <v>2161</v>
      </c>
      <c r="F704" t="s">
        <v>16</v>
      </c>
      <c r="U704" s="10" t="str">
        <f t="shared" ca="1" si="24"/>
        <v/>
      </c>
      <c r="V704" s="10" t="str">
        <f t="shared" ca="1" si="25"/>
        <v/>
      </c>
    </row>
    <row r="705" spans="1:32" hidden="1">
      <c r="A705" s="2" t="s">
        <v>840</v>
      </c>
      <c r="B705" s="2"/>
      <c r="C705" s="2"/>
      <c r="D705" s="2" t="s">
        <v>2163</v>
      </c>
      <c r="E705" s="2" t="s">
        <v>2162</v>
      </c>
      <c r="H705" t="s">
        <v>19</v>
      </c>
      <c r="J705" s="10" t="s">
        <v>2688</v>
      </c>
      <c r="U705" s="10" t="str">
        <f t="shared" ca="1" si="24"/>
        <v/>
      </c>
      <c r="V705" s="10" t="str">
        <f t="shared" ca="1" si="25"/>
        <v/>
      </c>
    </row>
    <row r="706" spans="1:32" hidden="1">
      <c r="A706" s="2" t="s">
        <v>840</v>
      </c>
      <c r="B706" s="2"/>
      <c r="C706" s="2"/>
      <c r="D706" s="2" t="s">
        <v>2165</v>
      </c>
      <c r="E706" s="3" t="s">
        <v>2164</v>
      </c>
      <c r="F706" t="s">
        <v>16</v>
      </c>
      <c r="U706" s="10" t="str">
        <f t="shared" ca="1" si="24"/>
        <v/>
      </c>
      <c r="V706" s="10" t="str">
        <f t="shared" ca="1" si="25"/>
        <v/>
      </c>
    </row>
    <row r="707" spans="1:32" hidden="1">
      <c r="A707" s="2" t="s">
        <v>840</v>
      </c>
      <c r="B707" s="2"/>
      <c r="C707" s="2"/>
      <c r="D707" s="2" t="s">
        <v>842</v>
      </c>
      <c r="E707" s="2" t="s">
        <v>841</v>
      </c>
      <c r="J707" s="10" t="s">
        <v>2688</v>
      </c>
      <c r="U707" s="10" t="str">
        <f t="shared" ca="1" si="24"/>
        <v/>
      </c>
      <c r="V707" s="10" t="str">
        <f t="shared" ca="1" si="25"/>
        <v/>
      </c>
      <c r="AC707" s="10" t="s">
        <v>2699</v>
      </c>
      <c r="AD707" s="10" t="s">
        <v>19</v>
      </c>
    </row>
    <row r="708" spans="1:32" ht="29" hidden="1">
      <c r="A708" s="2" t="s">
        <v>840</v>
      </c>
      <c r="B708" s="2"/>
      <c r="C708" s="2"/>
      <c r="D708" s="13" t="s">
        <v>2919</v>
      </c>
      <c r="E708" t="s">
        <v>2922</v>
      </c>
      <c r="H708" t="s">
        <v>19</v>
      </c>
      <c r="J708" s="10" t="s">
        <v>24</v>
      </c>
      <c r="L708" s="10">
        <v>1</v>
      </c>
      <c r="M708" s="10">
        <v>1</v>
      </c>
      <c r="N708" s="10" t="s">
        <v>2691</v>
      </c>
      <c r="O708" s="10" t="s">
        <v>2687</v>
      </c>
      <c r="S708" s="10">
        <v>0</v>
      </c>
      <c r="U708" s="10" t="str">
        <f t="shared" ca="1" si="24"/>
        <v/>
      </c>
      <c r="V708" s="10" t="str">
        <f t="shared" ca="1" si="25"/>
        <v/>
      </c>
    </row>
    <row r="709" spans="1:32" ht="29" hidden="1">
      <c r="A709" s="2" t="s">
        <v>843</v>
      </c>
      <c r="B709" s="2"/>
      <c r="C709" s="2"/>
      <c r="D709" s="2" t="s">
        <v>2920</v>
      </c>
      <c r="E709" s="2" t="s">
        <v>2921</v>
      </c>
      <c r="H709" t="s">
        <v>19</v>
      </c>
      <c r="J709" s="10" t="s">
        <v>24</v>
      </c>
      <c r="L709" s="10">
        <v>1</v>
      </c>
      <c r="M709" s="10">
        <v>7</v>
      </c>
      <c r="N709" s="10" t="s">
        <v>2660</v>
      </c>
      <c r="O709" s="10" t="s">
        <v>2647</v>
      </c>
      <c r="S709" s="10">
        <v>1</v>
      </c>
      <c r="U709" s="10" t="str">
        <f t="shared" ca="1" si="24"/>
        <v/>
      </c>
      <c r="V709" s="10" t="str">
        <f t="shared" ca="1" si="25"/>
        <v/>
      </c>
    </row>
    <row r="710" spans="1:32" ht="29" hidden="1">
      <c r="A710" s="2" t="s">
        <v>844</v>
      </c>
      <c r="B710" s="2"/>
      <c r="C710" s="2"/>
      <c r="D710" s="2" t="s">
        <v>2166</v>
      </c>
      <c r="E710" s="2" t="s">
        <v>2167</v>
      </c>
      <c r="H710" t="s">
        <v>19</v>
      </c>
      <c r="J710" s="10" t="s">
        <v>2686</v>
      </c>
      <c r="T710" s="10">
        <f>7-18</f>
        <v>-11</v>
      </c>
      <c r="U710" s="10">
        <f t="shared" ca="1" si="24"/>
        <v>18</v>
      </c>
      <c r="V710" s="10">
        <f t="shared" ca="1" si="25"/>
        <v>7</v>
      </c>
    </row>
    <row r="711" spans="1:32" hidden="1">
      <c r="A711" s="2" t="s">
        <v>845</v>
      </c>
      <c r="B711" s="2"/>
      <c r="C711" s="2"/>
      <c r="D711" s="2" t="s">
        <v>2168</v>
      </c>
      <c r="E711" s="2" t="s">
        <v>846</v>
      </c>
      <c r="F711" t="s">
        <v>11</v>
      </c>
      <c r="U711" s="10" t="str">
        <f t="shared" ca="1" si="24"/>
        <v/>
      </c>
      <c r="V711" s="10" t="str">
        <f t="shared" ca="1" si="25"/>
        <v/>
      </c>
    </row>
    <row r="712" spans="1:32" hidden="1">
      <c r="A712" s="2" t="s">
        <v>845</v>
      </c>
      <c r="B712" s="2"/>
      <c r="C712" s="2"/>
      <c r="D712" s="2" t="s">
        <v>2169</v>
      </c>
      <c r="E712" s="2" t="s">
        <v>2170</v>
      </c>
      <c r="H712" t="s">
        <v>19</v>
      </c>
      <c r="J712" s="10" t="s">
        <v>2686</v>
      </c>
      <c r="T712" s="10">
        <f>743-312</f>
        <v>431</v>
      </c>
      <c r="U712" s="10">
        <f t="shared" ca="1" si="24"/>
        <v>312</v>
      </c>
      <c r="V712" s="10">
        <f t="shared" ca="1" si="25"/>
        <v>743</v>
      </c>
    </row>
    <row r="713" spans="1:32">
      <c r="A713" s="2" t="s">
        <v>848</v>
      </c>
      <c r="B713" s="2"/>
      <c r="C713" s="2"/>
      <c r="D713" s="2" t="s">
        <v>2171</v>
      </c>
      <c r="E713" s="2" t="s">
        <v>849</v>
      </c>
      <c r="F713" t="s">
        <v>28</v>
      </c>
      <c r="H713" t="s">
        <v>19</v>
      </c>
      <c r="J713" s="10" t="s">
        <v>2686</v>
      </c>
      <c r="T713" s="10" t="s">
        <v>2696</v>
      </c>
      <c r="U713" s="10" t="str">
        <f t="shared" ca="1" si="24"/>
        <v/>
      </c>
      <c r="V713" s="10" t="str">
        <f t="shared" ca="1" si="25"/>
        <v/>
      </c>
      <c r="AE713" s="10" t="s">
        <v>2645</v>
      </c>
      <c r="AF713" s="10" t="s">
        <v>19</v>
      </c>
    </row>
    <row r="714" spans="1:32" hidden="1">
      <c r="A714" s="2" t="s">
        <v>848</v>
      </c>
      <c r="B714" s="2"/>
      <c r="C714" s="2"/>
      <c r="D714" s="2" t="s">
        <v>2172</v>
      </c>
      <c r="E714" s="2" t="s">
        <v>850</v>
      </c>
      <c r="H714" t="s">
        <v>19</v>
      </c>
      <c r="J714" s="10" t="s">
        <v>2686</v>
      </c>
      <c r="T714" s="10" t="s">
        <v>2696</v>
      </c>
      <c r="U714" s="10" t="str">
        <f t="shared" ca="1" si="24"/>
        <v/>
      </c>
      <c r="V714" s="10" t="str">
        <f t="shared" ca="1" si="25"/>
        <v/>
      </c>
      <c r="AE714" s="10" t="s">
        <v>2645</v>
      </c>
    </row>
    <row r="715" spans="1:32" hidden="1">
      <c r="A715" s="2" t="s">
        <v>848</v>
      </c>
      <c r="B715" s="2"/>
      <c r="C715" s="2"/>
      <c r="D715" s="2" t="s">
        <v>852</v>
      </c>
      <c r="E715" s="2" t="s">
        <v>851</v>
      </c>
      <c r="J715" s="10" t="s">
        <v>2688</v>
      </c>
      <c r="U715" s="10" t="str">
        <f t="shared" ca="1" si="24"/>
        <v/>
      </c>
      <c r="V715" s="10" t="str">
        <f t="shared" ca="1" si="25"/>
        <v/>
      </c>
    </row>
    <row r="716" spans="1:32">
      <c r="A716" s="2" t="s">
        <v>853</v>
      </c>
      <c r="B716" s="2"/>
      <c r="C716" s="2"/>
      <c r="D716" s="2" t="s">
        <v>855</v>
      </c>
      <c r="E716" s="2" t="s">
        <v>854</v>
      </c>
      <c r="F716" t="s">
        <v>28</v>
      </c>
      <c r="H716" t="s">
        <v>19</v>
      </c>
      <c r="J716" s="10" t="s">
        <v>2686</v>
      </c>
      <c r="T716" s="10" t="s">
        <v>2696</v>
      </c>
      <c r="U716" s="10" t="str">
        <f t="shared" ca="1" si="24"/>
        <v/>
      </c>
      <c r="V716" s="10" t="str">
        <f t="shared" ca="1" si="25"/>
        <v/>
      </c>
      <c r="AE716" s="10" t="s">
        <v>2645</v>
      </c>
      <c r="AF716" s="10" t="s">
        <v>19</v>
      </c>
    </row>
    <row r="717" spans="1:32" hidden="1">
      <c r="A717" s="2" t="s">
        <v>856</v>
      </c>
      <c r="B717" s="2"/>
      <c r="C717" s="2"/>
      <c r="D717" s="2" t="s">
        <v>2173</v>
      </c>
      <c r="E717" s="2" t="s">
        <v>2174</v>
      </c>
      <c r="J717" s="10" t="s">
        <v>25</v>
      </c>
      <c r="L717" s="10">
        <v>1</v>
      </c>
      <c r="M717" s="10">
        <v>1</v>
      </c>
      <c r="N717" s="10" t="s">
        <v>2646</v>
      </c>
      <c r="O717" s="10" t="s">
        <v>2687</v>
      </c>
      <c r="S717" s="10">
        <v>2475</v>
      </c>
      <c r="U717" s="10" t="str">
        <f t="shared" ca="1" si="24"/>
        <v/>
      </c>
      <c r="V717" s="10" t="str">
        <f t="shared" ca="1" si="25"/>
        <v/>
      </c>
    </row>
    <row r="718" spans="1:32">
      <c r="A718" s="2" t="s">
        <v>857</v>
      </c>
      <c r="B718" s="2"/>
      <c r="C718" s="2"/>
      <c r="D718" s="2" t="s">
        <v>2171</v>
      </c>
      <c r="E718" s="2" t="s">
        <v>849</v>
      </c>
      <c r="F718" t="s">
        <v>28</v>
      </c>
      <c r="H718" t="s">
        <v>19</v>
      </c>
      <c r="J718" s="10" t="s">
        <v>2686</v>
      </c>
      <c r="T718" s="10" t="s">
        <v>2696</v>
      </c>
      <c r="U718" s="10" t="str">
        <f t="shared" ca="1" si="24"/>
        <v/>
      </c>
      <c r="V718" s="10" t="str">
        <f t="shared" ca="1" si="25"/>
        <v/>
      </c>
      <c r="AE718" s="10" t="s">
        <v>2645</v>
      </c>
      <c r="AF718" s="10" t="s">
        <v>19</v>
      </c>
    </row>
    <row r="719" spans="1:32" hidden="1">
      <c r="A719" s="2" t="s">
        <v>858</v>
      </c>
      <c r="B719" s="2"/>
      <c r="C719" s="2"/>
      <c r="D719" s="2" t="s">
        <v>2175</v>
      </c>
      <c r="E719" s="2" t="s">
        <v>859</v>
      </c>
      <c r="J719" s="10" t="s">
        <v>2688</v>
      </c>
      <c r="U719" s="10" t="str">
        <f t="shared" ca="1" si="24"/>
        <v/>
      </c>
      <c r="V719" s="10" t="str">
        <f t="shared" ca="1" si="25"/>
        <v/>
      </c>
      <c r="AE719" s="10" t="s">
        <v>2645</v>
      </c>
    </row>
    <row r="720" spans="1:32" hidden="1">
      <c r="A720" s="2" t="s">
        <v>860</v>
      </c>
      <c r="B720" s="2"/>
      <c r="C720" s="2"/>
      <c r="D720" s="2" t="s">
        <v>243</v>
      </c>
      <c r="E720" s="2" t="s">
        <v>79</v>
      </c>
      <c r="J720" s="10" t="s">
        <v>2688</v>
      </c>
      <c r="U720" s="10" t="str">
        <f t="shared" ca="1" si="24"/>
        <v/>
      </c>
      <c r="V720" s="10" t="str">
        <f t="shared" ca="1" si="25"/>
        <v/>
      </c>
    </row>
    <row r="721" spans="1:31" hidden="1">
      <c r="A721" s="2" t="s">
        <v>860</v>
      </c>
      <c r="B721" s="2"/>
      <c r="C721" s="2"/>
      <c r="D721" s="2" t="s">
        <v>814</v>
      </c>
      <c r="E721" s="2" t="s">
        <v>861</v>
      </c>
      <c r="F721" t="s">
        <v>17</v>
      </c>
      <c r="U721" s="10" t="str">
        <f t="shared" ca="1" si="24"/>
        <v/>
      </c>
      <c r="V721" s="10" t="str">
        <f t="shared" ca="1" si="25"/>
        <v/>
      </c>
    </row>
    <row r="722" spans="1:31">
      <c r="A722" s="2" t="s">
        <v>860</v>
      </c>
      <c r="B722" s="2"/>
      <c r="C722" s="2"/>
      <c r="D722" s="2" t="s">
        <v>863</v>
      </c>
      <c r="E722" s="2" t="s">
        <v>862</v>
      </c>
      <c r="H722" t="s">
        <v>22</v>
      </c>
      <c r="I722" t="s">
        <v>2176</v>
      </c>
      <c r="J722" s="10" t="s">
        <v>2686</v>
      </c>
      <c r="T722" s="10" t="s">
        <v>2696</v>
      </c>
      <c r="U722" s="10" t="str">
        <f t="shared" ca="1" si="24"/>
        <v/>
      </c>
      <c r="V722" s="10" t="str">
        <f t="shared" ca="1" si="25"/>
        <v/>
      </c>
      <c r="AB722" s="10" t="s">
        <v>2692</v>
      </c>
      <c r="AD722" s="10" t="s">
        <v>19</v>
      </c>
    </row>
    <row r="723" spans="1:31" hidden="1">
      <c r="A723" s="2" t="s">
        <v>864</v>
      </c>
      <c r="B723" s="2"/>
      <c r="C723" s="2"/>
      <c r="D723" s="2" t="s">
        <v>866</v>
      </c>
      <c r="E723" s="2" t="s">
        <v>865</v>
      </c>
      <c r="J723" s="10" t="s">
        <v>2686</v>
      </c>
      <c r="T723" s="10" t="s">
        <v>2696</v>
      </c>
      <c r="U723" s="10" t="str">
        <f t="shared" ca="1" si="24"/>
        <v/>
      </c>
      <c r="V723" s="10" t="str">
        <f t="shared" ca="1" si="25"/>
        <v/>
      </c>
      <c r="AB723" s="10" t="s">
        <v>2692</v>
      </c>
      <c r="AD723" s="10" t="s">
        <v>19</v>
      </c>
    </row>
    <row r="724" spans="1:31" hidden="1">
      <c r="A724" s="2" t="s">
        <v>867</v>
      </c>
      <c r="B724" s="2"/>
      <c r="C724" s="2"/>
      <c r="D724" s="2" t="s">
        <v>2177</v>
      </c>
      <c r="E724" s="2" t="s">
        <v>2178</v>
      </c>
      <c r="J724" s="10" t="s">
        <v>2689</v>
      </c>
      <c r="T724" s="10">
        <f>1-9</f>
        <v>-8</v>
      </c>
      <c r="U724" s="10">
        <f t="shared" ca="1" si="24"/>
        <v>9</v>
      </c>
      <c r="V724" s="10">
        <f t="shared" ca="1" si="25"/>
        <v>1</v>
      </c>
      <c r="AE724" s="10" t="s">
        <v>2657</v>
      </c>
    </row>
    <row r="725" spans="1:31" hidden="1">
      <c r="A725" s="2" t="s">
        <v>868</v>
      </c>
      <c r="B725" s="2"/>
      <c r="C725" s="2"/>
      <c r="D725" s="2" t="s">
        <v>2180</v>
      </c>
      <c r="E725" s="2" t="s">
        <v>2179</v>
      </c>
      <c r="H725" t="s">
        <v>19</v>
      </c>
      <c r="J725" s="10" t="s">
        <v>25</v>
      </c>
      <c r="L725" s="10">
        <v>1</v>
      </c>
      <c r="M725" s="10">
        <v>3</v>
      </c>
      <c r="N725" s="10" t="s">
        <v>2655</v>
      </c>
      <c r="O725" s="10" t="s">
        <v>2647</v>
      </c>
      <c r="S725" s="10">
        <v>1701</v>
      </c>
      <c r="U725" s="10" t="str">
        <f t="shared" ca="1" si="24"/>
        <v/>
      </c>
      <c r="V725" s="10" t="str">
        <f t="shared" ca="1" si="25"/>
        <v/>
      </c>
    </row>
    <row r="726" spans="1:31" hidden="1">
      <c r="A726" s="2" t="s">
        <v>868</v>
      </c>
      <c r="B726" s="2"/>
      <c r="C726" s="2"/>
      <c r="D726" s="2" t="s">
        <v>2181</v>
      </c>
      <c r="E726" s="2" t="s">
        <v>2182</v>
      </c>
      <c r="F726" t="s">
        <v>17</v>
      </c>
      <c r="U726" s="10" t="str">
        <f t="shared" ca="1" si="24"/>
        <v/>
      </c>
      <c r="V726" s="10" t="str">
        <f t="shared" ca="1" si="25"/>
        <v/>
      </c>
    </row>
    <row r="727" spans="1:31" hidden="1">
      <c r="A727" s="2" t="s">
        <v>869</v>
      </c>
      <c r="B727" s="2"/>
      <c r="C727" s="2"/>
      <c r="D727" s="2" t="s">
        <v>871</v>
      </c>
      <c r="E727" s="2" t="s">
        <v>870</v>
      </c>
      <c r="H727" t="s">
        <v>19</v>
      </c>
      <c r="J727" s="10" t="s">
        <v>2688</v>
      </c>
      <c r="U727" s="10" t="str">
        <f t="shared" ca="1" si="24"/>
        <v/>
      </c>
      <c r="V727" s="10" t="str">
        <f t="shared" ca="1" si="25"/>
        <v/>
      </c>
      <c r="AE727" s="10" t="s">
        <v>2645</v>
      </c>
    </row>
    <row r="728" spans="1:31" hidden="1">
      <c r="A728" s="2" t="s">
        <v>869</v>
      </c>
      <c r="B728" s="2"/>
      <c r="C728" s="2"/>
      <c r="D728" s="2" t="s">
        <v>873</v>
      </c>
      <c r="E728" s="2" t="s">
        <v>872</v>
      </c>
      <c r="J728" s="10" t="s">
        <v>2688</v>
      </c>
      <c r="U728" s="10" t="str">
        <f t="shared" ca="1" si="24"/>
        <v/>
      </c>
      <c r="V728" s="10" t="str">
        <f t="shared" ca="1" si="25"/>
        <v/>
      </c>
      <c r="AE728" s="10" t="s">
        <v>2645</v>
      </c>
    </row>
    <row r="729" spans="1:31" ht="29" hidden="1">
      <c r="A729" s="2" t="s">
        <v>869</v>
      </c>
      <c r="B729" s="2"/>
      <c r="C729" s="2"/>
      <c r="D729" s="3" t="s">
        <v>2183</v>
      </c>
      <c r="E729" s="2" t="s">
        <v>2184</v>
      </c>
      <c r="F729" t="s">
        <v>15</v>
      </c>
      <c r="Q729" s="10"/>
      <c r="U729" s="10" t="str">
        <f t="shared" ca="1" si="24"/>
        <v/>
      </c>
      <c r="V729" s="10" t="str">
        <f t="shared" ca="1" si="25"/>
        <v/>
      </c>
    </row>
    <row r="730" spans="1:31" ht="29" hidden="1">
      <c r="A730" s="2" t="s">
        <v>869</v>
      </c>
      <c r="B730" s="2"/>
      <c r="C730" s="2"/>
      <c r="D730" s="2" t="s">
        <v>2186</v>
      </c>
      <c r="E730" s="2" t="s">
        <v>2185</v>
      </c>
      <c r="H730" t="s">
        <v>19</v>
      </c>
      <c r="J730" s="10" t="s">
        <v>2688</v>
      </c>
      <c r="U730" s="10" t="str">
        <f t="shared" ca="1" si="24"/>
        <v/>
      </c>
      <c r="V730" s="10" t="str">
        <f t="shared" ca="1" si="25"/>
        <v/>
      </c>
      <c r="AE730" s="10" t="s">
        <v>2651</v>
      </c>
    </row>
    <row r="731" spans="1:31" ht="29" hidden="1">
      <c r="A731" s="2" t="s">
        <v>869</v>
      </c>
      <c r="B731" s="2"/>
      <c r="C731" s="2"/>
      <c r="D731" s="2" t="s">
        <v>2187</v>
      </c>
      <c r="E731" s="2" t="s">
        <v>2188</v>
      </c>
      <c r="J731" s="10" t="s">
        <v>2688</v>
      </c>
      <c r="U731" s="10" t="str">
        <f t="shared" ca="1" si="24"/>
        <v/>
      </c>
      <c r="V731" s="10" t="str">
        <f t="shared" ca="1" si="25"/>
        <v/>
      </c>
    </row>
    <row r="732" spans="1:31" hidden="1">
      <c r="A732" s="2" t="s">
        <v>874</v>
      </c>
      <c r="B732" s="2"/>
      <c r="C732" s="2"/>
      <c r="D732" s="3" t="s">
        <v>876</v>
      </c>
      <c r="E732" s="2" t="s">
        <v>875</v>
      </c>
      <c r="F732" t="s">
        <v>15</v>
      </c>
      <c r="J732" s="10" t="s">
        <v>2689</v>
      </c>
      <c r="T732" s="10" t="s">
        <v>2696</v>
      </c>
      <c r="U732" s="10" t="str">
        <f t="shared" ca="1" si="24"/>
        <v/>
      </c>
      <c r="V732" s="10" t="str">
        <f t="shared" ca="1" si="25"/>
        <v/>
      </c>
      <c r="AE732" s="10" t="s">
        <v>2645</v>
      </c>
    </row>
    <row r="733" spans="1:31">
      <c r="A733" s="2" t="s">
        <v>874</v>
      </c>
      <c r="B733" s="2"/>
      <c r="C733" s="2"/>
      <c r="D733" s="2" t="s">
        <v>2047</v>
      </c>
      <c r="E733" s="2" t="s">
        <v>2189</v>
      </c>
      <c r="H733" t="s">
        <v>23</v>
      </c>
      <c r="I733" t="s">
        <v>2190</v>
      </c>
      <c r="J733" s="10" t="s">
        <v>2686</v>
      </c>
      <c r="T733" s="10">
        <f>35-2475</f>
        <v>-2440</v>
      </c>
      <c r="U733" s="10">
        <f t="shared" ca="1" si="24"/>
        <v>2475</v>
      </c>
      <c r="V733" s="10">
        <f t="shared" ca="1" si="25"/>
        <v>35</v>
      </c>
    </row>
    <row r="734" spans="1:31" hidden="1">
      <c r="A734" s="2" t="s">
        <v>877</v>
      </c>
      <c r="B734" s="2"/>
      <c r="C734" s="2"/>
      <c r="D734" s="2" t="s">
        <v>879</v>
      </c>
      <c r="E734" s="2" t="s">
        <v>878</v>
      </c>
      <c r="J734" s="10" t="s">
        <v>2688</v>
      </c>
      <c r="U734" s="10" t="str">
        <f t="shared" ca="1" si="24"/>
        <v/>
      </c>
      <c r="V734" s="10" t="str">
        <f t="shared" ca="1" si="25"/>
        <v/>
      </c>
      <c r="AC734" s="10" t="s">
        <v>2710</v>
      </c>
      <c r="AD734" s="10" t="s">
        <v>19</v>
      </c>
      <c r="AE734" s="10" t="s">
        <v>2645</v>
      </c>
    </row>
    <row r="735" spans="1:31" hidden="1">
      <c r="A735" s="2" t="s">
        <v>880</v>
      </c>
      <c r="B735" s="2"/>
      <c r="C735" s="2"/>
      <c r="D735" s="2" t="s">
        <v>2192</v>
      </c>
      <c r="E735" s="2" t="s">
        <v>2191</v>
      </c>
      <c r="J735" s="10" t="s">
        <v>2688</v>
      </c>
      <c r="U735" s="10" t="str">
        <f t="shared" ca="1" si="24"/>
        <v/>
      </c>
      <c r="V735" s="10" t="str">
        <f t="shared" ca="1" si="25"/>
        <v/>
      </c>
      <c r="AB735" s="10" t="s">
        <v>2798</v>
      </c>
      <c r="AD735" s="10" t="s">
        <v>19</v>
      </c>
    </row>
    <row r="736" spans="1:31" hidden="1">
      <c r="A736" s="2" t="s">
        <v>880</v>
      </c>
      <c r="B736" s="2"/>
      <c r="C736" s="2"/>
      <c r="D736" s="2" t="s">
        <v>2193</v>
      </c>
      <c r="E736" s="2" t="s">
        <v>2194</v>
      </c>
      <c r="J736" s="10" t="s">
        <v>2688</v>
      </c>
      <c r="U736" s="10" t="str">
        <f t="shared" ca="1" si="24"/>
        <v/>
      </c>
      <c r="V736" s="10" t="str">
        <f t="shared" ca="1" si="25"/>
        <v/>
      </c>
      <c r="AE736" s="10" t="s">
        <v>2657</v>
      </c>
    </row>
    <row r="737" spans="1:31">
      <c r="A737" s="2" t="s">
        <v>881</v>
      </c>
      <c r="B737" s="2"/>
      <c r="C737" s="2"/>
      <c r="D737" s="2" t="s">
        <v>883</v>
      </c>
      <c r="E737" s="2" t="s">
        <v>882</v>
      </c>
      <c r="I737" s="4"/>
      <c r="J737" s="10" t="s">
        <v>2686</v>
      </c>
      <c r="T737" s="10" t="s">
        <v>2696</v>
      </c>
      <c r="U737" s="10" t="str">
        <f t="shared" ca="1" si="24"/>
        <v/>
      </c>
      <c r="V737" s="10" t="str">
        <f t="shared" ca="1" si="25"/>
        <v/>
      </c>
      <c r="AE737" s="10" t="s">
        <v>2645</v>
      </c>
    </row>
    <row r="738" spans="1:31" hidden="1">
      <c r="A738" s="2" t="s">
        <v>884</v>
      </c>
      <c r="B738" s="2"/>
      <c r="C738" s="2"/>
      <c r="D738" s="2" t="s">
        <v>2195</v>
      </c>
      <c r="E738" s="2" t="s">
        <v>2196</v>
      </c>
      <c r="H738" t="s">
        <v>19</v>
      </c>
      <c r="J738" s="10" t="s">
        <v>2688</v>
      </c>
      <c r="U738" s="10" t="str">
        <f t="shared" ca="1" si="24"/>
        <v/>
      </c>
      <c r="V738" s="10" t="str">
        <f t="shared" ca="1" si="25"/>
        <v/>
      </c>
    </row>
    <row r="739" spans="1:31" hidden="1">
      <c r="A739" s="2" t="s">
        <v>885</v>
      </c>
      <c r="B739" s="2"/>
      <c r="C739" s="2"/>
      <c r="D739" s="2" t="s">
        <v>886</v>
      </c>
      <c r="E739" s="2" t="s">
        <v>663</v>
      </c>
      <c r="J739" s="10" t="s">
        <v>2688</v>
      </c>
      <c r="U739" s="10" t="str">
        <f t="shared" ca="1" si="24"/>
        <v/>
      </c>
      <c r="V739" s="10" t="str">
        <f t="shared" ca="1" si="25"/>
        <v/>
      </c>
    </row>
    <row r="740" spans="1:31" hidden="1">
      <c r="A740" s="2" t="s">
        <v>887</v>
      </c>
      <c r="B740" s="2"/>
      <c r="C740" s="2"/>
      <c r="D740" s="2" t="s">
        <v>889</v>
      </c>
      <c r="E740" s="2" t="s">
        <v>888</v>
      </c>
      <c r="J740" s="10" t="s">
        <v>2688</v>
      </c>
      <c r="U740" s="10" t="str">
        <f t="shared" ca="1" si="24"/>
        <v/>
      </c>
      <c r="V740" s="10" t="str">
        <f t="shared" ca="1" si="25"/>
        <v/>
      </c>
      <c r="AC740" s="10" t="s">
        <v>2801</v>
      </c>
      <c r="AD740" s="10" t="s">
        <v>19</v>
      </c>
    </row>
    <row r="741" spans="1:31" hidden="1">
      <c r="A741" s="2" t="s">
        <v>890</v>
      </c>
      <c r="B741" s="2"/>
      <c r="C741" s="2"/>
      <c r="D741" s="2" t="s">
        <v>2752</v>
      </c>
      <c r="E741" s="2" t="s">
        <v>891</v>
      </c>
      <c r="H741" t="s">
        <v>19</v>
      </c>
      <c r="J741" s="10" t="s">
        <v>2688</v>
      </c>
      <c r="U741" s="10" t="str">
        <f t="shared" ca="1" si="24"/>
        <v/>
      </c>
      <c r="V741" s="10" t="str">
        <f t="shared" ca="1" si="25"/>
        <v/>
      </c>
      <c r="AE741" s="10" t="s">
        <v>2645</v>
      </c>
    </row>
    <row r="742" spans="1:31" hidden="1">
      <c r="A742" s="2" t="s">
        <v>892</v>
      </c>
      <c r="B742" s="2"/>
      <c r="C742" s="2"/>
      <c r="D742" s="3" t="s">
        <v>2198</v>
      </c>
      <c r="E742" s="2" t="s">
        <v>2197</v>
      </c>
      <c r="F742" t="s">
        <v>15</v>
      </c>
      <c r="U742" s="10" t="str">
        <f t="shared" ca="1" si="24"/>
        <v/>
      </c>
      <c r="V742" s="10" t="str">
        <f t="shared" ca="1" si="25"/>
        <v/>
      </c>
    </row>
    <row r="743" spans="1:31" hidden="1">
      <c r="A743" s="2" t="s">
        <v>892</v>
      </c>
      <c r="B743" s="2"/>
      <c r="C743" s="2"/>
      <c r="D743" s="5" t="s">
        <v>2199</v>
      </c>
      <c r="E743" s="2" t="s">
        <v>2200</v>
      </c>
      <c r="F743" t="s">
        <v>13</v>
      </c>
      <c r="U743" s="10" t="str">
        <f t="shared" ca="1" si="24"/>
        <v/>
      </c>
      <c r="V743" s="10" t="str">
        <f t="shared" ca="1" si="25"/>
        <v/>
      </c>
    </row>
    <row r="744" spans="1:31" hidden="1">
      <c r="A744" s="2" t="s">
        <v>893</v>
      </c>
      <c r="B744" s="2"/>
      <c r="C744" s="2"/>
      <c r="D744" s="2" t="s">
        <v>2201</v>
      </c>
      <c r="E744" s="2" t="s">
        <v>2202</v>
      </c>
      <c r="J744" s="10" t="s">
        <v>2686</v>
      </c>
      <c r="T744" s="10">
        <f>1701-21</f>
        <v>1680</v>
      </c>
      <c r="U744" s="10">
        <f t="shared" ca="1" si="24"/>
        <v>21</v>
      </c>
      <c r="V744" s="10">
        <f t="shared" ca="1" si="25"/>
        <v>1701</v>
      </c>
    </row>
    <row r="745" spans="1:31" hidden="1">
      <c r="A745" s="2" t="s">
        <v>894</v>
      </c>
      <c r="B745" s="2"/>
      <c r="C745" s="2"/>
      <c r="D745" s="2" t="s">
        <v>2203</v>
      </c>
      <c r="E745" s="2" t="s">
        <v>2204</v>
      </c>
      <c r="G745" t="s">
        <v>19</v>
      </c>
      <c r="J745" s="10" t="s">
        <v>2688</v>
      </c>
      <c r="U745" s="10" t="str">
        <f t="shared" ca="1" si="24"/>
        <v/>
      </c>
      <c r="V745" s="10" t="str">
        <f t="shared" ca="1" si="25"/>
        <v/>
      </c>
    </row>
    <row r="746" spans="1:31" hidden="1">
      <c r="A746" s="2" t="s">
        <v>895</v>
      </c>
      <c r="B746" s="2"/>
      <c r="C746" s="2"/>
      <c r="D746" s="2" t="s">
        <v>255</v>
      </c>
      <c r="E746" s="2" t="s">
        <v>896</v>
      </c>
      <c r="J746" s="10" t="s">
        <v>2688</v>
      </c>
      <c r="U746" s="10" t="str">
        <f t="shared" ca="1" si="24"/>
        <v/>
      </c>
      <c r="V746" s="10" t="str">
        <f t="shared" ca="1" si="25"/>
        <v/>
      </c>
    </row>
    <row r="747" spans="1:31" hidden="1">
      <c r="A747" s="2" t="s">
        <v>897</v>
      </c>
      <c r="B747" s="2"/>
      <c r="C747" s="2"/>
      <c r="D747" s="2" t="s">
        <v>2205</v>
      </c>
      <c r="E747" s="2" t="s">
        <v>2206</v>
      </c>
      <c r="J747" s="10" t="s">
        <v>2686</v>
      </c>
      <c r="T747" s="10">
        <f>129-1701</f>
        <v>-1572</v>
      </c>
      <c r="U747" s="10">
        <f t="shared" ca="1" si="24"/>
        <v>1701</v>
      </c>
      <c r="V747" s="10">
        <f t="shared" ca="1" si="25"/>
        <v>129</v>
      </c>
    </row>
    <row r="748" spans="1:31" ht="29" hidden="1">
      <c r="A748" s="2" t="s">
        <v>898</v>
      </c>
      <c r="B748" s="2"/>
      <c r="C748" s="2"/>
      <c r="D748" s="2" t="s">
        <v>2207</v>
      </c>
      <c r="E748" s="2" t="s">
        <v>2208</v>
      </c>
      <c r="H748" t="s">
        <v>19</v>
      </c>
      <c r="J748" s="10" t="s">
        <v>25</v>
      </c>
      <c r="L748" s="10">
        <v>2</v>
      </c>
      <c r="M748" s="10">
        <v>9</v>
      </c>
      <c r="O748" s="10" t="s">
        <v>2647</v>
      </c>
      <c r="S748" s="10">
        <v>56</v>
      </c>
      <c r="U748" s="10" t="str">
        <f t="shared" ca="1" si="24"/>
        <v/>
      </c>
      <c r="V748" s="10" t="str">
        <f t="shared" ca="1" si="25"/>
        <v/>
      </c>
    </row>
    <row r="749" spans="1:31" hidden="1">
      <c r="A749" s="2" t="s">
        <v>1206</v>
      </c>
      <c r="B749" s="2"/>
      <c r="C749" s="2"/>
      <c r="D749" s="2" t="s">
        <v>2209</v>
      </c>
      <c r="E749" s="2" t="s">
        <v>2210</v>
      </c>
      <c r="F749" t="s">
        <v>11</v>
      </c>
      <c r="H749" t="s">
        <v>19</v>
      </c>
      <c r="U749" s="10" t="str">
        <f t="shared" ca="1" si="24"/>
        <v/>
      </c>
      <c r="V749" s="10" t="str">
        <f t="shared" ca="1" si="25"/>
        <v/>
      </c>
    </row>
    <row r="750" spans="1:31" hidden="1">
      <c r="A750" s="2" t="s">
        <v>1206</v>
      </c>
      <c r="B750" s="2"/>
      <c r="C750" s="2"/>
      <c r="D750" s="2" t="s">
        <v>2211</v>
      </c>
      <c r="E750" s="2" t="s">
        <v>2212</v>
      </c>
      <c r="H750" t="s">
        <v>19</v>
      </c>
      <c r="J750" s="10" t="s">
        <v>2686</v>
      </c>
      <c r="T750" s="10" t="s">
        <v>2696</v>
      </c>
      <c r="U750" s="10" t="str">
        <f t="shared" ca="1" si="24"/>
        <v/>
      </c>
      <c r="V750" s="10" t="str">
        <f t="shared" ca="1" si="25"/>
        <v/>
      </c>
      <c r="AC750" s="10" t="s">
        <v>2801</v>
      </c>
      <c r="AD750" s="10" t="s">
        <v>19</v>
      </c>
      <c r="AE750" s="10" t="s">
        <v>2645</v>
      </c>
    </row>
    <row r="751" spans="1:31" ht="43.5" hidden="1">
      <c r="A751" s="2" t="s">
        <v>1206</v>
      </c>
      <c r="B751" s="2"/>
      <c r="C751" s="2"/>
      <c r="D751" s="2" t="s">
        <v>2213</v>
      </c>
      <c r="E751" s="2" t="s">
        <v>2214</v>
      </c>
      <c r="H751" t="s">
        <v>19</v>
      </c>
      <c r="J751" s="10" t="s">
        <v>2686</v>
      </c>
      <c r="T751" s="10" t="s">
        <v>2696</v>
      </c>
      <c r="U751" s="10" t="str">
        <f t="shared" ca="1" si="24"/>
        <v/>
      </c>
      <c r="V751" s="10" t="str">
        <f t="shared" ca="1" si="25"/>
        <v/>
      </c>
      <c r="AE751" s="10" t="s">
        <v>2645</v>
      </c>
    </row>
    <row r="752" spans="1:31" ht="43.5" hidden="1">
      <c r="A752" s="2" t="s">
        <v>1206</v>
      </c>
      <c r="B752" s="2"/>
      <c r="C752" s="2"/>
      <c r="D752" s="2" t="s">
        <v>2215</v>
      </c>
      <c r="E752" s="2" t="s">
        <v>2216</v>
      </c>
      <c r="H752" t="s">
        <v>19</v>
      </c>
      <c r="J752" s="10" t="s">
        <v>2686</v>
      </c>
      <c r="R752" s="10" t="s">
        <v>2642</v>
      </c>
      <c r="T752" s="10" t="s">
        <v>2696</v>
      </c>
      <c r="U752" s="10" t="str">
        <f t="shared" ca="1" si="24"/>
        <v/>
      </c>
      <c r="V752" s="10" t="str">
        <f t="shared" ca="1" si="25"/>
        <v/>
      </c>
      <c r="AC752" s="10" t="s">
        <v>2800</v>
      </c>
      <c r="AD752" s="10" t="s">
        <v>19</v>
      </c>
      <c r="AE752" s="10" t="s">
        <v>2645</v>
      </c>
    </row>
    <row r="753" spans="1:31" hidden="1">
      <c r="A753" s="2" t="s">
        <v>1207</v>
      </c>
      <c r="B753" s="2"/>
      <c r="C753" s="2"/>
      <c r="D753" s="2" t="s">
        <v>805</v>
      </c>
      <c r="E753" s="2" t="s">
        <v>1208</v>
      </c>
      <c r="J753" s="10" t="s">
        <v>2688</v>
      </c>
      <c r="U753" s="10" t="str">
        <f t="shared" ca="1" si="24"/>
        <v/>
      </c>
      <c r="V753" s="10" t="str">
        <f t="shared" ca="1" si="25"/>
        <v/>
      </c>
    </row>
    <row r="754" spans="1:31" ht="87">
      <c r="A754" s="2" t="s">
        <v>1209</v>
      </c>
      <c r="B754" s="2"/>
      <c r="C754" s="2"/>
      <c r="D754" s="2" t="s">
        <v>2218</v>
      </c>
      <c r="E754" s="2" t="s">
        <v>2219</v>
      </c>
      <c r="H754" t="s">
        <v>19</v>
      </c>
      <c r="J754" s="10" t="s">
        <v>2686</v>
      </c>
      <c r="T754" s="10" t="s">
        <v>2696</v>
      </c>
      <c r="U754" s="10" t="str">
        <f t="shared" ca="1" si="24"/>
        <v/>
      </c>
      <c r="V754" s="10" t="str">
        <f t="shared" ca="1" si="25"/>
        <v/>
      </c>
      <c r="AE754" s="10" t="s">
        <v>2645</v>
      </c>
    </row>
    <row r="755" spans="1:31" ht="87">
      <c r="A755" s="2" t="s">
        <v>1210</v>
      </c>
      <c r="B755" s="2"/>
      <c r="C755" s="2"/>
      <c r="D755" s="2" t="s">
        <v>2220</v>
      </c>
      <c r="E755" s="2" t="s">
        <v>2217</v>
      </c>
      <c r="H755" t="s">
        <v>19</v>
      </c>
      <c r="I755" t="s">
        <v>2755</v>
      </c>
      <c r="J755" s="10" t="s">
        <v>25</v>
      </c>
      <c r="L755" s="10">
        <v>14</v>
      </c>
      <c r="M755" s="10">
        <v>64</v>
      </c>
      <c r="O755" s="10" t="s">
        <v>2641</v>
      </c>
      <c r="P755" s="10" t="s">
        <v>2753</v>
      </c>
      <c r="Q755" s="11" t="s">
        <v>2754</v>
      </c>
      <c r="S755" s="10">
        <v>1</v>
      </c>
      <c r="U755" s="10" t="str">
        <f t="shared" ca="1" si="24"/>
        <v/>
      </c>
      <c r="V755" s="10" t="str">
        <f t="shared" ca="1" si="25"/>
        <v/>
      </c>
    </row>
    <row r="756" spans="1:31" ht="87">
      <c r="A756" s="2" t="s">
        <v>1210</v>
      </c>
      <c r="B756" s="2"/>
      <c r="C756" s="2"/>
      <c r="D756" s="3" t="s">
        <v>2923</v>
      </c>
      <c r="E756" s="2" t="s">
        <v>2924</v>
      </c>
      <c r="F756" t="s">
        <v>31</v>
      </c>
      <c r="H756" t="s">
        <v>19</v>
      </c>
      <c r="I756" t="s">
        <v>2925</v>
      </c>
      <c r="J756" s="10" t="s">
        <v>2686</v>
      </c>
      <c r="T756" s="10">
        <f>743-312</f>
        <v>431</v>
      </c>
      <c r="U756" s="10">
        <f t="shared" ref="U756" ca="1" si="26">IF(ISNUMBER(T756),VALUE(MID(_xlfn.FORMULATEXT(T756),SEARCH("-",_xlfn.FORMULATEXT(T756))+1,LEN(_xlfn.FORMULATEXT(T756))-SEARCH("-",_xlfn.FORMULATEXT(T756)))), "")</f>
        <v>312</v>
      </c>
      <c r="V756" s="10">
        <f t="shared" ref="V756" ca="1" si="27">IF(ISNUMBER(T756), VALUE(MID(_xlfn.FORMULATEXT(T756), 2, SEARCH("-", _xlfn.FORMULATEXT(T756)) - 2)), "")</f>
        <v>743</v>
      </c>
    </row>
    <row r="757" spans="1:31" ht="29" hidden="1">
      <c r="A757" s="2" t="s">
        <v>1210</v>
      </c>
      <c r="B757" s="2"/>
      <c r="C757" s="2"/>
      <c r="D757" s="2" t="s">
        <v>2221</v>
      </c>
      <c r="E757" s="2" t="s">
        <v>2222</v>
      </c>
      <c r="H757" t="s">
        <v>19</v>
      </c>
      <c r="J757" s="10" t="s">
        <v>24</v>
      </c>
      <c r="L757" s="10">
        <v>1</v>
      </c>
      <c r="M757" s="10">
        <v>3</v>
      </c>
      <c r="N757" s="10" t="s">
        <v>2655</v>
      </c>
      <c r="O757" s="10" t="s">
        <v>2641</v>
      </c>
      <c r="P757" s="10" t="s">
        <v>2704</v>
      </c>
      <c r="Q757" s="11" t="s">
        <v>2756</v>
      </c>
      <c r="R757" s="10" t="s">
        <v>2642</v>
      </c>
      <c r="S757" s="10">
        <v>1701</v>
      </c>
      <c r="U757" s="10" t="str">
        <f t="shared" ca="1" si="24"/>
        <v/>
      </c>
      <c r="V757" s="10" t="str">
        <f t="shared" ca="1" si="25"/>
        <v/>
      </c>
      <c r="AE757" s="10" t="s">
        <v>2651</v>
      </c>
    </row>
    <row r="758" spans="1:31" hidden="1">
      <c r="A758" s="2" t="s">
        <v>1210</v>
      </c>
      <c r="B758" s="2"/>
      <c r="C758" s="2"/>
      <c r="D758" s="2" t="s">
        <v>66</v>
      </c>
      <c r="E758" s="2" t="s">
        <v>1211</v>
      </c>
      <c r="H758" t="s">
        <v>19</v>
      </c>
      <c r="J758" s="10" t="s">
        <v>2686</v>
      </c>
      <c r="T758" s="10" t="s">
        <v>2687</v>
      </c>
      <c r="U758" s="10" t="str">
        <f t="shared" ca="1" si="24"/>
        <v/>
      </c>
      <c r="V758" s="10" t="str">
        <f t="shared" ca="1" si="25"/>
        <v/>
      </c>
      <c r="AB758" s="10" t="s">
        <v>2692</v>
      </c>
      <c r="AD758" s="10" t="s">
        <v>19</v>
      </c>
    </row>
    <row r="759" spans="1:31" hidden="1">
      <c r="A759" s="2" t="s">
        <v>1212</v>
      </c>
      <c r="B759" s="2"/>
      <c r="C759" s="2"/>
      <c r="D759" s="3" t="s">
        <v>812</v>
      </c>
      <c r="E759" s="2" t="s">
        <v>1213</v>
      </c>
      <c r="F759" t="s">
        <v>15</v>
      </c>
      <c r="U759" s="10" t="str">
        <f t="shared" ca="1" si="24"/>
        <v/>
      </c>
      <c r="V759" s="10" t="str">
        <f t="shared" ca="1" si="25"/>
        <v/>
      </c>
    </row>
    <row r="760" spans="1:31">
      <c r="A760" s="2" t="s">
        <v>1212</v>
      </c>
      <c r="B760" s="2"/>
      <c r="C760" s="2"/>
      <c r="D760" s="2" t="s">
        <v>813</v>
      </c>
      <c r="E760" s="2" t="s">
        <v>813</v>
      </c>
      <c r="F760" t="s">
        <v>35</v>
      </c>
      <c r="I760" t="s">
        <v>2223</v>
      </c>
      <c r="U760" s="10" t="str">
        <f t="shared" ref="U760:U821" ca="1" si="28">IF(ISNUMBER(T760),VALUE(MID(_xlfn.FORMULATEXT(T760),SEARCH("-",_xlfn.FORMULATEXT(T760))+1,LEN(_xlfn.FORMULATEXT(T760))-SEARCH("-",_xlfn.FORMULATEXT(T760)))), "")</f>
        <v/>
      </c>
      <c r="V760" s="10" t="str">
        <f t="shared" ref="V760:V821" ca="1" si="29">IF(ISNUMBER(T760), VALUE(MID(_xlfn.FORMULATEXT(T760), 2, SEARCH("-", _xlfn.FORMULATEXT(T760)) - 2)), "")</f>
        <v/>
      </c>
    </row>
    <row r="761" spans="1:31" hidden="1">
      <c r="A761" s="2" t="s">
        <v>1214</v>
      </c>
      <c r="B761" s="2"/>
      <c r="C761" s="2"/>
      <c r="D761" s="2" t="s">
        <v>816</v>
      </c>
      <c r="E761" s="2" t="s">
        <v>2224</v>
      </c>
      <c r="H761" t="s">
        <v>19</v>
      </c>
      <c r="J761" s="10" t="s">
        <v>2686</v>
      </c>
      <c r="T761" s="10">
        <f>0-2</f>
        <v>-2</v>
      </c>
      <c r="U761" s="10">
        <f t="shared" ca="1" si="28"/>
        <v>2</v>
      </c>
      <c r="V761" s="10">
        <f t="shared" ca="1" si="29"/>
        <v>0</v>
      </c>
      <c r="AE761" s="10" t="s">
        <v>2651</v>
      </c>
    </row>
    <row r="762" spans="1:31" hidden="1">
      <c r="A762" s="2" t="s">
        <v>1215</v>
      </c>
      <c r="B762" s="2"/>
      <c r="C762" s="2"/>
      <c r="D762" s="2" t="s">
        <v>818</v>
      </c>
      <c r="E762" s="2" t="s">
        <v>1216</v>
      </c>
      <c r="J762" s="10" t="s">
        <v>2688</v>
      </c>
      <c r="U762" s="10" t="str">
        <f t="shared" ca="1" si="28"/>
        <v/>
      </c>
      <c r="V762" s="10" t="str">
        <f t="shared" ca="1" si="29"/>
        <v/>
      </c>
      <c r="AE762" s="10" t="s">
        <v>2651</v>
      </c>
    </row>
    <row r="763" spans="1:31" hidden="1">
      <c r="A763" s="2" t="s">
        <v>1215</v>
      </c>
      <c r="B763" s="2"/>
      <c r="C763" s="2"/>
      <c r="D763" s="2" t="s">
        <v>819</v>
      </c>
      <c r="E763" s="2" t="s">
        <v>1217</v>
      </c>
      <c r="J763" s="10" t="s">
        <v>2688</v>
      </c>
      <c r="U763" s="10" t="str">
        <f t="shared" ca="1" si="28"/>
        <v/>
      </c>
      <c r="V763" s="10" t="str">
        <f t="shared" ca="1" si="29"/>
        <v/>
      </c>
      <c r="AC763" s="10" t="s">
        <v>2698</v>
      </c>
      <c r="AD763" s="10" t="s">
        <v>19</v>
      </c>
    </row>
    <row r="764" spans="1:31">
      <c r="A764" s="2" t="s">
        <v>1215</v>
      </c>
      <c r="B764" s="2"/>
      <c r="C764" s="2"/>
      <c r="D764" s="2" t="s">
        <v>820</v>
      </c>
      <c r="E764" s="2" t="s">
        <v>1218</v>
      </c>
      <c r="F764" t="s">
        <v>11</v>
      </c>
      <c r="I764" t="s">
        <v>2225</v>
      </c>
      <c r="U764" s="10" t="str">
        <f t="shared" ca="1" si="28"/>
        <v/>
      </c>
      <c r="V764" s="10" t="str">
        <f t="shared" ca="1" si="29"/>
        <v/>
      </c>
    </row>
    <row r="765" spans="1:31" ht="29">
      <c r="A765" s="2" t="s">
        <v>899</v>
      </c>
      <c r="B765" s="2"/>
      <c r="C765" s="2"/>
      <c r="D765" s="2" t="s">
        <v>2227</v>
      </c>
      <c r="E765" s="2" t="s">
        <v>2226</v>
      </c>
      <c r="I765" t="s">
        <v>2757</v>
      </c>
      <c r="J765" s="10" t="s">
        <v>26</v>
      </c>
      <c r="U765" s="10" t="str">
        <f t="shared" ca="1" si="28"/>
        <v/>
      </c>
      <c r="V765" s="10" t="str">
        <f t="shared" ca="1" si="29"/>
        <v/>
      </c>
    </row>
    <row r="766" spans="1:31" hidden="1">
      <c r="A766" s="2" t="s">
        <v>900</v>
      </c>
      <c r="B766" s="2"/>
      <c r="C766" s="2"/>
      <c r="D766" s="2" t="s">
        <v>825</v>
      </c>
      <c r="E766" s="2" t="s">
        <v>709</v>
      </c>
      <c r="H766" t="s">
        <v>19</v>
      </c>
      <c r="J766" s="10" t="s">
        <v>2686</v>
      </c>
      <c r="T766" s="10">
        <f>0-11</f>
        <v>-11</v>
      </c>
      <c r="U766" s="10">
        <f t="shared" ca="1" si="28"/>
        <v>11</v>
      </c>
      <c r="V766" s="10">
        <f t="shared" ca="1" si="29"/>
        <v>0</v>
      </c>
    </row>
    <row r="767" spans="1:31">
      <c r="A767" s="2" t="s">
        <v>901</v>
      </c>
      <c r="B767" s="2"/>
      <c r="C767" s="2"/>
      <c r="D767" s="2" t="s">
        <v>2228</v>
      </c>
      <c r="E767" s="2" t="s">
        <v>2229</v>
      </c>
      <c r="G767" t="s">
        <v>20</v>
      </c>
      <c r="H767" t="s">
        <v>23</v>
      </c>
      <c r="I767" t="s">
        <v>2230</v>
      </c>
      <c r="J767" s="10" t="s">
        <v>2686</v>
      </c>
      <c r="T767" s="10" t="s">
        <v>2687</v>
      </c>
      <c r="U767" s="10" t="str">
        <f t="shared" ca="1" si="28"/>
        <v/>
      </c>
      <c r="V767" s="10" t="str">
        <f t="shared" ca="1" si="29"/>
        <v/>
      </c>
      <c r="AE767" s="10" t="s">
        <v>2654</v>
      </c>
    </row>
    <row r="768" spans="1:31" hidden="1">
      <c r="A768" s="2" t="s">
        <v>902</v>
      </c>
      <c r="B768" s="2"/>
      <c r="C768" s="2"/>
      <c r="D768" s="2" t="s">
        <v>837</v>
      </c>
      <c r="E768" s="2" t="s">
        <v>903</v>
      </c>
      <c r="J768" s="10" t="s">
        <v>2686</v>
      </c>
      <c r="T768" s="10" t="s">
        <v>2687</v>
      </c>
      <c r="U768" s="10" t="str">
        <f t="shared" ca="1" si="28"/>
        <v/>
      </c>
      <c r="V768" s="10" t="str">
        <f t="shared" ca="1" si="29"/>
        <v/>
      </c>
      <c r="AE768" s="10" t="s">
        <v>2645</v>
      </c>
    </row>
    <row r="769" spans="1:31" hidden="1">
      <c r="A769" s="2" t="s">
        <v>904</v>
      </c>
      <c r="B769" s="2"/>
      <c r="C769" s="2"/>
      <c r="D769" s="2" t="s">
        <v>847</v>
      </c>
      <c r="E769" s="2" t="s">
        <v>905</v>
      </c>
      <c r="H769" t="s">
        <v>19</v>
      </c>
      <c r="J769" s="10" t="s">
        <v>2688</v>
      </c>
      <c r="U769" s="10" t="str">
        <f t="shared" ca="1" si="28"/>
        <v/>
      </c>
      <c r="V769" s="10" t="str">
        <f t="shared" ca="1" si="29"/>
        <v/>
      </c>
    </row>
    <row r="770" spans="1:31" ht="29" hidden="1">
      <c r="A770" s="2" t="s">
        <v>904</v>
      </c>
      <c r="B770" s="2"/>
      <c r="C770" s="2"/>
      <c r="D770" s="2" t="s">
        <v>2758</v>
      </c>
      <c r="E770" s="2" t="s">
        <v>2231</v>
      </c>
      <c r="J770" s="10" t="s">
        <v>25</v>
      </c>
      <c r="L770" s="10">
        <v>1</v>
      </c>
      <c r="M770" s="10">
        <v>3</v>
      </c>
      <c r="N770" s="10" t="s">
        <v>2655</v>
      </c>
      <c r="O770" s="10" t="s">
        <v>2641</v>
      </c>
      <c r="P770" s="10" t="s">
        <v>2761</v>
      </c>
      <c r="Q770" s="11" t="s">
        <v>2705</v>
      </c>
      <c r="S770" s="10">
        <v>1701</v>
      </c>
      <c r="U770" s="10" t="str">
        <f t="shared" ca="1" si="28"/>
        <v/>
      </c>
      <c r="V770" s="10" t="str">
        <f t="shared" ca="1" si="29"/>
        <v/>
      </c>
    </row>
    <row r="771" spans="1:31" ht="29">
      <c r="A771" s="2" t="s">
        <v>904</v>
      </c>
      <c r="B771" s="2"/>
      <c r="C771" s="2"/>
      <c r="D771" s="2" t="s">
        <v>2759</v>
      </c>
      <c r="E771" s="2" t="s">
        <v>2760</v>
      </c>
      <c r="H771" t="s">
        <v>19</v>
      </c>
      <c r="I771" s="4"/>
      <c r="J771" s="10" t="s">
        <v>2686</v>
      </c>
      <c r="T771" s="10" t="s">
        <v>2696</v>
      </c>
      <c r="U771" s="10" t="str">
        <f t="shared" ca="1" si="28"/>
        <v/>
      </c>
      <c r="V771" s="10" t="str">
        <f t="shared" ca="1" si="29"/>
        <v/>
      </c>
      <c r="AE771" s="10" t="s">
        <v>2645</v>
      </c>
    </row>
    <row r="772" spans="1:31" ht="29" hidden="1">
      <c r="A772" s="2" t="s">
        <v>906</v>
      </c>
      <c r="B772" s="2"/>
      <c r="C772" s="2"/>
      <c r="D772" s="3" t="s">
        <v>2232</v>
      </c>
      <c r="E772" s="2" t="s">
        <v>2233</v>
      </c>
      <c r="F772" t="s">
        <v>15</v>
      </c>
      <c r="U772" s="10" t="str">
        <f t="shared" ca="1" si="28"/>
        <v/>
      </c>
      <c r="V772" s="10" t="str">
        <f t="shared" ca="1" si="29"/>
        <v/>
      </c>
    </row>
    <row r="773" spans="1:31" hidden="1">
      <c r="A773" s="2" t="s">
        <v>906</v>
      </c>
      <c r="B773" s="2"/>
      <c r="C773" s="2"/>
      <c r="D773" s="2" t="s">
        <v>2234</v>
      </c>
      <c r="E773" s="2" t="s">
        <v>2235</v>
      </c>
      <c r="F773" t="s">
        <v>17</v>
      </c>
      <c r="U773" s="10" t="str">
        <f t="shared" ca="1" si="28"/>
        <v/>
      </c>
      <c r="V773" s="10" t="str">
        <f t="shared" ca="1" si="29"/>
        <v/>
      </c>
    </row>
    <row r="774" spans="1:31" hidden="1">
      <c r="A774" s="2" t="s">
        <v>907</v>
      </c>
      <c r="B774" s="2"/>
      <c r="C774" s="2"/>
      <c r="D774" s="2" t="s">
        <v>2236</v>
      </c>
      <c r="E774" s="2" t="s">
        <v>908</v>
      </c>
      <c r="H774" t="s">
        <v>19</v>
      </c>
      <c r="J774" s="10" t="s">
        <v>2688</v>
      </c>
      <c r="U774" s="10" t="str">
        <f t="shared" ca="1" si="28"/>
        <v/>
      </c>
      <c r="V774" s="10" t="str">
        <f t="shared" ca="1" si="29"/>
        <v/>
      </c>
    </row>
    <row r="775" spans="1:31" hidden="1">
      <c r="A775" s="2" t="s">
        <v>909</v>
      </c>
      <c r="B775" s="2"/>
      <c r="C775" s="2"/>
      <c r="D775" s="2" t="s">
        <v>911</v>
      </c>
      <c r="E775" s="2" t="s">
        <v>910</v>
      </c>
      <c r="J775" s="10" t="s">
        <v>2688</v>
      </c>
      <c r="U775" s="10" t="str">
        <f t="shared" ca="1" si="28"/>
        <v/>
      </c>
      <c r="V775" s="10" t="str">
        <f t="shared" ca="1" si="29"/>
        <v/>
      </c>
      <c r="AC775" s="10" t="s">
        <v>2701</v>
      </c>
      <c r="AD775" s="10" t="s">
        <v>19</v>
      </c>
      <c r="AE775" s="10" t="s">
        <v>2645</v>
      </c>
    </row>
    <row r="776" spans="1:31">
      <c r="A776" s="2" t="s">
        <v>909</v>
      </c>
      <c r="B776" s="2"/>
      <c r="C776" s="2"/>
      <c r="D776" s="5" t="s">
        <v>2238</v>
      </c>
      <c r="E776" s="2" t="s">
        <v>2237</v>
      </c>
      <c r="F776" t="s">
        <v>13</v>
      </c>
      <c r="U776" s="10" t="str">
        <f t="shared" ca="1" si="28"/>
        <v/>
      </c>
      <c r="V776" s="10" t="str">
        <f t="shared" ca="1" si="29"/>
        <v/>
      </c>
    </row>
    <row r="777" spans="1:31" hidden="1">
      <c r="A777" s="2" t="s">
        <v>909</v>
      </c>
      <c r="B777" s="2"/>
      <c r="C777" s="2"/>
      <c r="D777" s="2" t="s">
        <v>913</v>
      </c>
      <c r="E777" s="2" t="s">
        <v>912</v>
      </c>
      <c r="J777" s="10" t="s">
        <v>2686</v>
      </c>
      <c r="T777" s="10" t="s">
        <v>2696</v>
      </c>
      <c r="U777" s="10" t="str">
        <f t="shared" ca="1" si="28"/>
        <v/>
      </c>
      <c r="V777" s="10" t="str">
        <f t="shared" ca="1" si="29"/>
        <v/>
      </c>
      <c r="AE777" s="10" t="s">
        <v>2645</v>
      </c>
    </row>
    <row r="778" spans="1:31" hidden="1">
      <c r="A778" s="2" t="s">
        <v>914</v>
      </c>
      <c r="B778" s="2"/>
      <c r="C778" s="2"/>
      <c r="D778" s="13" t="s">
        <v>598</v>
      </c>
      <c r="E778" s="2" t="s">
        <v>915</v>
      </c>
      <c r="H778" t="s">
        <v>19</v>
      </c>
      <c r="J778" s="10" t="s">
        <v>2686</v>
      </c>
      <c r="T778" s="10" t="s">
        <v>2696</v>
      </c>
      <c r="U778" s="10" t="str">
        <f t="shared" ca="1" si="28"/>
        <v/>
      </c>
      <c r="V778" s="10" t="str">
        <f t="shared" ca="1" si="29"/>
        <v/>
      </c>
      <c r="AE778" s="10" t="s">
        <v>2645</v>
      </c>
    </row>
    <row r="779" spans="1:31" hidden="1">
      <c r="A779" s="2" t="s">
        <v>914</v>
      </c>
      <c r="B779" s="2"/>
      <c r="C779" s="2"/>
      <c r="D779" s="2" t="s">
        <v>2239</v>
      </c>
      <c r="E779" s="2" t="s">
        <v>2240</v>
      </c>
      <c r="J779" s="10" t="s">
        <v>24</v>
      </c>
      <c r="L779" s="10">
        <v>1</v>
      </c>
      <c r="M779" s="10">
        <v>3</v>
      </c>
      <c r="N779" s="10" t="s">
        <v>2655</v>
      </c>
      <c r="O779" s="10" t="s">
        <v>2647</v>
      </c>
      <c r="S779" s="10">
        <v>1701</v>
      </c>
      <c r="U779" s="10" t="str">
        <f t="shared" ca="1" si="28"/>
        <v/>
      </c>
      <c r="V779" s="10" t="str">
        <f t="shared" ca="1" si="29"/>
        <v/>
      </c>
    </row>
    <row r="780" spans="1:31" hidden="1">
      <c r="A780" s="2" t="s">
        <v>914</v>
      </c>
      <c r="B780" s="2"/>
      <c r="C780" s="2"/>
      <c r="D780" s="2" t="s">
        <v>2241</v>
      </c>
      <c r="E780" s="2" t="s">
        <v>2242</v>
      </c>
      <c r="H780" t="s">
        <v>19</v>
      </c>
      <c r="J780" s="10" t="s">
        <v>2688</v>
      </c>
      <c r="U780" s="10" t="str">
        <f t="shared" ca="1" si="28"/>
        <v/>
      </c>
      <c r="V780" s="10" t="str">
        <f t="shared" ca="1" si="29"/>
        <v/>
      </c>
      <c r="AB780" s="10" t="s">
        <v>2798</v>
      </c>
      <c r="AD780" s="10" t="s">
        <v>19</v>
      </c>
    </row>
    <row r="781" spans="1:31" hidden="1">
      <c r="A781" s="2" t="s">
        <v>916</v>
      </c>
      <c r="B781" s="2"/>
      <c r="C781" s="2"/>
      <c r="D781" s="2" t="s">
        <v>2243</v>
      </c>
      <c r="E781" s="2" t="s">
        <v>2244</v>
      </c>
      <c r="H781" t="s">
        <v>19</v>
      </c>
      <c r="J781" s="10" t="s">
        <v>2688</v>
      </c>
      <c r="U781" s="10" t="str">
        <f t="shared" ca="1" si="28"/>
        <v/>
      </c>
      <c r="V781" s="10" t="str">
        <f t="shared" ca="1" si="29"/>
        <v/>
      </c>
    </row>
    <row r="782" spans="1:31" hidden="1">
      <c r="A782" s="2" t="s">
        <v>917</v>
      </c>
      <c r="B782" s="2"/>
      <c r="C782" s="2"/>
      <c r="D782" s="3" t="s">
        <v>2246</v>
      </c>
      <c r="E782" s="2" t="s">
        <v>2245</v>
      </c>
      <c r="F782" t="s">
        <v>15</v>
      </c>
      <c r="U782" s="10" t="str">
        <f t="shared" ca="1" si="28"/>
        <v/>
      </c>
      <c r="V782" s="10" t="str">
        <f t="shared" ca="1" si="29"/>
        <v/>
      </c>
    </row>
    <row r="783" spans="1:31" hidden="1">
      <c r="A783" s="2" t="s">
        <v>918</v>
      </c>
      <c r="B783" s="2"/>
      <c r="C783" s="2"/>
      <c r="D783" s="13" t="s">
        <v>2247</v>
      </c>
      <c r="E783" s="2" t="s">
        <v>919</v>
      </c>
      <c r="H783" t="s">
        <v>19</v>
      </c>
      <c r="J783" s="10" t="s">
        <v>2688</v>
      </c>
      <c r="U783" s="10" t="str">
        <f t="shared" ca="1" si="28"/>
        <v/>
      </c>
      <c r="V783" s="10" t="str">
        <f t="shared" ca="1" si="29"/>
        <v/>
      </c>
      <c r="AE783" s="10" t="s">
        <v>2651</v>
      </c>
    </row>
    <row r="784" spans="1:31" hidden="1">
      <c r="A784" s="2" t="s">
        <v>918</v>
      </c>
      <c r="B784" s="2"/>
      <c r="C784" s="2"/>
      <c r="D784" s="2" t="s">
        <v>2248</v>
      </c>
      <c r="E784" s="2" t="s">
        <v>2249</v>
      </c>
      <c r="G784" t="s">
        <v>19</v>
      </c>
      <c r="J784" s="10" t="s">
        <v>2688</v>
      </c>
      <c r="U784" s="10" t="str">
        <f t="shared" ca="1" si="28"/>
        <v/>
      </c>
      <c r="V784" s="10" t="str">
        <f t="shared" ca="1" si="29"/>
        <v/>
      </c>
    </row>
    <row r="785" spans="1:31" ht="29" hidden="1">
      <c r="A785" s="2" t="s">
        <v>920</v>
      </c>
      <c r="B785" s="2"/>
      <c r="C785" s="2"/>
      <c r="D785" s="2" t="s">
        <v>2762</v>
      </c>
      <c r="E785" s="2" t="s">
        <v>2945</v>
      </c>
      <c r="H785" t="s">
        <v>19</v>
      </c>
      <c r="J785" s="10" t="s">
        <v>2686</v>
      </c>
      <c r="T785" s="10">
        <f>1701-56</f>
        <v>1645</v>
      </c>
      <c r="U785" s="10">
        <f t="shared" ca="1" si="28"/>
        <v>56</v>
      </c>
      <c r="V785" s="10">
        <f t="shared" ca="1" si="29"/>
        <v>1701</v>
      </c>
      <c r="AE785" s="10" t="s">
        <v>2651</v>
      </c>
    </row>
    <row r="786" spans="1:31" ht="29" hidden="1">
      <c r="A786" s="2" t="s">
        <v>921</v>
      </c>
      <c r="B786" s="2"/>
      <c r="C786" s="2"/>
      <c r="D786" s="2" t="s">
        <v>2250</v>
      </c>
      <c r="E786" s="2" t="s">
        <v>2926</v>
      </c>
      <c r="F786" t="s">
        <v>15</v>
      </c>
      <c r="U786" s="10" t="str">
        <f t="shared" ca="1" si="28"/>
        <v/>
      </c>
      <c r="V786" s="10" t="str">
        <f t="shared" ca="1" si="29"/>
        <v/>
      </c>
    </row>
    <row r="787" spans="1:31" hidden="1">
      <c r="A787" s="2" t="s">
        <v>922</v>
      </c>
      <c r="B787" s="2"/>
      <c r="C787" s="2"/>
      <c r="D787" s="3" t="s">
        <v>2252</v>
      </c>
      <c r="E787" s="2" t="s">
        <v>2251</v>
      </c>
      <c r="F787" t="s">
        <v>15</v>
      </c>
      <c r="U787" s="10" t="str">
        <f t="shared" ca="1" si="28"/>
        <v/>
      </c>
      <c r="V787" s="10" t="str">
        <f t="shared" ca="1" si="29"/>
        <v/>
      </c>
    </row>
    <row r="788" spans="1:31" hidden="1">
      <c r="A788" s="2" t="s">
        <v>923</v>
      </c>
      <c r="B788" s="2"/>
      <c r="C788" s="2"/>
      <c r="D788" s="2" t="s">
        <v>2253</v>
      </c>
      <c r="E788" s="2" t="s">
        <v>2254</v>
      </c>
      <c r="J788" s="10" t="s">
        <v>2686</v>
      </c>
      <c r="T788" s="10" t="s">
        <v>2696</v>
      </c>
      <c r="U788" s="10" t="str">
        <f t="shared" ca="1" si="28"/>
        <v/>
      </c>
      <c r="V788" s="10" t="str">
        <f t="shared" ca="1" si="29"/>
        <v/>
      </c>
      <c r="AE788" s="10" t="s">
        <v>2645</v>
      </c>
    </row>
    <row r="789" spans="1:31" hidden="1">
      <c r="A789" s="2" t="s">
        <v>924</v>
      </c>
      <c r="B789" s="2"/>
      <c r="C789" s="2"/>
      <c r="D789" s="13" t="s">
        <v>2255</v>
      </c>
      <c r="E789" s="2" t="s">
        <v>2256</v>
      </c>
      <c r="J789" s="10" t="s">
        <v>2688</v>
      </c>
      <c r="U789" s="10" t="str">
        <f t="shared" ca="1" si="28"/>
        <v/>
      </c>
      <c r="V789" s="10" t="str">
        <f t="shared" ca="1" si="29"/>
        <v/>
      </c>
      <c r="AB789" s="10" t="s">
        <v>2650</v>
      </c>
      <c r="AD789" s="10" t="s">
        <v>19</v>
      </c>
    </row>
    <row r="790" spans="1:31" hidden="1">
      <c r="A790" s="2" t="s">
        <v>925</v>
      </c>
      <c r="B790" s="2"/>
      <c r="C790" s="2"/>
      <c r="D790" s="2" t="s">
        <v>2258</v>
      </c>
      <c r="E790" s="2" t="s">
        <v>2257</v>
      </c>
      <c r="J790" s="10" t="s">
        <v>2688</v>
      </c>
      <c r="U790" s="10" t="str">
        <f t="shared" ca="1" si="28"/>
        <v/>
      </c>
      <c r="V790" s="10" t="str">
        <f t="shared" ca="1" si="29"/>
        <v/>
      </c>
    </row>
    <row r="791" spans="1:31" hidden="1">
      <c r="A791" s="2" t="s">
        <v>926</v>
      </c>
      <c r="B791" s="2"/>
      <c r="C791" s="2"/>
      <c r="D791" s="3" t="s">
        <v>2259</v>
      </c>
      <c r="E791" s="2" t="s">
        <v>2260</v>
      </c>
      <c r="F791" t="s">
        <v>15</v>
      </c>
      <c r="J791" s="10" t="s">
        <v>24</v>
      </c>
      <c r="L791" s="10">
        <v>1</v>
      </c>
      <c r="M791" s="10">
        <v>2</v>
      </c>
      <c r="N791" s="10" t="s">
        <v>2664</v>
      </c>
      <c r="O791" s="10" t="s">
        <v>2687</v>
      </c>
      <c r="S791" s="10">
        <v>613</v>
      </c>
      <c r="U791" s="10" t="str">
        <f t="shared" ca="1" si="28"/>
        <v/>
      </c>
      <c r="V791" s="10" t="str">
        <f t="shared" ca="1" si="29"/>
        <v/>
      </c>
    </row>
    <row r="792" spans="1:31" hidden="1">
      <c r="A792" s="2" t="s">
        <v>927</v>
      </c>
      <c r="B792" s="2"/>
      <c r="C792" s="2"/>
      <c r="D792" s="2" t="s">
        <v>2262</v>
      </c>
      <c r="E792" s="2" t="s">
        <v>2261</v>
      </c>
      <c r="H792" t="s">
        <v>19</v>
      </c>
      <c r="J792" s="10" t="s">
        <v>2686</v>
      </c>
      <c r="T792" s="10">
        <f>250-132</f>
        <v>118</v>
      </c>
      <c r="U792" s="10">
        <f t="shared" ca="1" si="28"/>
        <v>132</v>
      </c>
      <c r="V792" s="10">
        <f t="shared" ca="1" si="29"/>
        <v>250</v>
      </c>
    </row>
    <row r="793" spans="1:31" hidden="1">
      <c r="A793" s="2" t="s">
        <v>928</v>
      </c>
      <c r="B793" s="2"/>
      <c r="C793" s="2"/>
      <c r="D793" s="2" t="s">
        <v>2263</v>
      </c>
      <c r="E793" s="2" t="s">
        <v>929</v>
      </c>
      <c r="H793" t="s">
        <v>19</v>
      </c>
      <c r="J793" s="10" t="s">
        <v>2686</v>
      </c>
      <c r="T793" s="10" t="s">
        <v>2696</v>
      </c>
      <c r="U793" s="10" t="str">
        <f t="shared" ca="1" si="28"/>
        <v/>
      </c>
      <c r="V793" s="10" t="str">
        <f t="shared" ca="1" si="29"/>
        <v/>
      </c>
      <c r="AE793" s="10" t="s">
        <v>2645</v>
      </c>
    </row>
    <row r="794" spans="1:31">
      <c r="A794" s="2" t="s">
        <v>930</v>
      </c>
      <c r="B794" s="2"/>
      <c r="C794" s="2"/>
      <c r="D794" s="5" t="s">
        <v>932</v>
      </c>
      <c r="E794" s="2" t="s">
        <v>931</v>
      </c>
      <c r="F794" t="s">
        <v>13</v>
      </c>
      <c r="U794" s="10" t="str">
        <f t="shared" ca="1" si="28"/>
        <v/>
      </c>
      <c r="V794" s="10" t="str">
        <f t="shared" ca="1" si="29"/>
        <v/>
      </c>
    </row>
    <row r="795" spans="1:31" hidden="1">
      <c r="A795" s="2" t="s">
        <v>930</v>
      </c>
      <c r="B795" s="2"/>
      <c r="C795" s="2"/>
      <c r="D795" s="2" t="s">
        <v>2264</v>
      </c>
      <c r="E795" s="2" t="s">
        <v>2265</v>
      </c>
      <c r="H795" t="s">
        <v>19</v>
      </c>
      <c r="J795" s="10" t="s">
        <v>25</v>
      </c>
      <c r="L795" s="10">
        <v>1</v>
      </c>
      <c r="M795" s="10">
        <v>2</v>
      </c>
      <c r="N795" s="10" t="s">
        <v>2646</v>
      </c>
      <c r="O795" s="10" t="s">
        <v>2687</v>
      </c>
      <c r="S795" s="10">
        <v>2475</v>
      </c>
      <c r="U795" s="10" t="str">
        <f t="shared" ca="1" si="28"/>
        <v/>
      </c>
      <c r="V795" s="10" t="str">
        <f t="shared" ca="1" si="29"/>
        <v/>
      </c>
    </row>
    <row r="796" spans="1:31" ht="29" hidden="1">
      <c r="A796" s="2" t="s">
        <v>930</v>
      </c>
      <c r="B796" s="2"/>
      <c r="C796" s="2"/>
      <c r="D796" s="2" t="s">
        <v>2266</v>
      </c>
      <c r="E796" s="2" t="s">
        <v>2267</v>
      </c>
      <c r="H796" t="s">
        <v>19</v>
      </c>
      <c r="J796" s="10" t="s">
        <v>2686</v>
      </c>
      <c r="R796" s="10" t="s">
        <v>2642</v>
      </c>
      <c r="T796" s="10" t="s">
        <v>2696</v>
      </c>
      <c r="U796" s="10" t="str">
        <f t="shared" ca="1" si="28"/>
        <v/>
      </c>
      <c r="V796" s="10" t="str">
        <f t="shared" ca="1" si="29"/>
        <v/>
      </c>
      <c r="AC796" s="10" t="s">
        <v>2800</v>
      </c>
      <c r="AD796" s="10" t="s">
        <v>19</v>
      </c>
      <c r="AE796" s="10" t="s">
        <v>2645</v>
      </c>
    </row>
    <row r="797" spans="1:31" ht="29" hidden="1">
      <c r="A797" s="2" t="s">
        <v>930</v>
      </c>
      <c r="B797" s="2"/>
      <c r="C797" s="2"/>
      <c r="D797" s="2" t="s">
        <v>2269</v>
      </c>
      <c r="E797" s="2" t="s">
        <v>2268</v>
      </c>
      <c r="H797" t="s">
        <v>19</v>
      </c>
      <c r="J797" s="10" t="s">
        <v>2686</v>
      </c>
      <c r="T797" s="10">
        <f>312-743</f>
        <v>-431</v>
      </c>
      <c r="U797" s="10">
        <f t="shared" ca="1" si="28"/>
        <v>743</v>
      </c>
      <c r="V797" s="10">
        <f t="shared" ca="1" si="29"/>
        <v>312</v>
      </c>
    </row>
    <row r="798" spans="1:31" ht="29" hidden="1">
      <c r="A798" s="2" t="s">
        <v>933</v>
      </c>
      <c r="B798" s="2"/>
      <c r="C798" s="2"/>
      <c r="D798" s="3" t="s">
        <v>2270</v>
      </c>
      <c r="E798" s="2" t="s">
        <v>2271</v>
      </c>
      <c r="F798" t="s">
        <v>15</v>
      </c>
      <c r="U798" s="10" t="str">
        <f t="shared" ca="1" si="28"/>
        <v/>
      </c>
      <c r="V798" s="10" t="str">
        <f t="shared" ca="1" si="29"/>
        <v/>
      </c>
    </row>
    <row r="799" spans="1:31" ht="29" hidden="1">
      <c r="A799" s="2" t="s">
        <v>933</v>
      </c>
      <c r="B799" s="2"/>
      <c r="C799" s="2"/>
      <c r="D799" s="2" t="s">
        <v>2272</v>
      </c>
      <c r="E799" s="2" t="s">
        <v>2273</v>
      </c>
      <c r="G799" t="s">
        <v>19</v>
      </c>
      <c r="J799" s="10" t="s">
        <v>2686</v>
      </c>
      <c r="T799" s="10">
        <f>5-830</f>
        <v>-825</v>
      </c>
      <c r="U799" s="10">
        <f t="shared" ca="1" si="28"/>
        <v>830</v>
      </c>
      <c r="V799" s="10">
        <f t="shared" ca="1" si="29"/>
        <v>5</v>
      </c>
    </row>
    <row r="800" spans="1:31" hidden="1">
      <c r="A800" s="2" t="s">
        <v>934</v>
      </c>
      <c r="B800" s="2"/>
      <c r="C800" s="2"/>
      <c r="D800" s="3" t="s">
        <v>2274</v>
      </c>
      <c r="E800" s="2" t="s">
        <v>2275</v>
      </c>
      <c r="F800" t="s">
        <v>15</v>
      </c>
      <c r="U800" s="10" t="str">
        <f t="shared" ca="1" si="28"/>
        <v/>
      </c>
      <c r="V800" s="10" t="str">
        <f t="shared" ca="1" si="29"/>
        <v/>
      </c>
    </row>
    <row r="801" spans="1:31" hidden="1">
      <c r="A801" s="2" t="s">
        <v>935</v>
      </c>
      <c r="B801" s="2"/>
      <c r="C801" s="2"/>
      <c r="D801" s="2" t="s">
        <v>937</v>
      </c>
      <c r="E801" s="2" t="s">
        <v>936</v>
      </c>
      <c r="H801" t="s">
        <v>19</v>
      </c>
      <c r="J801" s="10" t="s">
        <v>2688</v>
      </c>
      <c r="U801" s="10" t="str">
        <f t="shared" ca="1" si="28"/>
        <v/>
      </c>
      <c r="V801" s="10" t="str">
        <f t="shared" ca="1" si="29"/>
        <v/>
      </c>
      <c r="AC801" s="10" t="s">
        <v>2699</v>
      </c>
      <c r="AD801" s="10" t="s">
        <v>19</v>
      </c>
    </row>
    <row r="802" spans="1:31" ht="29" hidden="1">
      <c r="A802" s="2" t="s">
        <v>935</v>
      </c>
      <c r="B802" s="2"/>
      <c r="C802" s="2"/>
      <c r="D802" s="2" t="s">
        <v>2276</v>
      </c>
      <c r="E802" s="2" t="s">
        <v>2277</v>
      </c>
      <c r="H802" t="s">
        <v>19</v>
      </c>
      <c r="J802" s="10" t="s">
        <v>24</v>
      </c>
      <c r="L802" s="10">
        <v>1</v>
      </c>
      <c r="M802" s="10">
        <v>6</v>
      </c>
      <c r="N802" s="10" t="s">
        <v>2640</v>
      </c>
      <c r="O802" s="10" t="s">
        <v>2641</v>
      </c>
      <c r="P802" s="10" t="s">
        <v>2704</v>
      </c>
      <c r="Q802" s="11" t="s">
        <v>2763</v>
      </c>
      <c r="R802" s="10" t="s">
        <v>2642</v>
      </c>
      <c r="S802" s="10">
        <v>43</v>
      </c>
      <c r="U802" s="10" t="str">
        <f t="shared" ca="1" si="28"/>
        <v/>
      </c>
      <c r="V802" s="10" t="str">
        <f t="shared" ca="1" si="29"/>
        <v/>
      </c>
    </row>
    <row r="803" spans="1:31" hidden="1">
      <c r="A803" s="2" t="s">
        <v>935</v>
      </c>
      <c r="B803" s="2"/>
      <c r="C803" s="2"/>
      <c r="D803" s="3" t="s">
        <v>833</v>
      </c>
      <c r="E803" s="2" t="s">
        <v>938</v>
      </c>
      <c r="F803" t="s">
        <v>16</v>
      </c>
      <c r="J803" s="10" t="s">
        <v>2686</v>
      </c>
      <c r="T803" s="10">
        <f>20-4</f>
        <v>16</v>
      </c>
      <c r="U803" s="10">
        <f t="shared" ca="1" si="28"/>
        <v>4</v>
      </c>
      <c r="V803" s="10">
        <f t="shared" ca="1" si="29"/>
        <v>20</v>
      </c>
    </row>
    <row r="804" spans="1:31" hidden="1">
      <c r="A804" s="2" t="s">
        <v>939</v>
      </c>
      <c r="B804" s="2"/>
      <c r="C804" s="2"/>
      <c r="D804" s="2" t="s">
        <v>941</v>
      </c>
      <c r="E804" s="2" t="s">
        <v>940</v>
      </c>
      <c r="G804" t="s">
        <v>19</v>
      </c>
      <c r="J804" s="10" t="s">
        <v>2686</v>
      </c>
      <c r="T804" s="10" t="s">
        <v>2696</v>
      </c>
      <c r="U804" s="10" t="str">
        <f t="shared" ca="1" si="28"/>
        <v/>
      </c>
      <c r="V804" s="10" t="str">
        <f t="shared" ca="1" si="29"/>
        <v/>
      </c>
      <c r="AE804" s="10" t="s">
        <v>2654</v>
      </c>
    </row>
    <row r="805" spans="1:31">
      <c r="A805" s="2" t="s">
        <v>939</v>
      </c>
      <c r="B805" s="2"/>
      <c r="C805" s="2"/>
      <c r="D805" s="2" t="s">
        <v>942</v>
      </c>
      <c r="E805" s="2" t="s">
        <v>2278</v>
      </c>
      <c r="J805" s="10" t="s">
        <v>2686</v>
      </c>
      <c r="T805" s="10">
        <f>26-12</f>
        <v>14</v>
      </c>
      <c r="U805" s="10">
        <f t="shared" ca="1" si="28"/>
        <v>12</v>
      </c>
      <c r="V805" s="10">
        <f t="shared" ca="1" si="29"/>
        <v>26</v>
      </c>
    </row>
    <row r="806" spans="1:31" ht="43.5">
      <c r="A806" s="2" t="s">
        <v>943</v>
      </c>
      <c r="B806" s="2"/>
      <c r="C806" s="2"/>
      <c r="D806" s="2" t="s">
        <v>2282</v>
      </c>
      <c r="E806" s="2" t="s">
        <v>2279</v>
      </c>
      <c r="H806" t="s">
        <v>19</v>
      </c>
      <c r="I806" t="s">
        <v>2793</v>
      </c>
      <c r="J806" s="10" t="s">
        <v>2688</v>
      </c>
      <c r="U806" s="10" t="str">
        <f t="shared" ca="1" si="28"/>
        <v/>
      </c>
      <c r="V806" s="10" t="str">
        <f t="shared" ca="1" si="29"/>
        <v/>
      </c>
      <c r="W806" s="10" t="s">
        <v>4</v>
      </c>
    </row>
    <row r="807" spans="1:31" ht="43.5" hidden="1">
      <c r="A807" s="2" t="s">
        <v>943</v>
      </c>
      <c r="B807" s="2"/>
      <c r="C807" s="2"/>
      <c r="D807" s="2" t="s">
        <v>2283</v>
      </c>
      <c r="E807" s="2" t="s">
        <v>2280</v>
      </c>
      <c r="H807" t="s">
        <v>19</v>
      </c>
      <c r="J807" s="10" t="s">
        <v>2686</v>
      </c>
      <c r="R807" s="10" t="s">
        <v>2642</v>
      </c>
      <c r="T807" s="10" t="s">
        <v>2687</v>
      </c>
      <c r="U807" s="10" t="str">
        <f t="shared" ca="1" si="28"/>
        <v/>
      </c>
      <c r="V807" s="10" t="str">
        <f t="shared" ca="1" si="29"/>
        <v/>
      </c>
      <c r="AC807" s="10" t="s">
        <v>2800</v>
      </c>
      <c r="AD807" s="10" t="s">
        <v>19</v>
      </c>
      <c r="AE807" s="10" t="s">
        <v>2645</v>
      </c>
    </row>
    <row r="808" spans="1:31" ht="43.5" hidden="1">
      <c r="A808" s="2" t="s">
        <v>943</v>
      </c>
      <c r="B808" s="2"/>
      <c r="C808" s="2"/>
      <c r="D808" s="2" t="s">
        <v>2284</v>
      </c>
      <c r="E808" s="2" t="s">
        <v>2281</v>
      </c>
      <c r="H808" t="s">
        <v>19</v>
      </c>
      <c r="J808" s="10" t="s">
        <v>2688</v>
      </c>
      <c r="U808" s="10" t="str">
        <f t="shared" ca="1" si="28"/>
        <v/>
      </c>
      <c r="V808" s="10" t="str">
        <f t="shared" ca="1" si="29"/>
        <v/>
      </c>
      <c r="AB808" s="10" t="s">
        <v>2650</v>
      </c>
      <c r="AD808" s="10" t="s">
        <v>19</v>
      </c>
    </row>
    <row r="809" spans="1:31" ht="43.5" hidden="1">
      <c r="A809" s="2" t="s">
        <v>943</v>
      </c>
      <c r="B809" s="2"/>
      <c r="C809" s="2"/>
      <c r="D809" s="3" t="s">
        <v>2285</v>
      </c>
      <c r="E809" s="2" t="s">
        <v>2286</v>
      </c>
      <c r="F809" t="s">
        <v>15</v>
      </c>
      <c r="U809" s="10" t="str">
        <f t="shared" ca="1" si="28"/>
        <v/>
      </c>
      <c r="V809" s="10" t="str">
        <f t="shared" ca="1" si="29"/>
        <v/>
      </c>
    </row>
    <row r="810" spans="1:31" hidden="1">
      <c r="A810" s="2" t="s">
        <v>945</v>
      </c>
      <c r="B810" s="2"/>
      <c r="C810" s="2"/>
      <c r="D810" s="2" t="s">
        <v>2287</v>
      </c>
      <c r="E810" s="2" t="s">
        <v>944</v>
      </c>
      <c r="H810" t="s">
        <v>19</v>
      </c>
      <c r="J810" s="10" t="s">
        <v>2686</v>
      </c>
      <c r="R810" s="10" t="s">
        <v>2642</v>
      </c>
      <c r="T810" s="10" t="s">
        <v>2687</v>
      </c>
      <c r="U810" s="10" t="str">
        <f t="shared" ca="1" si="28"/>
        <v/>
      </c>
      <c r="V810" s="10" t="str">
        <f t="shared" ca="1" si="29"/>
        <v/>
      </c>
      <c r="AC810" s="10" t="s">
        <v>2800</v>
      </c>
      <c r="AD810" s="10" t="s">
        <v>19</v>
      </c>
      <c r="AE810" s="10" t="s">
        <v>2645</v>
      </c>
    </row>
    <row r="811" spans="1:31" ht="29" hidden="1">
      <c r="A811" s="2" t="s">
        <v>946</v>
      </c>
      <c r="B811" s="2"/>
      <c r="C811" s="2"/>
      <c r="D811" s="2" t="s">
        <v>2289</v>
      </c>
      <c r="E811" s="2" t="s">
        <v>2290</v>
      </c>
      <c r="J811" s="10" t="s">
        <v>2686</v>
      </c>
      <c r="T811" s="10">
        <f>22-3</f>
        <v>19</v>
      </c>
      <c r="U811" s="10">
        <f t="shared" ca="1" si="28"/>
        <v>3</v>
      </c>
      <c r="V811" s="10">
        <f t="shared" ca="1" si="29"/>
        <v>22</v>
      </c>
    </row>
    <row r="812" spans="1:31" ht="29" hidden="1">
      <c r="A812" s="2" t="s">
        <v>946</v>
      </c>
      <c r="B812" s="2"/>
      <c r="C812" s="2"/>
      <c r="D812" s="2" t="s">
        <v>2288</v>
      </c>
      <c r="E812" s="2" t="s">
        <v>2291</v>
      </c>
      <c r="H812" t="s">
        <v>19</v>
      </c>
      <c r="J812" s="10" t="s">
        <v>24</v>
      </c>
      <c r="L812" s="10">
        <v>1</v>
      </c>
      <c r="M812" s="10">
        <v>3</v>
      </c>
      <c r="N812" s="10" t="s">
        <v>2664</v>
      </c>
      <c r="O812" s="10" t="s">
        <v>2647</v>
      </c>
      <c r="S812" s="10">
        <v>166</v>
      </c>
      <c r="U812" s="10" t="str">
        <f t="shared" ca="1" si="28"/>
        <v/>
      </c>
      <c r="V812" s="10" t="str">
        <f t="shared" ca="1" si="29"/>
        <v/>
      </c>
      <c r="AE812" s="10" t="s">
        <v>2651</v>
      </c>
    </row>
    <row r="813" spans="1:31" ht="29" hidden="1">
      <c r="A813" s="2" t="s">
        <v>946</v>
      </c>
      <c r="B813" s="2"/>
      <c r="C813" s="2"/>
      <c r="D813" s="2" t="s">
        <v>2292</v>
      </c>
      <c r="E813" s="2" t="s">
        <v>2293</v>
      </c>
      <c r="H813" t="s">
        <v>19</v>
      </c>
      <c r="J813" s="10" t="s">
        <v>2686</v>
      </c>
      <c r="T813" s="10" t="s">
        <v>2696</v>
      </c>
      <c r="U813" s="10" t="str">
        <f t="shared" ca="1" si="28"/>
        <v/>
      </c>
      <c r="V813" s="10" t="str">
        <f t="shared" ca="1" si="29"/>
        <v/>
      </c>
      <c r="AE813" s="10" t="s">
        <v>2645</v>
      </c>
    </row>
    <row r="814" spans="1:31" hidden="1">
      <c r="A814" s="2" t="s">
        <v>947</v>
      </c>
      <c r="B814" s="2"/>
      <c r="C814" s="2"/>
      <c r="D814" s="2" t="s">
        <v>2294</v>
      </c>
      <c r="E814" s="2" t="s">
        <v>948</v>
      </c>
      <c r="H814" t="s">
        <v>19</v>
      </c>
      <c r="J814" s="10" t="s">
        <v>2686</v>
      </c>
      <c r="T814" s="10">
        <f>0-38</f>
        <v>-38</v>
      </c>
      <c r="U814" s="10">
        <f t="shared" ca="1" si="28"/>
        <v>38</v>
      </c>
      <c r="V814" s="10">
        <f t="shared" ca="1" si="29"/>
        <v>0</v>
      </c>
      <c r="AE814" s="10" t="s">
        <v>2645</v>
      </c>
    </row>
    <row r="815" spans="1:31" hidden="1">
      <c r="A815" s="2" t="s">
        <v>947</v>
      </c>
      <c r="B815" s="2"/>
      <c r="C815" s="2"/>
      <c r="D815" s="2" t="s">
        <v>2296</v>
      </c>
      <c r="E815" s="2" t="s">
        <v>2295</v>
      </c>
      <c r="H815" t="s">
        <v>19</v>
      </c>
      <c r="J815" s="10" t="s">
        <v>2686</v>
      </c>
      <c r="R815" s="10" t="s">
        <v>2642</v>
      </c>
      <c r="T815" s="10" t="s">
        <v>2696</v>
      </c>
      <c r="U815" s="10" t="str">
        <f t="shared" ca="1" si="28"/>
        <v/>
      </c>
      <c r="V815" s="10" t="str">
        <f t="shared" ca="1" si="29"/>
        <v/>
      </c>
      <c r="AE815" s="10" t="s">
        <v>2645</v>
      </c>
    </row>
    <row r="816" spans="1:31" hidden="1">
      <c r="A816" s="2" t="s">
        <v>949</v>
      </c>
      <c r="B816" s="2"/>
      <c r="C816" s="2"/>
      <c r="D816" s="2" t="s">
        <v>2297</v>
      </c>
      <c r="E816" s="2" t="s">
        <v>950</v>
      </c>
      <c r="F816" t="s">
        <v>17</v>
      </c>
      <c r="H816" t="s">
        <v>19</v>
      </c>
      <c r="U816" s="10" t="str">
        <f t="shared" ca="1" si="28"/>
        <v/>
      </c>
      <c r="V816" s="10" t="str">
        <f t="shared" ca="1" si="29"/>
        <v/>
      </c>
    </row>
    <row r="817" spans="1:31" ht="29">
      <c r="A817" s="2" t="s">
        <v>951</v>
      </c>
      <c r="B817" s="2"/>
      <c r="C817" s="2"/>
      <c r="D817" s="2" t="s">
        <v>2764</v>
      </c>
      <c r="E817" s="2" t="s">
        <v>2765</v>
      </c>
      <c r="H817" t="s">
        <v>19</v>
      </c>
      <c r="J817" s="10" t="s">
        <v>2686</v>
      </c>
      <c r="T817" s="10">
        <f>0-10</f>
        <v>-10</v>
      </c>
      <c r="U817" s="10">
        <f t="shared" ca="1" si="28"/>
        <v>10</v>
      </c>
      <c r="V817" s="10">
        <f t="shared" ca="1" si="29"/>
        <v>0</v>
      </c>
      <c r="AE817" s="10" t="s">
        <v>2645</v>
      </c>
    </row>
    <row r="818" spans="1:31" hidden="1">
      <c r="A818" s="2" t="s">
        <v>951</v>
      </c>
      <c r="B818" s="2"/>
      <c r="C818" s="2"/>
      <c r="D818" s="2" t="s">
        <v>953</v>
      </c>
      <c r="E818" s="2" t="s">
        <v>952</v>
      </c>
      <c r="F818" t="s">
        <v>11</v>
      </c>
      <c r="U818" s="10" t="str">
        <f t="shared" ca="1" si="28"/>
        <v/>
      </c>
      <c r="V818" s="10" t="str">
        <f t="shared" ca="1" si="29"/>
        <v/>
      </c>
    </row>
    <row r="819" spans="1:31" hidden="1">
      <c r="A819" s="2" t="s">
        <v>954</v>
      </c>
      <c r="B819" s="2"/>
      <c r="C819" s="2"/>
      <c r="D819" s="2" t="s">
        <v>834</v>
      </c>
      <c r="E819" s="2" t="s">
        <v>955</v>
      </c>
      <c r="J819" s="10" t="s">
        <v>2686</v>
      </c>
      <c r="T819" s="10">
        <f>0-11</f>
        <v>-11</v>
      </c>
      <c r="U819" s="10">
        <f t="shared" ca="1" si="28"/>
        <v>11</v>
      </c>
      <c r="V819" s="10">
        <f t="shared" ca="1" si="29"/>
        <v>0</v>
      </c>
    </row>
    <row r="820" spans="1:31" hidden="1">
      <c r="A820" s="2" t="s">
        <v>954</v>
      </c>
      <c r="B820" s="2"/>
      <c r="C820" s="2"/>
      <c r="D820" s="2" t="s">
        <v>2298</v>
      </c>
      <c r="E820" s="2" t="s">
        <v>956</v>
      </c>
      <c r="F820" t="s">
        <v>17</v>
      </c>
      <c r="U820" s="10" t="str">
        <f t="shared" ca="1" si="28"/>
        <v/>
      </c>
      <c r="V820" s="10" t="str">
        <f t="shared" ca="1" si="29"/>
        <v/>
      </c>
    </row>
    <row r="821" spans="1:31" hidden="1">
      <c r="A821" s="2" t="s">
        <v>954</v>
      </c>
      <c r="B821" s="2"/>
      <c r="C821" s="2"/>
      <c r="D821" s="2" t="s">
        <v>2299</v>
      </c>
      <c r="E821" s="2" t="s">
        <v>2300</v>
      </c>
      <c r="J821" s="10" t="s">
        <v>2686</v>
      </c>
      <c r="R821" s="10" t="s">
        <v>2642</v>
      </c>
      <c r="T821" s="10" t="s">
        <v>2696</v>
      </c>
      <c r="U821" s="10" t="str">
        <f t="shared" ca="1" si="28"/>
        <v/>
      </c>
      <c r="V821" s="10" t="str">
        <f t="shared" ca="1" si="29"/>
        <v/>
      </c>
      <c r="AE821" s="10" t="s">
        <v>2645</v>
      </c>
    </row>
    <row r="822" spans="1:31" hidden="1">
      <c r="A822" s="2" t="s">
        <v>957</v>
      </c>
      <c r="B822" s="2"/>
      <c r="C822" s="2"/>
      <c r="D822" s="2" t="s">
        <v>2301</v>
      </c>
      <c r="E822" s="2" t="s">
        <v>958</v>
      </c>
      <c r="J822" s="10" t="s">
        <v>2686</v>
      </c>
      <c r="T822" s="10" t="s">
        <v>2696</v>
      </c>
      <c r="U822" s="10" t="str">
        <f t="shared" ref="U822:U885" ca="1" si="30">IF(ISNUMBER(T822),VALUE(MID(_xlfn.FORMULATEXT(T822),SEARCH("-",_xlfn.FORMULATEXT(T822))+1,LEN(_xlfn.FORMULATEXT(T822))-SEARCH("-",_xlfn.FORMULATEXT(T822)))), "")</f>
        <v/>
      </c>
      <c r="V822" s="10" t="str">
        <f t="shared" ref="V822:V885" ca="1" si="31">IF(ISNUMBER(T822), VALUE(MID(_xlfn.FORMULATEXT(T822), 2, SEARCH("-", _xlfn.FORMULATEXT(T822)) - 2)), "")</f>
        <v/>
      </c>
      <c r="AE822" s="10" t="s">
        <v>2645</v>
      </c>
    </row>
    <row r="823" spans="1:31" hidden="1">
      <c r="A823" s="2" t="s">
        <v>959</v>
      </c>
      <c r="B823" s="2"/>
      <c r="C823" s="2"/>
      <c r="D823" s="13" t="s">
        <v>2302</v>
      </c>
      <c r="E823" t="s">
        <v>2303</v>
      </c>
      <c r="J823" s="10" t="s">
        <v>2686</v>
      </c>
      <c r="T823" s="10" t="s">
        <v>2696</v>
      </c>
      <c r="U823" s="10" t="str">
        <f t="shared" ca="1" si="30"/>
        <v/>
      </c>
      <c r="V823" s="10" t="str">
        <f t="shared" ca="1" si="31"/>
        <v/>
      </c>
      <c r="AE823" s="10" t="s">
        <v>2645</v>
      </c>
    </row>
    <row r="824" spans="1:31" hidden="1">
      <c r="A824" s="2" t="s">
        <v>959</v>
      </c>
      <c r="B824" s="2"/>
      <c r="C824" s="2"/>
      <c r="D824" s="2" t="s">
        <v>2305</v>
      </c>
      <c r="E824" s="2" t="s">
        <v>2304</v>
      </c>
      <c r="J824" s="10" t="s">
        <v>2689</v>
      </c>
      <c r="T824" s="10">
        <f>830-5</f>
        <v>825</v>
      </c>
      <c r="U824" s="10">
        <f t="shared" ca="1" si="30"/>
        <v>5</v>
      </c>
      <c r="V824" s="10">
        <f t="shared" ca="1" si="31"/>
        <v>830</v>
      </c>
    </row>
    <row r="825" spans="1:31" hidden="1">
      <c r="A825" s="2" t="s">
        <v>959</v>
      </c>
      <c r="B825" s="2"/>
      <c r="C825" s="2"/>
      <c r="D825" s="2" t="s">
        <v>834</v>
      </c>
      <c r="E825" s="2" t="s">
        <v>955</v>
      </c>
      <c r="J825" s="10" t="s">
        <v>2686</v>
      </c>
      <c r="T825" s="10">
        <f>0-11</f>
        <v>-11</v>
      </c>
      <c r="U825" s="10">
        <f t="shared" ca="1" si="30"/>
        <v>11</v>
      </c>
      <c r="V825" s="10">
        <f t="shared" ca="1" si="31"/>
        <v>0</v>
      </c>
    </row>
    <row r="826" spans="1:31" hidden="1">
      <c r="A826" s="2" t="s">
        <v>960</v>
      </c>
      <c r="B826" s="2"/>
      <c r="C826" s="2"/>
      <c r="D826" s="2" t="s">
        <v>2766</v>
      </c>
      <c r="E826" s="2" t="s">
        <v>2767</v>
      </c>
      <c r="H826" t="s">
        <v>19</v>
      </c>
      <c r="J826" s="10" t="s">
        <v>2686</v>
      </c>
      <c r="T826" s="10">
        <f>0-5</f>
        <v>-5</v>
      </c>
      <c r="U826" s="10">
        <f t="shared" ca="1" si="30"/>
        <v>5</v>
      </c>
      <c r="V826" s="10">
        <f t="shared" ca="1" si="31"/>
        <v>0</v>
      </c>
      <c r="AE826" s="10" t="s">
        <v>2651</v>
      </c>
    </row>
    <row r="827" spans="1:31" hidden="1">
      <c r="A827" s="2" t="s">
        <v>961</v>
      </c>
      <c r="B827" s="2"/>
      <c r="C827" s="2"/>
      <c r="D827" s="2" t="s">
        <v>963</v>
      </c>
      <c r="E827" s="2" t="s">
        <v>962</v>
      </c>
      <c r="J827" s="10" t="s">
        <v>2688</v>
      </c>
      <c r="U827" s="10" t="str">
        <f t="shared" ca="1" si="30"/>
        <v/>
      </c>
      <c r="V827" s="10" t="str">
        <f t="shared" ca="1" si="31"/>
        <v/>
      </c>
      <c r="AE827" s="10" t="s">
        <v>2651</v>
      </c>
    </row>
    <row r="828" spans="1:31" ht="29">
      <c r="A828" s="2" t="s">
        <v>964</v>
      </c>
      <c r="B828" s="2"/>
      <c r="C828" s="2"/>
      <c r="D828" s="2" t="s">
        <v>2306</v>
      </c>
      <c r="E828" s="2" t="s">
        <v>2307</v>
      </c>
      <c r="H828" t="s">
        <v>19</v>
      </c>
      <c r="J828" s="10" t="s">
        <v>2686</v>
      </c>
      <c r="T828" s="10">
        <f>0-19</f>
        <v>-19</v>
      </c>
      <c r="U828" s="10">
        <f t="shared" ca="1" si="30"/>
        <v>19</v>
      </c>
      <c r="V828" s="10">
        <f t="shared" ca="1" si="31"/>
        <v>0</v>
      </c>
    </row>
    <row r="829" spans="1:31" ht="29" hidden="1">
      <c r="A829" s="2" t="s">
        <v>964</v>
      </c>
      <c r="B829" s="2"/>
      <c r="C829" s="2"/>
      <c r="D829" s="2" t="s">
        <v>2308</v>
      </c>
      <c r="E829" s="2" t="s">
        <v>2309</v>
      </c>
      <c r="F829" t="s">
        <v>11</v>
      </c>
      <c r="G829" t="s">
        <v>19</v>
      </c>
      <c r="U829" s="10" t="str">
        <f t="shared" ca="1" si="30"/>
        <v/>
      </c>
      <c r="V829" s="10" t="str">
        <f t="shared" ca="1" si="31"/>
        <v/>
      </c>
    </row>
    <row r="830" spans="1:31" ht="29" hidden="1">
      <c r="A830" s="2" t="s">
        <v>964</v>
      </c>
      <c r="B830" s="2"/>
      <c r="C830" s="2"/>
      <c r="D830" s="2" t="s">
        <v>2310</v>
      </c>
      <c r="E830" s="2" t="s">
        <v>2311</v>
      </c>
      <c r="H830" t="s">
        <v>19</v>
      </c>
      <c r="J830" s="10" t="s">
        <v>2688</v>
      </c>
      <c r="U830" s="10" t="str">
        <f t="shared" ca="1" si="30"/>
        <v/>
      </c>
      <c r="V830" s="10" t="str">
        <f t="shared" ca="1" si="31"/>
        <v/>
      </c>
      <c r="AB830" s="10" t="s">
        <v>2650</v>
      </c>
      <c r="AD830" s="10" t="s">
        <v>19</v>
      </c>
    </row>
    <row r="831" spans="1:31" hidden="1">
      <c r="A831" s="2" t="s">
        <v>965</v>
      </c>
      <c r="B831" s="2"/>
      <c r="C831" s="2"/>
      <c r="D831" s="5" t="s">
        <v>2313</v>
      </c>
      <c r="E831" s="2" t="s">
        <v>2312</v>
      </c>
      <c r="F831" t="s">
        <v>13</v>
      </c>
      <c r="U831" s="10" t="str">
        <f t="shared" ca="1" si="30"/>
        <v/>
      </c>
      <c r="V831" s="10" t="str">
        <f t="shared" ca="1" si="31"/>
        <v/>
      </c>
    </row>
    <row r="832" spans="1:31" hidden="1">
      <c r="A832" s="2" t="s">
        <v>965</v>
      </c>
      <c r="B832" s="2"/>
      <c r="C832" s="2"/>
      <c r="D832" s="2" t="s">
        <v>2314</v>
      </c>
      <c r="E832" s="2" t="s">
        <v>2315</v>
      </c>
      <c r="H832" t="s">
        <v>19</v>
      </c>
      <c r="J832" s="10" t="s">
        <v>2686</v>
      </c>
      <c r="T832" s="10" t="s">
        <v>2696</v>
      </c>
      <c r="U832" s="10" t="str">
        <f t="shared" ca="1" si="30"/>
        <v/>
      </c>
      <c r="V832" s="10" t="str">
        <f t="shared" ca="1" si="31"/>
        <v/>
      </c>
      <c r="AE832" s="10" t="s">
        <v>2645</v>
      </c>
    </row>
    <row r="833" spans="1:31">
      <c r="A833" s="2" t="s">
        <v>965</v>
      </c>
      <c r="B833" s="2"/>
      <c r="C833" s="2"/>
      <c r="D833" s="2" t="s">
        <v>966</v>
      </c>
      <c r="E833" s="2" t="s">
        <v>966</v>
      </c>
      <c r="F833" t="s">
        <v>35</v>
      </c>
      <c r="I833" t="s">
        <v>2316</v>
      </c>
      <c r="U833" s="10" t="str">
        <f t="shared" ca="1" si="30"/>
        <v/>
      </c>
      <c r="V833" s="10" t="str">
        <f t="shared" ca="1" si="31"/>
        <v/>
      </c>
    </row>
    <row r="834" spans="1:31" hidden="1">
      <c r="A834" s="2" t="s">
        <v>967</v>
      </c>
      <c r="B834" s="2"/>
      <c r="C834" s="2"/>
      <c r="D834" s="13" t="s">
        <v>2317</v>
      </c>
      <c r="E834" s="2" t="s">
        <v>2318</v>
      </c>
      <c r="H834" t="s">
        <v>19</v>
      </c>
      <c r="J834" s="10" t="s">
        <v>2686</v>
      </c>
      <c r="R834" s="10" t="s">
        <v>2642</v>
      </c>
      <c r="T834" s="10" t="s">
        <v>2696</v>
      </c>
      <c r="U834" s="10" t="str">
        <f t="shared" ca="1" si="30"/>
        <v/>
      </c>
      <c r="V834" s="10" t="str">
        <f t="shared" ca="1" si="31"/>
        <v/>
      </c>
      <c r="AE834" s="10" t="s">
        <v>2645</v>
      </c>
    </row>
    <row r="835" spans="1:31" hidden="1">
      <c r="A835" s="2" t="s">
        <v>967</v>
      </c>
      <c r="B835" s="2"/>
      <c r="C835" s="2"/>
      <c r="D835" s="13" t="s">
        <v>2319</v>
      </c>
      <c r="E835" s="2" t="s">
        <v>2320</v>
      </c>
      <c r="H835" t="s">
        <v>19</v>
      </c>
      <c r="J835" s="10" t="s">
        <v>2688</v>
      </c>
      <c r="U835" s="10" t="str">
        <f t="shared" ca="1" si="30"/>
        <v/>
      </c>
      <c r="V835" s="10" t="str">
        <f t="shared" ca="1" si="31"/>
        <v/>
      </c>
    </row>
    <row r="836" spans="1:31" hidden="1">
      <c r="A836" s="2" t="s">
        <v>968</v>
      </c>
      <c r="B836" s="2"/>
      <c r="C836" s="2"/>
      <c r="D836" s="2" t="s">
        <v>2321</v>
      </c>
      <c r="E836" s="2" t="s">
        <v>2946</v>
      </c>
      <c r="H836" t="s">
        <v>19</v>
      </c>
      <c r="J836" s="10" t="s">
        <v>2689</v>
      </c>
      <c r="U836" s="10" t="str">
        <f t="shared" ca="1" si="30"/>
        <v/>
      </c>
      <c r="V836" s="10" t="str">
        <f t="shared" ca="1" si="31"/>
        <v/>
      </c>
      <c r="AE836" s="10" t="s">
        <v>2645</v>
      </c>
    </row>
    <row r="837" spans="1:31" hidden="1">
      <c r="A837" s="2" t="s">
        <v>968</v>
      </c>
      <c r="B837" s="2"/>
      <c r="C837" s="2"/>
      <c r="D837" s="13" t="s">
        <v>2322</v>
      </c>
      <c r="E837" s="2" t="s">
        <v>969</v>
      </c>
      <c r="H837" t="s">
        <v>19</v>
      </c>
      <c r="J837" s="10" t="s">
        <v>2686</v>
      </c>
      <c r="R837" s="10" t="s">
        <v>2642</v>
      </c>
      <c r="T837" s="10" t="s">
        <v>2696</v>
      </c>
      <c r="U837" s="10" t="str">
        <f t="shared" ca="1" si="30"/>
        <v/>
      </c>
      <c r="V837" s="10" t="str">
        <f t="shared" ca="1" si="31"/>
        <v/>
      </c>
      <c r="AE837" s="10" t="s">
        <v>2645</v>
      </c>
    </row>
    <row r="838" spans="1:31" hidden="1">
      <c r="A838" s="2" t="s">
        <v>970</v>
      </c>
      <c r="B838" s="2"/>
      <c r="C838" s="2"/>
      <c r="D838" s="2" t="s">
        <v>406</v>
      </c>
      <c r="E838" s="2" t="s">
        <v>971</v>
      </c>
      <c r="H838" t="s">
        <v>19</v>
      </c>
      <c r="J838" s="10" t="s">
        <v>2686</v>
      </c>
      <c r="T838" s="10" t="s">
        <v>2696</v>
      </c>
      <c r="U838" s="10" t="str">
        <f t="shared" ca="1" si="30"/>
        <v/>
      </c>
      <c r="V838" s="10" t="str">
        <f t="shared" ca="1" si="31"/>
        <v/>
      </c>
      <c r="AE838" s="10" t="s">
        <v>2645</v>
      </c>
    </row>
    <row r="839" spans="1:31" hidden="1">
      <c r="A839" s="2" t="s">
        <v>970</v>
      </c>
      <c r="B839" s="2"/>
      <c r="C839" s="2"/>
      <c r="D839" s="2" t="s">
        <v>2323</v>
      </c>
      <c r="E839" s="2" t="s">
        <v>972</v>
      </c>
      <c r="H839" t="s">
        <v>19</v>
      </c>
      <c r="J839" s="10" t="s">
        <v>2688</v>
      </c>
      <c r="U839" s="10" t="str">
        <f t="shared" ca="1" si="30"/>
        <v/>
      </c>
      <c r="V839" s="10" t="str">
        <f t="shared" ca="1" si="31"/>
        <v/>
      </c>
    </row>
    <row r="840" spans="1:31" hidden="1">
      <c r="A840" s="2" t="s">
        <v>973</v>
      </c>
      <c r="B840" s="2"/>
      <c r="C840" s="2"/>
      <c r="D840" s="3" t="s">
        <v>2324</v>
      </c>
      <c r="E840" s="2" t="s">
        <v>2325</v>
      </c>
      <c r="F840" t="s">
        <v>15</v>
      </c>
      <c r="U840" s="10" t="str">
        <f t="shared" ca="1" si="30"/>
        <v/>
      </c>
      <c r="V840" s="10" t="str">
        <f t="shared" ca="1" si="31"/>
        <v/>
      </c>
    </row>
    <row r="841" spans="1:31" hidden="1">
      <c r="A841" s="2" t="s">
        <v>974</v>
      </c>
      <c r="B841" s="2"/>
      <c r="C841" s="2"/>
      <c r="D841" s="13" t="s">
        <v>1092</v>
      </c>
      <c r="E841" s="2" t="s">
        <v>975</v>
      </c>
      <c r="H841" t="s">
        <v>19</v>
      </c>
      <c r="J841" s="10" t="s">
        <v>2688</v>
      </c>
      <c r="U841" s="10" t="str">
        <f t="shared" ca="1" si="30"/>
        <v/>
      </c>
      <c r="V841" s="10" t="str">
        <f t="shared" ca="1" si="31"/>
        <v/>
      </c>
      <c r="AE841" s="10" t="s">
        <v>2645</v>
      </c>
    </row>
    <row r="842" spans="1:31" hidden="1">
      <c r="A842" s="2" t="s">
        <v>974</v>
      </c>
      <c r="B842" s="2"/>
      <c r="C842" s="2"/>
      <c r="D842" s="2" t="s">
        <v>977</v>
      </c>
      <c r="E842" s="2" t="s">
        <v>976</v>
      </c>
      <c r="G842" t="s">
        <v>19</v>
      </c>
      <c r="J842" s="10" t="s">
        <v>2686</v>
      </c>
      <c r="T842" s="10" t="s">
        <v>2696</v>
      </c>
      <c r="U842" s="10" t="str">
        <f t="shared" ca="1" si="30"/>
        <v/>
      </c>
      <c r="V842" s="10" t="str">
        <f t="shared" ca="1" si="31"/>
        <v/>
      </c>
      <c r="AE842" s="10" t="s">
        <v>2654</v>
      </c>
    </row>
    <row r="843" spans="1:31" hidden="1">
      <c r="A843" s="2" t="s">
        <v>978</v>
      </c>
      <c r="B843" s="2"/>
      <c r="C843" s="2"/>
      <c r="D843" s="2" t="s">
        <v>980</v>
      </c>
      <c r="E843" s="2" t="s">
        <v>979</v>
      </c>
      <c r="J843" s="10" t="s">
        <v>2688</v>
      </c>
      <c r="U843" s="10" t="str">
        <f t="shared" ca="1" si="30"/>
        <v/>
      </c>
      <c r="V843" s="10" t="str">
        <f t="shared" ca="1" si="31"/>
        <v/>
      </c>
      <c r="AC843" s="10" t="s">
        <v>2699</v>
      </c>
      <c r="AD843" s="10" t="s">
        <v>19</v>
      </c>
    </row>
    <row r="844" spans="1:31" hidden="1">
      <c r="A844" s="2" t="s">
        <v>978</v>
      </c>
      <c r="B844" s="2"/>
      <c r="C844" s="2"/>
      <c r="D844" s="2" t="s">
        <v>2326</v>
      </c>
      <c r="E844" s="2" t="s">
        <v>981</v>
      </c>
      <c r="J844" s="10" t="s">
        <v>2686</v>
      </c>
      <c r="U844" s="10" t="str">
        <f t="shared" ca="1" si="30"/>
        <v/>
      </c>
      <c r="V844" s="10" t="str">
        <f t="shared" ca="1" si="31"/>
        <v/>
      </c>
      <c r="AE844" s="10" t="s">
        <v>2645</v>
      </c>
    </row>
    <row r="845" spans="1:31" hidden="1">
      <c r="A845" s="2" t="s">
        <v>978</v>
      </c>
      <c r="B845" s="2"/>
      <c r="C845" s="2"/>
      <c r="D845" s="2" t="s">
        <v>2327</v>
      </c>
      <c r="E845" s="2" t="s">
        <v>982</v>
      </c>
      <c r="H845" t="s">
        <v>19</v>
      </c>
      <c r="J845" s="10" t="s">
        <v>2686</v>
      </c>
      <c r="T845" s="10" t="s">
        <v>2696</v>
      </c>
      <c r="U845" s="10" t="str">
        <f t="shared" ca="1" si="30"/>
        <v/>
      </c>
      <c r="V845" s="10" t="str">
        <f t="shared" ca="1" si="31"/>
        <v/>
      </c>
      <c r="AE845" s="10" t="s">
        <v>2645</v>
      </c>
    </row>
    <row r="846" spans="1:31">
      <c r="A846" s="2" t="s">
        <v>983</v>
      </c>
      <c r="B846" s="2"/>
      <c r="C846" s="2"/>
      <c r="D846" t="s">
        <v>2328</v>
      </c>
      <c r="E846" t="s">
        <v>2329</v>
      </c>
      <c r="F846" t="s">
        <v>35</v>
      </c>
      <c r="I846" t="s">
        <v>2330</v>
      </c>
      <c r="U846" s="10" t="str">
        <f t="shared" ca="1" si="30"/>
        <v/>
      </c>
      <c r="V846" s="10" t="str">
        <f t="shared" ca="1" si="31"/>
        <v/>
      </c>
    </row>
    <row r="847" spans="1:31">
      <c r="A847" s="2" t="s">
        <v>983</v>
      </c>
      <c r="B847" s="2"/>
      <c r="C847" s="2"/>
      <c r="D847" s="2" t="s">
        <v>985</v>
      </c>
      <c r="E847" s="2" t="s">
        <v>984</v>
      </c>
      <c r="J847" s="10" t="s">
        <v>2686</v>
      </c>
      <c r="R847" s="10" t="s">
        <v>2642</v>
      </c>
      <c r="T847" s="10" t="s">
        <v>2696</v>
      </c>
      <c r="U847" s="10" t="str">
        <f t="shared" ca="1" si="30"/>
        <v/>
      </c>
      <c r="V847" s="10" t="str">
        <f t="shared" ca="1" si="31"/>
        <v/>
      </c>
      <c r="AE847" s="10" t="s">
        <v>2645</v>
      </c>
    </row>
    <row r="848" spans="1:31" ht="29" hidden="1">
      <c r="A848" s="2" t="s">
        <v>986</v>
      </c>
      <c r="B848" s="2"/>
      <c r="C848" s="2"/>
      <c r="D848" s="2" t="s">
        <v>2331</v>
      </c>
      <c r="E848" s="2" t="s">
        <v>2332</v>
      </c>
      <c r="J848" s="10" t="s">
        <v>2688</v>
      </c>
      <c r="U848" s="10" t="str">
        <f t="shared" ca="1" si="30"/>
        <v/>
      </c>
      <c r="V848" s="10" t="str">
        <f t="shared" ca="1" si="31"/>
        <v/>
      </c>
      <c r="AE848" s="10" t="s">
        <v>2645</v>
      </c>
    </row>
    <row r="849" spans="1:31" hidden="1">
      <c r="A849" s="2" t="s">
        <v>986</v>
      </c>
      <c r="B849" s="2"/>
      <c r="C849" s="2"/>
      <c r="D849" s="2" t="s">
        <v>2333</v>
      </c>
      <c r="E849" s="2" t="s">
        <v>2334</v>
      </c>
      <c r="H849" t="s">
        <v>19</v>
      </c>
      <c r="J849" s="10" t="s">
        <v>2686</v>
      </c>
      <c r="T849" s="10" t="s">
        <v>2696</v>
      </c>
      <c r="U849" s="10" t="str">
        <f t="shared" ca="1" si="30"/>
        <v/>
      </c>
      <c r="V849" s="10" t="str">
        <f t="shared" ca="1" si="31"/>
        <v/>
      </c>
      <c r="AE849" s="10" t="s">
        <v>2645</v>
      </c>
    </row>
    <row r="850" spans="1:31" hidden="1">
      <c r="A850" s="2" t="s">
        <v>987</v>
      </c>
      <c r="B850" s="2"/>
      <c r="C850" s="2"/>
      <c r="D850" s="8" t="s">
        <v>608</v>
      </c>
      <c r="E850" s="8" t="s">
        <v>607</v>
      </c>
      <c r="F850" t="s">
        <v>36</v>
      </c>
      <c r="J850" s="10" t="s">
        <v>2686</v>
      </c>
      <c r="T850" s="10" t="s">
        <v>2696</v>
      </c>
      <c r="U850" s="10" t="str">
        <f t="shared" ca="1" si="30"/>
        <v/>
      </c>
      <c r="V850" s="10" t="str">
        <f t="shared" ca="1" si="31"/>
        <v/>
      </c>
      <c r="AE850" s="10" t="s">
        <v>2654</v>
      </c>
    </row>
    <row r="851" spans="1:31" hidden="1">
      <c r="A851" s="2" t="s">
        <v>988</v>
      </c>
      <c r="B851" s="2"/>
      <c r="C851" s="2"/>
      <c r="D851" s="2" t="s">
        <v>2335</v>
      </c>
      <c r="E851" s="2" t="s">
        <v>2336</v>
      </c>
      <c r="H851" t="s">
        <v>19</v>
      </c>
      <c r="J851" s="10" t="s">
        <v>25</v>
      </c>
      <c r="L851" s="10">
        <v>1</v>
      </c>
      <c r="M851" s="10">
        <v>3</v>
      </c>
      <c r="N851" s="10" t="s">
        <v>2646</v>
      </c>
      <c r="O851" s="10" t="s">
        <v>2647</v>
      </c>
      <c r="S851" s="10">
        <v>2475</v>
      </c>
      <c r="U851" s="10" t="str">
        <f t="shared" ca="1" si="30"/>
        <v/>
      </c>
      <c r="V851" s="10" t="str">
        <f t="shared" ca="1" si="31"/>
        <v/>
      </c>
    </row>
    <row r="852" spans="1:31" hidden="1">
      <c r="A852" s="2" t="s">
        <v>988</v>
      </c>
      <c r="B852" s="2"/>
      <c r="C852" s="2"/>
      <c r="D852" s="2" t="s">
        <v>1268</v>
      </c>
      <c r="E852" s="2" t="s">
        <v>2026</v>
      </c>
      <c r="J852" s="10" t="s">
        <v>2686</v>
      </c>
      <c r="T852" s="10">
        <f>312-743</f>
        <v>-431</v>
      </c>
      <c r="U852" s="10">
        <f t="shared" ca="1" si="30"/>
        <v>743</v>
      </c>
      <c r="V852" s="10">
        <f t="shared" ca="1" si="31"/>
        <v>312</v>
      </c>
    </row>
    <row r="853" spans="1:31" hidden="1">
      <c r="A853" s="2" t="s">
        <v>989</v>
      </c>
      <c r="B853" s="2"/>
      <c r="C853" s="2"/>
      <c r="D853" s="2" t="s">
        <v>2337</v>
      </c>
      <c r="E853" s="2" t="s">
        <v>2338</v>
      </c>
      <c r="H853" t="s">
        <v>19</v>
      </c>
      <c r="J853" s="10" t="s">
        <v>25</v>
      </c>
      <c r="L853" s="10">
        <v>1</v>
      </c>
      <c r="M853" s="10">
        <v>2</v>
      </c>
      <c r="N853" s="10" t="s">
        <v>2662</v>
      </c>
      <c r="O853" s="10" t="s">
        <v>2687</v>
      </c>
      <c r="S853" s="10">
        <v>743</v>
      </c>
      <c r="U853" s="10" t="str">
        <f t="shared" ca="1" si="30"/>
        <v/>
      </c>
      <c r="V853" s="10" t="str">
        <f t="shared" ca="1" si="31"/>
        <v/>
      </c>
    </row>
    <row r="854" spans="1:31" hidden="1">
      <c r="A854" s="2" t="s">
        <v>989</v>
      </c>
      <c r="B854" s="2"/>
      <c r="C854" s="2"/>
      <c r="D854" s="2" t="s">
        <v>2339</v>
      </c>
      <c r="E854" s="2" t="s">
        <v>2340</v>
      </c>
      <c r="H854" t="s">
        <v>19</v>
      </c>
      <c r="J854" s="10" t="s">
        <v>2686</v>
      </c>
      <c r="Q854" s="10"/>
      <c r="T854" s="10">
        <f>12-1</f>
        <v>11</v>
      </c>
      <c r="U854" s="10">
        <f t="shared" ca="1" si="30"/>
        <v>1</v>
      </c>
      <c r="V854" s="10">
        <f t="shared" ca="1" si="31"/>
        <v>12</v>
      </c>
    </row>
    <row r="855" spans="1:31" hidden="1">
      <c r="A855" s="2" t="s">
        <v>990</v>
      </c>
      <c r="B855" s="2"/>
      <c r="C855" s="2"/>
      <c r="D855" s="2" t="s">
        <v>2342</v>
      </c>
      <c r="E855" s="2" t="s">
        <v>2341</v>
      </c>
      <c r="H855" t="s">
        <v>19</v>
      </c>
      <c r="J855" s="10" t="s">
        <v>2688</v>
      </c>
      <c r="U855" s="10" t="str">
        <f t="shared" ca="1" si="30"/>
        <v/>
      </c>
      <c r="V855" s="10" t="str">
        <f t="shared" ca="1" si="31"/>
        <v/>
      </c>
      <c r="AC855" s="10" t="s">
        <v>2699</v>
      </c>
      <c r="AD855" s="10" t="s">
        <v>19</v>
      </c>
    </row>
    <row r="856" spans="1:31" hidden="1">
      <c r="A856" s="2" t="s">
        <v>990</v>
      </c>
      <c r="B856" s="2"/>
      <c r="C856" s="2"/>
      <c r="D856" s="2" t="s">
        <v>2343</v>
      </c>
      <c r="E856" s="2" t="s">
        <v>2344</v>
      </c>
      <c r="H856" t="s">
        <v>19</v>
      </c>
      <c r="J856" s="10" t="s">
        <v>2686</v>
      </c>
      <c r="R856" s="10" t="s">
        <v>2642</v>
      </c>
      <c r="T856" s="10" t="s">
        <v>2696</v>
      </c>
      <c r="U856" s="10" t="str">
        <f t="shared" ca="1" si="30"/>
        <v/>
      </c>
      <c r="V856" s="10" t="str">
        <f t="shared" ca="1" si="31"/>
        <v/>
      </c>
      <c r="AE856" s="10" t="s">
        <v>2645</v>
      </c>
    </row>
    <row r="857" spans="1:31" ht="29">
      <c r="A857" s="2" t="s">
        <v>990</v>
      </c>
      <c r="B857" s="2"/>
      <c r="C857" s="2"/>
      <c r="D857" s="2" t="s">
        <v>2345</v>
      </c>
      <c r="E857" s="2" t="s">
        <v>2346</v>
      </c>
      <c r="J857" s="10" t="s">
        <v>2686</v>
      </c>
      <c r="R857" s="10" t="s">
        <v>2642</v>
      </c>
      <c r="T857" s="10" t="s">
        <v>2696</v>
      </c>
      <c r="U857" s="10" t="str">
        <f t="shared" ca="1" si="30"/>
        <v/>
      </c>
      <c r="V857" s="10" t="str">
        <f t="shared" ca="1" si="31"/>
        <v/>
      </c>
      <c r="AE857" s="10" t="s">
        <v>2645</v>
      </c>
    </row>
    <row r="858" spans="1:31" ht="29" hidden="1">
      <c r="A858" s="2" t="s">
        <v>990</v>
      </c>
      <c r="B858" s="2"/>
      <c r="C858" s="2"/>
      <c r="D858" s="2" t="s">
        <v>2347</v>
      </c>
      <c r="E858" s="2" t="s">
        <v>2348</v>
      </c>
      <c r="H858" t="s">
        <v>19</v>
      </c>
      <c r="J858" s="10" t="s">
        <v>2686</v>
      </c>
      <c r="T858" s="10" t="s">
        <v>2696</v>
      </c>
      <c r="U858" s="10" t="str">
        <f t="shared" ca="1" si="30"/>
        <v/>
      </c>
      <c r="V858" s="10" t="str">
        <f t="shared" ca="1" si="31"/>
        <v/>
      </c>
      <c r="AE858" s="10" t="s">
        <v>2645</v>
      </c>
    </row>
    <row r="859" spans="1:31" ht="29" hidden="1">
      <c r="A859" s="2" t="s">
        <v>990</v>
      </c>
      <c r="B859" s="2"/>
      <c r="C859" s="2"/>
      <c r="D859" s="2" t="s">
        <v>2349</v>
      </c>
      <c r="E859" s="2" t="s">
        <v>2350</v>
      </c>
      <c r="H859" t="s">
        <v>19</v>
      </c>
      <c r="J859" s="10" t="s">
        <v>2688</v>
      </c>
      <c r="U859" s="10" t="str">
        <f t="shared" ca="1" si="30"/>
        <v/>
      </c>
      <c r="V859" s="10" t="str">
        <f t="shared" ca="1" si="31"/>
        <v/>
      </c>
      <c r="AC859" s="10" t="s">
        <v>2703</v>
      </c>
      <c r="AD859" s="10" t="s">
        <v>19</v>
      </c>
    </row>
    <row r="860" spans="1:31" hidden="1">
      <c r="A860" s="2" t="s">
        <v>991</v>
      </c>
      <c r="B860" s="2"/>
      <c r="C860" s="2"/>
      <c r="D860" s="2" t="s">
        <v>993</v>
      </c>
      <c r="E860" s="2" t="s">
        <v>992</v>
      </c>
      <c r="J860" s="10" t="s">
        <v>2688</v>
      </c>
      <c r="U860" s="10" t="str">
        <f t="shared" ca="1" si="30"/>
        <v/>
      </c>
      <c r="V860" s="10" t="str">
        <f t="shared" ca="1" si="31"/>
        <v/>
      </c>
    </row>
    <row r="861" spans="1:31" ht="29" hidden="1">
      <c r="A861" s="2" t="s">
        <v>994</v>
      </c>
      <c r="B861" s="2"/>
      <c r="C861" s="2"/>
      <c r="D861" s="2" t="s">
        <v>2351</v>
      </c>
      <c r="E861" s="2" t="s">
        <v>2352</v>
      </c>
      <c r="H861" t="s">
        <v>19</v>
      </c>
      <c r="J861" s="10" t="s">
        <v>2688</v>
      </c>
      <c r="U861" s="10" t="str">
        <f t="shared" ca="1" si="30"/>
        <v/>
      </c>
      <c r="V861" s="10" t="str">
        <f t="shared" ca="1" si="31"/>
        <v/>
      </c>
    </row>
    <row r="862" spans="1:31">
      <c r="A862" s="2" t="s">
        <v>995</v>
      </c>
      <c r="B862" s="2"/>
      <c r="C862" s="2"/>
      <c r="D862" s="3" t="s">
        <v>2353</v>
      </c>
      <c r="E862" s="2" t="s">
        <v>2354</v>
      </c>
      <c r="F862" t="s">
        <v>31</v>
      </c>
      <c r="G862" t="s">
        <v>21</v>
      </c>
      <c r="I862" t="s">
        <v>2355</v>
      </c>
      <c r="J862" s="10" t="s">
        <v>2686</v>
      </c>
      <c r="T862" s="10" t="s">
        <v>2696</v>
      </c>
      <c r="U862" s="10" t="str">
        <f t="shared" ca="1" si="30"/>
        <v/>
      </c>
      <c r="V862" s="10" t="str">
        <f t="shared" ca="1" si="31"/>
        <v/>
      </c>
      <c r="AE862" s="10" t="s">
        <v>2645</v>
      </c>
    </row>
    <row r="863" spans="1:31">
      <c r="A863" s="2" t="s">
        <v>995</v>
      </c>
      <c r="B863" s="2"/>
      <c r="C863" s="2"/>
      <c r="D863" s="2" t="s">
        <v>2356</v>
      </c>
      <c r="E863" s="2" t="s">
        <v>2357</v>
      </c>
      <c r="J863" s="10" t="s">
        <v>2688</v>
      </c>
      <c r="U863" s="10" t="str">
        <f t="shared" ca="1" si="30"/>
        <v/>
      </c>
      <c r="V863" s="10" t="str">
        <f t="shared" ca="1" si="31"/>
        <v/>
      </c>
      <c r="AB863" s="10" t="s">
        <v>2797</v>
      </c>
      <c r="AD863" s="10" t="s">
        <v>19</v>
      </c>
    </row>
    <row r="864" spans="1:31">
      <c r="A864" s="2" t="s">
        <v>995</v>
      </c>
      <c r="B864" s="2"/>
      <c r="C864" s="2"/>
      <c r="D864" s="2" t="s">
        <v>997</v>
      </c>
      <c r="E864" s="2" t="s">
        <v>996</v>
      </c>
      <c r="H864" t="s">
        <v>22</v>
      </c>
      <c r="I864" t="s">
        <v>2358</v>
      </c>
      <c r="J864" s="10" t="s">
        <v>2688</v>
      </c>
      <c r="U864" s="10" t="str">
        <f t="shared" ca="1" si="30"/>
        <v/>
      </c>
      <c r="V864" s="10" t="str">
        <f t="shared" ca="1" si="31"/>
        <v/>
      </c>
      <c r="AE864" s="10" t="s">
        <v>2645</v>
      </c>
    </row>
    <row r="865" spans="1:31" hidden="1">
      <c r="A865" s="2" t="s">
        <v>998</v>
      </c>
      <c r="B865" s="2"/>
      <c r="C865" s="2"/>
      <c r="D865" s="2" t="s">
        <v>2360</v>
      </c>
      <c r="E865" s="2" t="s">
        <v>2359</v>
      </c>
      <c r="J865" s="10" t="s">
        <v>2688</v>
      </c>
      <c r="U865" s="10" t="str">
        <f t="shared" ca="1" si="30"/>
        <v/>
      </c>
      <c r="V865" s="10" t="str">
        <f t="shared" ca="1" si="31"/>
        <v/>
      </c>
      <c r="AE865" s="10" t="s">
        <v>2651</v>
      </c>
    </row>
    <row r="866" spans="1:31" hidden="1">
      <c r="A866" s="2" t="s">
        <v>998</v>
      </c>
      <c r="B866" s="2"/>
      <c r="C866" s="2"/>
      <c r="D866" s="2" t="s">
        <v>2361</v>
      </c>
      <c r="E866" s="2" t="s">
        <v>2362</v>
      </c>
      <c r="H866" t="s">
        <v>19</v>
      </c>
      <c r="J866" s="10" t="s">
        <v>2686</v>
      </c>
      <c r="T866" s="10">
        <f>29-43</f>
        <v>-14</v>
      </c>
      <c r="U866" s="10">
        <f t="shared" ca="1" si="30"/>
        <v>43</v>
      </c>
      <c r="V866" s="10">
        <f t="shared" ca="1" si="31"/>
        <v>29</v>
      </c>
      <c r="AE866" s="10" t="s">
        <v>2651</v>
      </c>
    </row>
    <row r="867" spans="1:31" hidden="1">
      <c r="A867" s="2" t="s">
        <v>999</v>
      </c>
      <c r="B867" s="2"/>
      <c r="C867" s="2"/>
      <c r="D867" s="2" t="s">
        <v>2363</v>
      </c>
      <c r="E867" s="2" t="s">
        <v>2364</v>
      </c>
      <c r="H867" t="s">
        <v>19</v>
      </c>
      <c r="J867" s="10" t="s">
        <v>2686</v>
      </c>
      <c r="T867" s="10">
        <f>99-204</f>
        <v>-105</v>
      </c>
      <c r="U867" s="10">
        <f t="shared" ca="1" si="30"/>
        <v>204</v>
      </c>
      <c r="V867" s="10">
        <f t="shared" ca="1" si="31"/>
        <v>99</v>
      </c>
      <c r="AE867" s="10" t="s">
        <v>2651</v>
      </c>
    </row>
    <row r="868" spans="1:31" hidden="1">
      <c r="A868" s="2" t="s">
        <v>999</v>
      </c>
      <c r="B868" s="2"/>
      <c r="C868" s="2"/>
      <c r="D868" s="2" t="s">
        <v>2366</v>
      </c>
      <c r="E868" s="2" t="s">
        <v>2365</v>
      </c>
      <c r="G868" t="s">
        <v>19</v>
      </c>
      <c r="J868" s="10" t="s">
        <v>25</v>
      </c>
      <c r="L868" s="10">
        <v>1</v>
      </c>
      <c r="M868" s="10">
        <v>6</v>
      </c>
      <c r="N868" s="10" t="s">
        <v>2693</v>
      </c>
      <c r="O868" s="10" t="s">
        <v>2641</v>
      </c>
      <c r="P868" s="10" t="s">
        <v>2761</v>
      </c>
      <c r="Q868" s="11" t="s">
        <v>2705</v>
      </c>
      <c r="S868" s="10" t="s">
        <v>2687</v>
      </c>
      <c r="U868" s="10" t="str">
        <f t="shared" ca="1" si="30"/>
        <v/>
      </c>
      <c r="V868" s="10" t="str">
        <f t="shared" ca="1" si="31"/>
        <v/>
      </c>
      <c r="AE868" s="10" t="s">
        <v>2654</v>
      </c>
    </row>
    <row r="869" spans="1:31" hidden="1">
      <c r="A869" s="2" t="s">
        <v>999</v>
      </c>
      <c r="B869" s="2"/>
      <c r="C869" s="2"/>
      <c r="D869" s="3" t="s">
        <v>1001</v>
      </c>
      <c r="E869" s="2" t="s">
        <v>1000</v>
      </c>
      <c r="F869" t="s">
        <v>15</v>
      </c>
      <c r="U869" s="10" t="str">
        <f t="shared" ca="1" si="30"/>
        <v/>
      </c>
      <c r="V869" s="10" t="str">
        <f t="shared" ca="1" si="31"/>
        <v/>
      </c>
    </row>
    <row r="870" spans="1:31" hidden="1">
      <c r="A870" s="2" t="s">
        <v>1002</v>
      </c>
      <c r="B870" s="2"/>
      <c r="C870" s="2"/>
      <c r="D870" s="2" t="s">
        <v>1004</v>
      </c>
      <c r="E870" s="2" t="s">
        <v>1003</v>
      </c>
      <c r="J870" s="10" t="s">
        <v>2686</v>
      </c>
      <c r="T870" s="10" t="s">
        <v>2687</v>
      </c>
      <c r="U870" s="10" t="str">
        <f t="shared" ca="1" si="30"/>
        <v/>
      </c>
      <c r="V870" s="10" t="str">
        <f t="shared" ca="1" si="31"/>
        <v/>
      </c>
      <c r="AE870" s="10" t="s">
        <v>2645</v>
      </c>
    </row>
    <row r="871" spans="1:31" hidden="1">
      <c r="A871" s="2" t="s">
        <v>1005</v>
      </c>
      <c r="B871" s="2"/>
      <c r="C871" s="2"/>
      <c r="D871" s="2" t="s">
        <v>2367</v>
      </c>
      <c r="E871" s="2" t="s">
        <v>2368</v>
      </c>
      <c r="J871" s="10" t="s">
        <v>2686</v>
      </c>
      <c r="T871" s="10">
        <f>66-5</f>
        <v>61</v>
      </c>
      <c r="U871" s="10">
        <f t="shared" ca="1" si="30"/>
        <v>5</v>
      </c>
      <c r="V871" s="10">
        <f t="shared" ca="1" si="31"/>
        <v>66</v>
      </c>
    </row>
    <row r="872" spans="1:31" hidden="1">
      <c r="A872" s="2" t="s">
        <v>1006</v>
      </c>
      <c r="B872" s="2"/>
      <c r="C872" s="2"/>
      <c r="D872" s="2" t="s">
        <v>2369</v>
      </c>
      <c r="E872" s="2" t="s">
        <v>2370</v>
      </c>
      <c r="H872" t="s">
        <v>19</v>
      </c>
      <c r="J872" s="10" t="s">
        <v>2686</v>
      </c>
      <c r="T872" s="10">
        <f>40-5</f>
        <v>35</v>
      </c>
      <c r="U872" s="10">
        <f t="shared" ca="1" si="30"/>
        <v>5</v>
      </c>
      <c r="V872" s="10">
        <f t="shared" ca="1" si="31"/>
        <v>40</v>
      </c>
    </row>
    <row r="873" spans="1:31" hidden="1">
      <c r="A873" s="2" t="s">
        <v>1007</v>
      </c>
      <c r="B873" s="2"/>
      <c r="C873" s="2"/>
      <c r="D873" s="2" t="s">
        <v>2371</v>
      </c>
      <c r="E873" s="2" t="s">
        <v>2947</v>
      </c>
      <c r="H873" t="s">
        <v>19</v>
      </c>
      <c r="J873" s="10" t="s">
        <v>2686</v>
      </c>
      <c r="T873" s="10">
        <f>29-2475</f>
        <v>-2446</v>
      </c>
      <c r="U873" s="10">
        <v>2475</v>
      </c>
      <c r="V873" s="10">
        <v>29</v>
      </c>
    </row>
    <row r="874" spans="1:31" hidden="1">
      <c r="A874" s="2" t="s">
        <v>1007</v>
      </c>
      <c r="B874" s="2"/>
      <c r="C874" s="2"/>
      <c r="D874" s="2" t="s">
        <v>2372</v>
      </c>
      <c r="E874" s="2" t="s">
        <v>1008</v>
      </c>
      <c r="H874" t="s">
        <v>19</v>
      </c>
      <c r="J874" s="10" t="s">
        <v>2688</v>
      </c>
      <c r="U874" s="10" t="str">
        <f t="shared" ca="1" si="30"/>
        <v/>
      </c>
      <c r="V874" s="10" t="str">
        <f t="shared" ca="1" si="31"/>
        <v/>
      </c>
      <c r="AC874" s="10" t="s">
        <v>2699</v>
      </c>
      <c r="AD874" s="10" t="s">
        <v>20</v>
      </c>
    </row>
    <row r="875" spans="1:31" hidden="1">
      <c r="A875" s="2" t="s">
        <v>1009</v>
      </c>
      <c r="B875" s="2"/>
      <c r="C875" s="2"/>
      <c r="D875" s="2" t="s">
        <v>2373</v>
      </c>
      <c r="E875" s="2" t="s">
        <v>2374</v>
      </c>
      <c r="J875" s="10" t="s">
        <v>2686</v>
      </c>
      <c r="R875" s="10" t="s">
        <v>2642</v>
      </c>
      <c r="T875" s="10" t="s">
        <v>2696</v>
      </c>
      <c r="U875" s="10" t="str">
        <f t="shared" ca="1" si="30"/>
        <v/>
      </c>
      <c r="V875" s="10" t="str">
        <f t="shared" ca="1" si="31"/>
        <v/>
      </c>
      <c r="AE875" s="10" t="s">
        <v>2645</v>
      </c>
    </row>
    <row r="876" spans="1:31" hidden="1">
      <c r="A876" s="2" t="s">
        <v>1009</v>
      </c>
      <c r="B876" s="2"/>
      <c r="C876" s="2"/>
      <c r="D876" s="2" t="s">
        <v>1011</v>
      </c>
      <c r="E876" s="2" t="s">
        <v>1010</v>
      </c>
      <c r="J876" s="10" t="s">
        <v>2686</v>
      </c>
      <c r="T876" s="10" t="s">
        <v>2696</v>
      </c>
      <c r="U876" s="10" t="str">
        <f t="shared" ca="1" si="30"/>
        <v/>
      </c>
      <c r="V876" s="10" t="str">
        <f t="shared" ca="1" si="31"/>
        <v/>
      </c>
      <c r="AE876" s="10" t="s">
        <v>2645</v>
      </c>
    </row>
    <row r="877" spans="1:31" hidden="1">
      <c r="A877" s="2" t="s">
        <v>1012</v>
      </c>
      <c r="B877" s="2"/>
      <c r="C877" s="2"/>
      <c r="D877" s="2" t="s">
        <v>2375</v>
      </c>
      <c r="E877" s="2" t="s">
        <v>1013</v>
      </c>
      <c r="J877" s="10" t="s">
        <v>2688</v>
      </c>
      <c r="U877" s="10" t="str">
        <f t="shared" ca="1" si="30"/>
        <v/>
      </c>
      <c r="V877" s="10" t="str">
        <f t="shared" ca="1" si="31"/>
        <v/>
      </c>
      <c r="AE877" s="10" t="s">
        <v>2654</v>
      </c>
    </row>
    <row r="878" spans="1:31" hidden="1">
      <c r="A878" s="2" t="s">
        <v>1014</v>
      </c>
      <c r="B878" s="2"/>
      <c r="C878" s="2"/>
      <c r="D878" s="3" t="s">
        <v>2376</v>
      </c>
      <c r="E878" s="2" t="s">
        <v>2377</v>
      </c>
      <c r="F878" t="s">
        <v>15</v>
      </c>
      <c r="U878" s="10" t="str">
        <f t="shared" ca="1" si="30"/>
        <v/>
      </c>
      <c r="V878" s="10" t="str">
        <f t="shared" ca="1" si="31"/>
        <v/>
      </c>
    </row>
    <row r="879" spans="1:31" hidden="1">
      <c r="A879" s="2" t="s">
        <v>1015</v>
      </c>
      <c r="B879" s="2"/>
      <c r="C879" s="2"/>
      <c r="D879" s="3" t="s">
        <v>1017</v>
      </c>
      <c r="E879" s="2" t="s">
        <v>1016</v>
      </c>
      <c r="F879" t="s">
        <v>15</v>
      </c>
      <c r="U879" s="10" t="str">
        <f t="shared" ca="1" si="30"/>
        <v/>
      </c>
      <c r="V879" s="10" t="str">
        <f t="shared" ca="1" si="31"/>
        <v/>
      </c>
    </row>
    <row r="880" spans="1:31" hidden="1">
      <c r="A880" s="2" t="s">
        <v>1018</v>
      </c>
      <c r="B880" s="2"/>
      <c r="C880" s="2"/>
      <c r="D880" s="2" t="s">
        <v>2379</v>
      </c>
      <c r="E880" s="2" t="s">
        <v>2378</v>
      </c>
      <c r="J880" s="10" t="s">
        <v>24</v>
      </c>
      <c r="L880" s="10">
        <v>1</v>
      </c>
      <c r="M880" s="10">
        <v>3</v>
      </c>
      <c r="N880" s="10" t="s">
        <v>2655</v>
      </c>
      <c r="O880" s="10" t="s">
        <v>2647</v>
      </c>
      <c r="S880" s="10">
        <v>1701</v>
      </c>
      <c r="U880" s="10" t="str">
        <f t="shared" ca="1" si="30"/>
        <v/>
      </c>
      <c r="V880" s="10" t="str">
        <f t="shared" ca="1" si="31"/>
        <v/>
      </c>
    </row>
    <row r="881" spans="1:31" hidden="1">
      <c r="A881" s="2" t="s">
        <v>1019</v>
      </c>
      <c r="B881" s="2"/>
      <c r="C881" s="2"/>
      <c r="D881" s="2" t="s">
        <v>2380</v>
      </c>
      <c r="E881" s="3" t="s">
        <v>2381</v>
      </c>
      <c r="F881" t="s">
        <v>16</v>
      </c>
      <c r="U881" s="10" t="str">
        <f t="shared" ca="1" si="30"/>
        <v/>
      </c>
      <c r="V881" s="10" t="str">
        <f t="shared" ca="1" si="31"/>
        <v/>
      </c>
    </row>
    <row r="882" spans="1:31" hidden="1">
      <c r="A882" s="2" t="s">
        <v>1020</v>
      </c>
      <c r="B882" s="2"/>
      <c r="C882" s="2"/>
      <c r="D882" s="2" t="s">
        <v>2382</v>
      </c>
      <c r="E882" s="2" t="s">
        <v>2383</v>
      </c>
      <c r="J882" s="10" t="s">
        <v>2688</v>
      </c>
      <c r="U882" s="10" t="str">
        <f t="shared" ca="1" si="30"/>
        <v/>
      </c>
      <c r="V882" s="10" t="str">
        <f t="shared" ca="1" si="31"/>
        <v/>
      </c>
      <c r="AE882" s="10" t="s">
        <v>2645</v>
      </c>
    </row>
    <row r="883" spans="1:31" hidden="1">
      <c r="A883" s="2" t="s">
        <v>1020</v>
      </c>
      <c r="B883" s="2"/>
      <c r="C883" s="2"/>
      <c r="D883" s="2" t="s">
        <v>2384</v>
      </c>
      <c r="E883" s="2" t="s">
        <v>2385</v>
      </c>
      <c r="H883" t="s">
        <v>19</v>
      </c>
      <c r="J883" s="10" t="s">
        <v>2688</v>
      </c>
      <c r="U883" s="10" t="str">
        <f t="shared" ca="1" si="30"/>
        <v/>
      </c>
      <c r="V883" s="10" t="str">
        <f t="shared" ca="1" si="31"/>
        <v/>
      </c>
      <c r="AC883" s="10" t="s">
        <v>2703</v>
      </c>
      <c r="AD883" s="10" t="s">
        <v>19</v>
      </c>
      <c r="AE883" s="10" t="s">
        <v>2645</v>
      </c>
    </row>
    <row r="884" spans="1:31" hidden="1">
      <c r="A884" s="2" t="s">
        <v>1021</v>
      </c>
      <c r="B884" s="2"/>
      <c r="C884" s="2"/>
      <c r="D884" s="2" t="s">
        <v>1023</v>
      </c>
      <c r="E884" s="2" t="s">
        <v>1022</v>
      </c>
      <c r="J884" s="10" t="s">
        <v>2688</v>
      </c>
      <c r="U884" s="10" t="str">
        <f t="shared" ca="1" si="30"/>
        <v/>
      </c>
      <c r="V884" s="10" t="str">
        <f t="shared" ca="1" si="31"/>
        <v/>
      </c>
      <c r="AC884" s="10" t="s">
        <v>2699</v>
      </c>
      <c r="AD884" s="10" t="s">
        <v>19</v>
      </c>
    </row>
    <row r="885" spans="1:31" hidden="1">
      <c r="A885" s="2" t="s">
        <v>1024</v>
      </c>
      <c r="B885" s="2"/>
      <c r="C885" s="2"/>
      <c r="D885" s="3" t="s">
        <v>1026</v>
      </c>
      <c r="E885" s="2" t="s">
        <v>1025</v>
      </c>
      <c r="F885" t="s">
        <v>15</v>
      </c>
      <c r="U885" s="10" t="str">
        <f t="shared" ca="1" si="30"/>
        <v/>
      </c>
      <c r="V885" s="10" t="str">
        <f t="shared" ca="1" si="31"/>
        <v/>
      </c>
    </row>
    <row r="886" spans="1:31" hidden="1">
      <c r="A886" s="2" t="s">
        <v>1027</v>
      </c>
      <c r="B886" s="2"/>
      <c r="C886" s="2"/>
      <c r="D886" s="3" t="s">
        <v>1029</v>
      </c>
      <c r="E886" s="2" t="s">
        <v>1028</v>
      </c>
      <c r="F886" t="s">
        <v>15</v>
      </c>
      <c r="J886" s="10" t="s">
        <v>2686</v>
      </c>
      <c r="T886" s="10" t="s">
        <v>2696</v>
      </c>
      <c r="U886" s="10" t="str">
        <f t="shared" ref="U886:U948" ca="1" si="32">IF(ISNUMBER(T886),VALUE(MID(_xlfn.FORMULATEXT(T886),SEARCH("-",_xlfn.FORMULATEXT(T886))+1,LEN(_xlfn.FORMULATEXT(T886))-SEARCH("-",_xlfn.FORMULATEXT(T886)))), "")</f>
        <v/>
      </c>
      <c r="V886" s="10" t="str">
        <f t="shared" ref="V886:V948" ca="1" si="33">IF(ISNUMBER(T886), VALUE(MID(_xlfn.FORMULATEXT(T886), 2, SEARCH("-", _xlfn.FORMULATEXT(T886)) - 2)), "")</f>
        <v/>
      </c>
      <c r="AC886" s="10" t="s">
        <v>2701</v>
      </c>
      <c r="AD886" s="10" t="s">
        <v>19</v>
      </c>
      <c r="AE886" s="10" t="s">
        <v>2654</v>
      </c>
    </row>
    <row r="887" spans="1:31">
      <c r="A887" s="2" t="s">
        <v>1027</v>
      </c>
      <c r="B887" s="2"/>
      <c r="C887" s="2"/>
      <c r="D887" s="13" t="s">
        <v>2386</v>
      </c>
      <c r="E887" t="s">
        <v>2387</v>
      </c>
      <c r="H887" t="s">
        <v>19</v>
      </c>
      <c r="I887" s="4"/>
      <c r="J887" s="10" t="s">
        <v>2688</v>
      </c>
      <c r="U887" s="10" t="str">
        <f t="shared" ca="1" si="32"/>
        <v/>
      </c>
      <c r="V887" s="10" t="str">
        <f t="shared" ca="1" si="33"/>
        <v/>
      </c>
    </row>
    <row r="888" spans="1:31" hidden="1">
      <c r="A888" s="2" t="s">
        <v>1030</v>
      </c>
      <c r="B888" s="2"/>
      <c r="C888" s="2"/>
      <c r="D888" s="2" t="s">
        <v>2388</v>
      </c>
      <c r="E888" s="2" t="s">
        <v>1031</v>
      </c>
      <c r="H888" t="s">
        <v>19</v>
      </c>
      <c r="J888" s="10" t="s">
        <v>2686</v>
      </c>
      <c r="T888" s="10" t="s">
        <v>2696</v>
      </c>
      <c r="U888" s="10" t="str">
        <f t="shared" ca="1" si="32"/>
        <v/>
      </c>
      <c r="V888" s="10" t="str">
        <f t="shared" ca="1" si="33"/>
        <v/>
      </c>
      <c r="AE888" s="10" t="s">
        <v>2645</v>
      </c>
    </row>
    <row r="889" spans="1:31" hidden="1">
      <c r="A889" s="2" t="s">
        <v>1030</v>
      </c>
      <c r="B889" s="2"/>
      <c r="C889" s="2"/>
      <c r="D889" s="13" t="s">
        <v>1023</v>
      </c>
      <c r="E889" s="2" t="s">
        <v>1032</v>
      </c>
      <c r="H889" t="s">
        <v>19</v>
      </c>
      <c r="J889" s="10" t="s">
        <v>2688</v>
      </c>
      <c r="U889" s="10" t="str">
        <f t="shared" ca="1" si="32"/>
        <v/>
      </c>
      <c r="V889" s="10" t="str">
        <f t="shared" ca="1" si="33"/>
        <v/>
      </c>
      <c r="AE889" s="10" t="s">
        <v>2645</v>
      </c>
    </row>
    <row r="890" spans="1:31" hidden="1">
      <c r="A890" s="2" t="s">
        <v>1033</v>
      </c>
      <c r="B890" s="2"/>
      <c r="C890" s="2"/>
      <c r="D890" s="13" t="s">
        <v>2389</v>
      </c>
      <c r="E890" s="2" t="s">
        <v>1034</v>
      </c>
      <c r="H890" t="s">
        <v>19</v>
      </c>
      <c r="J890" s="10" t="s">
        <v>2686</v>
      </c>
      <c r="T890" s="10" t="s">
        <v>2696</v>
      </c>
      <c r="U890" s="10" t="str">
        <f t="shared" ca="1" si="32"/>
        <v/>
      </c>
      <c r="V890" s="10" t="str">
        <f t="shared" ca="1" si="33"/>
        <v/>
      </c>
      <c r="AE890" s="10" t="s">
        <v>2645</v>
      </c>
    </row>
    <row r="891" spans="1:31" hidden="1">
      <c r="A891" s="2" t="s">
        <v>1035</v>
      </c>
      <c r="B891" s="2"/>
      <c r="C891" s="2"/>
      <c r="D891" s="2" t="s">
        <v>2390</v>
      </c>
      <c r="E891" s="2" t="s">
        <v>2391</v>
      </c>
      <c r="H891" t="s">
        <v>19</v>
      </c>
      <c r="J891" s="10" t="s">
        <v>2689</v>
      </c>
      <c r="T891" s="10">
        <f>0-5</f>
        <v>-5</v>
      </c>
      <c r="U891" s="10">
        <f t="shared" ca="1" si="32"/>
        <v>5</v>
      </c>
      <c r="V891" s="10">
        <f t="shared" ca="1" si="33"/>
        <v>0</v>
      </c>
      <c r="AE891" s="10" t="s">
        <v>2651</v>
      </c>
    </row>
    <row r="892" spans="1:31" hidden="1">
      <c r="A892" s="2" t="s">
        <v>1036</v>
      </c>
      <c r="B892" s="2"/>
      <c r="C892" s="2"/>
      <c r="D892" s="2" t="s">
        <v>1038</v>
      </c>
      <c r="E892" s="2" t="s">
        <v>1037</v>
      </c>
      <c r="J892" s="10" t="s">
        <v>2688</v>
      </c>
      <c r="U892" s="10" t="str">
        <f t="shared" ca="1" si="32"/>
        <v/>
      </c>
      <c r="V892" s="10" t="str">
        <f t="shared" ca="1" si="33"/>
        <v/>
      </c>
      <c r="AE892" s="10" t="s">
        <v>2651</v>
      </c>
    </row>
    <row r="893" spans="1:31" hidden="1">
      <c r="A893" s="2" t="s">
        <v>1039</v>
      </c>
      <c r="B893" s="2"/>
      <c r="C893" s="2"/>
      <c r="D893" s="2" t="s">
        <v>2392</v>
      </c>
      <c r="E893" s="2" t="s">
        <v>2393</v>
      </c>
      <c r="F893" t="s">
        <v>11</v>
      </c>
      <c r="U893" s="10" t="str">
        <f t="shared" ca="1" si="32"/>
        <v/>
      </c>
      <c r="V893" s="10" t="str">
        <f t="shared" ca="1" si="33"/>
        <v/>
      </c>
    </row>
    <row r="894" spans="1:31">
      <c r="A894" s="2" t="s">
        <v>1040</v>
      </c>
      <c r="B894" s="2"/>
      <c r="C894" s="2"/>
      <c r="D894" s="2" t="s">
        <v>2394</v>
      </c>
      <c r="E894" s="2" t="s">
        <v>2395</v>
      </c>
      <c r="F894" t="s">
        <v>11</v>
      </c>
      <c r="I894" s="4"/>
      <c r="U894" s="10" t="str">
        <f t="shared" ca="1" si="32"/>
        <v/>
      </c>
      <c r="V894" s="10" t="str">
        <f t="shared" ca="1" si="33"/>
        <v/>
      </c>
    </row>
    <row r="895" spans="1:31" hidden="1">
      <c r="A895" s="2" t="s">
        <v>1041</v>
      </c>
      <c r="B895" s="2"/>
      <c r="C895" s="2"/>
      <c r="D895" s="2" t="s">
        <v>2396</v>
      </c>
      <c r="E895" s="2" t="s">
        <v>2397</v>
      </c>
      <c r="J895" s="10" t="s">
        <v>2686</v>
      </c>
      <c r="T895" s="10" t="s">
        <v>2696</v>
      </c>
      <c r="U895" s="10" t="str">
        <f t="shared" ca="1" si="32"/>
        <v/>
      </c>
      <c r="V895" s="10" t="str">
        <f t="shared" ca="1" si="33"/>
        <v/>
      </c>
      <c r="AC895" s="10" t="s">
        <v>2697</v>
      </c>
      <c r="AD895" s="10" t="s">
        <v>19</v>
      </c>
      <c r="AE895" s="10" t="s">
        <v>2645</v>
      </c>
    </row>
    <row r="896" spans="1:31" hidden="1">
      <c r="A896" s="2" t="s">
        <v>1042</v>
      </c>
      <c r="B896" s="2"/>
      <c r="C896" s="2"/>
      <c r="D896" s="2" t="s">
        <v>2398</v>
      </c>
      <c r="E896" s="2" t="s">
        <v>2399</v>
      </c>
      <c r="H896" t="s">
        <v>19</v>
      </c>
      <c r="J896" s="10" t="s">
        <v>2688</v>
      </c>
      <c r="U896" s="10" t="str">
        <f t="shared" ca="1" si="32"/>
        <v/>
      </c>
      <c r="V896" s="10" t="str">
        <f t="shared" ca="1" si="33"/>
        <v/>
      </c>
      <c r="AB896" s="10" t="s">
        <v>2797</v>
      </c>
      <c r="AD896" s="10" t="s">
        <v>19</v>
      </c>
    </row>
    <row r="897" spans="1:31" hidden="1">
      <c r="A897" s="2" t="s">
        <v>1043</v>
      </c>
      <c r="B897" s="2"/>
      <c r="C897" s="2"/>
      <c r="D897" s="2" t="s">
        <v>2400</v>
      </c>
      <c r="E897" s="2" t="s">
        <v>2401</v>
      </c>
      <c r="J897" s="10" t="s">
        <v>2686</v>
      </c>
      <c r="T897" s="10" t="s">
        <v>2696</v>
      </c>
      <c r="U897" s="10" t="str">
        <f t="shared" ca="1" si="32"/>
        <v/>
      </c>
      <c r="V897" s="10" t="str">
        <f t="shared" ca="1" si="33"/>
        <v/>
      </c>
      <c r="AC897" s="10" t="s">
        <v>2801</v>
      </c>
      <c r="AD897" s="10" t="s">
        <v>19</v>
      </c>
      <c r="AE897" s="10" t="s">
        <v>2645</v>
      </c>
    </row>
    <row r="898" spans="1:31" hidden="1">
      <c r="A898" s="2" t="s">
        <v>1044</v>
      </c>
      <c r="B898" s="2"/>
      <c r="C898" s="2"/>
      <c r="D898" s="13" t="s">
        <v>2402</v>
      </c>
      <c r="E898" s="2" t="s">
        <v>1045</v>
      </c>
      <c r="H898" t="s">
        <v>19</v>
      </c>
      <c r="J898" s="10" t="s">
        <v>2686</v>
      </c>
      <c r="T898" s="10" t="s">
        <v>2696</v>
      </c>
      <c r="U898" s="10" t="str">
        <f t="shared" ca="1" si="32"/>
        <v/>
      </c>
      <c r="V898" s="10" t="str">
        <f t="shared" ca="1" si="33"/>
        <v/>
      </c>
      <c r="AE898" s="10" t="s">
        <v>2645</v>
      </c>
    </row>
    <row r="899" spans="1:31">
      <c r="A899" s="2" t="s">
        <v>1044</v>
      </c>
      <c r="B899" s="2"/>
      <c r="C899" s="2"/>
      <c r="D899" t="s">
        <v>2403</v>
      </c>
      <c r="E899" t="s">
        <v>2403</v>
      </c>
      <c r="F899" t="s">
        <v>35</v>
      </c>
      <c r="I899" t="s">
        <v>2404</v>
      </c>
      <c r="U899" s="10" t="str">
        <f t="shared" ca="1" si="32"/>
        <v/>
      </c>
      <c r="V899" s="10" t="str">
        <f t="shared" ca="1" si="33"/>
        <v/>
      </c>
    </row>
    <row r="900" spans="1:31" ht="43.5">
      <c r="A900" s="2" t="s">
        <v>1046</v>
      </c>
      <c r="B900" s="2"/>
      <c r="C900" s="2"/>
      <c r="D900" s="2" t="s">
        <v>2406</v>
      </c>
      <c r="E900" s="2" t="s">
        <v>2405</v>
      </c>
      <c r="H900" t="s">
        <v>19</v>
      </c>
      <c r="I900" t="s">
        <v>2768</v>
      </c>
      <c r="J900" s="10" t="s">
        <v>25</v>
      </c>
      <c r="L900" s="10">
        <v>3</v>
      </c>
      <c r="M900" s="10">
        <v>13</v>
      </c>
      <c r="O900" s="10" t="s">
        <v>2641</v>
      </c>
      <c r="P900" s="10" t="s">
        <v>2712</v>
      </c>
      <c r="Q900" s="11" t="s">
        <v>2713</v>
      </c>
      <c r="S900" s="10">
        <v>1</v>
      </c>
      <c r="U900" s="10" t="str">
        <f t="shared" ca="1" si="32"/>
        <v/>
      </c>
      <c r="V900" s="10" t="str">
        <f t="shared" ca="1" si="33"/>
        <v/>
      </c>
    </row>
    <row r="901" spans="1:31" ht="43.5" hidden="1">
      <c r="A901" s="2" t="s">
        <v>1046</v>
      </c>
      <c r="B901" s="2"/>
      <c r="C901" s="2"/>
      <c r="D901" s="2" t="s">
        <v>2407</v>
      </c>
      <c r="E901" s="2" t="s">
        <v>2408</v>
      </c>
      <c r="H901" t="s">
        <v>19</v>
      </c>
      <c r="J901" s="10" t="s">
        <v>2686</v>
      </c>
      <c r="T901" s="10" t="s">
        <v>2696</v>
      </c>
      <c r="U901" s="10" t="str">
        <f t="shared" ca="1" si="32"/>
        <v/>
      </c>
      <c r="V901" s="10" t="str">
        <f t="shared" ca="1" si="33"/>
        <v/>
      </c>
      <c r="AC901" s="10" t="s">
        <v>2697</v>
      </c>
      <c r="AD901" s="10" t="s">
        <v>19</v>
      </c>
      <c r="AE901" s="10" t="s">
        <v>2645</v>
      </c>
    </row>
    <row r="902" spans="1:31" hidden="1">
      <c r="A902" s="2" t="s">
        <v>1047</v>
      </c>
      <c r="B902" s="2"/>
      <c r="C902" s="2"/>
      <c r="D902" s="2" t="s">
        <v>2410</v>
      </c>
      <c r="E902" s="2" t="s">
        <v>2409</v>
      </c>
      <c r="J902" s="10" t="s">
        <v>2688</v>
      </c>
      <c r="U902" s="10" t="str">
        <f t="shared" ca="1" si="32"/>
        <v/>
      </c>
      <c r="V902" s="10" t="str">
        <f t="shared" ca="1" si="33"/>
        <v/>
      </c>
      <c r="AC902" s="10" t="s">
        <v>2698</v>
      </c>
      <c r="AD902" s="10" t="s">
        <v>19</v>
      </c>
    </row>
    <row r="903" spans="1:31" hidden="1">
      <c r="A903" s="2" t="s">
        <v>1048</v>
      </c>
      <c r="B903" s="2"/>
      <c r="C903" s="2"/>
      <c r="D903" s="13" t="s">
        <v>2411</v>
      </c>
      <c r="E903" t="s">
        <v>2412</v>
      </c>
      <c r="J903" s="10" t="s">
        <v>2686</v>
      </c>
      <c r="T903" s="10">
        <f>280-31</f>
        <v>249</v>
      </c>
      <c r="U903" s="10">
        <f t="shared" ca="1" si="32"/>
        <v>31</v>
      </c>
      <c r="V903" s="10">
        <f t="shared" ca="1" si="33"/>
        <v>280</v>
      </c>
    </row>
    <row r="904" spans="1:31" hidden="1">
      <c r="A904" s="2" t="s">
        <v>1048</v>
      </c>
      <c r="B904" s="2"/>
      <c r="C904" s="2"/>
      <c r="D904" s="3" t="s">
        <v>2413</v>
      </c>
      <c r="E904" s="2" t="s">
        <v>2414</v>
      </c>
      <c r="F904" t="s">
        <v>15</v>
      </c>
      <c r="U904" s="10" t="str">
        <f t="shared" ca="1" si="32"/>
        <v/>
      </c>
      <c r="V904" s="10" t="str">
        <f t="shared" ca="1" si="33"/>
        <v/>
      </c>
    </row>
    <row r="905" spans="1:31" hidden="1">
      <c r="A905" s="2" t="s">
        <v>1049</v>
      </c>
      <c r="B905" s="2"/>
      <c r="C905" s="2"/>
      <c r="D905" s="2" t="s">
        <v>2415</v>
      </c>
      <c r="E905" s="2" t="s">
        <v>1050</v>
      </c>
      <c r="H905" t="s">
        <v>19</v>
      </c>
      <c r="J905" s="10" t="s">
        <v>2686</v>
      </c>
      <c r="T905" s="10" t="s">
        <v>2696</v>
      </c>
      <c r="U905" s="10" t="str">
        <f t="shared" ca="1" si="32"/>
        <v/>
      </c>
      <c r="V905" s="10" t="str">
        <f t="shared" ca="1" si="33"/>
        <v/>
      </c>
      <c r="AE905" s="10" t="s">
        <v>2645</v>
      </c>
    </row>
    <row r="906" spans="1:31" ht="29" hidden="1">
      <c r="A906" s="2" t="s">
        <v>1051</v>
      </c>
      <c r="B906" s="2"/>
      <c r="C906" s="2"/>
      <c r="D906" s="2" t="s">
        <v>2418</v>
      </c>
      <c r="E906" s="2" t="s">
        <v>2416</v>
      </c>
      <c r="F906" t="s">
        <v>12</v>
      </c>
      <c r="J906" s="10" t="s">
        <v>25</v>
      </c>
      <c r="L906" s="10">
        <v>2</v>
      </c>
      <c r="M906" s="10">
        <v>12</v>
      </c>
      <c r="O906" s="10" t="s">
        <v>2647</v>
      </c>
      <c r="S906" s="10">
        <v>3</v>
      </c>
      <c r="U906" s="10" t="str">
        <f t="shared" ca="1" si="32"/>
        <v/>
      </c>
      <c r="V906" s="10" t="str">
        <f t="shared" ca="1" si="33"/>
        <v/>
      </c>
    </row>
    <row r="907" spans="1:31" ht="29" hidden="1">
      <c r="A907" s="2" t="s">
        <v>1052</v>
      </c>
      <c r="B907" s="2"/>
      <c r="C907" s="2"/>
      <c r="D907" s="2" t="s">
        <v>2417</v>
      </c>
      <c r="E907" s="2" t="s">
        <v>2419</v>
      </c>
      <c r="J907" s="10" t="s">
        <v>24</v>
      </c>
      <c r="L907" s="10">
        <v>1</v>
      </c>
      <c r="M907" s="10">
        <v>3</v>
      </c>
      <c r="N907" s="10" t="s">
        <v>2655</v>
      </c>
      <c r="O907" s="10" t="s">
        <v>2641</v>
      </c>
      <c r="P907" s="10" t="s">
        <v>2761</v>
      </c>
      <c r="Q907" s="11" t="s">
        <v>2705</v>
      </c>
      <c r="S907" s="10">
        <v>1701</v>
      </c>
      <c r="U907" s="10" t="str">
        <f t="shared" ca="1" si="32"/>
        <v/>
      </c>
      <c r="V907" s="10" t="str">
        <f t="shared" ca="1" si="33"/>
        <v/>
      </c>
      <c r="AE907" s="10" t="s">
        <v>2651</v>
      </c>
    </row>
    <row r="908" spans="1:31" hidden="1">
      <c r="A908" s="2" t="s">
        <v>1052</v>
      </c>
      <c r="B908" s="2"/>
      <c r="C908" s="2"/>
      <c r="D908" s="3" t="s">
        <v>2421</v>
      </c>
      <c r="E908" s="2" t="s">
        <v>2420</v>
      </c>
      <c r="F908" t="s">
        <v>15</v>
      </c>
      <c r="U908" s="10" t="str">
        <f t="shared" ca="1" si="32"/>
        <v/>
      </c>
      <c r="V908" s="10" t="str">
        <f t="shared" ca="1" si="33"/>
        <v/>
      </c>
    </row>
    <row r="909" spans="1:31" hidden="1">
      <c r="A909" s="2" t="s">
        <v>1053</v>
      </c>
      <c r="B909" s="2"/>
      <c r="C909" s="2"/>
      <c r="D909" s="2" t="s">
        <v>2423</v>
      </c>
      <c r="E909" s="2" t="s">
        <v>2422</v>
      </c>
      <c r="F909" t="s">
        <v>11</v>
      </c>
      <c r="U909" s="10" t="str">
        <f t="shared" ca="1" si="32"/>
        <v/>
      </c>
      <c r="V909" s="10" t="str">
        <f t="shared" ca="1" si="33"/>
        <v/>
      </c>
    </row>
    <row r="910" spans="1:31" ht="29" hidden="1">
      <c r="A910" s="2" t="s">
        <v>1054</v>
      </c>
      <c r="B910" s="2"/>
      <c r="C910" s="2"/>
      <c r="D910" s="3" t="s">
        <v>2424</v>
      </c>
      <c r="E910" s="2" t="s">
        <v>2425</v>
      </c>
      <c r="F910" t="s">
        <v>15</v>
      </c>
      <c r="U910" s="10" t="str">
        <f t="shared" ca="1" si="32"/>
        <v/>
      </c>
      <c r="V910" s="10" t="str">
        <f t="shared" ca="1" si="33"/>
        <v/>
      </c>
    </row>
    <row r="911" spans="1:31" hidden="1">
      <c r="A911" s="2" t="s">
        <v>1055</v>
      </c>
      <c r="B911" s="2"/>
      <c r="C911" s="2"/>
      <c r="D911" s="2" t="s">
        <v>1056</v>
      </c>
      <c r="E911" s="2" t="s">
        <v>2426</v>
      </c>
      <c r="F911" t="s">
        <v>11</v>
      </c>
      <c r="U911" s="10" t="str">
        <f t="shared" ca="1" si="32"/>
        <v/>
      </c>
      <c r="V911" s="10" t="str">
        <f t="shared" ca="1" si="33"/>
        <v/>
      </c>
    </row>
    <row r="912" spans="1:31" hidden="1">
      <c r="A912" s="2" t="s">
        <v>1057</v>
      </c>
      <c r="B912" s="2"/>
      <c r="C912" s="2"/>
      <c r="D912" s="13" t="s">
        <v>2427</v>
      </c>
      <c r="E912" s="2" t="s">
        <v>1058</v>
      </c>
      <c r="J912" s="10" t="s">
        <v>2686</v>
      </c>
      <c r="T912" s="10" t="s">
        <v>2687</v>
      </c>
      <c r="U912" s="10" t="str">
        <f t="shared" ca="1" si="32"/>
        <v/>
      </c>
      <c r="V912" s="10" t="str">
        <f t="shared" ca="1" si="33"/>
        <v/>
      </c>
      <c r="AE912" s="10" t="s">
        <v>2645</v>
      </c>
    </row>
    <row r="913" spans="1:31" hidden="1">
      <c r="A913" s="2" t="s">
        <v>1059</v>
      </c>
      <c r="B913" s="2"/>
      <c r="C913" s="2"/>
      <c r="D913" s="3" t="s">
        <v>1061</v>
      </c>
      <c r="E913" s="2" t="s">
        <v>1060</v>
      </c>
      <c r="F913" t="s">
        <v>15</v>
      </c>
      <c r="U913" s="10" t="str">
        <f t="shared" ca="1" si="32"/>
        <v/>
      </c>
      <c r="V913" s="10" t="str">
        <f t="shared" ca="1" si="33"/>
        <v/>
      </c>
    </row>
    <row r="914" spans="1:31" hidden="1">
      <c r="A914" s="2" t="s">
        <v>1059</v>
      </c>
      <c r="B914" s="2"/>
      <c r="C914" s="2"/>
      <c r="D914" s="13" t="s">
        <v>2428</v>
      </c>
      <c r="E914" t="s">
        <v>2429</v>
      </c>
      <c r="H914" t="s">
        <v>19</v>
      </c>
      <c r="J914" s="10" t="s">
        <v>2688</v>
      </c>
      <c r="U914" s="10" t="str">
        <f t="shared" ca="1" si="32"/>
        <v/>
      </c>
      <c r="V914" s="10" t="str">
        <f t="shared" ca="1" si="33"/>
        <v/>
      </c>
      <c r="AE914" s="10" t="s">
        <v>2651</v>
      </c>
    </row>
    <row r="915" spans="1:31" hidden="1">
      <c r="A915" s="2" t="s">
        <v>1062</v>
      </c>
      <c r="B915" s="2"/>
      <c r="C915" s="2"/>
      <c r="D915" s="2" t="s">
        <v>2430</v>
      </c>
      <c r="E915" s="2" t="s">
        <v>1063</v>
      </c>
      <c r="H915" t="s">
        <v>19</v>
      </c>
      <c r="J915" s="10" t="s">
        <v>2686</v>
      </c>
      <c r="T915" s="10" t="s">
        <v>2687</v>
      </c>
      <c r="U915" s="10" t="str">
        <f t="shared" ca="1" si="32"/>
        <v/>
      </c>
      <c r="V915" s="10" t="str">
        <f t="shared" ca="1" si="33"/>
        <v/>
      </c>
      <c r="AE915" s="10" t="s">
        <v>2645</v>
      </c>
    </row>
    <row r="916" spans="1:31" hidden="1">
      <c r="A916" s="2" t="s">
        <v>1064</v>
      </c>
      <c r="B916" s="2"/>
      <c r="C916" s="2"/>
      <c r="D916" s="13" t="s">
        <v>2431</v>
      </c>
      <c r="E916" t="s">
        <v>2432</v>
      </c>
      <c r="J916" s="10" t="s">
        <v>2686</v>
      </c>
      <c r="T916" s="10" t="s">
        <v>2696</v>
      </c>
      <c r="U916" s="10" t="str">
        <f t="shared" ca="1" si="32"/>
        <v/>
      </c>
      <c r="V916" s="10" t="str">
        <f t="shared" ca="1" si="33"/>
        <v/>
      </c>
      <c r="AE916" s="10" t="s">
        <v>2645</v>
      </c>
    </row>
    <row r="917" spans="1:31" hidden="1">
      <c r="A917" s="2" t="s">
        <v>1064</v>
      </c>
      <c r="B917" s="2"/>
      <c r="C917" s="2"/>
      <c r="D917" s="2" t="s">
        <v>2434</v>
      </c>
      <c r="E917" s="2" t="s">
        <v>2433</v>
      </c>
      <c r="J917" s="10" t="s">
        <v>2686</v>
      </c>
      <c r="T917" s="10">
        <f>4-35</f>
        <v>-31</v>
      </c>
      <c r="U917" s="10">
        <f t="shared" ca="1" si="32"/>
        <v>35</v>
      </c>
      <c r="V917" s="10">
        <f t="shared" ca="1" si="33"/>
        <v>4</v>
      </c>
    </row>
    <row r="918" spans="1:31" hidden="1">
      <c r="A918" s="2" t="s">
        <v>1064</v>
      </c>
      <c r="B918" s="2"/>
      <c r="C918" s="2"/>
      <c r="D918" s="2" t="s">
        <v>1066</v>
      </c>
      <c r="E918" s="2" t="s">
        <v>1065</v>
      </c>
      <c r="J918" s="10" t="s">
        <v>2688</v>
      </c>
      <c r="U918" s="10" t="str">
        <f t="shared" ca="1" si="32"/>
        <v/>
      </c>
      <c r="V918" s="10" t="str">
        <f t="shared" ca="1" si="33"/>
        <v/>
      </c>
      <c r="AC918" s="10" t="s">
        <v>2697</v>
      </c>
      <c r="AD918" s="10" t="s">
        <v>19</v>
      </c>
      <c r="AE918" s="10" t="s">
        <v>2645</v>
      </c>
    </row>
    <row r="919" spans="1:31" hidden="1">
      <c r="A919" s="2" t="s">
        <v>1064</v>
      </c>
      <c r="B919" s="2"/>
      <c r="C919" s="2"/>
      <c r="D919" s="2" t="s">
        <v>2435</v>
      </c>
      <c r="E919" s="2" t="s">
        <v>2436</v>
      </c>
      <c r="H919" t="s">
        <v>19</v>
      </c>
      <c r="J919" s="10" t="s">
        <v>2686</v>
      </c>
      <c r="T919" s="10">
        <f>830-41</f>
        <v>789</v>
      </c>
      <c r="U919" s="10">
        <f t="shared" ca="1" si="32"/>
        <v>41</v>
      </c>
      <c r="V919" s="10">
        <f t="shared" ca="1" si="33"/>
        <v>830</v>
      </c>
    </row>
    <row r="920" spans="1:31" hidden="1">
      <c r="A920" s="2" t="s">
        <v>1067</v>
      </c>
      <c r="B920" s="2"/>
      <c r="C920" s="2"/>
      <c r="D920" s="2" t="s">
        <v>2437</v>
      </c>
      <c r="E920" s="2" t="s">
        <v>1068</v>
      </c>
      <c r="F920" t="s">
        <v>17</v>
      </c>
      <c r="U920" s="10" t="str">
        <f t="shared" ca="1" si="32"/>
        <v/>
      </c>
      <c r="V920" s="10" t="str">
        <f t="shared" ca="1" si="33"/>
        <v/>
      </c>
    </row>
    <row r="921" spans="1:31" hidden="1">
      <c r="A921" s="2" t="s">
        <v>1069</v>
      </c>
      <c r="B921" s="2"/>
      <c r="C921" s="2"/>
      <c r="D921" s="2" t="s">
        <v>2439</v>
      </c>
      <c r="E921" s="2" t="s">
        <v>2438</v>
      </c>
      <c r="G921" t="s">
        <v>19</v>
      </c>
      <c r="J921" s="10" t="s">
        <v>2686</v>
      </c>
      <c r="T921" s="10" t="s">
        <v>2696</v>
      </c>
      <c r="U921" s="10" t="str">
        <f t="shared" ca="1" si="32"/>
        <v/>
      </c>
      <c r="V921" s="10" t="str">
        <f t="shared" ca="1" si="33"/>
        <v/>
      </c>
      <c r="AE921" s="10" t="s">
        <v>2645</v>
      </c>
    </row>
    <row r="922" spans="1:31" hidden="1">
      <c r="A922" s="2" t="s">
        <v>1069</v>
      </c>
      <c r="B922" s="2"/>
      <c r="C922" s="2"/>
      <c r="D922" s="2" t="s">
        <v>2440</v>
      </c>
      <c r="E922" s="2" t="s">
        <v>1070</v>
      </c>
      <c r="H922" t="s">
        <v>19</v>
      </c>
      <c r="J922" s="10" t="s">
        <v>2686</v>
      </c>
      <c r="T922" s="10" t="s">
        <v>2696</v>
      </c>
      <c r="U922" s="10" t="str">
        <f t="shared" ca="1" si="32"/>
        <v/>
      </c>
      <c r="V922" s="10" t="str">
        <f t="shared" ca="1" si="33"/>
        <v/>
      </c>
      <c r="AE922" s="10" t="s">
        <v>2645</v>
      </c>
    </row>
    <row r="923" spans="1:31" hidden="1">
      <c r="A923" s="2" t="s">
        <v>1071</v>
      </c>
      <c r="B923" s="2"/>
      <c r="C923" s="2"/>
      <c r="D923" s="2" t="s">
        <v>1073</v>
      </c>
      <c r="E923" s="2" t="s">
        <v>1072</v>
      </c>
      <c r="J923" s="10" t="s">
        <v>2688</v>
      </c>
      <c r="U923" s="10" t="str">
        <f t="shared" ca="1" si="32"/>
        <v/>
      </c>
      <c r="V923" s="10" t="str">
        <f t="shared" ca="1" si="33"/>
        <v/>
      </c>
      <c r="AC923" s="10" t="s">
        <v>2701</v>
      </c>
      <c r="AD923" s="10" t="s">
        <v>19</v>
      </c>
      <c r="AE923" s="10" t="s">
        <v>2645</v>
      </c>
    </row>
    <row r="924" spans="1:31">
      <c r="A924" s="2" t="s">
        <v>1071</v>
      </c>
      <c r="B924" s="2"/>
      <c r="C924" s="2"/>
      <c r="D924" s="5" t="s">
        <v>2441</v>
      </c>
      <c r="E924" s="2" t="s">
        <v>2442</v>
      </c>
      <c r="F924" t="s">
        <v>13</v>
      </c>
      <c r="U924" s="10" t="str">
        <f t="shared" ca="1" si="32"/>
        <v/>
      </c>
      <c r="V924" s="10" t="str">
        <f t="shared" ca="1" si="33"/>
        <v/>
      </c>
    </row>
    <row r="925" spans="1:31" hidden="1">
      <c r="A925" s="2" t="s">
        <v>1074</v>
      </c>
      <c r="B925" s="2"/>
      <c r="C925" s="2"/>
      <c r="D925" s="2" t="s">
        <v>2444</v>
      </c>
      <c r="E925" s="2" t="s">
        <v>2443</v>
      </c>
      <c r="J925" s="10" t="s">
        <v>2688</v>
      </c>
      <c r="U925" s="10" t="str">
        <f t="shared" ca="1" si="32"/>
        <v/>
      </c>
      <c r="V925" s="10" t="str">
        <f t="shared" ca="1" si="33"/>
        <v/>
      </c>
    </row>
    <row r="926" spans="1:31" hidden="1">
      <c r="A926" s="2" t="s">
        <v>1075</v>
      </c>
      <c r="B926" s="2"/>
      <c r="C926" s="2"/>
      <c r="D926" s="2" t="s">
        <v>1077</v>
      </c>
      <c r="E926" s="2" t="s">
        <v>1076</v>
      </c>
      <c r="F926" t="s">
        <v>11</v>
      </c>
      <c r="G926" t="s">
        <v>19</v>
      </c>
      <c r="J926" s="10" t="s">
        <v>2688</v>
      </c>
      <c r="U926" s="10" t="str">
        <f t="shared" ca="1" si="32"/>
        <v/>
      </c>
      <c r="V926" s="10" t="str">
        <f t="shared" ca="1" si="33"/>
        <v/>
      </c>
      <c r="AC926" s="10" t="s">
        <v>2701</v>
      </c>
      <c r="AD926" s="10" t="s">
        <v>19</v>
      </c>
      <c r="AE926" s="10" t="s">
        <v>2654</v>
      </c>
    </row>
    <row r="927" spans="1:31" ht="29" hidden="1">
      <c r="A927" s="2" t="s">
        <v>1075</v>
      </c>
      <c r="B927" s="2"/>
      <c r="C927" s="2"/>
      <c r="D927" s="2" t="s">
        <v>2446</v>
      </c>
      <c r="E927" s="2" t="s">
        <v>2445</v>
      </c>
      <c r="H927" t="s">
        <v>19</v>
      </c>
      <c r="J927" s="10" t="s">
        <v>2688</v>
      </c>
      <c r="U927" s="10" t="str">
        <f t="shared" ca="1" si="32"/>
        <v/>
      </c>
      <c r="V927" s="10" t="str">
        <f t="shared" ca="1" si="33"/>
        <v/>
      </c>
      <c r="AE927" s="10" t="s">
        <v>2645</v>
      </c>
    </row>
    <row r="928" spans="1:31" hidden="1">
      <c r="A928" s="2" t="s">
        <v>1078</v>
      </c>
      <c r="B928" s="2"/>
      <c r="C928" s="2"/>
      <c r="D928" s="2" t="s">
        <v>2447</v>
      </c>
      <c r="E928" s="2" t="s">
        <v>2448</v>
      </c>
      <c r="J928" s="10" t="s">
        <v>2686</v>
      </c>
      <c r="R928" s="10" t="s">
        <v>2642</v>
      </c>
      <c r="T928" s="10" t="s">
        <v>2696</v>
      </c>
      <c r="U928" s="10" t="str">
        <f t="shared" ca="1" si="32"/>
        <v/>
      </c>
      <c r="V928" s="10" t="str">
        <f t="shared" ca="1" si="33"/>
        <v/>
      </c>
      <c r="AE928" s="10" t="s">
        <v>2645</v>
      </c>
    </row>
    <row r="929" spans="1:31" hidden="1">
      <c r="A929" s="2" t="s">
        <v>1079</v>
      </c>
      <c r="B929" s="2"/>
      <c r="C929" s="2"/>
      <c r="D929" s="2" t="s">
        <v>1710</v>
      </c>
      <c r="E929" s="2" t="s">
        <v>1711</v>
      </c>
      <c r="J929" s="10" t="s">
        <v>2688</v>
      </c>
      <c r="U929" s="10" t="str">
        <f t="shared" ca="1" si="32"/>
        <v/>
      </c>
      <c r="V929" s="10" t="str">
        <f t="shared" ca="1" si="33"/>
        <v/>
      </c>
      <c r="AB929" s="10" t="s">
        <v>2798</v>
      </c>
      <c r="AD929" s="10" t="s">
        <v>19</v>
      </c>
    </row>
    <row r="930" spans="1:31">
      <c r="A930" s="2" t="s">
        <v>1080</v>
      </c>
      <c r="B930" s="2"/>
      <c r="C930" s="2"/>
      <c r="D930" s="2" t="s">
        <v>2449</v>
      </c>
      <c r="E930" s="2" t="s">
        <v>2450</v>
      </c>
      <c r="F930" t="s">
        <v>12</v>
      </c>
      <c r="J930" s="10" t="s">
        <v>2686</v>
      </c>
      <c r="T930" s="10" t="s">
        <v>2696</v>
      </c>
      <c r="U930" s="10" t="str">
        <f t="shared" ca="1" si="32"/>
        <v/>
      </c>
      <c r="V930" s="10" t="str">
        <f t="shared" ca="1" si="33"/>
        <v/>
      </c>
      <c r="AE930" s="10" t="s">
        <v>2645</v>
      </c>
    </row>
    <row r="931" spans="1:31" ht="29" hidden="1">
      <c r="A931" s="2" t="s">
        <v>1080</v>
      </c>
      <c r="B931" s="2"/>
      <c r="C931" s="2"/>
      <c r="D931" s="2" t="s">
        <v>2451</v>
      </c>
      <c r="E931" s="2" t="s">
        <v>2452</v>
      </c>
      <c r="H931" t="s">
        <v>19</v>
      </c>
      <c r="J931" s="10" t="s">
        <v>25</v>
      </c>
      <c r="L931" s="10">
        <v>1</v>
      </c>
      <c r="M931" s="10">
        <v>8</v>
      </c>
      <c r="N931" s="10" t="s">
        <v>2660</v>
      </c>
      <c r="O931" s="10" t="s">
        <v>2647</v>
      </c>
      <c r="S931" s="10">
        <v>4</v>
      </c>
      <c r="U931" s="10" t="str">
        <f t="shared" ca="1" si="32"/>
        <v/>
      </c>
      <c r="V931" s="10" t="str">
        <f t="shared" ca="1" si="33"/>
        <v/>
      </c>
      <c r="AE931" s="10" t="s">
        <v>2651</v>
      </c>
    </row>
    <row r="932" spans="1:31">
      <c r="A932" s="2" t="s">
        <v>1081</v>
      </c>
      <c r="B932" s="2"/>
      <c r="C932" s="2"/>
      <c r="D932" s="2" t="s">
        <v>1776</v>
      </c>
      <c r="E932" s="2" t="s">
        <v>1776</v>
      </c>
      <c r="F932" t="s">
        <v>35</v>
      </c>
      <c r="I932" t="s">
        <v>2453</v>
      </c>
      <c r="U932" s="10" t="str">
        <f t="shared" ca="1" si="32"/>
        <v/>
      </c>
      <c r="V932" s="10" t="str">
        <f t="shared" ca="1" si="33"/>
        <v/>
      </c>
    </row>
    <row r="933" spans="1:31" hidden="1">
      <c r="A933" s="2" t="s">
        <v>1082</v>
      </c>
      <c r="B933" s="2"/>
      <c r="C933" s="2"/>
      <c r="D933" s="2" t="s">
        <v>1747</v>
      </c>
      <c r="E933" s="2" t="s">
        <v>1748</v>
      </c>
      <c r="J933" s="10" t="s">
        <v>2688</v>
      </c>
      <c r="U933" s="10" t="str">
        <f t="shared" ca="1" si="32"/>
        <v/>
      </c>
      <c r="V933" s="10" t="str">
        <f t="shared" ca="1" si="33"/>
        <v/>
      </c>
      <c r="AB933" s="10" t="s">
        <v>2798</v>
      </c>
      <c r="AD933" s="10" t="s">
        <v>19</v>
      </c>
    </row>
    <row r="934" spans="1:31" hidden="1">
      <c r="A934" s="2" t="s">
        <v>1083</v>
      </c>
      <c r="B934" s="2"/>
      <c r="C934" s="2"/>
      <c r="D934" s="3" t="s">
        <v>2454</v>
      </c>
      <c r="E934" s="2" t="s">
        <v>1084</v>
      </c>
      <c r="F934" t="s">
        <v>15</v>
      </c>
      <c r="J934" s="10" t="s">
        <v>2686</v>
      </c>
      <c r="T934" s="10">
        <f>0-6</f>
        <v>-6</v>
      </c>
      <c r="U934" s="10">
        <f t="shared" ca="1" si="32"/>
        <v>6</v>
      </c>
      <c r="V934" s="10">
        <f t="shared" ca="1" si="33"/>
        <v>0</v>
      </c>
    </row>
    <row r="935" spans="1:31" hidden="1">
      <c r="A935" s="2" t="s">
        <v>1083</v>
      </c>
      <c r="B935" s="2"/>
      <c r="C935" s="2"/>
      <c r="D935" s="2" t="s">
        <v>2455</v>
      </c>
      <c r="E935" s="2" t="s">
        <v>2456</v>
      </c>
      <c r="H935" t="s">
        <v>19</v>
      </c>
      <c r="J935" s="10" t="s">
        <v>2686</v>
      </c>
      <c r="T935" s="10">
        <f>7-1</f>
        <v>6</v>
      </c>
      <c r="U935" s="10">
        <f t="shared" ca="1" si="32"/>
        <v>1</v>
      </c>
      <c r="V935" s="10">
        <f t="shared" ca="1" si="33"/>
        <v>7</v>
      </c>
    </row>
    <row r="936" spans="1:31" hidden="1">
      <c r="A936" s="2" t="s">
        <v>1085</v>
      </c>
      <c r="B936" s="2"/>
      <c r="C936" s="2"/>
      <c r="D936" s="2" t="s">
        <v>2457</v>
      </c>
      <c r="E936" s="2" t="s">
        <v>2458</v>
      </c>
      <c r="H936" t="s">
        <v>19</v>
      </c>
      <c r="J936" s="10" t="s">
        <v>2688</v>
      </c>
      <c r="U936" s="10" t="str">
        <f t="shared" ca="1" si="32"/>
        <v/>
      </c>
      <c r="V936" s="10" t="str">
        <f t="shared" ca="1" si="33"/>
        <v/>
      </c>
      <c r="AE936" s="10" t="s">
        <v>2651</v>
      </c>
    </row>
    <row r="937" spans="1:31" hidden="1">
      <c r="A937" s="2" t="s">
        <v>1086</v>
      </c>
      <c r="B937" s="2"/>
      <c r="C937" s="2"/>
      <c r="D937" s="2" t="s">
        <v>2459</v>
      </c>
      <c r="E937" s="2" t="s">
        <v>2460</v>
      </c>
      <c r="F937" t="s">
        <v>11</v>
      </c>
      <c r="H937" t="s">
        <v>19</v>
      </c>
      <c r="J937" s="10" t="s">
        <v>2686</v>
      </c>
      <c r="T937" s="10" t="s">
        <v>2696</v>
      </c>
      <c r="U937" s="10" t="str">
        <f t="shared" ca="1" si="32"/>
        <v/>
      </c>
      <c r="V937" s="10" t="str">
        <f t="shared" ca="1" si="33"/>
        <v/>
      </c>
      <c r="AE937" s="10" t="s">
        <v>2645</v>
      </c>
    </row>
    <row r="938" spans="1:31" hidden="1">
      <c r="A938" s="2" t="s">
        <v>1086</v>
      </c>
      <c r="B938" s="2"/>
      <c r="C938" s="2"/>
      <c r="D938" s="2" t="s">
        <v>2462</v>
      </c>
      <c r="E938" s="2" t="s">
        <v>2461</v>
      </c>
      <c r="J938" s="10" t="s">
        <v>2688</v>
      </c>
      <c r="U938" s="10" t="str">
        <f t="shared" ca="1" si="32"/>
        <v/>
      </c>
      <c r="V938" s="10" t="str">
        <f t="shared" ca="1" si="33"/>
        <v/>
      </c>
      <c r="AE938" s="10" t="s">
        <v>2651</v>
      </c>
    </row>
    <row r="939" spans="1:31" hidden="1">
      <c r="A939" s="2" t="s">
        <v>1087</v>
      </c>
      <c r="B939" s="2"/>
      <c r="C939" s="2"/>
      <c r="D939" s="3" t="s">
        <v>1777</v>
      </c>
      <c r="E939" s="2" t="s">
        <v>1776</v>
      </c>
      <c r="F939" t="s">
        <v>15</v>
      </c>
      <c r="U939" s="10" t="str">
        <f t="shared" ca="1" si="32"/>
        <v/>
      </c>
      <c r="V939" s="10" t="str">
        <f t="shared" ca="1" si="33"/>
        <v/>
      </c>
    </row>
    <row r="940" spans="1:31">
      <c r="A940" s="2" t="s">
        <v>1088</v>
      </c>
      <c r="B940" s="2"/>
      <c r="C940" s="2"/>
      <c r="D940" s="2" t="s">
        <v>2463</v>
      </c>
      <c r="E940" s="2" t="s">
        <v>2463</v>
      </c>
      <c r="F940" t="s">
        <v>35</v>
      </c>
      <c r="I940" t="s">
        <v>2464</v>
      </c>
      <c r="U940" s="10" t="str">
        <f t="shared" ca="1" si="32"/>
        <v/>
      </c>
      <c r="V940" s="10" t="str">
        <f t="shared" ca="1" si="33"/>
        <v/>
      </c>
    </row>
    <row r="941" spans="1:31" ht="29" hidden="1">
      <c r="A941" s="2" t="s">
        <v>1089</v>
      </c>
      <c r="B941" s="2"/>
      <c r="C941" s="2"/>
      <c r="D941" s="2" t="s">
        <v>2465</v>
      </c>
      <c r="E941" s="2" t="s">
        <v>2466</v>
      </c>
      <c r="H941" t="s">
        <v>19</v>
      </c>
      <c r="J941" s="10" t="s">
        <v>2688</v>
      </c>
      <c r="U941" s="10" t="str">
        <f t="shared" ca="1" si="32"/>
        <v/>
      </c>
      <c r="V941" s="10" t="str">
        <f t="shared" ca="1" si="33"/>
        <v/>
      </c>
    </row>
    <row r="942" spans="1:31" ht="29" hidden="1">
      <c r="A942" s="2" t="s">
        <v>1089</v>
      </c>
      <c r="B942" s="2"/>
      <c r="C942" s="2"/>
      <c r="D942" s="2" t="s">
        <v>2467</v>
      </c>
      <c r="E942" s="2" t="s">
        <v>2468</v>
      </c>
      <c r="H942" t="s">
        <v>19</v>
      </c>
      <c r="J942" s="10" t="s">
        <v>2688</v>
      </c>
      <c r="U942" s="10" t="str">
        <f t="shared" ca="1" si="32"/>
        <v/>
      </c>
      <c r="V942" s="10" t="str">
        <f t="shared" ca="1" si="33"/>
        <v/>
      </c>
      <c r="AB942" s="10" t="s">
        <v>2650</v>
      </c>
      <c r="AD942" s="10" t="s">
        <v>19</v>
      </c>
    </row>
    <row r="943" spans="1:31" hidden="1">
      <c r="A943" s="2" t="s">
        <v>1089</v>
      </c>
      <c r="B943" s="2"/>
      <c r="C943" s="2"/>
      <c r="D943" s="2" t="s">
        <v>2469</v>
      </c>
      <c r="E943" s="2" t="s">
        <v>1090</v>
      </c>
      <c r="H943" t="s">
        <v>19</v>
      </c>
      <c r="J943" s="10" t="s">
        <v>2688</v>
      </c>
      <c r="U943" s="10" t="str">
        <f t="shared" ca="1" si="32"/>
        <v/>
      </c>
      <c r="V943" s="10" t="str">
        <f t="shared" ca="1" si="33"/>
        <v/>
      </c>
    </row>
    <row r="944" spans="1:31" hidden="1">
      <c r="A944" s="2" t="s">
        <v>1089</v>
      </c>
      <c r="B944" s="2"/>
      <c r="C944" s="2"/>
      <c r="D944" s="2" t="s">
        <v>2470</v>
      </c>
      <c r="E944" s="2" t="s">
        <v>2471</v>
      </c>
      <c r="J944" s="10" t="s">
        <v>2688</v>
      </c>
      <c r="U944" s="10" t="str">
        <f t="shared" ca="1" si="32"/>
        <v/>
      </c>
      <c r="V944" s="10" t="str">
        <f t="shared" ca="1" si="33"/>
        <v/>
      </c>
      <c r="AE944" s="10" t="s">
        <v>2657</v>
      </c>
    </row>
    <row r="945" spans="1:31" hidden="1">
      <c r="A945" s="2" t="s">
        <v>1091</v>
      </c>
      <c r="B945" s="2"/>
      <c r="C945" s="2"/>
      <c r="D945" s="2" t="s">
        <v>2473</v>
      </c>
      <c r="E945" s="2" t="s">
        <v>2472</v>
      </c>
      <c r="J945" s="10" t="s">
        <v>25</v>
      </c>
      <c r="L945" s="10">
        <v>1</v>
      </c>
      <c r="M945" s="10">
        <v>3</v>
      </c>
      <c r="N945" s="10" t="s">
        <v>2655</v>
      </c>
      <c r="O945" s="10" t="s">
        <v>2647</v>
      </c>
      <c r="S945" s="10">
        <v>1701</v>
      </c>
      <c r="U945" s="10" t="str">
        <f t="shared" ca="1" si="32"/>
        <v/>
      </c>
      <c r="V945" s="10" t="str">
        <f t="shared" ca="1" si="33"/>
        <v/>
      </c>
    </row>
    <row r="946" spans="1:31" hidden="1">
      <c r="A946" s="2" t="s">
        <v>1093</v>
      </c>
      <c r="B946" s="2"/>
      <c r="C946" s="2"/>
      <c r="D946" s="2" t="s">
        <v>883</v>
      </c>
      <c r="E946" s="2" t="s">
        <v>882</v>
      </c>
      <c r="H946" t="s">
        <v>19</v>
      </c>
      <c r="J946" s="10" t="s">
        <v>2686</v>
      </c>
      <c r="T946" s="10" t="s">
        <v>2696</v>
      </c>
      <c r="U946" s="10" t="str">
        <f t="shared" ca="1" si="32"/>
        <v/>
      </c>
      <c r="V946" s="10" t="str">
        <f t="shared" ca="1" si="33"/>
        <v/>
      </c>
      <c r="AE946" s="10" t="s">
        <v>2645</v>
      </c>
    </row>
    <row r="947" spans="1:31" hidden="1">
      <c r="A947" s="2" t="s">
        <v>1094</v>
      </c>
      <c r="B947" s="2"/>
      <c r="C947" s="2"/>
      <c r="D947" s="2" t="s">
        <v>2475</v>
      </c>
      <c r="E947" s="2" t="s">
        <v>2474</v>
      </c>
      <c r="J947" s="10" t="s">
        <v>25</v>
      </c>
      <c r="L947" s="10">
        <v>1</v>
      </c>
      <c r="M947" s="10">
        <v>1</v>
      </c>
      <c r="N947" s="10" t="s">
        <v>2646</v>
      </c>
      <c r="O947" s="10" t="s">
        <v>2687</v>
      </c>
      <c r="S947" s="10">
        <v>2475</v>
      </c>
      <c r="U947" s="10" t="str">
        <f t="shared" ca="1" si="32"/>
        <v/>
      </c>
      <c r="V947" s="10" t="str">
        <f t="shared" ca="1" si="33"/>
        <v/>
      </c>
    </row>
    <row r="948" spans="1:31" hidden="1">
      <c r="A948" s="2" t="s">
        <v>1094</v>
      </c>
      <c r="B948" s="2"/>
      <c r="C948" s="2"/>
      <c r="D948" s="3" t="s">
        <v>2476</v>
      </c>
      <c r="E948" s="2" t="s">
        <v>2477</v>
      </c>
      <c r="F948" t="s">
        <v>15</v>
      </c>
      <c r="U948" s="10" t="str">
        <f t="shared" ca="1" si="32"/>
        <v/>
      </c>
      <c r="V948" s="10" t="str">
        <f t="shared" ca="1" si="33"/>
        <v/>
      </c>
    </row>
    <row r="949" spans="1:31" hidden="1">
      <c r="A949" s="2" t="s">
        <v>1095</v>
      </c>
      <c r="B949" s="2"/>
      <c r="C949" s="2"/>
      <c r="D949" s="2" t="s">
        <v>1097</v>
      </c>
      <c r="E949" s="2" t="s">
        <v>1096</v>
      </c>
      <c r="F949" t="s">
        <v>11</v>
      </c>
      <c r="G949" t="s">
        <v>19</v>
      </c>
      <c r="U949" s="10" t="str">
        <f t="shared" ref="U949:U1012" ca="1" si="34">IF(ISNUMBER(T949),VALUE(MID(_xlfn.FORMULATEXT(T949),SEARCH("-",_xlfn.FORMULATEXT(T949))+1,LEN(_xlfn.FORMULATEXT(T949))-SEARCH("-",_xlfn.FORMULATEXT(T949)))), "")</f>
        <v/>
      </c>
      <c r="V949" s="10" t="str">
        <f t="shared" ref="V949:V1012" ca="1" si="35">IF(ISNUMBER(T949), VALUE(MID(_xlfn.FORMULATEXT(T949), 2, SEARCH("-", _xlfn.FORMULATEXT(T949)) - 2)), "")</f>
        <v/>
      </c>
    </row>
    <row r="950" spans="1:31" hidden="1">
      <c r="A950" s="2" t="s">
        <v>1095</v>
      </c>
      <c r="B950" s="2"/>
      <c r="C950" s="2"/>
      <c r="D950" s="2" t="s">
        <v>2478</v>
      </c>
      <c r="E950" s="2" t="s">
        <v>1098</v>
      </c>
      <c r="H950" t="s">
        <v>19</v>
      </c>
      <c r="J950" s="10" t="s">
        <v>2686</v>
      </c>
      <c r="T950" s="10" t="s">
        <v>2696</v>
      </c>
      <c r="U950" s="10" t="str">
        <f t="shared" ca="1" si="34"/>
        <v/>
      </c>
      <c r="V950" s="10" t="str">
        <f t="shared" ca="1" si="35"/>
        <v/>
      </c>
      <c r="AE950" s="10" t="s">
        <v>2645</v>
      </c>
    </row>
    <row r="951" spans="1:31" hidden="1">
      <c r="A951" s="2" t="s">
        <v>1099</v>
      </c>
      <c r="B951" s="2"/>
      <c r="C951" s="2"/>
      <c r="D951" s="2" t="s">
        <v>2479</v>
      </c>
      <c r="E951" s="2" t="s">
        <v>2480</v>
      </c>
      <c r="J951" s="10" t="s">
        <v>2686</v>
      </c>
      <c r="T951" s="10">
        <f>22-4</f>
        <v>18</v>
      </c>
      <c r="U951" s="10">
        <f t="shared" ca="1" si="34"/>
        <v>4</v>
      </c>
      <c r="V951" s="10">
        <f t="shared" ca="1" si="35"/>
        <v>22</v>
      </c>
    </row>
    <row r="952" spans="1:31">
      <c r="A952" s="2" t="s">
        <v>1100</v>
      </c>
      <c r="B952" s="2"/>
      <c r="C952" s="2"/>
      <c r="D952" s="2" t="s">
        <v>2482</v>
      </c>
      <c r="E952" s="2" t="s">
        <v>2483</v>
      </c>
      <c r="F952" t="s">
        <v>35</v>
      </c>
      <c r="I952" t="s">
        <v>2485</v>
      </c>
      <c r="U952" s="10" t="str">
        <f t="shared" ca="1" si="34"/>
        <v/>
      </c>
      <c r="V952" s="10" t="str">
        <f t="shared" ca="1" si="35"/>
        <v/>
      </c>
    </row>
    <row r="953" spans="1:31" hidden="1">
      <c r="A953" s="2" t="s">
        <v>1100</v>
      </c>
      <c r="B953" s="2"/>
      <c r="C953" s="2"/>
      <c r="D953" s="2" t="s">
        <v>2484</v>
      </c>
      <c r="E953" s="2" t="s">
        <v>2481</v>
      </c>
      <c r="H953" t="s">
        <v>19</v>
      </c>
      <c r="J953" s="10" t="s">
        <v>25</v>
      </c>
      <c r="L953" s="10">
        <v>1</v>
      </c>
      <c r="M953" s="10">
        <v>3</v>
      </c>
      <c r="N953" s="10" t="s">
        <v>2655</v>
      </c>
      <c r="O953" s="10" t="s">
        <v>2647</v>
      </c>
      <c r="S953" s="10">
        <v>86</v>
      </c>
      <c r="U953" s="10" t="str">
        <f t="shared" ca="1" si="34"/>
        <v/>
      </c>
      <c r="V953" s="10" t="str">
        <f t="shared" ca="1" si="35"/>
        <v/>
      </c>
    </row>
    <row r="954" spans="1:31" hidden="1">
      <c r="A954" s="2" t="s">
        <v>1101</v>
      </c>
      <c r="B954" s="2"/>
      <c r="C954" s="2"/>
      <c r="D954" s="2" t="s">
        <v>2486</v>
      </c>
      <c r="E954" s="2" t="s">
        <v>2487</v>
      </c>
      <c r="H954" t="s">
        <v>19</v>
      </c>
      <c r="J954" s="10" t="s">
        <v>2686</v>
      </c>
      <c r="T954" s="10" t="s">
        <v>2696</v>
      </c>
      <c r="U954" s="10" t="str">
        <f t="shared" ca="1" si="34"/>
        <v/>
      </c>
      <c r="V954" s="10" t="str">
        <f t="shared" ca="1" si="35"/>
        <v/>
      </c>
      <c r="AE954" s="10" t="s">
        <v>2645</v>
      </c>
    </row>
    <row r="955" spans="1:31" hidden="1">
      <c r="A955" s="2" t="s">
        <v>1102</v>
      </c>
      <c r="B955" s="2"/>
      <c r="C955" s="2"/>
      <c r="D955" s="2" t="s">
        <v>2488</v>
      </c>
      <c r="E955" s="2" t="s">
        <v>1103</v>
      </c>
      <c r="H955" t="s">
        <v>19</v>
      </c>
      <c r="J955" s="10" t="s">
        <v>2686</v>
      </c>
      <c r="T955" s="10" t="s">
        <v>2696</v>
      </c>
      <c r="U955" s="10" t="str">
        <f t="shared" ca="1" si="34"/>
        <v/>
      </c>
      <c r="V955" s="10" t="str">
        <f t="shared" ca="1" si="35"/>
        <v/>
      </c>
      <c r="AC955" s="10" t="s">
        <v>2746</v>
      </c>
      <c r="AD955" s="10" t="s">
        <v>19</v>
      </c>
      <c r="AE955" s="10" t="s">
        <v>2645</v>
      </c>
    </row>
    <row r="956" spans="1:31" hidden="1">
      <c r="A956" s="2" t="s">
        <v>1104</v>
      </c>
      <c r="B956" s="2"/>
      <c r="C956" s="2"/>
      <c r="D956" s="3" t="s">
        <v>2489</v>
      </c>
      <c r="E956" s="2" t="s">
        <v>2490</v>
      </c>
      <c r="F956" t="s">
        <v>15</v>
      </c>
      <c r="U956" s="10" t="str">
        <f t="shared" ca="1" si="34"/>
        <v/>
      </c>
      <c r="V956" s="10" t="str">
        <f t="shared" ca="1" si="35"/>
        <v/>
      </c>
    </row>
    <row r="957" spans="1:31" hidden="1">
      <c r="A957" s="2" t="s">
        <v>1105</v>
      </c>
      <c r="B957" s="2"/>
      <c r="C957" s="2"/>
      <c r="D957" s="2" t="s">
        <v>159</v>
      </c>
      <c r="E957" s="2" t="s">
        <v>158</v>
      </c>
      <c r="J957" s="10" t="s">
        <v>2686</v>
      </c>
      <c r="T957" s="10" t="s">
        <v>2687</v>
      </c>
      <c r="U957" s="10" t="str">
        <f t="shared" ca="1" si="34"/>
        <v/>
      </c>
      <c r="V957" s="10" t="str">
        <f t="shared" ca="1" si="35"/>
        <v/>
      </c>
      <c r="AC957" s="10" t="s">
        <v>2801</v>
      </c>
      <c r="AD957" s="10" t="s">
        <v>19</v>
      </c>
      <c r="AE957" s="10" t="s">
        <v>2645</v>
      </c>
    </row>
    <row r="958" spans="1:31" ht="29">
      <c r="A958" s="2" t="s">
        <v>1106</v>
      </c>
      <c r="B958" s="2"/>
      <c r="C958" s="2"/>
      <c r="D958" s="2" t="s">
        <v>2491</v>
      </c>
      <c r="E958" s="2" t="s">
        <v>2492</v>
      </c>
      <c r="J958" s="10" t="s">
        <v>2686</v>
      </c>
      <c r="R958" s="10" t="s">
        <v>2642</v>
      </c>
      <c r="T958" s="10" t="s">
        <v>2687</v>
      </c>
      <c r="U958" s="10" t="str">
        <f t="shared" ca="1" si="34"/>
        <v/>
      </c>
      <c r="V958" s="10" t="str">
        <f t="shared" ca="1" si="35"/>
        <v/>
      </c>
      <c r="AE958" s="10" t="s">
        <v>2645</v>
      </c>
    </row>
    <row r="959" spans="1:31" ht="29" hidden="1">
      <c r="A959" s="2" t="s">
        <v>1107</v>
      </c>
      <c r="B959" s="2"/>
      <c r="C959" s="2"/>
      <c r="D959" s="2" t="s">
        <v>2493</v>
      </c>
      <c r="E959" s="2" t="s">
        <v>2494</v>
      </c>
      <c r="H959" t="s">
        <v>19</v>
      </c>
      <c r="J959" s="10" t="s">
        <v>25</v>
      </c>
      <c r="L959" s="10">
        <v>1</v>
      </c>
      <c r="M959" s="10">
        <v>5</v>
      </c>
      <c r="N959" s="10" t="s">
        <v>2660</v>
      </c>
      <c r="O959" s="10" t="s">
        <v>2641</v>
      </c>
      <c r="P959" s="10" t="s">
        <v>2761</v>
      </c>
      <c r="Q959" s="11" t="s">
        <v>2769</v>
      </c>
      <c r="S959" s="10">
        <v>4</v>
      </c>
      <c r="U959" s="10" t="str">
        <f t="shared" ca="1" si="34"/>
        <v/>
      </c>
      <c r="V959" s="10" t="str">
        <f t="shared" ca="1" si="35"/>
        <v/>
      </c>
    </row>
    <row r="960" spans="1:31">
      <c r="A960" s="2" t="s">
        <v>1107</v>
      </c>
      <c r="B960" s="2"/>
      <c r="C960" s="2"/>
      <c r="D960" s="2" t="s">
        <v>1108</v>
      </c>
      <c r="E960" s="2" t="s">
        <v>1108</v>
      </c>
      <c r="G960" t="s">
        <v>20</v>
      </c>
      <c r="U960" s="10" t="str">
        <f t="shared" ca="1" si="34"/>
        <v/>
      </c>
      <c r="V960" s="10" t="str">
        <f t="shared" ca="1" si="35"/>
        <v/>
      </c>
    </row>
    <row r="961" spans="1:31" hidden="1">
      <c r="A961" s="2" t="s">
        <v>1109</v>
      </c>
      <c r="B961" s="2"/>
      <c r="C961" s="2"/>
      <c r="D961" s="2" t="s">
        <v>2495</v>
      </c>
      <c r="E961" s="2" t="s">
        <v>2496</v>
      </c>
      <c r="H961" t="s">
        <v>19</v>
      </c>
      <c r="J961" s="10" t="s">
        <v>2686</v>
      </c>
      <c r="T961" s="10">
        <f>7-2475</f>
        <v>-2468</v>
      </c>
      <c r="U961" s="10">
        <f t="shared" ca="1" si="34"/>
        <v>2475</v>
      </c>
      <c r="V961" s="10">
        <f t="shared" ca="1" si="35"/>
        <v>7</v>
      </c>
      <c r="AC961" s="10" t="s">
        <v>2801</v>
      </c>
      <c r="AD961" s="10" t="s">
        <v>19</v>
      </c>
      <c r="AE961" s="10" t="s">
        <v>2651</v>
      </c>
    </row>
    <row r="962" spans="1:31" hidden="1">
      <c r="A962" s="2" t="s">
        <v>1109</v>
      </c>
      <c r="B962" s="2"/>
      <c r="C962" s="2"/>
      <c r="D962" s="2" t="s">
        <v>2497</v>
      </c>
      <c r="E962" s="2" t="s">
        <v>2498</v>
      </c>
      <c r="H962" t="s">
        <v>19</v>
      </c>
      <c r="J962" s="10" t="s">
        <v>2686</v>
      </c>
      <c r="T962" s="10" t="s">
        <v>2696</v>
      </c>
      <c r="U962" s="10" t="str">
        <f t="shared" ca="1" si="34"/>
        <v/>
      </c>
      <c r="V962" s="10" t="str">
        <f t="shared" ca="1" si="35"/>
        <v/>
      </c>
      <c r="AE962" s="10" t="s">
        <v>2645</v>
      </c>
    </row>
    <row r="963" spans="1:31" ht="29" hidden="1">
      <c r="A963" s="2" t="s">
        <v>1110</v>
      </c>
      <c r="B963" s="2"/>
      <c r="C963" s="2"/>
      <c r="D963" s="2" t="s">
        <v>2500</v>
      </c>
      <c r="E963" s="2" t="s">
        <v>2501</v>
      </c>
      <c r="G963" t="s">
        <v>19</v>
      </c>
      <c r="J963" s="10" t="s">
        <v>2689</v>
      </c>
      <c r="T963" s="10">
        <f>312-743</f>
        <v>-431</v>
      </c>
      <c r="U963" s="10">
        <f t="shared" ca="1" si="34"/>
        <v>743</v>
      </c>
      <c r="V963" s="10">
        <f t="shared" ca="1" si="35"/>
        <v>312</v>
      </c>
      <c r="AE963" s="10" t="s">
        <v>2651</v>
      </c>
    </row>
    <row r="964" spans="1:31" ht="29" hidden="1">
      <c r="A964" s="2" t="s">
        <v>1110</v>
      </c>
      <c r="B964" s="2"/>
      <c r="C964" s="2"/>
      <c r="D964" s="3" t="s">
        <v>2502</v>
      </c>
      <c r="E964" s="2" t="s">
        <v>2499</v>
      </c>
      <c r="F964" t="s">
        <v>15</v>
      </c>
      <c r="U964" s="10" t="str">
        <f t="shared" ca="1" si="34"/>
        <v/>
      </c>
      <c r="V964" s="10" t="str">
        <f t="shared" ca="1" si="35"/>
        <v/>
      </c>
    </row>
    <row r="965" spans="1:31" hidden="1">
      <c r="A965" s="2" t="s">
        <v>1111</v>
      </c>
      <c r="B965" s="2"/>
      <c r="C965" s="2"/>
      <c r="D965" s="3" t="s">
        <v>1113</v>
      </c>
      <c r="E965" s="2" t="s">
        <v>1112</v>
      </c>
      <c r="F965" t="s">
        <v>15</v>
      </c>
      <c r="U965" s="10" t="str">
        <f t="shared" ca="1" si="34"/>
        <v/>
      </c>
      <c r="V965" s="10" t="str">
        <f t="shared" ca="1" si="35"/>
        <v/>
      </c>
    </row>
    <row r="966" spans="1:31" ht="29" hidden="1">
      <c r="A966" s="2" t="s">
        <v>1114</v>
      </c>
      <c r="B966" s="2"/>
      <c r="C966" s="2"/>
      <c r="D966" s="2" t="s">
        <v>2503</v>
      </c>
      <c r="E966" s="2" t="s">
        <v>2948</v>
      </c>
      <c r="H966" t="s">
        <v>19</v>
      </c>
      <c r="I966" s="4"/>
      <c r="J966" s="10" t="s">
        <v>2688</v>
      </c>
      <c r="U966" s="10" t="str">
        <f t="shared" ca="1" si="34"/>
        <v/>
      </c>
      <c r="V966" s="10" t="str">
        <f t="shared" ca="1" si="35"/>
        <v/>
      </c>
    </row>
    <row r="967" spans="1:31" ht="29" hidden="1">
      <c r="A967" s="2" t="s">
        <v>1114</v>
      </c>
      <c r="B967" s="2"/>
      <c r="C967" s="2"/>
      <c r="D967" s="2" t="s">
        <v>2504</v>
      </c>
      <c r="E967" s="2" t="s">
        <v>2949</v>
      </c>
      <c r="H967" t="s">
        <v>19</v>
      </c>
      <c r="J967" s="10" t="s">
        <v>2688</v>
      </c>
      <c r="U967" s="10" t="str">
        <f t="shared" ca="1" si="34"/>
        <v/>
      </c>
      <c r="V967" s="10" t="str">
        <f t="shared" ca="1" si="35"/>
        <v/>
      </c>
      <c r="AE967" s="10" t="s">
        <v>2645</v>
      </c>
    </row>
    <row r="968" spans="1:31" hidden="1">
      <c r="A968" s="2" t="s">
        <v>1115</v>
      </c>
      <c r="B968" s="2"/>
      <c r="C968" s="2"/>
      <c r="D968" s="2" t="s">
        <v>2505</v>
      </c>
      <c r="E968" s="2" t="s">
        <v>1116</v>
      </c>
      <c r="J968" s="10" t="s">
        <v>2686</v>
      </c>
      <c r="T968" s="10" t="s">
        <v>2696</v>
      </c>
      <c r="U968" s="10" t="str">
        <f t="shared" ca="1" si="34"/>
        <v/>
      </c>
      <c r="V968" s="10" t="str">
        <f t="shared" ca="1" si="35"/>
        <v/>
      </c>
      <c r="AE968" s="10" t="s">
        <v>2645</v>
      </c>
    </row>
    <row r="969" spans="1:31" hidden="1">
      <c r="A969" s="2" t="s">
        <v>1117</v>
      </c>
      <c r="B969" s="2"/>
      <c r="C969" s="2"/>
      <c r="D969" s="8" t="s">
        <v>608</v>
      </c>
      <c r="E969" s="8" t="s">
        <v>607</v>
      </c>
      <c r="F969" t="s">
        <v>36</v>
      </c>
      <c r="J969" s="10" t="s">
        <v>2686</v>
      </c>
      <c r="T969" s="10" t="s">
        <v>2696</v>
      </c>
      <c r="U969" s="10" t="str">
        <f t="shared" ca="1" si="34"/>
        <v/>
      </c>
      <c r="V969" s="10" t="str">
        <f t="shared" ca="1" si="35"/>
        <v/>
      </c>
      <c r="AE969" s="10" t="s">
        <v>2654</v>
      </c>
    </row>
    <row r="970" spans="1:31" hidden="1">
      <c r="A970" s="2" t="s">
        <v>1118</v>
      </c>
      <c r="B970" s="2"/>
      <c r="C970" s="2"/>
      <c r="D970" s="2" t="s">
        <v>2506</v>
      </c>
      <c r="E970" s="2" t="s">
        <v>2507</v>
      </c>
      <c r="H970" t="s">
        <v>19</v>
      </c>
      <c r="J970" s="10" t="s">
        <v>2686</v>
      </c>
      <c r="T970" s="10">
        <f>41-25</f>
        <v>16</v>
      </c>
      <c r="U970" s="10">
        <f t="shared" ca="1" si="34"/>
        <v>25</v>
      </c>
      <c r="V970" s="10">
        <f t="shared" ca="1" si="35"/>
        <v>41</v>
      </c>
    </row>
    <row r="971" spans="1:31" hidden="1">
      <c r="A971" s="2" t="s">
        <v>1119</v>
      </c>
      <c r="B971" s="2"/>
      <c r="C971" s="2"/>
      <c r="D971" s="3" t="s">
        <v>2508</v>
      </c>
      <c r="E971" s="2" t="s">
        <v>2509</v>
      </c>
      <c r="F971" t="s">
        <v>15</v>
      </c>
      <c r="U971" s="10" t="str">
        <f t="shared" ca="1" si="34"/>
        <v/>
      </c>
      <c r="V971" s="10" t="str">
        <f t="shared" ca="1" si="35"/>
        <v/>
      </c>
    </row>
    <row r="972" spans="1:31" hidden="1">
      <c r="A972" s="2" t="s">
        <v>1120</v>
      </c>
      <c r="B972" s="2"/>
      <c r="C972" s="2"/>
      <c r="D972" s="2" t="s">
        <v>2510</v>
      </c>
      <c r="E972" s="2" t="s">
        <v>2511</v>
      </c>
      <c r="H972" t="s">
        <v>19</v>
      </c>
      <c r="J972" s="10" t="s">
        <v>2688</v>
      </c>
      <c r="U972" s="10" t="str">
        <f t="shared" ca="1" si="34"/>
        <v/>
      </c>
      <c r="V972" s="10" t="str">
        <f t="shared" ca="1" si="35"/>
        <v/>
      </c>
      <c r="AE972" s="10" t="s">
        <v>2651</v>
      </c>
    </row>
    <row r="973" spans="1:31" hidden="1">
      <c r="A973" s="2" t="s">
        <v>1121</v>
      </c>
      <c r="B973" s="2"/>
      <c r="C973" s="2"/>
      <c r="D973" s="2" t="s">
        <v>1123</v>
      </c>
      <c r="E973" s="2" t="s">
        <v>1122</v>
      </c>
      <c r="G973" t="s">
        <v>19</v>
      </c>
      <c r="J973" s="10" t="s">
        <v>2686</v>
      </c>
      <c r="T973" s="10" t="s">
        <v>2687</v>
      </c>
      <c r="U973" s="10" t="str">
        <f t="shared" ca="1" si="34"/>
        <v/>
      </c>
      <c r="V973" s="10" t="str">
        <f t="shared" ca="1" si="35"/>
        <v/>
      </c>
      <c r="AB973" s="10" t="s">
        <v>2692</v>
      </c>
      <c r="AC973" s="10" t="s">
        <v>2710</v>
      </c>
      <c r="AD973" s="10" t="s">
        <v>19</v>
      </c>
    </row>
    <row r="974" spans="1:31">
      <c r="A974" s="2" t="s">
        <v>1124</v>
      </c>
      <c r="B974" s="2"/>
      <c r="C974" s="2"/>
      <c r="D974" s="2" t="s">
        <v>2512</v>
      </c>
      <c r="E974" s="2" t="s">
        <v>2512</v>
      </c>
      <c r="F974" t="s">
        <v>35</v>
      </c>
      <c r="I974" t="s">
        <v>2513</v>
      </c>
      <c r="U974" s="10" t="str">
        <f t="shared" ca="1" si="34"/>
        <v/>
      </c>
      <c r="V974" s="10" t="str">
        <f t="shared" ca="1" si="35"/>
        <v/>
      </c>
    </row>
    <row r="975" spans="1:31" ht="29" hidden="1">
      <c r="A975" s="2" t="s">
        <v>1124</v>
      </c>
      <c r="B975" s="2"/>
      <c r="C975" s="2"/>
      <c r="D975" s="2" t="s">
        <v>2514</v>
      </c>
      <c r="E975" s="2" t="s">
        <v>2515</v>
      </c>
      <c r="H975" t="s">
        <v>19</v>
      </c>
      <c r="J975" s="10" t="s">
        <v>2686</v>
      </c>
      <c r="T975" s="10">
        <f>280-31</f>
        <v>249</v>
      </c>
      <c r="U975" s="10">
        <f t="shared" ca="1" si="34"/>
        <v>31</v>
      </c>
      <c r="V975" s="10">
        <f t="shared" ca="1" si="35"/>
        <v>280</v>
      </c>
    </row>
    <row r="976" spans="1:31" hidden="1">
      <c r="A976" s="2" t="s">
        <v>1125</v>
      </c>
      <c r="B976" s="2"/>
      <c r="C976" s="2"/>
      <c r="D976" s="2" t="s">
        <v>2516</v>
      </c>
      <c r="E976" s="2" t="s">
        <v>2517</v>
      </c>
      <c r="J976" s="10" t="s">
        <v>2686</v>
      </c>
      <c r="T976" s="10">
        <f>31-280</f>
        <v>-249</v>
      </c>
      <c r="U976" s="10">
        <f t="shared" ca="1" si="34"/>
        <v>280</v>
      </c>
      <c r="V976" s="10">
        <f t="shared" ca="1" si="35"/>
        <v>31</v>
      </c>
    </row>
    <row r="977" spans="1:31" hidden="1">
      <c r="A977" s="2" t="s">
        <v>1125</v>
      </c>
      <c r="B977" s="2"/>
      <c r="C977" s="2"/>
      <c r="D977" s="2" t="s">
        <v>2518</v>
      </c>
      <c r="E977" s="2" t="s">
        <v>2519</v>
      </c>
      <c r="H977" t="s">
        <v>19</v>
      </c>
      <c r="J977" s="10" t="s">
        <v>2686</v>
      </c>
      <c r="T977" s="10">
        <f>1701-29</f>
        <v>1672</v>
      </c>
      <c r="U977" s="10">
        <f t="shared" ca="1" si="34"/>
        <v>29</v>
      </c>
      <c r="V977" s="10">
        <f t="shared" ca="1" si="35"/>
        <v>1701</v>
      </c>
    </row>
    <row r="978" spans="1:31" hidden="1">
      <c r="A978" s="2" t="s">
        <v>1126</v>
      </c>
      <c r="B978" s="2"/>
      <c r="C978" s="2"/>
      <c r="D978" s="2" t="s">
        <v>2520</v>
      </c>
      <c r="E978" s="2" t="s">
        <v>2521</v>
      </c>
      <c r="J978" s="10" t="s">
        <v>2688</v>
      </c>
      <c r="Q978" s="10"/>
      <c r="U978" s="10" t="str">
        <f t="shared" ca="1" si="34"/>
        <v/>
      </c>
      <c r="V978" s="10" t="str">
        <f t="shared" ca="1" si="35"/>
        <v/>
      </c>
      <c r="AC978" s="10" t="s">
        <v>2709</v>
      </c>
      <c r="AD978" s="10" t="s">
        <v>19</v>
      </c>
      <c r="AE978" s="10" t="s">
        <v>2651</v>
      </c>
    </row>
    <row r="979" spans="1:31" hidden="1">
      <c r="A979" s="2" t="s">
        <v>1127</v>
      </c>
      <c r="B979" s="2"/>
      <c r="C979" s="2"/>
      <c r="D979" s="2" t="s">
        <v>2522</v>
      </c>
      <c r="E979" s="2" t="s">
        <v>2523</v>
      </c>
      <c r="J979" s="10" t="s">
        <v>2686</v>
      </c>
      <c r="T979" s="10" t="s">
        <v>2696</v>
      </c>
      <c r="U979" s="10" t="str">
        <f t="shared" ca="1" si="34"/>
        <v/>
      </c>
      <c r="V979" s="10" t="str">
        <f t="shared" ca="1" si="35"/>
        <v/>
      </c>
      <c r="AE979" s="10" t="s">
        <v>2645</v>
      </c>
    </row>
    <row r="980" spans="1:31" hidden="1">
      <c r="A980" s="2" t="s">
        <v>1127</v>
      </c>
      <c r="B980" s="2"/>
      <c r="C980" s="2"/>
      <c r="D980" s="2" t="s">
        <v>2524</v>
      </c>
      <c r="E980" s="2" t="s">
        <v>2525</v>
      </c>
      <c r="H980" t="s">
        <v>19</v>
      </c>
      <c r="J980" s="10" t="s">
        <v>2688</v>
      </c>
      <c r="U980" s="10" t="str">
        <f t="shared" ca="1" si="34"/>
        <v/>
      </c>
      <c r="V980" s="10" t="str">
        <f t="shared" ca="1" si="35"/>
        <v/>
      </c>
      <c r="AE980" s="10" t="s">
        <v>2651</v>
      </c>
    </row>
    <row r="981" spans="1:31" hidden="1">
      <c r="A981" s="2" t="s">
        <v>1128</v>
      </c>
      <c r="B981" s="2"/>
      <c r="C981" s="2"/>
      <c r="D981" s="2" t="s">
        <v>2927</v>
      </c>
      <c r="E981" s="2" t="s">
        <v>2928</v>
      </c>
      <c r="H981" t="s">
        <v>19</v>
      </c>
      <c r="J981" s="10" t="s">
        <v>2688</v>
      </c>
      <c r="U981" s="10" t="str">
        <f t="shared" ca="1" si="34"/>
        <v/>
      </c>
      <c r="V981" s="10" t="str">
        <f t="shared" ca="1" si="35"/>
        <v/>
      </c>
      <c r="AE981" s="10" t="s">
        <v>2651</v>
      </c>
    </row>
    <row r="982" spans="1:31" hidden="1">
      <c r="A982" s="2" t="s">
        <v>1129</v>
      </c>
      <c r="B982" s="2"/>
      <c r="C982" s="2"/>
      <c r="D982" s="3" t="s">
        <v>2527</v>
      </c>
      <c r="E982" s="2" t="s">
        <v>2526</v>
      </c>
      <c r="F982" t="s">
        <v>15</v>
      </c>
      <c r="U982" s="10" t="str">
        <f t="shared" ca="1" si="34"/>
        <v/>
      </c>
      <c r="V982" s="10" t="str">
        <f t="shared" ca="1" si="35"/>
        <v/>
      </c>
    </row>
    <row r="983" spans="1:31" hidden="1">
      <c r="A983" s="2" t="s">
        <v>1129</v>
      </c>
      <c r="B983" s="2"/>
      <c r="C983" s="2"/>
      <c r="D983" s="2" t="s">
        <v>2528</v>
      </c>
      <c r="E983" s="2" t="s">
        <v>2529</v>
      </c>
      <c r="H983" t="s">
        <v>19</v>
      </c>
      <c r="J983" s="10" t="s">
        <v>25</v>
      </c>
      <c r="L983" s="10">
        <v>1</v>
      </c>
      <c r="M983" s="10">
        <v>2</v>
      </c>
      <c r="N983" s="10" t="s">
        <v>2646</v>
      </c>
      <c r="O983" s="10" t="s">
        <v>2687</v>
      </c>
      <c r="S983" s="10">
        <v>2475</v>
      </c>
      <c r="U983" s="10" t="str">
        <f t="shared" ca="1" si="34"/>
        <v/>
      </c>
      <c r="V983" s="10" t="str">
        <f t="shared" ca="1" si="35"/>
        <v/>
      </c>
    </row>
    <row r="984" spans="1:31" ht="29" hidden="1">
      <c r="A984" s="2" t="s">
        <v>1130</v>
      </c>
      <c r="B984" s="2"/>
      <c r="C984" s="2"/>
      <c r="D984" s="2" t="s">
        <v>2531</v>
      </c>
      <c r="E984" s="3" t="s">
        <v>2530</v>
      </c>
      <c r="F984" t="s">
        <v>16</v>
      </c>
      <c r="U984" s="10" t="str">
        <f t="shared" ca="1" si="34"/>
        <v/>
      </c>
      <c r="V984" s="10" t="str">
        <f t="shared" ca="1" si="35"/>
        <v/>
      </c>
    </row>
    <row r="985" spans="1:31" ht="29" hidden="1">
      <c r="A985" s="2" t="s">
        <v>1130</v>
      </c>
      <c r="B985" s="2"/>
      <c r="C985" s="2"/>
      <c r="D985" s="2" t="s">
        <v>2532</v>
      </c>
      <c r="E985" s="2" t="s">
        <v>2533</v>
      </c>
      <c r="J985" s="10" t="s">
        <v>2688</v>
      </c>
      <c r="U985" s="10" t="str">
        <f t="shared" ca="1" si="34"/>
        <v/>
      </c>
      <c r="V985" s="10" t="str">
        <f t="shared" ca="1" si="35"/>
        <v/>
      </c>
      <c r="AC985" s="10" t="s">
        <v>2699</v>
      </c>
      <c r="AD985" s="10" t="s">
        <v>19</v>
      </c>
      <c r="AE985" s="10" t="s">
        <v>2654</v>
      </c>
    </row>
    <row r="986" spans="1:31" hidden="1">
      <c r="A986" s="2" t="s">
        <v>1130</v>
      </c>
      <c r="B986" s="2"/>
      <c r="C986" s="2"/>
      <c r="D986" s="2" t="s">
        <v>2534</v>
      </c>
      <c r="E986" s="2" t="s">
        <v>1131</v>
      </c>
      <c r="F986" t="s">
        <v>17</v>
      </c>
      <c r="U986" s="10" t="str">
        <f t="shared" ca="1" si="34"/>
        <v/>
      </c>
      <c r="V986" s="10" t="str">
        <f t="shared" ca="1" si="35"/>
        <v/>
      </c>
    </row>
    <row r="987" spans="1:31" hidden="1">
      <c r="A987" s="2" t="s">
        <v>1130</v>
      </c>
      <c r="B987" s="2"/>
      <c r="C987" s="2"/>
      <c r="D987" s="2" t="s">
        <v>2535</v>
      </c>
      <c r="E987" s="2" t="s">
        <v>2536</v>
      </c>
      <c r="J987" s="10" t="s">
        <v>2686</v>
      </c>
      <c r="T987" s="10">
        <f>1701-204</f>
        <v>1497</v>
      </c>
      <c r="U987" s="10">
        <f t="shared" ca="1" si="34"/>
        <v>204</v>
      </c>
      <c r="V987" s="10">
        <f t="shared" ca="1" si="35"/>
        <v>1701</v>
      </c>
    </row>
    <row r="988" spans="1:31" hidden="1">
      <c r="A988" s="2" t="s">
        <v>1130</v>
      </c>
      <c r="B988" s="2"/>
      <c r="C988" s="2"/>
      <c r="D988" s="2" t="s">
        <v>1133</v>
      </c>
      <c r="E988" s="2" t="s">
        <v>1132</v>
      </c>
      <c r="J988" s="10" t="s">
        <v>2686</v>
      </c>
      <c r="T988" s="10" t="s">
        <v>2696</v>
      </c>
      <c r="U988" s="10" t="str">
        <f t="shared" ca="1" si="34"/>
        <v/>
      </c>
      <c r="V988" s="10" t="str">
        <f t="shared" ca="1" si="35"/>
        <v/>
      </c>
      <c r="AE988" s="10" t="s">
        <v>2654</v>
      </c>
    </row>
    <row r="989" spans="1:31" hidden="1">
      <c r="A989" s="2" t="s">
        <v>1130</v>
      </c>
      <c r="B989" s="2"/>
      <c r="C989" s="2"/>
      <c r="D989" s="2" t="s">
        <v>2537</v>
      </c>
      <c r="E989" s="3" t="s">
        <v>2538</v>
      </c>
      <c r="F989" t="s">
        <v>16</v>
      </c>
      <c r="U989" s="10" t="str">
        <f t="shared" ca="1" si="34"/>
        <v/>
      </c>
      <c r="V989" s="10" t="str">
        <f t="shared" ca="1" si="35"/>
        <v/>
      </c>
    </row>
    <row r="990" spans="1:31" hidden="1">
      <c r="A990" s="2" t="s">
        <v>1134</v>
      </c>
      <c r="B990" s="2"/>
      <c r="C990" s="2"/>
      <c r="D990" s="5" t="s">
        <v>2540</v>
      </c>
      <c r="E990" s="2" t="s">
        <v>2539</v>
      </c>
      <c r="F990" t="s">
        <v>13</v>
      </c>
      <c r="U990" s="10" t="str">
        <f t="shared" ca="1" si="34"/>
        <v/>
      </c>
      <c r="V990" s="10" t="str">
        <f t="shared" ca="1" si="35"/>
        <v/>
      </c>
    </row>
    <row r="991" spans="1:31" hidden="1">
      <c r="A991" s="2" t="s">
        <v>1135</v>
      </c>
      <c r="B991" s="2"/>
      <c r="C991" s="2"/>
      <c r="D991" s="2" t="s">
        <v>2541</v>
      </c>
      <c r="E991" s="2" t="s">
        <v>2542</v>
      </c>
      <c r="H991" t="s">
        <v>19</v>
      </c>
      <c r="J991" s="10" t="s">
        <v>2686</v>
      </c>
      <c r="T991" s="10" t="s">
        <v>2696</v>
      </c>
      <c r="U991" s="10" t="str">
        <f t="shared" ca="1" si="34"/>
        <v/>
      </c>
      <c r="V991" s="10" t="str">
        <f t="shared" ca="1" si="35"/>
        <v/>
      </c>
      <c r="AE991" s="10" t="s">
        <v>2645</v>
      </c>
    </row>
    <row r="992" spans="1:31" ht="29" hidden="1">
      <c r="A992" s="2" t="s">
        <v>1135</v>
      </c>
      <c r="B992" s="2"/>
      <c r="C992" s="2"/>
      <c r="D992" s="2" t="s">
        <v>2543</v>
      </c>
      <c r="E992" s="2" t="s">
        <v>2544</v>
      </c>
      <c r="J992" s="10" t="s">
        <v>24</v>
      </c>
      <c r="L992" s="10">
        <v>1</v>
      </c>
      <c r="M992" s="10">
        <v>6</v>
      </c>
      <c r="N992" s="10" t="s">
        <v>2660</v>
      </c>
      <c r="O992" s="10" t="s">
        <v>2641</v>
      </c>
      <c r="P992" s="10" t="s">
        <v>2761</v>
      </c>
      <c r="Q992" s="11" t="s">
        <v>2705</v>
      </c>
      <c r="S992" s="10">
        <v>250</v>
      </c>
      <c r="U992" s="10" t="str">
        <f t="shared" ca="1" si="34"/>
        <v/>
      </c>
      <c r="V992" s="10" t="str">
        <f t="shared" ca="1" si="35"/>
        <v/>
      </c>
    </row>
    <row r="993" spans="1:31" hidden="1">
      <c r="A993" s="2" t="s">
        <v>1136</v>
      </c>
      <c r="B993" s="2"/>
      <c r="C993" s="2"/>
      <c r="D993" s="2" t="s">
        <v>2545</v>
      </c>
      <c r="E993" s="2" t="s">
        <v>2950</v>
      </c>
      <c r="H993" t="s">
        <v>19</v>
      </c>
      <c r="J993" s="10" t="s">
        <v>2686</v>
      </c>
      <c r="T993" s="10">
        <f>743-312</f>
        <v>431</v>
      </c>
      <c r="U993" s="10">
        <f t="shared" ca="1" si="34"/>
        <v>312</v>
      </c>
      <c r="V993" s="10">
        <f t="shared" ca="1" si="35"/>
        <v>743</v>
      </c>
    </row>
    <row r="994" spans="1:31" hidden="1">
      <c r="A994" s="2" t="s">
        <v>1137</v>
      </c>
      <c r="B994" s="2"/>
      <c r="C994" s="2"/>
      <c r="D994" s="2" t="s">
        <v>2546</v>
      </c>
      <c r="E994" s="2" t="s">
        <v>2547</v>
      </c>
      <c r="H994" t="s">
        <v>19</v>
      </c>
      <c r="J994" s="10" t="s">
        <v>2686</v>
      </c>
      <c r="T994" s="10" t="s">
        <v>2696</v>
      </c>
      <c r="U994" s="10" t="str">
        <f t="shared" ca="1" si="34"/>
        <v/>
      </c>
      <c r="V994" s="10" t="str">
        <f t="shared" ca="1" si="35"/>
        <v/>
      </c>
      <c r="AE994" s="10" t="s">
        <v>2645</v>
      </c>
    </row>
    <row r="995" spans="1:31" hidden="1">
      <c r="A995" s="2" t="s">
        <v>1137</v>
      </c>
      <c r="B995" s="2"/>
      <c r="C995" s="2"/>
      <c r="D995" s="2" t="s">
        <v>1139</v>
      </c>
      <c r="E995" s="2" t="s">
        <v>1138</v>
      </c>
      <c r="H995" t="s">
        <v>19</v>
      </c>
      <c r="J995" s="10" t="s">
        <v>2686</v>
      </c>
      <c r="T995" s="10" t="s">
        <v>2696</v>
      </c>
      <c r="U995" s="10" t="str">
        <f t="shared" ca="1" si="34"/>
        <v/>
      </c>
      <c r="V995" s="10" t="str">
        <f t="shared" ca="1" si="35"/>
        <v/>
      </c>
      <c r="AC995" s="10" t="s">
        <v>2697</v>
      </c>
      <c r="AD995" s="10" t="s">
        <v>19</v>
      </c>
      <c r="AE995" s="10" t="s">
        <v>2645</v>
      </c>
    </row>
    <row r="996" spans="1:31" ht="29" hidden="1">
      <c r="A996" s="2" t="s">
        <v>1140</v>
      </c>
      <c r="B996" s="2"/>
      <c r="C996" s="2"/>
      <c r="D996" s="2" t="s">
        <v>2548</v>
      </c>
      <c r="E996" s="2" t="s">
        <v>2549</v>
      </c>
      <c r="H996" t="s">
        <v>19</v>
      </c>
      <c r="J996" s="10" t="s">
        <v>25</v>
      </c>
      <c r="L996" s="10">
        <v>1</v>
      </c>
      <c r="M996" s="10">
        <v>1</v>
      </c>
      <c r="N996" s="10" t="s">
        <v>2646</v>
      </c>
      <c r="O996" s="10" t="s">
        <v>2687</v>
      </c>
      <c r="S996" s="10">
        <v>2475</v>
      </c>
      <c r="U996" s="10" t="str">
        <f t="shared" ca="1" si="34"/>
        <v/>
      </c>
      <c r="V996" s="10" t="str">
        <f t="shared" ca="1" si="35"/>
        <v/>
      </c>
    </row>
    <row r="997" spans="1:31" hidden="1">
      <c r="A997" s="2" t="s">
        <v>1141</v>
      </c>
      <c r="B997" s="2"/>
      <c r="C997" s="2"/>
      <c r="D997" s="2" t="s">
        <v>2550</v>
      </c>
      <c r="E997" s="2" t="s">
        <v>2551</v>
      </c>
      <c r="H997" t="s">
        <v>19</v>
      </c>
      <c r="J997" s="10" t="s">
        <v>2688</v>
      </c>
      <c r="U997" s="10" t="str">
        <f t="shared" ca="1" si="34"/>
        <v/>
      </c>
      <c r="V997" s="10" t="str">
        <f t="shared" ca="1" si="35"/>
        <v/>
      </c>
    </row>
    <row r="998" spans="1:31">
      <c r="A998" s="2" t="s">
        <v>1141</v>
      </c>
      <c r="B998" s="2"/>
      <c r="C998" s="2"/>
      <c r="D998" s="2" t="s">
        <v>1143</v>
      </c>
      <c r="E998" s="3" t="s">
        <v>1142</v>
      </c>
      <c r="F998" t="s">
        <v>32</v>
      </c>
      <c r="I998" t="s">
        <v>2552</v>
      </c>
      <c r="J998" s="10" t="s">
        <v>2688</v>
      </c>
      <c r="U998" s="10" t="str">
        <f t="shared" ca="1" si="34"/>
        <v/>
      </c>
      <c r="V998" s="10" t="str">
        <f t="shared" ca="1" si="35"/>
        <v/>
      </c>
    </row>
    <row r="999" spans="1:31" ht="29" hidden="1">
      <c r="A999" s="2" t="s">
        <v>1144</v>
      </c>
      <c r="B999" s="2"/>
      <c r="C999" s="2"/>
      <c r="D999" s="2" t="s">
        <v>2553</v>
      </c>
      <c r="E999" s="2" t="s">
        <v>2554</v>
      </c>
      <c r="F999" t="s">
        <v>11</v>
      </c>
      <c r="G999" t="s">
        <v>19</v>
      </c>
      <c r="U999" s="10" t="str">
        <f t="shared" ca="1" si="34"/>
        <v/>
      </c>
      <c r="V999" s="10" t="str">
        <f t="shared" ca="1" si="35"/>
        <v/>
      </c>
    </row>
    <row r="1000" spans="1:31" hidden="1">
      <c r="A1000" s="2" t="s">
        <v>1145</v>
      </c>
      <c r="B1000" s="2"/>
      <c r="C1000" s="2"/>
      <c r="D1000" s="2" t="s">
        <v>2555</v>
      </c>
      <c r="E1000" s="2" t="s">
        <v>2556</v>
      </c>
      <c r="J1000" s="10" t="s">
        <v>2688</v>
      </c>
      <c r="U1000" s="10" t="str">
        <f t="shared" ca="1" si="34"/>
        <v/>
      </c>
      <c r="V1000" s="10" t="str">
        <f t="shared" ca="1" si="35"/>
        <v/>
      </c>
    </row>
    <row r="1001" spans="1:31" hidden="1">
      <c r="A1001" s="2" t="s">
        <v>1145</v>
      </c>
      <c r="B1001" s="2"/>
      <c r="C1001" s="2"/>
      <c r="D1001" s="2" t="s">
        <v>1147</v>
      </c>
      <c r="E1001" s="3" t="s">
        <v>1146</v>
      </c>
      <c r="F1001" t="s">
        <v>16</v>
      </c>
      <c r="U1001" s="10" t="str">
        <f t="shared" ca="1" si="34"/>
        <v/>
      </c>
      <c r="V1001" s="10" t="str">
        <f t="shared" ca="1" si="35"/>
        <v/>
      </c>
    </row>
    <row r="1002" spans="1:31" hidden="1">
      <c r="A1002" s="2" t="s">
        <v>1145</v>
      </c>
      <c r="B1002" s="2"/>
      <c r="C1002" s="2"/>
      <c r="D1002" s="3" t="s">
        <v>2557</v>
      </c>
      <c r="E1002" s="2" t="s">
        <v>2558</v>
      </c>
      <c r="F1002" t="s">
        <v>15</v>
      </c>
      <c r="U1002" s="10" t="str">
        <f t="shared" ca="1" si="34"/>
        <v/>
      </c>
      <c r="V1002" s="10" t="str">
        <f t="shared" ca="1" si="35"/>
        <v/>
      </c>
    </row>
    <row r="1003" spans="1:31" hidden="1">
      <c r="A1003" s="2" t="s">
        <v>1148</v>
      </c>
      <c r="B1003" s="2"/>
      <c r="C1003" s="2"/>
      <c r="D1003" s="2" t="s">
        <v>1150</v>
      </c>
      <c r="E1003" s="2" t="s">
        <v>1149</v>
      </c>
      <c r="J1003" s="10" t="s">
        <v>2686</v>
      </c>
      <c r="T1003" s="10" t="s">
        <v>2696</v>
      </c>
      <c r="U1003" s="10" t="str">
        <f t="shared" ca="1" si="34"/>
        <v/>
      </c>
      <c r="V1003" s="10" t="str">
        <f t="shared" ca="1" si="35"/>
        <v/>
      </c>
      <c r="AC1003" s="10" t="s">
        <v>2698</v>
      </c>
      <c r="AD1003" s="10" t="s">
        <v>19</v>
      </c>
    </row>
    <row r="1004" spans="1:31" hidden="1">
      <c r="A1004" s="2" t="s">
        <v>1151</v>
      </c>
      <c r="B1004" s="2"/>
      <c r="C1004" s="2"/>
      <c r="D1004" s="2" t="s">
        <v>2559</v>
      </c>
      <c r="E1004" s="2" t="s">
        <v>2560</v>
      </c>
      <c r="F1004" t="s">
        <v>17</v>
      </c>
      <c r="H1004" t="s">
        <v>19</v>
      </c>
      <c r="J1004" s="10" t="s">
        <v>2686</v>
      </c>
      <c r="T1004" s="10" t="s">
        <v>2696</v>
      </c>
      <c r="U1004" s="10" t="str">
        <f t="shared" ca="1" si="34"/>
        <v/>
      </c>
      <c r="V1004" s="10" t="str">
        <f t="shared" ca="1" si="35"/>
        <v/>
      </c>
      <c r="AE1004" s="10" t="s">
        <v>2645</v>
      </c>
    </row>
    <row r="1005" spans="1:31" hidden="1">
      <c r="A1005" s="2" t="s">
        <v>1151</v>
      </c>
      <c r="B1005" s="2"/>
      <c r="C1005" s="2"/>
      <c r="D1005" s="2" t="s">
        <v>839</v>
      </c>
      <c r="E1005" s="2" t="s">
        <v>1152</v>
      </c>
      <c r="J1005" s="10" t="s">
        <v>2688</v>
      </c>
      <c r="U1005" s="10" t="str">
        <f t="shared" ca="1" si="34"/>
        <v/>
      </c>
      <c r="V1005" s="10" t="str">
        <f t="shared" ca="1" si="35"/>
        <v/>
      </c>
    </row>
    <row r="1006" spans="1:31" hidden="1">
      <c r="A1006" s="2" t="s">
        <v>1153</v>
      </c>
      <c r="B1006" s="2"/>
      <c r="C1006" s="2"/>
      <c r="D1006" s="2" t="s">
        <v>2561</v>
      </c>
      <c r="E1006" s="2" t="s">
        <v>2562</v>
      </c>
      <c r="J1006" s="10" t="s">
        <v>2688</v>
      </c>
      <c r="U1006" s="10" t="str">
        <f t="shared" ca="1" si="34"/>
        <v/>
      </c>
      <c r="V1006" s="10" t="str">
        <f t="shared" ca="1" si="35"/>
        <v/>
      </c>
      <c r="AC1006" s="10" t="s">
        <v>2698</v>
      </c>
      <c r="AD1006" s="10" t="s">
        <v>19</v>
      </c>
    </row>
    <row r="1007" spans="1:31" hidden="1">
      <c r="A1007" s="2" t="s">
        <v>1154</v>
      </c>
      <c r="B1007" s="2"/>
      <c r="C1007" s="2"/>
      <c r="D1007" s="2" t="s">
        <v>2563</v>
      </c>
      <c r="E1007" s="2" t="s">
        <v>2564</v>
      </c>
      <c r="H1007" t="s">
        <v>19</v>
      </c>
      <c r="J1007" s="10" t="s">
        <v>2686</v>
      </c>
      <c r="T1007" s="10" t="s">
        <v>2696</v>
      </c>
      <c r="U1007" s="10" t="str">
        <f t="shared" ca="1" si="34"/>
        <v/>
      </c>
      <c r="V1007" s="10" t="str">
        <f t="shared" ca="1" si="35"/>
        <v/>
      </c>
      <c r="AE1007" s="10" t="s">
        <v>2645</v>
      </c>
    </row>
    <row r="1008" spans="1:31" hidden="1">
      <c r="A1008" s="2" t="s">
        <v>1155</v>
      </c>
      <c r="B1008" s="2"/>
      <c r="C1008" s="2"/>
      <c r="D1008" s="2" t="s">
        <v>2565</v>
      </c>
      <c r="E1008" s="2" t="s">
        <v>1156</v>
      </c>
      <c r="H1008" t="s">
        <v>19</v>
      </c>
      <c r="J1008" s="10" t="s">
        <v>2686</v>
      </c>
      <c r="T1008" s="10" t="s">
        <v>2696</v>
      </c>
      <c r="U1008" s="10" t="str">
        <f t="shared" ca="1" si="34"/>
        <v/>
      </c>
      <c r="V1008" s="10" t="str">
        <f t="shared" ca="1" si="35"/>
        <v/>
      </c>
      <c r="AC1008" s="10" t="s">
        <v>2698</v>
      </c>
      <c r="AD1008" s="10" t="s">
        <v>19</v>
      </c>
      <c r="AE1008" s="10" t="s">
        <v>2645</v>
      </c>
    </row>
    <row r="1009" spans="1:31" hidden="1">
      <c r="A1009" s="2" t="s">
        <v>1157</v>
      </c>
      <c r="B1009" s="2"/>
      <c r="C1009" s="2"/>
      <c r="D1009" s="2" t="s">
        <v>2566</v>
      </c>
      <c r="E1009" s="2" t="s">
        <v>1158</v>
      </c>
      <c r="H1009" t="s">
        <v>19</v>
      </c>
      <c r="J1009" s="10" t="s">
        <v>2688</v>
      </c>
      <c r="Q1009" s="10"/>
      <c r="U1009" s="10" t="str">
        <f t="shared" ca="1" si="34"/>
        <v/>
      </c>
      <c r="V1009" s="10" t="str">
        <f t="shared" ca="1" si="35"/>
        <v/>
      </c>
      <c r="AE1009" s="10" t="s">
        <v>2645</v>
      </c>
    </row>
    <row r="1010" spans="1:31">
      <c r="A1010" s="2" t="s">
        <v>1157</v>
      </c>
      <c r="B1010" s="2"/>
      <c r="C1010" s="2"/>
      <c r="D1010" s="2" t="s">
        <v>2567</v>
      </c>
      <c r="E1010" s="2" t="s">
        <v>2568</v>
      </c>
      <c r="H1010" t="s">
        <v>22</v>
      </c>
      <c r="I1010" t="s">
        <v>2569</v>
      </c>
      <c r="J1010" s="10" t="s">
        <v>2688</v>
      </c>
      <c r="U1010" s="10" t="str">
        <f t="shared" ca="1" si="34"/>
        <v/>
      </c>
      <c r="V1010" s="10" t="str">
        <f t="shared" ca="1" si="35"/>
        <v/>
      </c>
      <c r="AE1010" s="10" t="s">
        <v>2645</v>
      </c>
    </row>
    <row r="1011" spans="1:31">
      <c r="A1011" s="2" t="s">
        <v>1159</v>
      </c>
      <c r="B1011" s="2"/>
      <c r="C1011" s="2"/>
      <c r="D1011" s="2" t="s">
        <v>2770</v>
      </c>
      <c r="E1011" s="2" t="s">
        <v>2771</v>
      </c>
      <c r="H1011" t="s">
        <v>23</v>
      </c>
      <c r="I1011" s="4" t="s">
        <v>2570</v>
      </c>
      <c r="J1011" s="10" t="s">
        <v>2688</v>
      </c>
      <c r="U1011" s="10" t="str">
        <f t="shared" ca="1" si="34"/>
        <v/>
      </c>
      <c r="V1011" s="10" t="str">
        <f t="shared" ca="1" si="35"/>
        <v/>
      </c>
      <c r="AE1011" s="10" t="s">
        <v>2651</v>
      </c>
    </row>
    <row r="1012" spans="1:31" hidden="1">
      <c r="A1012" s="2" t="s">
        <v>1160</v>
      </c>
      <c r="B1012" s="2"/>
      <c r="C1012" s="2"/>
      <c r="D1012" s="2" t="s">
        <v>1162</v>
      </c>
      <c r="E1012" s="2" t="s">
        <v>1161</v>
      </c>
      <c r="J1012" s="10" t="s">
        <v>2686</v>
      </c>
      <c r="T1012" s="10" t="s">
        <v>2696</v>
      </c>
      <c r="U1012" s="10" t="str">
        <f t="shared" ca="1" si="34"/>
        <v/>
      </c>
      <c r="V1012" s="10" t="str">
        <f t="shared" ca="1" si="35"/>
        <v/>
      </c>
      <c r="AE1012" s="10" t="s">
        <v>2654</v>
      </c>
    </row>
    <row r="1013" spans="1:31">
      <c r="A1013" s="2" t="s">
        <v>1163</v>
      </c>
      <c r="B1013" s="2"/>
      <c r="C1013" s="2"/>
      <c r="D1013" s="2" t="s">
        <v>2571</v>
      </c>
      <c r="E1013" s="2" t="s">
        <v>2772</v>
      </c>
      <c r="H1013" t="s">
        <v>22</v>
      </c>
      <c r="I1013" t="s">
        <v>2572</v>
      </c>
      <c r="J1013" s="10" t="s">
        <v>2688</v>
      </c>
      <c r="U1013" s="10" t="str">
        <f t="shared" ref="U1013:U1061" ca="1" si="36">IF(ISNUMBER(T1013),VALUE(MID(_xlfn.FORMULATEXT(T1013),SEARCH("-",_xlfn.FORMULATEXT(T1013))+1,LEN(_xlfn.FORMULATEXT(T1013))-SEARCH("-",_xlfn.FORMULATEXT(T1013)))), "")</f>
        <v/>
      </c>
      <c r="V1013" s="10" t="str">
        <f t="shared" ref="V1013:V1061" ca="1" si="37">IF(ISNUMBER(T1013), VALUE(MID(_xlfn.FORMULATEXT(T1013), 2, SEARCH("-", _xlfn.FORMULATEXT(T1013)) - 2)), "")</f>
        <v/>
      </c>
      <c r="AE1013" s="10" t="s">
        <v>2645</v>
      </c>
    </row>
    <row r="1014" spans="1:31" hidden="1">
      <c r="A1014" s="2" t="s">
        <v>1163</v>
      </c>
      <c r="B1014" s="2"/>
      <c r="C1014" s="2"/>
      <c r="D1014" s="2" t="s">
        <v>2573</v>
      </c>
      <c r="E1014" s="2" t="s">
        <v>2574</v>
      </c>
      <c r="J1014" s="10" t="s">
        <v>2686</v>
      </c>
      <c r="T1014" s="10">
        <f>280-31</f>
        <v>249</v>
      </c>
      <c r="U1014" s="10">
        <f t="shared" ca="1" si="36"/>
        <v>31</v>
      </c>
      <c r="V1014" s="10">
        <f t="shared" ca="1" si="37"/>
        <v>280</v>
      </c>
    </row>
    <row r="1015" spans="1:31" hidden="1">
      <c r="A1015" s="2" t="s">
        <v>1163</v>
      </c>
      <c r="B1015" s="2"/>
      <c r="C1015" s="2"/>
      <c r="D1015" s="2" t="s">
        <v>2575</v>
      </c>
      <c r="E1015" s="2" t="s">
        <v>2576</v>
      </c>
      <c r="J1015" s="10" t="s">
        <v>2688</v>
      </c>
      <c r="U1015" s="10" t="str">
        <f t="shared" ca="1" si="36"/>
        <v/>
      </c>
      <c r="V1015" s="10" t="str">
        <f t="shared" ca="1" si="37"/>
        <v/>
      </c>
      <c r="AE1015" s="10" t="s">
        <v>2645</v>
      </c>
    </row>
    <row r="1016" spans="1:31" ht="29" hidden="1">
      <c r="A1016" s="2" t="s">
        <v>1164</v>
      </c>
      <c r="B1016" s="2"/>
      <c r="C1016" s="2"/>
      <c r="D1016" s="2" t="s">
        <v>2577</v>
      </c>
      <c r="E1016" s="2" t="s">
        <v>2578</v>
      </c>
      <c r="H1016" t="s">
        <v>19</v>
      </c>
      <c r="J1016" s="10" t="s">
        <v>2686</v>
      </c>
      <c r="T1016" s="10" t="s">
        <v>2696</v>
      </c>
      <c r="U1016" s="10" t="str">
        <f t="shared" ca="1" si="36"/>
        <v/>
      </c>
      <c r="V1016" s="10" t="str">
        <f t="shared" ca="1" si="37"/>
        <v/>
      </c>
      <c r="AE1016" s="10" t="s">
        <v>2645</v>
      </c>
    </row>
    <row r="1017" spans="1:31" hidden="1">
      <c r="A1017" s="2" t="s">
        <v>1164</v>
      </c>
      <c r="B1017" s="2"/>
      <c r="C1017" s="2"/>
      <c r="D1017" s="2" t="s">
        <v>2579</v>
      </c>
      <c r="E1017" s="2" t="s">
        <v>1165</v>
      </c>
      <c r="H1017" t="s">
        <v>19</v>
      </c>
      <c r="J1017" s="10" t="s">
        <v>2686</v>
      </c>
      <c r="T1017" s="10" t="s">
        <v>2696</v>
      </c>
      <c r="U1017" s="10" t="str">
        <f t="shared" ca="1" si="36"/>
        <v/>
      </c>
      <c r="V1017" s="10" t="str">
        <f t="shared" ca="1" si="37"/>
        <v/>
      </c>
      <c r="AB1017" s="10" t="s">
        <v>2692</v>
      </c>
      <c r="AD1017" s="10" t="s">
        <v>19</v>
      </c>
    </row>
    <row r="1018" spans="1:31" ht="29">
      <c r="A1018" s="2" t="s">
        <v>1166</v>
      </c>
      <c r="B1018" s="2"/>
      <c r="C1018" s="2"/>
      <c r="D1018" s="2" t="s">
        <v>2794</v>
      </c>
      <c r="E1018" s="2" t="s">
        <v>2795</v>
      </c>
      <c r="I1018" t="s">
        <v>2796</v>
      </c>
      <c r="J1018" s="10" t="s">
        <v>2688</v>
      </c>
      <c r="U1018" s="10" t="str">
        <f t="shared" ca="1" si="36"/>
        <v/>
      </c>
      <c r="V1018" s="10" t="str">
        <f t="shared" ca="1" si="37"/>
        <v/>
      </c>
      <c r="W1018" s="10" t="s">
        <v>4</v>
      </c>
    </row>
    <row r="1019" spans="1:31" hidden="1">
      <c r="A1019" s="2" t="s">
        <v>1167</v>
      </c>
      <c r="B1019" s="2"/>
      <c r="C1019" s="2"/>
      <c r="D1019" s="2" t="s">
        <v>2561</v>
      </c>
      <c r="E1019" s="2" t="s">
        <v>2580</v>
      </c>
      <c r="H1019" t="s">
        <v>19</v>
      </c>
      <c r="J1019" s="10" t="s">
        <v>2688</v>
      </c>
      <c r="U1019" s="10" t="str">
        <f t="shared" ca="1" si="36"/>
        <v/>
      </c>
      <c r="V1019" s="10" t="str">
        <f t="shared" ca="1" si="37"/>
        <v/>
      </c>
      <c r="AB1019" s="10" t="s">
        <v>2798</v>
      </c>
      <c r="AD1019" s="10" t="s">
        <v>19</v>
      </c>
    </row>
    <row r="1020" spans="1:31" hidden="1">
      <c r="A1020" s="2" t="s">
        <v>1167</v>
      </c>
      <c r="B1020" s="2"/>
      <c r="C1020" s="2"/>
      <c r="D1020" s="2" t="s">
        <v>2773</v>
      </c>
      <c r="E1020" s="2" t="s">
        <v>2774</v>
      </c>
      <c r="G1020" t="s">
        <v>19</v>
      </c>
      <c r="J1020" s="10" t="s">
        <v>2686</v>
      </c>
      <c r="T1020" s="10" t="s">
        <v>2696</v>
      </c>
      <c r="U1020" s="10" t="str">
        <f t="shared" ca="1" si="36"/>
        <v/>
      </c>
      <c r="V1020" s="10" t="str">
        <f t="shared" ca="1" si="37"/>
        <v/>
      </c>
      <c r="AE1020" s="10" t="s">
        <v>2654</v>
      </c>
    </row>
    <row r="1021" spans="1:31" hidden="1">
      <c r="A1021" s="2" t="s">
        <v>1168</v>
      </c>
      <c r="B1021" s="2"/>
      <c r="C1021" s="2"/>
      <c r="D1021" s="2" t="s">
        <v>2581</v>
      </c>
      <c r="E1021" s="2" t="s">
        <v>2582</v>
      </c>
      <c r="J1021" s="10" t="s">
        <v>2686</v>
      </c>
      <c r="T1021" s="10" t="s">
        <v>2696</v>
      </c>
      <c r="U1021" s="10" t="str">
        <f t="shared" ca="1" si="36"/>
        <v/>
      </c>
      <c r="V1021" s="10" t="str">
        <f t="shared" ca="1" si="37"/>
        <v/>
      </c>
      <c r="AE1021" s="10" t="s">
        <v>2645</v>
      </c>
    </row>
    <row r="1022" spans="1:31" hidden="1">
      <c r="A1022" s="2" t="s">
        <v>1168</v>
      </c>
      <c r="B1022" s="2"/>
      <c r="C1022" s="2"/>
      <c r="D1022" s="3" t="s">
        <v>1170</v>
      </c>
      <c r="E1022" s="2" t="s">
        <v>1169</v>
      </c>
      <c r="F1022" t="s">
        <v>15</v>
      </c>
      <c r="U1022" s="10" t="str">
        <f t="shared" ca="1" si="36"/>
        <v/>
      </c>
      <c r="V1022" s="10" t="str">
        <f t="shared" ca="1" si="37"/>
        <v/>
      </c>
    </row>
    <row r="1023" spans="1:31" hidden="1">
      <c r="A1023" s="2" t="s">
        <v>1171</v>
      </c>
      <c r="B1023" s="2"/>
      <c r="C1023" s="2"/>
      <c r="D1023" s="2" t="s">
        <v>2583</v>
      </c>
      <c r="E1023" s="2" t="s">
        <v>2584</v>
      </c>
      <c r="J1023" s="10" t="s">
        <v>2688</v>
      </c>
      <c r="U1023" s="10" t="str">
        <f t="shared" ca="1" si="36"/>
        <v/>
      </c>
      <c r="V1023" s="10" t="str">
        <f t="shared" ca="1" si="37"/>
        <v/>
      </c>
    </row>
    <row r="1024" spans="1:31" hidden="1">
      <c r="A1024" s="2" t="s">
        <v>1171</v>
      </c>
      <c r="B1024" s="2"/>
      <c r="C1024" s="2"/>
      <c r="D1024" s="2" t="s">
        <v>1173</v>
      </c>
      <c r="E1024" s="3" t="s">
        <v>1172</v>
      </c>
      <c r="F1024" t="s">
        <v>16</v>
      </c>
      <c r="U1024" s="10" t="str">
        <f t="shared" ca="1" si="36"/>
        <v/>
      </c>
      <c r="V1024" s="10" t="str">
        <f t="shared" ca="1" si="37"/>
        <v/>
      </c>
    </row>
    <row r="1025" spans="1:31">
      <c r="A1025" s="2" t="s">
        <v>1171</v>
      </c>
      <c r="B1025" s="2"/>
      <c r="C1025" s="2"/>
      <c r="D1025" s="2" t="s">
        <v>2585</v>
      </c>
      <c r="E1025" s="2" t="s">
        <v>2586</v>
      </c>
      <c r="I1025" s="4"/>
      <c r="J1025" s="10" t="s">
        <v>2686</v>
      </c>
      <c r="T1025" s="10" t="s">
        <v>2696</v>
      </c>
      <c r="U1025" s="10" t="str">
        <f t="shared" ca="1" si="36"/>
        <v/>
      </c>
      <c r="V1025" s="10" t="str">
        <f t="shared" ca="1" si="37"/>
        <v/>
      </c>
      <c r="AE1025" s="10" t="s">
        <v>2654</v>
      </c>
    </row>
    <row r="1026" spans="1:31" hidden="1">
      <c r="A1026" s="2" t="s">
        <v>1174</v>
      </c>
      <c r="B1026" s="2"/>
      <c r="C1026" s="2"/>
      <c r="D1026" s="2" t="s">
        <v>2587</v>
      </c>
      <c r="E1026" s="2" t="s">
        <v>1175</v>
      </c>
      <c r="H1026" t="s">
        <v>19</v>
      </c>
      <c r="J1026" s="10" t="s">
        <v>2686</v>
      </c>
      <c r="T1026" s="10" t="s">
        <v>2696</v>
      </c>
      <c r="U1026" s="10" t="str">
        <f t="shared" ca="1" si="36"/>
        <v/>
      </c>
      <c r="V1026" s="10" t="str">
        <f t="shared" ca="1" si="37"/>
        <v/>
      </c>
      <c r="AE1026" s="10" t="s">
        <v>2645</v>
      </c>
    </row>
    <row r="1027" spans="1:31" hidden="1">
      <c r="A1027" s="2" t="s">
        <v>1174</v>
      </c>
      <c r="B1027" s="2"/>
      <c r="C1027" s="2"/>
      <c r="D1027" s="2" t="s">
        <v>2929</v>
      </c>
      <c r="E1027" s="2" t="s">
        <v>2588</v>
      </c>
      <c r="G1027" t="s">
        <v>19</v>
      </c>
      <c r="J1027" s="10" t="s">
        <v>2686</v>
      </c>
      <c r="T1027" s="10">
        <f>109-7</f>
        <v>102</v>
      </c>
      <c r="U1027" s="10">
        <f t="shared" ca="1" si="36"/>
        <v>7</v>
      </c>
      <c r="V1027" s="10">
        <f t="shared" ca="1" si="37"/>
        <v>109</v>
      </c>
    </row>
    <row r="1028" spans="1:31" hidden="1">
      <c r="A1028" s="2" t="s">
        <v>1176</v>
      </c>
      <c r="B1028" s="2"/>
      <c r="C1028" s="2"/>
      <c r="D1028" s="3" t="s">
        <v>1178</v>
      </c>
      <c r="E1028" s="2" t="s">
        <v>1177</v>
      </c>
      <c r="F1028" t="s">
        <v>15</v>
      </c>
      <c r="U1028" s="10" t="str">
        <f t="shared" ca="1" si="36"/>
        <v/>
      </c>
      <c r="V1028" s="10" t="str">
        <f t="shared" ca="1" si="37"/>
        <v/>
      </c>
    </row>
    <row r="1029" spans="1:31" hidden="1">
      <c r="A1029" s="2" t="s">
        <v>1176</v>
      </c>
      <c r="B1029" s="2"/>
      <c r="C1029" s="2"/>
      <c r="D1029" s="2" t="s">
        <v>2589</v>
      </c>
      <c r="E1029" s="2" t="s">
        <v>2590</v>
      </c>
      <c r="H1029" t="s">
        <v>19</v>
      </c>
      <c r="J1029" s="10" t="s">
        <v>2686</v>
      </c>
      <c r="T1029" s="10" t="s">
        <v>2696</v>
      </c>
      <c r="U1029" s="10" t="str">
        <f t="shared" ca="1" si="36"/>
        <v/>
      </c>
      <c r="V1029" s="10" t="str">
        <f t="shared" ca="1" si="37"/>
        <v/>
      </c>
      <c r="AE1029" s="10" t="s">
        <v>2645</v>
      </c>
    </row>
    <row r="1030" spans="1:31">
      <c r="A1030" s="2" t="s">
        <v>1179</v>
      </c>
      <c r="B1030" s="2"/>
      <c r="C1030" s="2"/>
      <c r="D1030" s="2" t="s">
        <v>2591</v>
      </c>
      <c r="E1030" s="2" t="s">
        <v>2592</v>
      </c>
      <c r="I1030" s="4"/>
      <c r="J1030" s="10" t="s">
        <v>25</v>
      </c>
      <c r="L1030" s="10">
        <v>1</v>
      </c>
      <c r="M1030" s="10">
        <v>4</v>
      </c>
      <c r="N1030" s="10" t="s">
        <v>2660</v>
      </c>
      <c r="O1030" s="10" t="s">
        <v>2647</v>
      </c>
      <c r="S1030" s="10">
        <v>0</v>
      </c>
      <c r="U1030" s="10" t="str">
        <f t="shared" ca="1" si="36"/>
        <v/>
      </c>
      <c r="V1030" s="10" t="str">
        <f t="shared" ca="1" si="37"/>
        <v/>
      </c>
      <c r="AE1030" s="10" t="s">
        <v>2651</v>
      </c>
    </row>
    <row r="1031" spans="1:31" ht="58">
      <c r="A1031" s="2" t="s">
        <v>1179</v>
      </c>
      <c r="B1031" s="2"/>
      <c r="C1031" s="2"/>
      <c r="D1031" s="2" t="s">
        <v>2593</v>
      </c>
      <c r="E1031" s="2" t="s">
        <v>2594</v>
      </c>
      <c r="H1031" t="s">
        <v>19</v>
      </c>
      <c r="I1031" t="s">
        <v>2775</v>
      </c>
      <c r="J1031" s="10" t="s">
        <v>25</v>
      </c>
      <c r="L1031" s="10">
        <v>13</v>
      </c>
      <c r="M1031" s="10">
        <v>53</v>
      </c>
      <c r="O1031" s="10" t="s">
        <v>2641</v>
      </c>
      <c r="P1031" s="10" t="s">
        <v>2712</v>
      </c>
      <c r="Q1031" s="11" t="s">
        <v>2754</v>
      </c>
      <c r="S1031" s="10">
        <v>3</v>
      </c>
      <c r="U1031" s="10" t="str">
        <f t="shared" ca="1" si="36"/>
        <v/>
      </c>
      <c r="V1031" s="10" t="str">
        <f t="shared" ca="1" si="37"/>
        <v/>
      </c>
    </row>
    <row r="1032" spans="1:31" hidden="1">
      <c r="A1032" s="2" t="s">
        <v>1180</v>
      </c>
      <c r="B1032" s="2"/>
      <c r="C1032" s="2"/>
      <c r="D1032" s="2" t="s">
        <v>2930</v>
      </c>
      <c r="E1032" s="2" t="s">
        <v>2951</v>
      </c>
      <c r="J1032" s="10" t="s">
        <v>2688</v>
      </c>
      <c r="U1032" s="10" t="str">
        <f t="shared" ca="1" si="36"/>
        <v/>
      </c>
      <c r="V1032" s="10" t="str">
        <f t="shared" ca="1" si="37"/>
        <v/>
      </c>
    </row>
    <row r="1033" spans="1:31" hidden="1">
      <c r="A1033" s="2" t="s">
        <v>1180</v>
      </c>
      <c r="B1033" s="2"/>
      <c r="C1033" s="2"/>
      <c r="D1033" s="2" t="s">
        <v>2931</v>
      </c>
      <c r="E1033" s="2" t="s">
        <v>2952</v>
      </c>
      <c r="H1033" t="s">
        <v>19</v>
      </c>
      <c r="J1033" s="10" t="s">
        <v>2686</v>
      </c>
      <c r="T1033" s="10">
        <f>26-79</f>
        <v>-53</v>
      </c>
      <c r="U1033" s="10">
        <f t="shared" ca="1" si="36"/>
        <v>79</v>
      </c>
      <c r="V1033" s="10">
        <f t="shared" ca="1" si="37"/>
        <v>26</v>
      </c>
      <c r="AC1033" s="10" t="s">
        <v>2697</v>
      </c>
      <c r="AD1033" s="10" t="s">
        <v>19</v>
      </c>
    </row>
    <row r="1034" spans="1:31" hidden="1">
      <c r="A1034" s="2" t="s">
        <v>1180</v>
      </c>
      <c r="B1034" s="2"/>
      <c r="C1034" s="2"/>
      <c r="D1034" s="2" t="s">
        <v>2595</v>
      </c>
      <c r="E1034" s="2" t="s">
        <v>2596</v>
      </c>
      <c r="H1034" t="s">
        <v>19</v>
      </c>
      <c r="J1034" s="10" t="s">
        <v>2686</v>
      </c>
      <c r="T1034" s="10">
        <f>0-2475</f>
        <v>-2475</v>
      </c>
      <c r="U1034" s="10">
        <f t="shared" ca="1" si="36"/>
        <v>2475</v>
      </c>
      <c r="V1034" s="10">
        <f t="shared" ca="1" si="37"/>
        <v>0</v>
      </c>
    </row>
    <row r="1035" spans="1:31" hidden="1">
      <c r="A1035" s="2" t="s">
        <v>1181</v>
      </c>
      <c r="B1035" s="2"/>
      <c r="C1035" s="2"/>
      <c r="D1035" s="2" t="s">
        <v>808</v>
      </c>
      <c r="E1035" s="2" t="s">
        <v>1182</v>
      </c>
      <c r="H1035" t="s">
        <v>19</v>
      </c>
      <c r="J1035" s="10" t="s">
        <v>2686</v>
      </c>
      <c r="T1035" s="10" t="s">
        <v>2687</v>
      </c>
      <c r="U1035" s="10" t="str">
        <f t="shared" ca="1" si="36"/>
        <v/>
      </c>
      <c r="V1035" s="10" t="str">
        <f t="shared" ca="1" si="37"/>
        <v/>
      </c>
      <c r="AE1035" s="10" t="s">
        <v>2645</v>
      </c>
    </row>
    <row r="1036" spans="1:31" hidden="1">
      <c r="A1036" s="2" t="s">
        <v>1183</v>
      </c>
      <c r="B1036" s="2"/>
      <c r="C1036" s="2"/>
      <c r="D1036" s="2" t="s">
        <v>2597</v>
      </c>
      <c r="E1036" s="2" t="s">
        <v>1184</v>
      </c>
      <c r="H1036" t="s">
        <v>19</v>
      </c>
      <c r="J1036" s="10" t="s">
        <v>2688</v>
      </c>
      <c r="U1036" s="10" t="str">
        <f t="shared" ca="1" si="36"/>
        <v/>
      </c>
      <c r="V1036" s="10" t="str">
        <f t="shared" ca="1" si="37"/>
        <v/>
      </c>
      <c r="AE1036" s="10" t="s">
        <v>2651</v>
      </c>
    </row>
    <row r="1037" spans="1:31" hidden="1">
      <c r="A1037" s="2" t="s">
        <v>1183</v>
      </c>
      <c r="B1037" s="2"/>
      <c r="C1037" s="2"/>
      <c r="D1037" s="2" t="s">
        <v>2598</v>
      </c>
      <c r="E1037" s="2" t="s">
        <v>2599</v>
      </c>
      <c r="H1037" t="s">
        <v>19</v>
      </c>
      <c r="J1037" s="10" t="s">
        <v>2686</v>
      </c>
      <c r="T1037" s="10" t="s">
        <v>2687</v>
      </c>
      <c r="U1037" s="10" t="str">
        <f t="shared" ca="1" si="36"/>
        <v/>
      </c>
      <c r="V1037" s="10" t="str">
        <f t="shared" ca="1" si="37"/>
        <v/>
      </c>
      <c r="AE1037" s="10" t="s">
        <v>2645</v>
      </c>
    </row>
    <row r="1038" spans="1:31">
      <c r="A1038" s="2" t="s">
        <v>1183</v>
      </c>
      <c r="B1038" s="2"/>
      <c r="C1038" s="2"/>
      <c r="D1038" s="2" t="s">
        <v>224</v>
      </c>
      <c r="E1038" s="2" t="s">
        <v>509</v>
      </c>
      <c r="J1038" s="10" t="s">
        <v>2688</v>
      </c>
      <c r="U1038" s="10" t="str">
        <f t="shared" ca="1" si="36"/>
        <v/>
      </c>
      <c r="V1038" s="10" t="str">
        <f t="shared" ca="1" si="37"/>
        <v/>
      </c>
      <c r="AE1038" s="10" t="s">
        <v>2651</v>
      </c>
    </row>
    <row r="1039" spans="1:31" hidden="1">
      <c r="A1039" s="2" t="s">
        <v>1185</v>
      </c>
      <c r="B1039" s="2"/>
      <c r="C1039" s="2"/>
      <c r="D1039" s="2" t="s">
        <v>2600</v>
      </c>
      <c r="E1039" s="2" t="s">
        <v>2601</v>
      </c>
      <c r="H1039" t="s">
        <v>19</v>
      </c>
      <c r="J1039" s="10" t="s">
        <v>2686</v>
      </c>
      <c r="T1039" s="10">
        <f>312-743</f>
        <v>-431</v>
      </c>
      <c r="U1039" s="10">
        <f t="shared" ca="1" si="36"/>
        <v>743</v>
      </c>
      <c r="V1039" s="10">
        <f t="shared" ca="1" si="37"/>
        <v>312</v>
      </c>
    </row>
    <row r="1040" spans="1:31" hidden="1">
      <c r="A1040" s="2" t="s">
        <v>1185</v>
      </c>
      <c r="B1040" s="2"/>
      <c r="C1040" s="2"/>
      <c r="D1040" s="2" t="s">
        <v>2602</v>
      </c>
      <c r="E1040" s="2" t="s">
        <v>2603</v>
      </c>
      <c r="J1040" s="10" t="s">
        <v>2688</v>
      </c>
      <c r="U1040" s="10" t="str">
        <f t="shared" ca="1" si="36"/>
        <v/>
      </c>
      <c r="V1040" s="10" t="str">
        <f t="shared" ca="1" si="37"/>
        <v/>
      </c>
      <c r="AB1040" s="10" t="s">
        <v>2650</v>
      </c>
      <c r="AD1040" s="10" t="s">
        <v>19</v>
      </c>
    </row>
    <row r="1041" spans="1:31" hidden="1">
      <c r="A1041" s="2" t="s">
        <v>1186</v>
      </c>
      <c r="B1041" s="2"/>
      <c r="C1041" s="2"/>
      <c r="D1041" s="2" t="s">
        <v>2604</v>
      </c>
      <c r="E1041" s="2" t="s">
        <v>1187</v>
      </c>
      <c r="H1041" t="s">
        <v>19</v>
      </c>
      <c r="J1041" s="10" t="s">
        <v>2686</v>
      </c>
      <c r="T1041" s="10">
        <f>0-21</f>
        <v>-21</v>
      </c>
      <c r="U1041" s="10">
        <f t="shared" ca="1" si="36"/>
        <v>21</v>
      </c>
      <c r="V1041" s="10">
        <f t="shared" ca="1" si="37"/>
        <v>0</v>
      </c>
    </row>
    <row r="1042" spans="1:31">
      <c r="A1042" s="2" t="s">
        <v>1188</v>
      </c>
      <c r="B1042" s="2"/>
      <c r="C1042" s="2"/>
      <c r="D1042" s="2" t="s">
        <v>2605</v>
      </c>
      <c r="E1042" s="2" t="s">
        <v>2606</v>
      </c>
      <c r="H1042" t="s">
        <v>23</v>
      </c>
      <c r="J1042" s="10" t="s">
        <v>2688</v>
      </c>
      <c r="U1042" s="10" t="str">
        <f t="shared" ca="1" si="36"/>
        <v/>
      </c>
      <c r="V1042" s="10" t="str">
        <f t="shared" ca="1" si="37"/>
        <v/>
      </c>
    </row>
    <row r="1043" spans="1:31" hidden="1">
      <c r="A1043" s="2" t="s">
        <v>1188</v>
      </c>
      <c r="B1043" s="2"/>
      <c r="C1043" s="2"/>
      <c r="D1043" s="2" t="s">
        <v>2607</v>
      </c>
      <c r="E1043" s="2" t="s">
        <v>2608</v>
      </c>
      <c r="H1043" t="s">
        <v>19</v>
      </c>
      <c r="J1043" s="10" t="s">
        <v>2686</v>
      </c>
      <c r="T1043" s="10" t="s">
        <v>2696</v>
      </c>
      <c r="U1043" s="10" t="str">
        <f t="shared" ca="1" si="36"/>
        <v/>
      </c>
      <c r="V1043" s="10" t="str">
        <f t="shared" ca="1" si="37"/>
        <v/>
      </c>
      <c r="AE1043" s="10" t="s">
        <v>2645</v>
      </c>
    </row>
    <row r="1044" spans="1:31" ht="29" hidden="1">
      <c r="A1044" s="2" t="s">
        <v>1188</v>
      </c>
      <c r="B1044" s="2"/>
      <c r="C1044" s="2"/>
      <c r="D1044" s="2" t="s">
        <v>2776</v>
      </c>
      <c r="E1044" s="2" t="s">
        <v>2777</v>
      </c>
      <c r="H1044" t="s">
        <v>19</v>
      </c>
      <c r="J1044" s="10" t="s">
        <v>2688</v>
      </c>
      <c r="U1044" s="10" t="str">
        <f t="shared" ca="1" si="36"/>
        <v/>
      </c>
      <c r="V1044" s="10" t="str">
        <f t="shared" ca="1" si="37"/>
        <v/>
      </c>
    </row>
    <row r="1045" spans="1:31">
      <c r="A1045" s="2" t="s">
        <v>1188</v>
      </c>
      <c r="B1045" s="2"/>
      <c r="C1045" s="2"/>
      <c r="D1045" s="2" t="s">
        <v>1190</v>
      </c>
      <c r="E1045" s="2" t="s">
        <v>1189</v>
      </c>
      <c r="I1045" t="s">
        <v>2778</v>
      </c>
      <c r="J1045" s="10" t="s">
        <v>2686</v>
      </c>
      <c r="T1045" s="10">
        <f>0-13</f>
        <v>-13</v>
      </c>
      <c r="U1045" s="10">
        <f t="shared" ca="1" si="36"/>
        <v>13</v>
      </c>
      <c r="V1045" s="10">
        <f t="shared" ca="1" si="37"/>
        <v>0</v>
      </c>
      <c r="AE1045" s="10" t="s">
        <v>2645</v>
      </c>
    </row>
    <row r="1046" spans="1:31" hidden="1">
      <c r="A1046" s="2" t="s">
        <v>1191</v>
      </c>
      <c r="B1046" s="2"/>
      <c r="C1046" s="2"/>
      <c r="D1046" s="2" t="s">
        <v>2609</v>
      </c>
      <c r="E1046" s="2" t="s">
        <v>2610</v>
      </c>
      <c r="J1046" s="10" t="s">
        <v>2688</v>
      </c>
      <c r="U1046" s="10" t="str">
        <f t="shared" ca="1" si="36"/>
        <v/>
      </c>
      <c r="V1046" s="10" t="str">
        <f t="shared" ca="1" si="37"/>
        <v/>
      </c>
      <c r="AC1046" s="10" t="s">
        <v>2709</v>
      </c>
      <c r="AD1046" s="10" t="s">
        <v>19</v>
      </c>
    </row>
    <row r="1047" spans="1:31" hidden="1">
      <c r="A1047" s="2" t="s">
        <v>1191</v>
      </c>
      <c r="B1047" s="2"/>
      <c r="C1047" s="2"/>
      <c r="D1047" s="2" t="s">
        <v>1193</v>
      </c>
      <c r="E1047" s="2" t="s">
        <v>1192</v>
      </c>
      <c r="H1047" t="s">
        <v>19</v>
      </c>
      <c r="J1047" s="10" t="s">
        <v>2688</v>
      </c>
      <c r="U1047" s="10" t="str">
        <f t="shared" ca="1" si="36"/>
        <v/>
      </c>
      <c r="V1047" s="10" t="str">
        <f t="shared" ca="1" si="37"/>
        <v/>
      </c>
      <c r="AC1047" s="10" t="s">
        <v>2697</v>
      </c>
      <c r="AD1047" s="10" t="s">
        <v>19</v>
      </c>
    </row>
    <row r="1048" spans="1:31" hidden="1">
      <c r="A1048" s="2" t="s">
        <v>1191</v>
      </c>
      <c r="B1048" s="2"/>
      <c r="C1048" s="2"/>
      <c r="D1048" s="2" t="s">
        <v>2611</v>
      </c>
      <c r="E1048" s="2" t="s">
        <v>2612</v>
      </c>
      <c r="J1048" s="10" t="s">
        <v>2688</v>
      </c>
      <c r="U1048" s="10" t="str">
        <f t="shared" ca="1" si="36"/>
        <v/>
      </c>
      <c r="V1048" s="10" t="str">
        <f t="shared" ca="1" si="37"/>
        <v/>
      </c>
      <c r="AE1048" s="10" t="s">
        <v>2651</v>
      </c>
    </row>
    <row r="1049" spans="1:31" hidden="1">
      <c r="A1049" s="2" t="s">
        <v>1194</v>
      </c>
      <c r="B1049" s="2"/>
      <c r="C1049" s="2"/>
      <c r="D1049" s="2" t="s">
        <v>1196</v>
      </c>
      <c r="E1049" s="2" t="s">
        <v>1195</v>
      </c>
      <c r="J1049" s="10" t="s">
        <v>2688</v>
      </c>
      <c r="U1049" s="10" t="str">
        <f t="shared" ca="1" si="36"/>
        <v/>
      </c>
      <c r="V1049" s="10" t="str">
        <f t="shared" ca="1" si="37"/>
        <v/>
      </c>
      <c r="AC1049" s="10" t="s">
        <v>2699</v>
      </c>
      <c r="AD1049" s="10" t="s">
        <v>19</v>
      </c>
    </row>
    <row r="1050" spans="1:31" hidden="1">
      <c r="A1050" s="2" t="s">
        <v>1194</v>
      </c>
      <c r="B1050" s="2"/>
      <c r="C1050" s="2"/>
      <c r="D1050" s="2" t="s">
        <v>2613</v>
      </c>
      <c r="E1050" s="2" t="s">
        <v>2614</v>
      </c>
      <c r="H1050" t="s">
        <v>19</v>
      </c>
      <c r="J1050" s="10" t="s">
        <v>2688</v>
      </c>
      <c r="U1050" s="10" t="str">
        <f t="shared" ca="1" si="36"/>
        <v/>
      </c>
      <c r="V1050" s="10" t="str">
        <f t="shared" ca="1" si="37"/>
        <v/>
      </c>
    </row>
    <row r="1051" spans="1:31" hidden="1">
      <c r="A1051" s="2" t="s">
        <v>1194</v>
      </c>
      <c r="B1051" s="2"/>
      <c r="C1051" s="2"/>
      <c r="D1051" s="2" t="s">
        <v>2616</v>
      </c>
      <c r="E1051" s="2" t="s">
        <v>2615</v>
      </c>
      <c r="H1051" t="s">
        <v>19</v>
      </c>
      <c r="J1051" s="10" t="s">
        <v>2686</v>
      </c>
      <c r="T1051" s="10">
        <f>613-166</f>
        <v>447</v>
      </c>
      <c r="U1051" s="10">
        <f t="shared" ca="1" si="36"/>
        <v>166</v>
      </c>
      <c r="V1051" s="10">
        <f t="shared" ca="1" si="37"/>
        <v>613</v>
      </c>
    </row>
    <row r="1052" spans="1:31" hidden="1">
      <c r="A1052" s="2" t="s">
        <v>1197</v>
      </c>
      <c r="B1052" s="2"/>
      <c r="C1052" s="2"/>
      <c r="D1052" s="2" t="s">
        <v>803</v>
      </c>
      <c r="E1052" s="2" t="s">
        <v>1198</v>
      </c>
      <c r="H1052" t="s">
        <v>19</v>
      </c>
      <c r="J1052" s="10" t="s">
        <v>2686</v>
      </c>
      <c r="T1052" s="10" t="s">
        <v>2696</v>
      </c>
      <c r="U1052" s="10" t="str">
        <f t="shared" ca="1" si="36"/>
        <v/>
      </c>
      <c r="V1052" s="10" t="str">
        <f t="shared" ca="1" si="37"/>
        <v/>
      </c>
      <c r="AE1052" s="10" t="s">
        <v>2645</v>
      </c>
    </row>
    <row r="1053" spans="1:31" hidden="1">
      <c r="A1053" s="2" t="s">
        <v>1199</v>
      </c>
      <c r="B1053" s="2"/>
      <c r="C1053" s="2"/>
      <c r="D1053" s="2" t="s">
        <v>1201</v>
      </c>
      <c r="E1053" s="2" t="s">
        <v>1200</v>
      </c>
      <c r="J1053" s="10" t="s">
        <v>2686</v>
      </c>
      <c r="T1053" s="10" t="s">
        <v>2696</v>
      </c>
      <c r="U1053" s="10" t="str">
        <f t="shared" ca="1" si="36"/>
        <v/>
      </c>
      <c r="V1053" s="10" t="str">
        <f t="shared" ca="1" si="37"/>
        <v/>
      </c>
      <c r="AC1053" s="10" t="s">
        <v>2709</v>
      </c>
      <c r="AD1053" s="10" t="s">
        <v>19</v>
      </c>
    </row>
    <row r="1054" spans="1:31" hidden="1">
      <c r="A1054" s="2" t="s">
        <v>1199</v>
      </c>
      <c r="B1054" s="2"/>
      <c r="C1054" s="2"/>
      <c r="D1054" s="13" t="s">
        <v>2617</v>
      </c>
      <c r="E1054" s="2" t="s">
        <v>2618</v>
      </c>
      <c r="H1054" t="s">
        <v>19</v>
      </c>
      <c r="J1054" s="10" t="s">
        <v>2686</v>
      </c>
      <c r="T1054" s="10" t="s">
        <v>2696</v>
      </c>
      <c r="U1054" s="10" t="str">
        <f t="shared" ca="1" si="36"/>
        <v/>
      </c>
      <c r="V1054" s="10" t="str">
        <f t="shared" ca="1" si="37"/>
        <v/>
      </c>
      <c r="AE1054" s="10" t="s">
        <v>2645</v>
      </c>
    </row>
    <row r="1055" spans="1:31">
      <c r="A1055" s="2" t="s">
        <v>1199</v>
      </c>
      <c r="B1055" s="2"/>
      <c r="C1055" s="2"/>
      <c r="D1055" s="2" t="s">
        <v>2619</v>
      </c>
      <c r="E1055" s="2" t="s">
        <v>2619</v>
      </c>
      <c r="G1055" t="s">
        <v>20</v>
      </c>
      <c r="I1055" t="s">
        <v>2620</v>
      </c>
      <c r="U1055" s="10" t="str">
        <f t="shared" ca="1" si="36"/>
        <v/>
      </c>
      <c r="V1055" s="10" t="str">
        <f t="shared" ca="1" si="37"/>
        <v/>
      </c>
    </row>
    <row r="1056" spans="1:31" hidden="1">
      <c r="A1056" s="2" t="s">
        <v>1199</v>
      </c>
      <c r="B1056" s="2"/>
      <c r="C1056" s="2"/>
      <c r="D1056" s="2" t="s">
        <v>2621</v>
      </c>
      <c r="E1056" s="2" t="s">
        <v>2622</v>
      </c>
      <c r="H1056" t="s">
        <v>19</v>
      </c>
      <c r="J1056" s="10" t="s">
        <v>2688</v>
      </c>
      <c r="U1056" s="10" t="str">
        <f t="shared" ca="1" si="36"/>
        <v/>
      </c>
      <c r="V1056" s="10" t="str">
        <f t="shared" ca="1" si="37"/>
        <v/>
      </c>
      <c r="AE1056" s="10" t="s">
        <v>2651</v>
      </c>
    </row>
    <row r="1057" spans="1:31">
      <c r="A1057" s="2" t="s">
        <v>1202</v>
      </c>
      <c r="B1057" s="2"/>
      <c r="C1057" s="2"/>
      <c r="D1057" s="5" t="s">
        <v>2623</v>
      </c>
      <c r="E1057" s="2" t="s">
        <v>2624</v>
      </c>
      <c r="H1057" t="s">
        <v>19</v>
      </c>
      <c r="J1057" s="10" t="s">
        <v>30</v>
      </c>
      <c r="U1057" s="10" t="str">
        <f t="shared" ca="1" si="36"/>
        <v/>
      </c>
      <c r="V1057" s="10" t="str">
        <f t="shared" ca="1" si="37"/>
        <v/>
      </c>
    </row>
    <row r="1058" spans="1:31" hidden="1">
      <c r="A1058" s="2" t="s">
        <v>1203</v>
      </c>
      <c r="B1058" s="2"/>
      <c r="C1058" s="2"/>
      <c r="D1058" s="2" t="s">
        <v>2625</v>
      </c>
      <c r="E1058" s="2" t="s">
        <v>2626</v>
      </c>
      <c r="H1058" t="s">
        <v>19</v>
      </c>
      <c r="J1058" s="10" t="s">
        <v>2686</v>
      </c>
      <c r="T1058" s="10" t="s">
        <v>2696</v>
      </c>
      <c r="U1058" s="10" t="str">
        <f t="shared" ca="1" si="36"/>
        <v/>
      </c>
      <c r="V1058" s="10" t="str">
        <f t="shared" ca="1" si="37"/>
        <v/>
      </c>
      <c r="AE1058" s="10" t="s">
        <v>2645</v>
      </c>
    </row>
    <row r="1059" spans="1:31" ht="29" hidden="1">
      <c r="A1059" s="2" t="s">
        <v>1204</v>
      </c>
      <c r="B1059" s="2"/>
      <c r="C1059" s="2"/>
      <c r="D1059" s="2" t="s">
        <v>2627</v>
      </c>
      <c r="E1059" s="2" t="s">
        <v>2628</v>
      </c>
      <c r="J1059" s="10" t="s">
        <v>2688</v>
      </c>
      <c r="U1059" s="10" t="str">
        <f t="shared" ca="1" si="36"/>
        <v/>
      </c>
      <c r="V1059" s="10" t="str">
        <f t="shared" ca="1" si="37"/>
        <v/>
      </c>
    </row>
    <row r="1060" spans="1:31" hidden="1">
      <c r="A1060" s="2" t="s">
        <v>1204</v>
      </c>
      <c r="B1060" s="2"/>
      <c r="C1060" s="2"/>
      <c r="D1060" s="2" t="s">
        <v>2629</v>
      </c>
      <c r="E1060" t="s">
        <v>2630</v>
      </c>
      <c r="J1060" s="10" t="s">
        <v>2686</v>
      </c>
      <c r="T1060" s="10" t="s">
        <v>2696</v>
      </c>
      <c r="U1060" s="10" t="str">
        <f t="shared" ca="1" si="36"/>
        <v/>
      </c>
      <c r="V1060" s="10" t="str">
        <f t="shared" ca="1" si="37"/>
        <v/>
      </c>
      <c r="AE1060" s="10" t="s">
        <v>2654</v>
      </c>
    </row>
    <row r="1061" spans="1:31" hidden="1">
      <c r="A1061" s="2" t="s">
        <v>1205</v>
      </c>
      <c r="B1061" s="2"/>
      <c r="C1061" s="2"/>
      <c r="D1061" s="2" t="s">
        <v>2631</v>
      </c>
      <c r="E1061" s="2" t="s">
        <v>2632</v>
      </c>
      <c r="J1061" s="10" t="s">
        <v>2686</v>
      </c>
      <c r="T1061" s="10">
        <f>2475-75</f>
        <v>2400</v>
      </c>
      <c r="U1061" s="10">
        <f t="shared" ca="1" si="36"/>
        <v>75</v>
      </c>
      <c r="V1061" s="10">
        <f t="shared" ca="1" si="37"/>
        <v>2475</v>
      </c>
    </row>
    <row r="1062" spans="1:31">
      <c r="A1062" s="2"/>
      <c r="B1062" s="2"/>
      <c r="C1062" s="2"/>
      <c r="D1062" s="2"/>
      <c r="E1062" s="2"/>
    </row>
    <row r="1063" spans="1:31">
      <c r="A1063" s="2"/>
      <c r="B1063" s="2"/>
      <c r="C1063" s="2"/>
      <c r="D1063" s="2"/>
      <c r="E1063" s="2"/>
    </row>
    <row r="1064" spans="1:31">
      <c r="D1064" s="13" t="s">
        <v>2694</v>
      </c>
      <c r="E1064">
        <f>SUBTOTAL(3,A2:A1061)</f>
        <v>141</v>
      </c>
    </row>
    <row r="1065" spans="1:31">
      <c r="D1065" s="13" t="s">
        <v>2695</v>
      </c>
      <c r="E1065">
        <f>COUNTA(A2:A1061)</f>
        <v>1060</v>
      </c>
    </row>
  </sheetData>
  <autoFilter ref="A1:AF1061" xr:uid="{78D9498E-60FE-47CE-98CB-DF81F2BD960C}">
    <filterColumn colId="8">
      <customFilters>
        <customFilter operator="notEqual" val=" "/>
      </customFilters>
    </filterColumn>
  </autoFilter>
  <conditionalFormatting sqref="J2:J1048576">
    <cfRule type="expression" dxfId="183" priority="4">
      <formula>$J2&lt;&gt;""</formula>
    </cfRule>
    <cfRule type="expression" dxfId="182" priority="5">
      <formula>$J2=""</formula>
    </cfRule>
  </conditionalFormatting>
  <conditionalFormatting sqref="K2:O1048576 R2:S1048576">
    <cfRule type="expression" dxfId="181" priority="27">
      <formula>AND(OR($J2="Addition",$J2="Omission"), K2="")</formula>
    </cfRule>
    <cfRule type="expression" dxfId="180" priority="28">
      <formula>AND($J2&lt;&gt;"Addition",$J2&lt;&gt;"Omission",$J2&lt;&gt;"Substitution - Word")</formula>
    </cfRule>
  </conditionalFormatting>
  <conditionalFormatting sqref="K2:S1048576">
    <cfRule type="expression" dxfId="179" priority="26">
      <formula>AND(OR($J2="Addition",$J2="Omission"), K2&lt;&gt;"")</formula>
    </cfRule>
  </conditionalFormatting>
  <conditionalFormatting sqref="N2:N1048576">
    <cfRule type="expression" dxfId="178" priority="21">
      <formula>AND($L2&lt;&gt;"",$L2&gt;1)</formula>
    </cfRule>
  </conditionalFormatting>
  <conditionalFormatting sqref="P2:Q1048576">
    <cfRule type="expression" dxfId="177" priority="17">
      <formula>$O2="Absent"</formula>
    </cfRule>
    <cfRule type="expression" dxfId="176" priority="18">
      <formula>$O2="NA"</formula>
    </cfRule>
    <cfRule type="expression" dxfId="175" priority="19">
      <formula>AND(OR($J2="Addition",$J2="Omission"), P2="")</formula>
    </cfRule>
    <cfRule type="expression" dxfId="174" priority="20">
      <formula>AND($J2&lt;&gt;"Addition",$J2&lt;&gt;"Omission")</formula>
    </cfRule>
  </conditionalFormatting>
  <conditionalFormatting sqref="R2:R1048576">
    <cfRule type="expression" dxfId="173" priority="22">
      <formula>OR($J2="Addition",$J2="Omission",$J2 = "Substitution - Word")</formula>
    </cfRule>
  </conditionalFormatting>
  <conditionalFormatting sqref="T2 T3:V1048576">
    <cfRule type="expression" dxfId="172" priority="24">
      <formula>AND(AND(LEFT($J2,3)="Sub", RIGHT($J2,4)&lt;&gt;"Form"),$T2="")</formula>
    </cfRule>
    <cfRule type="expression" dxfId="171" priority="25">
      <formula>"&lt;&gt;AND(LEFT($J2,3)=""Sub"", RIGHT($J2,4)&lt;&gt;""Form"")"</formula>
    </cfRule>
  </conditionalFormatting>
  <conditionalFormatting sqref="T3:V1048576 T2">
    <cfRule type="expression" dxfId="170" priority="23">
      <formula>AND(AND(LEFT($J2,3)="Sub", RIGHT($J2,4)&lt;&gt;"Form"),$T2&lt;&gt;"")</formula>
    </cfRule>
  </conditionalFormatting>
  <conditionalFormatting sqref="U2:V1061">
    <cfRule type="expression" dxfId="169" priority="1">
      <formula>AND(AND(LEFT($J2,3)="Sub", RIGHT($J2,4)&lt;&gt;"Form"),$T2&lt;&gt;"")</formula>
    </cfRule>
    <cfRule type="expression" dxfId="168" priority="2">
      <formula>AND(AND(LEFT($J2,3)="Sub", RIGHT($J2,4)&lt;&gt;"Form"),$T2="")</formula>
    </cfRule>
    <cfRule type="expression" dxfId="167" priority="3">
      <formula>"&lt;&gt;AND(LEFT($J2,3)=""Sub"", RIGHT($J2,4)&lt;&gt;""Form"")"</formula>
    </cfRule>
  </conditionalFormatting>
  <conditionalFormatting sqref="W2:W16 W18:W1048576">
    <cfRule type="expression" dxfId="166" priority="40">
      <formula>AND($AD2&lt;&gt;"Yes",$AE2="")</formula>
    </cfRule>
  </conditionalFormatting>
  <conditionalFormatting sqref="W2:W1048576">
    <cfRule type="expression" dxfId="165" priority="9">
      <formula>AND($W2&lt;&gt;"",OR($AD2="Yes",$AE2&lt;&gt;""))</formula>
    </cfRule>
    <cfRule type="expression" dxfId="164" priority="10">
      <formula>OR($AD2="Yes",$AE2&lt;&gt;"")</formula>
    </cfRule>
  </conditionalFormatting>
  <conditionalFormatting sqref="W17">
    <cfRule type="expression" dxfId="163" priority="11">
      <formula>AND($J17&lt;&gt;"",$J17&lt;&gt;"Unclear due to correction")</formula>
    </cfRule>
    <cfRule type="expression" dxfId="162" priority="14">
      <formula>OR($J17="",$J17="Unclear due to correction")</formula>
    </cfRule>
    <cfRule type="expression" dxfId="161" priority="15">
      <formula>AND($AD17&lt;&gt;"Yes",$AE17="")</formula>
    </cfRule>
  </conditionalFormatting>
  <conditionalFormatting sqref="W2:AF16 W18:AF1048576">
    <cfRule type="expression" dxfId="160" priority="36">
      <formula>AND($J2&lt;&gt;"",$J2&lt;&gt;"Unclear due to correction")</formula>
    </cfRule>
    <cfRule type="expression" dxfId="159" priority="39">
      <formula>OR($J2="",$J2="Unclear due to correction")</formula>
    </cfRule>
  </conditionalFormatting>
  <conditionalFormatting sqref="X2:X1048576">
    <cfRule type="expression" dxfId="158" priority="8">
      <formula>AND($J2&lt;&gt;"",$J2&lt;&gt;"Unclear due to correction",$X2="")</formula>
    </cfRule>
  </conditionalFormatting>
  <conditionalFormatting sqref="X17:AF17">
    <cfRule type="expression" dxfId="157" priority="31">
      <formula>AND($J17&lt;&gt;"",$J17&lt;&gt;"Unclear due to correction")</formula>
    </cfRule>
    <cfRule type="expression" dxfId="156" priority="32">
      <formula>OR($J17="",$J17="Unclear due to correction")</formula>
    </cfRule>
  </conditionalFormatting>
  <conditionalFormatting sqref="Y2:Y1048576">
    <cfRule type="expression" dxfId="155" priority="12">
      <formula>AND($X2="Yes",$Y2="")</formula>
    </cfRule>
    <cfRule type="expression" dxfId="154" priority="13">
      <formula>$X2=""</formula>
    </cfRule>
  </conditionalFormatting>
  <conditionalFormatting sqref="AD2:AD1048576">
    <cfRule type="expression" dxfId="153" priority="16">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ECB2AF2D-D5E8-4674-BA36-176C2775D723}">
          <x14:formula1>
            <xm:f>'Data Regularization'!$D$2:$D$1048576</xm:f>
          </x14:formula1>
          <xm:sqref>I1062:I1048576 J2:J1048576</xm:sqref>
        </x14:dataValidation>
        <x14:dataValidation type="list" allowBlank="1" showInputMessage="1" showErrorMessage="1" xr:uid="{2E62E8AD-BAD3-4EB9-AFBF-45839D0B1E9E}">
          <x14:formula1>
            <xm:f>'Data Regularization'!$C$2:$C$50</xm:f>
          </x14:formula1>
          <xm:sqref>H2:H1048576</xm:sqref>
        </x14:dataValidation>
        <x14:dataValidation type="list" allowBlank="1" showInputMessage="1" showErrorMessage="1" xr:uid="{313D895C-DA90-4E1F-BA69-96C849A61552}">
          <x14:formula1>
            <xm:f>'Data Regularization'!$A$2:$A$1048576</xm:f>
          </x14:formula1>
          <xm:sqref>F2:F1048576</xm:sqref>
        </x14:dataValidation>
        <x14:dataValidation type="list" allowBlank="1" showInputMessage="1" showErrorMessage="1" xr:uid="{CF2233FB-2B28-4DCB-AE62-73C026274D66}">
          <x14:formula1>
            <xm:f>'Data Regularization'!$B$2:$B$1048576</xm:f>
          </x14:formula1>
          <xm:sqref>G2:G1048576</xm:sqref>
        </x14:dataValidation>
        <x14:dataValidation type="list" allowBlank="1" showInputMessage="1" showErrorMessage="1" xr:uid="{0A8CD093-2634-408C-BA3B-E406E1846ECF}">
          <x14:formula1>
            <xm:f>'Data Regularization'!$E$2:$E$1048576</xm:f>
          </x14:formula1>
          <xm:sqref>N2:N1048576</xm:sqref>
        </x14:dataValidation>
        <x14:dataValidation type="list" allowBlank="1" showInputMessage="1" showErrorMessage="1" xr:uid="{4BE81C73-918A-44D0-AFB9-A4876103E46E}">
          <x14:formula1>
            <xm:f>'Data Regularization'!$F$2:$F$1048576</xm:f>
          </x14:formula1>
          <xm:sqref>O2:O1048576</xm:sqref>
        </x14:dataValidation>
        <x14:dataValidation type="list" allowBlank="1" showInputMessage="1" showErrorMessage="1" xr:uid="{C7982287-A416-4020-B4B7-7452F8EA1510}">
          <x14:formula1>
            <xm:f>'Data Regularization'!$G$2:$G$1048576</xm:f>
          </x14:formula1>
          <xm:sqref>R2:R1048576</xm:sqref>
        </x14:dataValidation>
        <x14:dataValidation type="list" allowBlank="1" showInputMessage="1" showErrorMessage="1" xr:uid="{902B319B-3960-4A09-BBBD-48B0252025CC}">
          <x14:formula1>
            <xm:f>'Data Regularization'!$J$2:$J$1048576</xm:f>
          </x14:formula1>
          <xm:sqref>Y2:Y1048576</xm:sqref>
        </x14:dataValidation>
        <x14:dataValidation type="list" allowBlank="1" showInputMessage="1" showErrorMessage="1" xr:uid="{3FF4310E-34C0-4F5D-A836-0362289EF3BE}">
          <x14:formula1>
            <xm:f>'Data Regularization'!$K$2:$K$1048576</xm:f>
          </x14:formula1>
          <xm:sqref>Z2:Z1048576</xm:sqref>
        </x14:dataValidation>
        <x14:dataValidation type="list" allowBlank="1" showInputMessage="1" showErrorMessage="1" xr:uid="{2B4874E4-DDDB-409C-A9FA-F5F0F8C70DDE}">
          <x14:formula1>
            <xm:f>'Data Regularization'!$L$2:$L$1048576</xm:f>
          </x14:formula1>
          <xm:sqref>AA2:AA1048576</xm:sqref>
        </x14:dataValidation>
        <x14:dataValidation type="list" allowBlank="1" showInputMessage="1" showErrorMessage="1" xr:uid="{328B494D-3652-4A72-B050-875C456F1A87}">
          <x14:formula1>
            <xm:f>'Data Regularization'!$M$2:$M$1048576</xm:f>
          </x14:formula1>
          <xm:sqref>AB2:AB1048576</xm:sqref>
        </x14:dataValidation>
        <x14:dataValidation type="list" allowBlank="1" showInputMessage="1" showErrorMessage="1" xr:uid="{FC70F876-A974-42F6-967B-260F8951FCEB}">
          <x14:formula1>
            <xm:f>'Data Regularization'!$N$2:$N$1048576</xm:f>
          </x14:formula1>
          <xm:sqref>AD2:AD1048576</xm:sqref>
        </x14:dataValidation>
        <x14:dataValidation type="list" allowBlank="1" showInputMessage="1" showErrorMessage="1" xr:uid="{166BF453-743D-42A8-BF52-FDFB13BA4E75}">
          <x14:formula1>
            <xm:f>'Data Regularization'!$O$2:$O$1048576</xm:f>
          </x14:formula1>
          <xm:sqref>AE2:AE1048576</xm:sqref>
        </x14:dataValidation>
        <x14:dataValidation type="list" allowBlank="1" showInputMessage="1" showErrorMessage="1" xr:uid="{488556DF-1961-4C96-A4CC-AB537979544B}">
          <x14:formula1>
            <xm:f>'Data Regularization'!$H$2:$H$1048576</xm:f>
          </x14:formula1>
          <xm:sqref>W2:W1048576</xm:sqref>
        </x14:dataValidation>
        <x14:dataValidation type="list" allowBlank="1" showInputMessage="1" xr:uid="{EE0DD78B-7264-4400-8C55-A0747A513475}">
          <x14:formula1>
            <xm:f>'Data Regularization'!$I$2:$I$1048576</xm:f>
          </x14:formula1>
          <xm:sqref>X2:X1048576</xm:sqref>
        </x14:dataValidation>
        <x14:dataValidation type="list" allowBlank="1" showInputMessage="1" showErrorMessage="1" xr:uid="{FA56AC86-DD16-4802-B5DC-DD2A14ABAB62}">
          <x14:formula1>
            <xm:f>'Data Regularization'!$P$2:$P$1048576</xm:f>
          </x14:formula1>
          <xm:sqref>AF2:AF1048576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8054-30EA-45DB-AC62-8AE6B455E769}">
  <dimension ref="A1:B6"/>
  <sheetViews>
    <sheetView workbookViewId="0">
      <selection activeCell="B5" sqref="B5"/>
    </sheetView>
  </sheetViews>
  <sheetFormatPr defaultRowHeight="14.5"/>
  <cols>
    <col min="1" max="1" width="24.54296875" bestFit="1" customWidth="1"/>
  </cols>
  <sheetData>
    <row r="1" spans="1:2">
      <c r="A1" t="s">
        <v>2862</v>
      </c>
      <c r="B1">
        <v>18245</v>
      </c>
    </row>
    <row r="2" spans="1:2">
      <c r="A2" t="s">
        <v>2863</v>
      </c>
      <c r="B2">
        <f>COUNTA('Unfiltered Data'!A:A) - 1</f>
        <v>1060</v>
      </c>
    </row>
    <row r="3" spans="1:2">
      <c r="A3" t="s">
        <v>2864</v>
      </c>
      <c r="B3">
        <f>COUNTA('Gen-filters'!A:A) - 1</f>
        <v>273</v>
      </c>
    </row>
    <row r="5" spans="1:2">
      <c r="A5" t="s">
        <v>2865</v>
      </c>
      <c r="B5">
        <f>(B2/B1)*1000</f>
        <v>58.098109070978353</v>
      </c>
    </row>
    <row r="6" spans="1:2">
      <c r="A6" t="s">
        <v>2866</v>
      </c>
      <c r="B6">
        <f>(B3/B1)*1000</f>
        <v>14.963003562619896</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E479-A0E1-4EB1-84E5-497F988D3760}">
  <dimension ref="A2:D12"/>
  <sheetViews>
    <sheetView workbookViewId="0">
      <selection activeCell="D10" sqref="D10:D12"/>
    </sheetView>
  </sheetViews>
  <sheetFormatPr defaultRowHeight="14.5"/>
  <sheetData>
    <row r="2" spans="1:4">
      <c r="A2" t="s">
        <v>2868</v>
      </c>
    </row>
    <row r="3" spans="1:4">
      <c r="A3" t="s">
        <v>19</v>
      </c>
      <c r="B3">
        <f>COUNTIF('Unfiltered Data'!G:G, "Yes")</f>
        <v>39</v>
      </c>
    </row>
    <row r="4" spans="1:4">
      <c r="A4" t="s">
        <v>20</v>
      </c>
      <c r="B4">
        <f>COUNTIF('Unfiltered Data'!G:G, "No")</f>
        <v>15</v>
      </c>
    </row>
    <row r="5" spans="1:4">
      <c r="A5" t="s">
        <v>2869</v>
      </c>
      <c r="B5">
        <f>B3/SUM(B3:B4)</f>
        <v>0.72222222222222221</v>
      </c>
    </row>
    <row r="8" spans="1:4">
      <c r="A8" t="s">
        <v>2870</v>
      </c>
    </row>
    <row r="9" spans="1:4">
      <c r="B9" t="s">
        <v>2871</v>
      </c>
      <c r="C9" t="s">
        <v>2872</v>
      </c>
      <c r="D9" t="s">
        <v>2873</v>
      </c>
    </row>
    <row r="10" spans="1:4">
      <c r="A10" t="s">
        <v>19</v>
      </c>
      <c r="B10">
        <f>COUNTIF('Unfiltered Data'!H:H, "Yes")</f>
        <v>433</v>
      </c>
      <c r="C10">
        <f>B10/'Gen-Error-Rates'!$B$2</f>
        <v>0.40849056603773587</v>
      </c>
      <c r="D10">
        <f>B10/SUM($B$10:$B$12)</f>
        <v>0.9622222222222222</v>
      </c>
    </row>
    <row r="11" spans="1:4">
      <c r="A11" t="s">
        <v>2874</v>
      </c>
      <c r="B11">
        <f>COUNTIF('Unfiltered Data'!H:H, "Yes, partially")</f>
        <v>7</v>
      </c>
      <c r="C11">
        <f>B11/'Gen-Error-Rates'!$B$2</f>
        <v>6.6037735849056606E-3</v>
      </c>
      <c r="D11">
        <f t="shared" ref="D11:D12" si="0">B11/SUM($B$10:$B$12)</f>
        <v>1.5555555555555555E-2</v>
      </c>
    </row>
    <row r="12" spans="1:4">
      <c r="A12" t="s">
        <v>2875</v>
      </c>
      <c r="B12">
        <f>COUNTIF('Unfiltered Data'!H:H, "Yes, to another error")</f>
        <v>10</v>
      </c>
      <c r="C12">
        <f>B12/'Gen-Error-Rates'!$B$2</f>
        <v>9.433962264150943E-3</v>
      </c>
      <c r="D12">
        <f t="shared" si="0"/>
        <v>2.2222222222222223E-2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156D7-421F-42E5-9F55-F22A94A76A4F}">
  <dimension ref="A1:P21"/>
  <sheetViews>
    <sheetView workbookViewId="0">
      <pane ySplit="1" topLeftCell="A2" activePane="bottomLeft" state="frozen"/>
      <selection pane="bottomLeft" activeCell="H39" sqref="H39"/>
    </sheetView>
  </sheetViews>
  <sheetFormatPr defaultRowHeight="14.5"/>
  <sheetData>
    <row r="1" spans="1:16">
      <c r="A1" s="1" t="s">
        <v>8</v>
      </c>
      <c r="B1" s="1" t="s">
        <v>9</v>
      </c>
      <c r="C1" s="1" t="s">
        <v>10</v>
      </c>
      <c r="D1" s="1" t="s">
        <v>3</v>
      </c>
      <c r="E1" s="1" t="s">
        <v>2633</v>
      </c>
      <c r="F1" s="1" t="s">
        <v>2634</v>
      </c>
      <c r="G1" s="1" t="s">
        <v>2635</v>
      </c>
      <c r="H1" s="1" t="s">
        <v>2680</v>
      </c>
      <c r="I1" s="1" t="s">
        <v>2681</v>
      </c>
      <c r="J1" s="1" t="s">
        <v>2682</v>
      </c>
      <c r="K1" s="1" t="s">
        <v>2636</v>
      </c>
      <c r="L1" s="1" t="s">
        <v>2637</v>
      </c>
      <c r="M1" s="1" t="s">
        <v>2638</v>
      </c>
      <c r="N1" s="1" t="s">
        <v>2683</v>
      </c>
      <c r="O1" s="1" t="s">
        <v>2639</v>
      </c>
      <c r="P1" s="1" t="s">
        <v>2684</v>
      </c>
    </row>
    <row r="2" spans="1:16">
      <c r="A2" s="1"/>
    </row>
    <row r="3" spans="1:16">
      <c r="A3" t="s">
        <v>11</v>
      </c>
      <c r="B3" t="s">
        <v>19</v>
      </c>
      <c r="C3" t="s">
        <v>19</v>
      </c>
      <c r="D3" t="s">
        <v>24</v>
      </c>
      <c r="E3" t="s">
        <v>2640</v>
      </c>
      <c r="F3" t="s">
        <v>2641</v>
      </c>
      <c r="G3" t="s">
        <v>2642</v>
      </c>
      <c r="H3" t="s">
        <v>4</v>
      </c>
      <c r="I3" t="s">
        <v>19</v>
      </c>
      <c r="J3" t="s">
        <v>4</v>
      </c>
      <c r="K3" t="s">
        <v>2643</v>
      </c>
      <c r="L3" t="s">
        <v>19</v>
      </c>
      <c r="M3" t="s">
        <v>2644</v>
      </c>
      <c r="N3" t="s">
        <v>19</v>
      </c>
      <c r="O3" t="s">
        <v>2645</v>
      </c>
      <c r="P3" t="s">
        <v>19</v>
      </c>
    </row>
    <row r="4" spans="1:16">
      <c r="A4" t="s">
        <v>12</v>
      </c>
      <c r="B4" t="s">
        <v>21</v>
      </c>
      <c r="C4" t="s">
        <v>22</v>
      </c>
      <c r="D4" t="s">
        <v>25</v>
      </c>
      <c r="E4" t="s">
        <v>2646</v>
      </c>
      <c r="F4" t="s">
        <v>2647</v>
      </c>
      <c r="G4" t="s">
        <v>2648</v>
      </c>
      <c r="H4" t="s">
        <v>2685</v>
      </c>
      <c r="I4" t="s">
        <v>20</v>
      </c>
      <c r="J4" t="s">
        <v>2685</v>
      </c>
      <c r="K4" t="s">
        <v>2867</v>
      </c>
      <c r="L4" t="s">
        <v>20</v>
      </c>
      <c r="M4" t="s">
        <v>2650</v>
      </c>
      <c r="N4" t="s">
        <v>20</v>
      </c>
      <c r="O4" t="s">
        <v>2651</v>
      </c>
      <c r="P4" t="s">
        <v>20</v>
      </c>
    </row>
    <row r="5" spans="1:16">
      <c r="A5" t="s">
        <v>13</v>
      </c>
      <c r="B5" t="s">
        <v>20</v>
      </c>
      <c r="C5" t="s">
        <v>23</v>
      </c>
      <c r="D5" t="s">
        <v>2686</v>
      </c>
      <c r="E5" t="s">
        <v>2652</v>
      </c>
      <c r="F5" t="s">
        <v>2687</v>
      </c>
      <c r="K5" t="s">
        <v>2649</v>
      </c>
      <c r="M5" t="s">
        <v>2653</v>
      </c>
      <c r="O5" t="s">
        <v>2654</v>
      </c>
    </row>
    <row r="6" spans="1:16">
      <c r="A6" t="s">
        <v>17</v>
      </c>
      <c r="C6" t="s">
        <v>20</v>
      </c>
      <c r="D6" t="s">
        <v>2688</v>
      </c>
      <c r="E6" t="s">
        <v>2655</v>
      </c>
      <c r="M6" t="s">
        <v>2656</v>
      </c>
      <c r="O6" t="s">
        <v>2657</v>
      </c>
    </row>
    <row r="7" spans="1:16">
      <c r="A7" t="s">
        <v>28</v>
      </c>
      <c r="D7" t="s">
        <v>2689</v>
      </c>
      <c r="E7" t="s">
        <v>2658</v>
      </c>
      <c r="M7" t="s">
        <v>2692</v>
      </c>
    </row>
    <row r="8" spans="1:16">
      <c r="A8" t="s">
        <v>29</v>
      </c>
      <c r="D8" t="s">
        <v>26</v>
      </c>
      <c r="E8" t="s">
        <v>2660</v>
      </c>
      <c r="M8" t="s">
        <v>2659</v>
      </c>
    </row>
    <row r="9" spans="1:16">
      <c r="A9" t="s">
        <v>10</v>
      </c>
      <c r="D9" t="s">
        <v>27</v>
      </c>
      <c r="E9" t="s">
        <v>2662</v>
      </c>
      <c r="M9" t="s">
        <v>2661</v>
      </c>
    </row>
    <row r="10" spans="1:16">
      <c r="A10" t="s">
        <v>14</v>
      </c>
      <c r="D10" t="s">
        <v>30</v>
      </c>
      <c r="E10" t="s">
        <v>2664</v>
      </c>
      <c r="M10" t="s">
        <v>2663</v>
      </c>
    </row>
    <row r="11" spans="1:16">
      <c r="A11" t="s">
        <v>18</v>
      </c>
      <c r="E11" t="s">
        <v>2666</v>
      </c>
      <c r="M11" t="s">
        <v>2665</v>
      </c>
    </row>
    <row r="12" spans="1:16">
      <c r="A12" t="s">
        <v>2690</v>
      </c>
      <c r="E12" t="s">
        <v>2691</v>
      </c>
      <c r="M12" t="s">
        <v>2797</v>
      </c>
    </row>
    <row r="13" spans="1:16">
      <c r="A13" t="s">
        <v>31</v>
      </c>
      <c r="E13" t="s">
        <v>2693</v>
      </c>
      <c r="M13" t="s">
        <v>2798</v>
      </c>
    </row>
    <row r="14" spans="1:16">
      <c r="A14" t="s">
        <v>32</v>
      </c>
      <c r="E14" t="s">
        <v>2667</v>
      </c>
    </row>
    <row r="15" spans="1:16">
      <c r="A15" t="s">
        <v>33</v>
      </c>
    </row>
    <row r="16" spans="1:16">
      <c r="A16" t="s">
        <v>15</v>
      </c>
    </row>
    <row r="17" spans="1:1">
      <c r="A17" t="s">
        <v>16</v>
      </c>
    </row>
    <row r="18" spans="1:1">
      <c r="A18" t="s">
        <v>34</v>
      </c>
    </row>
    <row r="19" spans="1:1">
      <c r="A19" t="s">
        <v>35</v>
      </c>
    </row>
    <row r="20" spans="1:1">
      <c r="A20" t="s">
        <v>2802</v>
      </c>
    </row>
    <row r="21" spans="1:1">
      <c r="A21" t="s">
        <v>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C0EA7-DC45-4C85-96FB-AE6A6359034C}">
  <dimension ref="A1:XFA274"/>
  <sheetViews>
    <sheetView workbookViewId="0">
      <pane xSplit="3" ySplit="1" topLeftCell="D2" activePane="bottomRight" state="frozen"/>
      <selection pane="topRight" activeCell="D1" sqref="D1"/>
      <selection pane="bottomLeft" activeCell="A2" sqref="A2"/>
      <selection pane="bottomRight" activeCell="G2" sqref="G2"/>
    </sheetView>
  </sheetViews>
  <sheetFormatPr defaultRowHeight="14.5"/>
  <cols>
    <col min="2" max="3" width="20.81640625" customWidth="1"/>
    <col min="4" max="6" width="0" hidden="1" customWidth="1"/>
  </cols>
  <sheetData>
    <row r="1" spans="1:16381">
      <c r="A1" s="1" t="s">
        <v>0</v>
      </c>
      <c r="B1" s="12" t="s">
        <v>5</v>
      </c>
      <c r="C1" s="1" t="s">
        <v>6</v>
      </c>
      <c r="D1" s="1" t="s">
        <v>2668</v>
      </c>
      <c r="E1" s="1" t="s">
        <v>2669</v>
      </c>
      <c r="F1" s="1" t="s">
        <v>2670</v>
      </c>
      <c r="G1" s="1" t="s">
        <v>3</v>
      </c>
      <c r="H1" s="1" t="s">
        <v>2671</v>
      </c>
      <c r="I1" s="1" t="s">
        <v>2672</v>
      </c>
      <c r="J1" s="1" t="s">
        <v>2673</v>
      </c>
      <c r="K1" s="1" t="s">
        <v>2674</v>
      </c>
      <c r="L1" s="1" t="s">
        <v>2634</v>
      </c>
      <c r="M1" s="1" t="s">
        <v>2675</v>
      </c>
      <c r="N1" s="9" t="s">
        <v>2676</v>
      </c>
      <c r="O1" s="1" t="s">
        <v>2635</v>
      </c>
      <c r="P1" s="1" t="s">
        <v>2677</v>
      </c>
      <c r="Q1" s="1" t="s">
        <v>2678</v>
      </c>
      <c r="R1" s="1" t="s">
        <v>2832</v>
      </c>
      <c r="S1" s="1" t="s">
        <v>2833</v>
      </c>
      <c r="T1" s="1" t="s">
        <v>2680</v>
      </c>
      <c r="U1" s="1" t="s">
        <v>2681</v>
      </c>
      <c r="V1" s="1" t="s">
        <v>2682</v>
      </c>
      <c r="W1" s="1" t="s">
        <v>2636</v>
      </c>
      <c r="X1" s="1" t="s">
        <v>2637</v>
      </c>
      <c r="Y1" s="1" t="s">
        <v>2638</v>
      </c>
      <c r="Z1" s="1" t="s">
        <v>2679</v>
      </c>
      <c r="AA1" s="1" t="s">
        <v>2683</v>
      </c>
      <c r="AB1" s="1" t="s">
        <v>2639</v>
      </c>
      <c r="AC1" s="1" t="s">
        <v>2684</v>
      </c>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row>
    <row r="2" spans="1:16381" ht="29">
      <c r="A2" s="2" t="s">
        <v>39</v>
      </c>
      <c r="B2" s="2" t="s">
        <v>1222</v>
      </c>
      <c r="C2" s="2" t="s">
        <v>1223</v>
      </c>
      <c r="G2" s="10" t="s">
        <v>2688</v>
      </c>
      <c r="H2" s="10"/>
      <c r="I2" s="10"/>
      <c r="J2" s="10"/>
      <c r="K2" s="10"/>
      <c r="L2" s="10"/>
      <c r="M2" s="10"/>
      <c r="N2" s="11"/>
      <c r="O2" s="10"/>
      <c r="P2" s="10"/>
      <c r="Q2" s="10"/>
      <c r="R2" s="10" t="s">
        <v>2834</v>
      </c>
      <c r="S2" s="10" t="s">
        <v>2834</v>
      </c>
      <c r="T2" s="10"/>
      <c r="U2" s="10"/>
      <c r="V2" s="10"/>
      <c r="W2" s="10"/>
      <c r="X2" s="10"/>
      <c r="Y2" s="10"/>
      <c r="Z2" s="10"/>
      <c r="AA2" s="10"/>
      <c r="AB2" s="10"/>
      <c r="AC2" s="10"/>
    </row>
    <row r="3" spans="1:16381" ht="29">
      <c r="A3" s="2" t="s">
        <v>46</v>
      </c>
      <c r="B3" s="2" t="s">
        <v>2779</v>
      </c>
      <c r="C3" s="2" t="s">
        <v>2780</v>
      </c>
      <c r="F3" t="s">
        <v>19</v>
      </c>
      <c r="G3" s="10" t="s">
        <v>25</v>
      </c>
      <c r="H3" s="10"/>
      <c r="I3" s="10">
        <v>1</v>
      </c>
      <c r="J3" s="10">
        <v>2</v>
      </c>
      <c r="K3" s="10" t="s">
        <v>2646</v>
      </c>
      <c r="L3" s="10" t="s">
        <v>2687</v>
      </c>
      <c r="M3" s="10"/>
      <c r="N3" s="11"/>
      <c r="O3" s="10"/>
      <c r="P3" s="10">
        <v>2475</v>
      </c>
      <c r="Q3" s="10"/>
      <c r="R3" s="10" t="s">
        <v>2834</v>
      </c>
      <c r="S3" s="10" t="s">
        <v>2834</v>
      </c>
      <c r="T3" s="10"/>
      <c r="U3" s="10"/>
      <c r="V3" s="10"/>
      <c r="W3" s="10"/>
      <c r="X3" s="10"/>
      <c r="Y3" s="10"/>
      <c r="Z3" s="10"/>
      <c r="AA3" s="10"/>
      <c r="AB3" s="10"/>
      <c r="AC3" s="10"/>
    </row>
    <row r="4" spans="1:16381" ht="29">
      <c r="A4" s="2" t="s">
        <v>47</v>
      </c>
      <c r="B4" s="13" t="s">
        <v>1228</v>
      </c>
      <c r="C4" t="s">
        <v>1229</v>
      </c>
      <c r="F4" t="s">
        <v>19</v>
      </c>
      <c r="G4" s="10" t="s">
        <v>2686</v>
      </c>
      <c r="H4" s="10"/>
      <c r="I4" s="10"/>
      <c r="J4" s="10"/>
      <c r="K4" s="10"/>
      <c r="L4" s="10"/>
      <c r="M4" s="10"/>
      <c r="N4" s="11"/>
      <c r="O4" s="10"/>
      <c r="P4" s="10"/>
      <c r="Q4" s="10">
        <v>-403</v>
      </c>
      <c r="R4" s="10">
        <v>613</v>
      </c>
      <c r="S4" s="10">
        <v>210</v>
      </c>
      <c r="T4" s="10"/>
      <c r="U4" s="10"/>
      <c r="V4" s="10"/>
      <c r="W4" s="10"/>
      <c r="X4" s="10"/>
      <c r="Y4" s="10"/>
      <c r="Z4" s="10"/>
      <c r="AA4" s="10"/>
      <c r="AB4" s="10"/>
      <c r="AC4" s="10"/>
    </row>
    <row r="5" spans="1:16381" ht="29">
      <c r="A5" s="2" t="s">
        <v>50</v>
      </c>
      <c r="B5" s="2" t="s">
        <v>1233</v>
      </c>
      <c r="C5" s="2" t="s">
        <v>1232</v>
      </c>
      <c r="G5" s="10" t="s">
        <v>2688</v>
      </c>
      <c r="H5" s="10"/>
      <c r="I5" s="10"/>
      <c r="J5" s="10"/>
      <c r="K5" s="10"/>
      <c r="L5" s="10"/>
      <c r="M5" s="10"/>
      <c r="N5" s="11"/>
      <c r="O5" s="10"/>
      <c r="P5" s="10"/>
      <c r="Q5" s="10"/>
      <c r="R5" s="10" t="s">
        <v>2834</v>
      </c>
      <c r="S5" s="10" t="s">
        <v>2834</v>
      </c>
      <c r="T5" s="10"/>
      <c r="U5" s="10"/>
      <c r="V5" s="10"/>
      <c r="W5" s="10"/>
      <c r="X5" s="10"/>
      <c r="Y5" s="10"/>
      <c r="Z5" s="10"/>
      <c r="AA5" s="10"/>
      <c r="AB5" s="10"/>
      <c r="AC5" s="10"/>
    </row>
    <row r="6" spans="1:16381" ht="29">
      <c r="A6" s="2" t="s">
        <v>58</v>
      </c>
      <c r="B6" s="2" t="s">
        <v>1243</v>
      </c>
      <c r="C6" s="2" t="s">
        <v>1244</v>
      </c>
      <c r="G6" s="10" t="s">
        <v>2688</v>
      </c>
      <c r="H6" s="10"/>
      <c r="I6" s="10"/>
      <c r="J6" s="10"/>
      <c r="K6" s="10"/>
      <c r="L6" s="10"/>
      <c r="M6" s="10"/>
      <c r="N6" s="11"/>
      <c r="O6" s="10"/>
      <c r="P6" s="10"/>
      <c r="Q6" s="10"/>
      <c r="R6" s="10" t="s">
        <v>2834</v>
      </c>
      <c r="S6" s="10" t="s">
        <v>2834</v>
      </c>
      <c r="T6" s="10"/>
      <c r="U6" s="10"/>
      <c r="V6" s="10"/>
      <c r="W6" s="10"/>
      <c r="X6" s="10"/>
      <c r="Y6" s="10"/>
      <c r="Z6" s="10"/>
      <c r="AA6" s="10"/>
      <c r="AB6" s="10"/>
      <c r="AC6" s="10"/>
    </row>
    <row r="7" spans="1:16381" ht="29">
      <c r="A7" s="2" t="s">
        <v>67</v>
      </c>
      <c r="B7" s="2" t="s">
        <v>1249</v>
      </c>
      <c r="C7" s="2" t="s">
        <v>1248</v>
      </c>
      <c r="F7" t="s">
        <v>19</v>
      </c>
      <c r="G7" s="10" t="s">
        <v>2688</v>
      </c>
      <c r="H7" s="10"/>
      <c r="I7" s="10"/>
      <c r="J7" s="10"/>
      <c r="K7" s="10"/>
      <c r="L7" s="10"/>
      <c r="M7" s="10"/>
      <c r="N7" s="11"/>
      <c r="O7" s="10"/>
      <c r="P7" s="10"/>
      <c r="Q7" s="10"/>
      <c r="R7" s="10" t="s">
        <v>2834</v>
      </c>
      <c r="S7" s="10" t="s">
        <v>2834</v>
      </c>
      <c r="T7" s="10"/>
      <c r="U7" s="10"/>
      <c r="V7" s="10"/>
      <c r="W7" s="10"/>
      <c r="X7" s="10"/>
      <c r="Y7" s="10"/>
      <c r="Z7" s="10"/>
      <c r="AA7" s="10"/>
      <c r="AB7" s="10"/>
      <c r="AC7" s="10"/>
    </row>
    <row r="8" spans="1:16381" ht="29">
      <c r="A8" s="2" t="s">
        <v>67</v>
      </c>
      <c r="B8" s="2" t="s">
        <v>71</v>
      </c>
      <c r="C8" s="2" t="s">
        <v>70</v>
      </c>
      <c r="G8" s="10" t="s">
        <v>2688</v>
      </c>
      <c r="H8" s="10"/>
      <c r="I8" s="10"/>
      <c r="J8" s="10"/>
      <c r="K8" s="10"/>
      <c r="L8" s="10"/>
      <c r="M8" s="10"/>
      <c r="N8" s="11"/>
      <c r="O8" s="10"/>
      <c r="P8" s="10"/>
      <c r="Q8" s="10"/>
      <c r="R8" s="10" t="s">
        <v>2834</v>
      </c>
      <c r="S8" s="10" t="s">
        <v>2834</v>
      </c>
      <c r="T8" s="10"/>
      <c r="U8" s="10"/>
      <c r="V8" s="10"/>
      <c r="W8" s="10"/>
      <c r="X8" s="10"/>
      <c r="Y8" s="10"/>
      <c r="Z8" s="10"/>
      <c r="AA8" s="10"/>
      <c r="AB8" s="10"/>
      <c r="AC8" s="10"/>
    </row>
    <row r="9" spans="1:16381" ht="29">
      <c r="A9" s="2" t="s">
        <v>72</v>
      </c>
      <c r="B9" s="2" t="s">
        <v>1251</v>
      </c>
      <c r="C9" s="2" t="s">
        <v>1252</v>
      </c>
      <c r="F9" t="s">
        <v>19</v>
      </c>
      <c r="G9" s="10" t="s">
        <v>25</v>
      </c>
      <c r="H9" s="10"/>
      <c r="I9" s="10">
        <v>1</v>
      </c>
      <c r="J9" s="10">
        <v>1</v>
      </c>
      <c r="K9" s="10" t="s">
        <v>2646</v>
      </c>
      <c r="L9" s="10" t="s">
        <v>2687</v>
      </c>
      <c r="M9" s="10"/>
      <c r="N9" s="11"/>
      <c r="O9" s="10"/>
      <c r="P9" s="10">
        <v>2475</v>
      </c>
      <c r="Q9" s="10"/>
      <c r="R9" s="10" t="s">
        <v>2834</v>
      </c>
      <c r="S9" s="10" t="s">
        <v>2834</v>
      </c>
      <c r="T9" s="10"/>
      <c r="U9" s="10"/>
      <c r="V9" s="10"/>
      <c r="W9" s="10"/>
      <c r="X9" s="10"/>
      <c r="Y9" s="10"/>
      <c r="Z9" s="10"/>
      <c r="AA9" s="10"/>
      <c r="AB9" s="10"/>
      <c r="AC9" s="10"/>
    </row>
    <row r="10" spans="1:16381" ht="29">
      <c r="A10" s="2" t="s">
        <v>80</v>
      </c>
      <c r="B10" s="2" t="s">
        <v>1262</v>
      </c>
      <c r="C10" s="2" t="s">
        <v>1263</v>
      </c>
      <c r="G10" s="10" t="s">
        <v>2688</v>
      </c>
      <c r="H10" s="10"/>
      <c r="I10" s="10"/>
      <c r="J10" s="10"/>
      <c r="K10" s="10"/>
      <c r="L10" s="10"/>
      <c r="M10" s="10"/>
      <c r="N10" s="11"/>
      <c r="O10" s="10"/>
      <c r="P10" s="10"/>
      <c r="Q10" s="10"/>
      <c r="R10" s="10" t="s">
        <v>2834</v>
      </c>
      <c r="S10" s="10" t="s">
        <v>2834</v>
      </c>
      <c r="T10" s="10"/>
      <c r="U10" s="10"/>
      <c r="V10" s="10"/>
      <c r="W10" s="10"/>
      <c r="X10" s="10"/>
      <c r="Y10" s="10"/>
      <c r="Z10" s="10"/>
      <c r="AA10" s="10"/>
      <c r="AB10" s="10"/>
      <c r="AC10" s="10"/>
    </row>
    <row r="11" spans="1:16381" ht="29">
      <c r="A11" s="2" t="s">
        <v>86</v>
      </c>
      <c r="B11" s="2" t="s">
        <v>1280</v>
      </c>
      <c r="C11" s="2" t="s">
        <v>1281</v>
      </c>
      <c r="G11" s="10" t="s">
        <v>2686</v>
      </c>
      <c r="H11" s="10"/>
      <c r="I11" s="10"/>
      <c r="J11" s="10"/>
      <c r="K11" s="10"/>
      <c r="L11" s="10"/>
      <c r="M11" s="10"/>
      <c r="N11" s="11"/>
      <c r="O11" s="10"/>
      <c r="P11" s="10"/>
      <c r="Q11" s="10">
        <v>-20</v>
      </c>
      <c r="R11" s="10">
        <v>20</v>
      </c>
      <c r="S11" s="10">
        <v>0</v>
      </c>
      <c r="T11" s="10"/>
      <c r="U11" s="10"/>
      <c r="V11" s="10"/>
      <c r="W11" s="10"/>
      <c r="X11" s="10"/>
      <c r="Y11" s="10"/>
      <c r="Z11" s="10"/>
      <c r="AA11" s="10"/>
      <c r="AB11" s="10"/>
      <c r="AC11" s="10"/>
    </row>
    <row r="12" spans="1:16381" ht="29">
      <c r="A12" s="2" t="s">
        <v>87</v>
      </c>
      <c r="B12" s="2" t="s">
        <v>1282</v>
      </c>
      <c r="C12" s="2" t="s">
        <v>1283</v>
      </c>
      <c r="F12" t="s">
        <v>19</v>
      </c>
      <c r="G12" s="10" t="s">
        <v>2688</v>
      </c>
      <c r="H12" s="10"/>
      <c r="I12" s="10"/>
      <c r="J12" s="10"/>
      <c r="K12" s="10"/>
      <c r="L12" s="10"/>
      <c r="M12" s="10"/>
      <c r="N12" s="11"/>
      <c r="O12" s="10"/>
      <c r="P12" s="10"/>
      <c r="Q12" s="10"/>
      <c r="R12" s="10" t="s">
        <v>2834</v>
      </c>
      <c r="S12" s="10" t="s">
        <v>2834</v>
      </c>
      <c r="T12" s="10"/>
      <c r="U12" s="10"/>
      <c r="V12" s="10"/>
      <c r="W12" s="10"/>
      <c r="X12" s="10"/>
      <c r="Y12" s="10"/>
      <c r="Z12" s="10"/>
      <c r="AA12" s="10"/>
      <c r="AB12" s="10"/>
      <c r="AC12" s="10"/>
    </row>
    <row r="13" spans="1:16381" ht="29">
      <c r="A13" s="2" t="s">
        <v>92</v>
      </c>
      <c r="B13" s="2" t="s">
        <v>1288</v>
      </c>
      <c r="C13" s="2" t="s">
        <v>1289</v>
      </c>
      <c r="F13" t="s">
        <v>19</v>
      </c>
      <c r="G13" s="10" t="s">
        <v>24</v>
      </c>
      <c r="H13" s="10"/>
      <c r="I13" s="10">
        <v>1</v>
      </c>
      <c r="J13" s="10">
        <v>6</v>
      </c>
      <c r="K13" s="10" t="s">
        <v>2660</v>
      </c>
      <c r="L13" s="10" t="s">
        <v>2647</v>
      </c>
      <c r="M13" s="10"/>
      <c r="N13" s="11"/>
      <c r="O13" s="10"/>
      <c r="P13" s="10">
        <v>250</v>
      </c>
      <c r="Q13" s="10"/>
      <c r="R13" s="10" t="s">
        <v>2834</v>
      </c>
      <c r="S13" s="10" t="s">
        <v>2834</v>
      </c>
      <c r="T13" s="10"/>
      <c r="U13" s="10"/>
      <c r="V13" s="10"/>
      <c r="W13" s="10"/>
      <c r="X13" s="10"/>
      <c r="Y13" s="10"/>
      <c r="Z13" s="10"/>
      <c r="AA13" s="10"/>
      <c r="AB13" s="10"/>
      <c r="AC13" s="10"/>
    </row>
    <row r="14" spans="1:16381" ht="29">
      <c r="A14" s="2" t="s">
        <v>92</v>
      </c>
      <c r="B14" s="2" t="s">
        <v>1292</v>
      </c>
      <c r="C14" s="2" t="s">
        <v>1293</v>
      </c>
      <c r="G14" s="10" t="s">
        <v>2688</v>
      </c>
      <c r="H14" s="10"/>
      <c r="I14" s="10"/>
      <c r="J14" s="10"/>
      <c r="K14" s="10"/>
      <c r="L14" s="10"/>
      <c r="M14" s="10"/>
      <c r="N14" s="11"/>
      <c r="O14" s="10"/>
      <c r="P14" s="10"/>
      <c r="Q14" s="10"/>
      <c r="R14" s="10" t="s">
        <v>2834</v>
      </c>
      <c r="S14" s="10" t="s">
        <v>2834</v>
      </c>
      <c r="T14" s="10"/>
      <c r="U14" s="10"/>
      <c r="V14" s="10"/>
      <c r="W14" s="10"/>
      <c r="X14" s="10"/>
      <c r="Y14" s="10"/>
      <c r="Z14" s="10"/>
      <c r="AA14" s="10"/>
      <c r="AB14" s="10"/>
      <c r="AC14" s="10"/>
    </row>
    <row r="15" spans="1:16381" ht="29">
      <c r="A15" s="2" t="s">
        <v>97</v>
      </c>
      <c r="B15" s="2" t="s">
        <v>1295</v>
      </c>
      <c r="C15" s="2" t="s">
        <v>1296</v>
      </c>
      <c r="F15" t="s">
        <v>19</v>
      </c>
      <c r="G15" s="10" t="s">
        <v>2688</v>
      </c>
      <c r="H15" s="10"/>
      <c r="I15" s="10"/>
      <c r="J15" s="10"/>
      <c r="K15" s="10"/>
      <c r="L15" s="10"/>
      <c r="M15" s="10"/>
      <c r="N15" s="11"/>
      <c r="O15" s="10"/>
      <c r="P15" s="10"/>
      <c r="Q15" s="10"/>
      <c r="R15" s="10"/>
      <c r="S15" s="10"/>
      <c r="T15" s="10"/>
      <c r="U15" s="10"/>
      <c r="V15" s="10"/>
      <c r="W15" s="10"/>
      <c r="X15" s="10"/>
      <c r="Y15" s="10"/>
      <c r="Z15" s="10"/>
      <c r="AA15" s="10"/>
      <c r="AB15" s="10"/>
      <c r="AC15" s="10"/>
    </row>
    <row r="16" spans="1:16381" ht="29">
      <c r="A16" s="2" t="s">
        <v>106</v>
      </c>
      <c r="B16" s="2" t="s">
        <v>1308</v>
      </c>
      <c r="C16" s="2" t="s">
        <v>1307</v>
      </c>
      <c r="F16" t="s">
        <v>19</v>
      </c>
      <c r="G16" s="10" t="s">
        <v>2688</v>
      </c>
      <c r="H16" s="10"/>
      <c r="I16" s="10"/>
      <c r="J16" s="10"/>
      <c r="K16" s="10"/>
      <c r="L16" s="10"/>
      <c r="M16" s="10"/>
      <c r="N16" s="11"/>
      <c r="O16" s="10"/>
      <c r="P16" s="10"/>
      <c r="Q16" s="10"/>
      <c r="R16" s="10" t="s">
        <v>2834</v>
      </c>
      <c r="S16" s="10" t="s">
        <v>2834</v>
      </c>
      <c r="T16" s="10"/>
      <c r="U16" s="10"/>
      <c r="V16" s="10"/>
      <c r="W16" s="10"/>
      <c r="X16" s="10"/>
      <c r="Y16" s="10"/>
      <c r="Z16" s="10"/>
      <c r="AA16" s="10"/>
      <c r="AB16" s="10"/>
      <c r="AC16" s="10"/>
    </row>
    <row r="17" spans="1:29" ht="29">
      <c r="A17" s="2" t="s">
        <v>108</v>
      </c>
      <c r="B17" s="2" t="s">
        <v>1311</v>
      </c>
      <c r="C17" s="2" t="s">
        <v>1312</v>
      </c>
      <c r="F17" t="s">
        <v>19</v>
      </c>
      <c r="G17" s="10" t="s">
        <v>2688</v>
      </c>
      <c r="H17" s="10"/>
      <c r="I17" s="10"/>
      <c r="J17" s="10"/>
      <c r="K17" s="10"/>
      <c r="L17" s="10"/>
      <c r="M17" s="10"/>
      <c r="N17" s="11"/>
      <c r="O17" s="10"/>
      <c r="P17" s="10"/>
      <c r="Q17" s="10"/>
      <c r="R17" s="10" t="s">
        <v>2834</v>
      </c>
      <c r="S17" s="10" t="s">
        <v>2834</v>
      </c>
      <c r="T17" s="10"/>
      <c r="U17" s="10"/>
      <c r="V17" s="10"/>
      <c r="W17" s="10"/>
      <c r="X17" s="10"/>
      <c r="Y17" s="10"/>
      <c r="Z17" s="10"/>
      <c r="AA17" s="10"/>
      <c r="AB17" s="10"/>
      <c r="AC17" s="10"/>
    </row>
    <row r="18" spans="1:29" ht="29">
      <c r="A18" s="2" t="s">
        <v>109</v>
      </c>
      <c r="B18" s="2" t="s">
        <v>1314</v>
      </c>
      <c r="C18" s="2" t="s">
        <v>1313</v>
      </c>
      <c r="F18" t="s">
        <v>19</v>
      </c>
      <c r="G18" s="10" t="s">
        <v>25</v>
      </c>
      <c r="H18" s="10"/>
      <c r="I18" s="10">
        <v>1</v>
      </c>
      <c r="J18" s="10">
        <v>5</v>
      </c>
      <c r="K18" s="10" t="s">
        <v>2662</v>
      </c>
      <c r="L18" s="10" t="s">
        <v>2647</v>
      </c>
      <c r="M18" s="10"/>
      <c r="N18" s="11"/>
      <c r="O18" s="10"/>
      <c r="P18" s="10">
        <v>830</v>
      </c>
      <c r="Q18" s="10"/>
      <c r="R18" s="10" t="s">
        <v>2834</v>
      </c>
      <c r="S18" s="10" t="s">
        <v>2834</v>
      </c>
      <c r="T18" s="10"/>
      <c r="U18" s="10"/>
      <c r="V18" s="10"/>
      <c r="W18" s="10"/>
      <c r="X18" s="10"/>
      <c r="Y18" s="10"/>
      <c r="Z18" s="10"/>
      <c r="AA18" s="10"/>
      <c r="AB18" s="10"/>
      <c r="AC18" s="10"/>
    </row>
    <row r="19" spans="1:29" ht="29">
      <c r="A19" s="2" t="s">
        <v>112</v>
      </c>
      <c r="B19" s="2" t="s">
        <v>1317</v>
      </c>
      <c r="C19" s="2" t="s">
        <v>1318</v>
      </c>
      <c r="F19" t="s">
        <v>19</v>
      </c>
      <c r="G19" s="10" t="s">
        <v>2688</v>
      </c>
      <c r="H19" s="10"/>
      <c r="I19" s="10"/>
      <c r="J19" s="10"/>
      <c r="K19" s="10"/>
      <c r="L19" s="10"/>
      <c r="M19" s="10"/>
      <c r="N19" s="11"/>
      <c r="O19" s="10"/>
      <c r="P19" s="10"/>
      <c r="Q19" s="10"/>
      <c r="R19" s="10" t="s">
        <v>2834</v>
      </c>
      <c r="S19" s="10" t="s">
        <v>2834</v>
      </c>
      <c r="T19" s="10"/>
      <c r="U19" s="10"/>
      <c r="V19" s="10"/>
      <c r="W19" s="10"/>
      <c r="X19" s="10"/>
      <c r="Y19" s="10"/>
      <c r="Z19" s="10"/>
      <c r="AA19" s="10"/>
      <c r="AB19" s="10"/>
      <c r="AC19" s="10"/>
    </row>
    <row r="20" spans="1:29" ht="29">
      <c r="A20" s="2" t="s">
        <v>114</v>
      </c>
      <c r="B20" s="2" t="s">
        <v>116</v>
      </c>
      <c r="C20" s="2" t="s">
        <v>115</v>
      </c>
      <c r="G20" s="10" t="s">
        <v>2688</v>
      </c>
      <c r="H20" s="10"/>
      <c r="I20" s="10"/>
      <c r="J20" s="10"/>
      <c r="K20" s="10"/>
      <c r="L20" s="10"/>
      <c r="M20" s="10"/>
      <c r="N20" s="11"/>
      <c r="O20" s="10"/>
      <c r="P20" s="10"/>
      <c r="Q20" s="10"/>
      <c r="R20" s="10" t="s">
        <v>2834</v>
      </c>
      <c r="S20" s="10" t="s">
        <v>2834</v>
      </c>
      <c r="T20" s="10"/>
      <c r="U20" s="10"/>
      <c r="V20" s="10"/>
      <c r="W20" s="10"/>
      <c r="X20" s="10"/>
      <c r="Y20" s="10"/>
      <c r="Z20" s="10"/>
      <c r="AA20" s="10"/>
      <c r="AB20" s="10"/>
      <c r="AC20" s="10"/>
    </row>
    <row r="21" spans="1:29" ht="29">
      <c r="A21" s="2" t="s">
        <v>118</v>
      </c>
      <c r="B21" s="2" t="s">
        <v>1323</v>
      </c>
      <c r="C21" s="2" t="s">
        <v>1324</v>
      </c>
      <c r="G21" s="10" t="s">
        <v>2686</v>
      </c>
      <c r="H21" s="10"/>
      <c r="I21" s="10"/>
      <c r="J21" s="10"/>
      <c r="K21" s="10"/>
      <c r="L21" s="10"/>
      <c r="M21" s="10"/>
      <c r="N21" s="11"/>
      <c r="O21" s="10"/>
      <c r="P21" s="10"/>
      <c r="Q21" s="10">
        <v>-431</v>
      </c>
      <c r="R21" s="10">
        <v>743</v>
      </c>
      <c r="S21" s="10">
        <v>312</v>
      </c>
      <c r="T21" s="10"/>
      <c r="U21" s="10"/>
      <c r="V21" s="10"/>
      <c r="W21" s="10"/>
      <c r="X21" s="10"/>
      <c r="Y21" s="10"/>
      <c r="Z21" s="10"/>
      <c r="AA21" s="10"/>
      <c r="AB21" s="10"/>
      <c r="AC21" s="10"/>
    </row>
    <row r="22" spans="1:29" ht="29">
      <c r="A22" s="2" t="s">
        <v>118</v>
      </c>
      <c r="B22" s="2" t="s">
        <v>1325</v>
      </c>
      <c r="C22" s="2" t="s">
        <v>1326</v>
      </c>
      <c r="F22" t="s">
        <v>19</v>
      </c>
      <c r="G22" s="10" t="s">
        <v>25</v>
      </c>
      <c r="H22" s="10"/>
      <c r="I22" s="10">
        <v>2</v>
      </c>
      <c r="J22" s="10">
        <v>8</v>
      </c>
      <c r="K22" s="10"/>
      <c r="L22" s="10" t="s">
        <v>2647</v>
      </c>
      <c r="M22" s="10"/>
      <c r="N22" s="11"/>
      <c r="O22" s="10"/>
      <c r="P22" s="10">
        <v>295</v>
      </c>
      <c r="Q22" s="10"/>
      <c r="R22" s="10" t="s">
        <v>2834</v>
      </c>
      <c r="S22" s="10" t="s">
        <v>2834</v>
      </c>
      <c r="T22" s="10"/>
      <c r="U22" s="10"/>
      <c r="V22" s="10"/>
      <c r="W22" s="10"/>
      <c r="X22" s="10"/>
      <c r="Y22" s="10"/>
      <c r="Z22" s="10"/>
      <c r="AA22" s="10"/>
      <c r="AB22" s="10"/>
      <c r="AC22" s="10"/>
    </row>
    <row r="23" spans="1:29">
      <c r="A23" s="2" t="s">
        <v>123</v>
      </c>
      <c r="B23" s="2" t="s">
        <v>1338</v>
      </c>
      <c r="C23" s="2" t="s">
        <v>1339</v>
      </c>
      <c r="F23" t="s">
        <v>19</v>
      </c>
      <c r="G23" s="10" t="s">
        <v>2686</v>
      </c>
      <c r="H23" s="10"/>
      <c r="I23" s="10"/>
      <c r="J23" s="10"/>
      <c r="K23" s="10"/>
      <c r="L23" s="10"/>
      <c r="M23" s="10"/>
      <c r="N23" s="11"/>
      <c r="O23" s="10"/>
      <c r="P23" s="10"/>
      <c r="Q23" s="10">
        <v>-431</v>
      </c>
      <c r="R23" s="10">
        <v>743</v>
      </c>
      <c r="S23" s="10">
        <v>312</v>
      </c>
      <c r="T23" s="10"/>
      <c r="U23" s="10"/>
      <c r="V23" s="10"/>
      <c r="W23" s="10"/>
      <c r="X23" s="10"/>
      <c r="Y23" s="10"/>
      <c r="Z23" s="10"/>
      <c r="AA23" s="10"/>
      <c r="AB23" s="10"/>
      <c r="AC23" s="10"/>
    </row>
    <row r="24" spans="1:29">
      <c r="A24" s="2" t="s">
        <v>134</v>
      </c>
      <c r="B24" s="2" t="s">
        <v>1351</v>
      </c>
      <c r="C24" s="2" t="s">
        <v>1352</v>
      </c>
      <c r="G24" s="10" t="s">
        <v>2686</v>
      </c>
      <c r="H24" s="10"/>
      <c r="I24" s="10"/>
      <c r="J24" s="10"/>
      <c r="K24" s="10"/>
      <c r="L24" s="10"/>
      <c r="M24" s="10"/>
      <c r="N24" s="11"/>
      <c r="O24" s="10"/>
      <c r="P24" s="10"/>
      <c r="Q24" s="10">
        <v>61</v>
      </c>
      <c r="R24" s="10">
        <v>105</v>
      </c>
      <c r="S24" s="10">
        <v>166</v>
      </c>
      <c r="T24" s="10"/>
      <c r="U24" s="10"/>
      <c r="V24" s="10"/>
      <c r="W24" s="10"/>
      <c r="X24" s="10"/>
      <c r="Y24" s="10"/>
      <c r="Z24" s="10"/>
      <c r="AA24" s="10"/>
      <c r="AB24" s="10"/>
      <c r="AC24" s="10"/>
    </row>
    <row r="25" spans="1:29">
      <c r="A25" s="2" t="s">
        <v>134</v>
      </c>
      <c r="B25" s="2" t="s">
        <v>1353</v>
      </c>
      <c r="C25" s="2" t="s">
        <v>1354</v>
      </c>
      <c r="F25" t="s">
        <v>19</v>
      </c>
      <c r="G25" s="10" t="s">
        <v>25</v>
      </c>
      <c r="H25" s="10"/>
      <c r="I25" s="10">
        <v>1</v>
      </c>
      <c r="J25" s="10">
        <v>5</v>
      </c>
      <c r="K25" s="10" t="s">
        <v>2640</v>
      </c>
      <c r="L25" s="10" t="s">
        <v>2647</v>
      </c>
      <c r="M25" s="10"/>
      <c r="N25" s="11"/>
      <c r="O25" s="10"/>
      <c r="P25" s="10">
        <v>2</v>
      </c>
      <c r="Q25" s="10"/>
      <c r="R25" s="10" t="s">
        <v>2834</v>
      </c>
      <c r="S25" s="10" t="s">
        <v>2834</v>
      </c>
      <c r="T25" s="10"/>
      <c r="U25" s="10"/>
      <c r="V25" s="10"/>
      <c r="W25" s="10"/>
      <c r="X25" s="10"/>
      <c r="Y25" s="10"/>
      <c r="Z25" s="10"/>
      <c r="AA25" s="10"/>
      <c r="AB25" s="10"/>
      <c r="AC25" s="10"/>
    </row>
    <row r="26" spans="1:29" ht="29">
      <c r="A26" s="2" t="s">
        <v>147</v>
      </c>
      <c r="B26" s="2" t="s">
        <v>1378</v>
      </c>
      <c r="C26" s="2" t="s">
        <v>1377</v>
      </c>
      <c r="G26" s="10" t="s">
        <v>2686</v>
      </c>
      <c r="H26" s="10"/>
      <c r="I26" s="10"/>
      <c r="J26" s="10"/>
      <c r="K26" s="10"/>
      <c r="L26" s="10"/>
      <c r="M26" s="10"/>
      <c r="N26" s="11"/>
      <c r="O26" s="10"/>
      <c r="P26" s="10"/>
      <c r="Q26" s="10">
        <v>-774</v>
      </c>
      <c r="R26" s="10">
        <v>2475</v>
      </c>
      <c r="S26" s="10">
        <v>1701</v>
      </c>
      <c r="T26" s="10"/>
      <c r="U26" s="10"/>
      <c r="V26" s="10"/>
      <c r="W26" s="10"/>
      <c r="X26" s="10"/>
      <c r="Y26" s="10"/>
      <c r="Z26" s="10"/>
      <c r="AA26" s="10"/>
      <c r="AB26" s="10"/>
      <c r="AC26" s="10"/>
    </row>
    <row r="27" spans="1:29">
      <c r="A27" s="2" t="s">
        <v>164</v>
      </c>
      <c r="B27" s="2" t="s">
        <v>1403</v>
      </c>
      <c r="C27" s="2" t="s">
        <v>1404</v>
      </c>
      <c r="F27" t="s">
        <v>19</v>
      </c>
      <c r="G27" s="10" t="s">
        <v>2686</v>
      </c>
      <c r="H27" s="10"/>
      <c r="I27" s="10"/>
      <c r="J27" s="10"/>
      <c r="K27" s="10"/>
      <c r="L27" s="10"/>
      <c r="M27" s="10"/>
      <c r="N27" s="11"/>
      <c r="O27" s="10"/>
      <c r="P27" s="10"/>
      <c r="Q27" s="10">
        <v>-60</v>
      </c>
      <c r="R27" s="10">
        <v>146</v>
      </c>
      <c r="S27" s="10">
        <v>86</v>
      </c>
      <c r="T27" s="10"/>
      <c r="U27" s="10"/>
      <c r="V27" s="10"/>
      <c r="W27" s="10"/>
      <c r="X27" s="10"/>
      <c r="Y27" s="10"/>
      <c r="Z27" s="10"/>
      <c r="AA27" s="10"/>
      <c r="AB27" s="10"/>
      <c r="AC27" s="10"/>
    </row>
    <row r="28" spans="1:29" ht="29">
      <c r="A28" s="2" t="s">
        <v>168</v>
      </c>
      <c r="B28" s="2" t="s">
        <v>1405</v>
      </c>
      <c r="C28" s="2" t="s">
        <v>1406</v>
      </c>
      <c r="F28" t="s">
        <v>19</v>
      </c>
      <c r="G28" s="10" t="s">
        <v>24</v>
      </c>
      <c r="H28" s="10"/>
      <c r="I28" s="10">
        <v>1</v>
      </c>
      <c r="J28" s="10">
        <v>5</v>
      </c>
      <c r="K28" s="10" t="s">
        <v>2660</v>
      </c>
      <c r="L28" s="10" t="s">
        <v>2647</v>
      </c>
      <c r="M28" s="10"/>
      <c r="N28" s="11"/>
      <c r="O28" s="10"/>
      <c r="P28" s="10">
        <v>65</v>
      </c>
      <c r="Q28" s="10"/>
      <c r="R28" s="10" t="s">
        <v>2834</v>
      </c>
      <c r="S28" s="10" t="s">
        <v>2834</v>
      </c>
      <c r="T28" s="10"/>
      <c r="U28" s="10"/>
      <c r="V28" s="10"/>
      <c r="W28" s="10"/>
      <c r="X28" s="10"/>
      <c r="Y28" s="10"/>
      <c r="Z28" s="10"/>
      <c r="AA28" s="10"/>
      <c r="AB28" s="10"/>
      <c r="AC28" s="10"/>
    </row>
    <row r="29" spans="1:29">
      <c r="A29" s="2" t="s">
        <v>174</v>
      </c>
      <c r="B29" s="13" t="s">
        <v>1408</v>
      </c>
      <c r="C29" t="s">
        <v>1409</v>
      </c>
      <c r="F29" t="s">
        <v>19</v>
      </c>
      <c r="G29" s="10" t="s">
        <v>25</v>
      </c>
      <c r="H29" s="10"/>
      <c r="I29" s="10">
        <v>1</v>
      </c>
      <c r="J29" s="10">
        <v>3</v>
      </c>
      <c r="K29" s="10" t="s">
        <v>2646</v>
      </c>
      <c r="L29" s="10" t="s">
        <v>2641</v>
      </c>
      <c r="M29" s="10" t="s">
        <v>2704</v>
      </c>
      <c r="N29" s="11" t="s">
        <v>2705</v>
      </c>
      <c r="O29" s="10" t="s">
        <v>2642</v>
      </c>
      <c r="P29" s="10">
        <v>2475</v>
      </c>
      <c r="Q29" s="10"/>
      <c r="R29" s="10" t="s">
        <v>2834</v>
      </c>
      <c r="S29" s="10" t="s">
        <v>2834</v>
      </c>
      <c r="T29" s="10"/>
      <c r="U29" s="10"/>
      <c r="V29" s="10"/>
      <c r="W29" s="10"/>
      <c r="X29" s="10"/>
      <c r="Y29" s="10"/>
      <c r="Z29" s="10"/>
      <c r="AA29" s="10"/>
      <c r="AB29" s="10"/>
      <c r="AC29" s="10"/>
    </row>
    <row r="30" spans="1:29" ht="29">
      <c r="A30" s="2" t="s">
        <v>175</v>
      </c>
      <c r="B30" s="2" t="s">
        <v>1412</v>
      </c>
      <c r="C30" s="2" t="s">
        <v>1413</v>
      </c>
      <c r="F30" t="s">
        <v>19</v>
      </c>
      <c r="G30" s="10" t="s">
        <v>2688</v>
      </c>
      <c r="H30" s="10"/>
      <c r="I30" s="10"/>
      <c r="J30" s="10"/>
      <c r="K30" s="10"/>
      <c r="L30" s="10"/>
      <c r="M30" s="10"/>
      <c r="N30" s="11"/>
      <c r="O30" s="10"/>
      <c r="P30" s="10"/>
      <c r="Q30" s="10"/>
      <c r="R30" s="10" t="s">
        <v>2834</v>
      </c>
      <c r="S30" s="10" t="s">
        <v>2834</v>
      </c>
      <c r="T30" s="10"/>
      <c r="U30" s="10"/>
      <c r="V30" s="10"/>
      <c r="W30" s="10"/>
      <c r="X30" s="10"/>
      <c r="Y30" s="10"/>
      <c r="Z30" s="10"/>
      <c r="AA30" s="10"/>
      <c r="AB30" s="10"/>
      <c r="AC30" s="10"/>
    </row>
    <row r="31" spans="1:29">
      <c r="A31" s="2" t="s">
        <v>178</v>
      </c>
      <c r="B31" s="2" t="s">
        <v>1414</v>
      </c>
      <c r="C31" s="2" t="s">
        <v>1415</v>
      </c>
      <c r="F31" t="s">
        <v>19</v>
      </c>
      <c r="G31" s="10" t="s">
        <v>2686</v>
      </c>
      <c r="H31" s="10"/>
      <c r="I31" s="10"/>
      <c r="J31" s="10"/>
      <c r="K31" s="10"/>
      <c r="L31" s="10"/>
      <c r="M31" s="10"/>
      <c r="N31" s="11"/>
      <c r="O31" s="10"/>
      <c r="P31" s="10"/>
      <c r="Q31" s="10">
        <v>249</v>
      </c>
      <c r="R31" s="10">
        <v>31</v>
      </c>
      <c r="S31" s="10">
        <v>280</v>
      </c>
      <c r="T31" s="10"/>
      <c r="U31" s="10"/>
      <c r="V31" s="10"/>
      <c r="W31" s="10"/>
      <c r="X31" s="10"/>
      <c r="Y31" s="10"/>
      <c r="Z31" s="10"/>
      <c r="AA31" s="10"/>
      <c r="AB31" s="10"/>
      <c r="AC31" s="10"/>
    </row>
    <row r="32" spans="1:29">
      <c r="A32" s="2" t="s">
        <v>182</v>
      </c>
      <c r="B32" s="2" t="s">
        <v>1421</v>
      </c>
      <c r="C32" s="2" t="s">
        <v>1420</v>
      </c>
      <c r="F32" t="s">
        <v>19</v>
      </c>
      <c r="G32" s="10" t="s">
        <v>24</v>
      </c>
      <c r="H32" s="10"/>
      <c r="I32" s="10">
        <v>1</v>
      </c>
      <c r="J32" s="10">
        <v>6</v>
      </c>
      <c r="K32" s="10" t="s">
        <v>2660</v>
      </c>
      <c r="L32" s="10" t="s">
        <v>2647</v>
      </c>
      <c r="M32" s="10"/>
      <c r="N32" s="11"/>
      <c r="O32" s="10"/>
      <c r="P32" s="10">
        <v>250</v>
      </c>
      <c r="Q32" s="10"/>
      <c r="R32" s="10" t="s">
        <v>2834</v>
      </c>
      <c r="S32" s="10" t="s">
        <v>2834</v>
      </c>
      <c r="T32" s="10"/>
      <c r="U32" s="10"/>
      <c r="V32" s="10"/>
      <c r="W32" s="10"/>
      <c r="X32" s="10"/>
      <c r="Y32" s="10"/>
      <c r="Z32" s="10"/>
      <c r="AA32" s="10"/>
      <c r="AB32" s="10"/>
      <c r="AC32" s="10"/>
    </row>
    <row r="33" spans="1:29">
      <c r="A33" s="2" t="s">
        <v>187</v>
      </c>
      <c r="B33" s="13" t="s">
        <v>1422</v>
      </c>
      <c r="C33" t="s">
        <v>1423</v>
      </c>
      <c r="F33" t="s">
        <v>19</v>
      </c>
      <c r="G33" s="10" t="s">
        <v>25</v>
      </c>
      <c r="H33" s="10"/>
      <c r="I33" s="10">
        <v>1</v>
      </c>
      <c r="J33" s="10">
        <v>3</v>
      </c>
      <c r="K33" s="10" t="s">
        <v>2646</v>
      </c>
      <c r="L33" s="10" t="s">
        <v>2647</v>
      </c>
      <c r="M33" s="10"/>
      <c r="N33" s="11"/>
      <c r="O33" s="10"/>
      <c r="P33" s="10">
        <v>2475</v>
      </c>
      <c r="Q33" s="10"/>
      <c r="R33" s="10" t="s">
        <v>2834</v>
      </c>
      <c r="S33" s="10" t="s">
        <v>2834</v>
      </c>
      <c r="T33" s="10"/>
      <c r="U33" s="10"/>
      <c r="V33" s="10"/>
      <c r="W33" s="10"/>
      <c r="X33" s="10"/>
      <c r="Y33" s="10"/>
      <c r="Z33" s="10"/>
      <c r="AA33" s="10"/>
      <c r="AB33" s="10"/>
      <c r="AC33" s="10"/>
    </row>
    <row r="34" spans="1:29" ht="29">
      <c r="A34" s="2" t="s">
        <v>193</v>
      </c>
      <c r="B34" s="2" t="s">
        <v>1429</v>
      </c>
      <c r="C34" s="2" t="s">
        <v>1430</v>
      </c>
      <c r="G34" s="10" t="s">
        <v>25</v>
      </c>
      <c r="H34" s="10"/>
      <c r="I34" s="10">
        <v>1</v>
      </c>
      <c r="J34" s="10">
        <v>3</v>
      </c>
      <c r="K34" s="10" t="s">
        <v>2655</v>
      </c>
      <c r="L34" s="10" t="s">
        <v>2647</v>
      </c>
      <c r="M34" s="10"/>
      <c r="N34" s="11"/>
      <c r="O34" s="10"/>
      <c r="P34" s="10">
        <v>1701</v>
      </c>
      <c r="Q34" s="10"/>
      <c r="R34" s="10" t="s">
        <v>2834</v>
      </c>
      <c r="S34" s="10" t="s">
        <v>2834</v>
      </c>
      <c r="T34" s="10"/>
      <c r="U34" s="10"/>
      <c r="V34" s="10"/>
      <c r="W34" s="10"/>
      <c r="X34" s="10"/>
      <c r="Y34" s="10"/>
      <c r="Z34" s="10"/>
      <c r="AA34" s="10"/>
      <c r="AB34" s="10"/>
      <c r="AC34" s="10"/>
    </row>
    <row r="35" spans="1:29" ht="29">
      <c r="A35" s="2" t="s">
        <v>195</v>
      </c>
      <c r="B35" s="2" t="s">
        <v>1437</v>
      </c>
      <c r="C35" s="2" t="s">
        <v>1438</v>
      </c>
      <c r="F35" t="s">
        <v>19</v>
      </c>
      <c r="G35" s="10" t="s">
        <v>2686</v>
      </c>
      <c r="H35" s="10"/>
      <c r="I35" s="10"/>
      <c r="J35" s="10"/>
      <c r="K35" s="10"/>
      <c r="L35" s="10"/>
      <c r="M35" s="10"/>
      <c r="N35" s="11"/>
      <c r="O35" s="10"/>
      <c r="P35" s="10"/>
      <c r="Q35" s="10">
        <v>-431</v>
      </c>
      <c r="R35" s="10">
        <v>743</v>
      </c>
      <c r="S35" s="10">
        <v>312</v>
      </c>
      <c r="T35" s="10"/>
      <c r="U35" s="10"/>
      <c r="V35" s="10"/>
      <c r="W35" s="10"/>
      <c r="X35" s="10"/>
      <c r="Y35" s="10"/>
      <c r="Z35" s="10"/>
      <c r="AA35" s="10"/>
      <c r="AB35" s="10"/>
      <c r="AC35" s="10"/>
    </row>
    <row r="36" spans="1:29">
      <c r="A36" s="2" t="s">
        <v>195</v>
      </c>
      <c r="B36" s="2" t="s">
        <v>1442</v>
      </c>
      <c r="C36" s="2" t="s">
        <v>1441</v>
      </c>
      <c r="G36" s="10" t="s">
        <v>2688</v>
      </c>
      <c r="H36" s="10"/>
      <c r="I36" s="10"/>
      <c r="J36" s="10"/>
      <c r="K36" s="10"/>
      <c r="L36" s="10"/>
      <c r="M36" s="10"/>
      <c r="N36" s="11"/>
      <c r="O36" s="10"/>
      <c r="P36" s="10"/>
      <c r="Q36" s="10"/>
      <c r="R36" s="10" t="s">
        <v>2834</v>
      </c>
      <c r="S36" s="10" t="s">
        <v>2834</v>
      </c>
      <c r="T36" s="10"/>
      <c r="U36" s="10"/>
      <c r="V36" s="10"/>
      <c r="W36" s="10"/>
      <c r="X36" s="10"/>
      <c r="Y36" s="10"/>
      <c r="Z36" s="10"/>
      <c r="AA36" s="10"/>
      <c r="AB36" s="10"/>
      <c r="AC36" s="10"/>
    </row>
    <row r="37" spans="1:29" ht="29">
      <c r="A37" s="2" t="s">
        <v>222</v>
      </c>
      <c r="B37" s="2" t="s">
        <v>1478</v>
      </c>
      <c r="C37" s="2" t="s">
        <v>1481</v>
      </c>
      <c r="F37" t="s">
        <v>19</v>
      </c>
      <c r="G37" s="10" t="s">
        <v>24</v>
      </c>
      <c r="H37" s="10"/>
      <c r="I37" s="10">
        <v>1</v>
      </c>
      <c r="J37" s="10">
        <v>2</v>
      </c>
      <c r="K37" s="10" t="s">
        <v>2646</v>
      </c>
      <c r="L37" s="10" t="s">
        <v>2687</v>
      </c>
      <c r="M37" s="10"/>
      <c r="N37" s="11"/>
      <c r="O37" s="10"/>
      <c r="P37" s="10">
        <v>2475</v>
      </c>
      <c r="Q37" s="10"/>
      <c r="R37" s="10" t="s">
        <v>2834</v>
      </c>
      <c r="S37" s="10" t="s">
        <v>2834</v>
      </c>
      <c r="T37" s="10"/>
      <c r="U37" s="10"/>
      <c r="V37" s="10"/>
      <c r="W37" s="10"/>
      <c r="X37" s="10"/>
      <c r="Y37" s="10"/>
      <c r="Z37" s="10"/>
      <c r="AA37" s="10"/>
      <c r="AB37" s="10"/>
      <c r="AC37" s="10"/>
    </row>
    <row r="38" spans="1:29" ht="29">
      <c r="A38" s="2" t="s">
        <v>232</v>
      </c>
      <c r="B38" s="2" t="s">
        <v>1492</v>
      </c>
      <c r="C38" s="2" t="s">
        <v>1493</v>
      </c>
      <c r="G38" s="10" t="s">
        <v>2688</v>
      </c>
      <c r="H38" s="10"/>
      <c r="I38" s="10"/>
      <c r="J38" s="10"/>
      <c r="K38" s="10"/>
      <c r="L38" s="10"/>
      <c r="M38" s="10"/>
      <c r="N38" s="11"/>
      <c r="O38" s="10"/>
      <c r="P38" s="10"/>
      <c r="Q38" s="10"/>
      <c r="R38" s="10" t="s">
        <v>2834</v>
      </c>
      <c r="S38" s="10" t="s">
        <v>2834</v>
      </c>
      <c r="T38" s="10"/>
      <c r="U38" s="10"/>
      <c r="V38" s="10"/>
      <c r="W38" s="10"/>
      <c r="X38" s="10"/>
      <c r="Y38" s="10"/>
      <c r="Z38" s="10"/>
      <c r="AA38" s="10"/>
      <c r="AB38" s="10"/>
      <c r="AC38" s="10"/>
    </row>
    <row r="39" spans="1:29" ht="29">
      <c r="A39" s="2" t="s">
        <v>232</v>
      </c>
      <c r="B39" s="2" t="s">
        <v>1495</v>
      </c>
      <c r="C39" s="2" t="s">
        <v>1496</v>
      </c>
      <c r="G39" s="10" t="s">
        <v>2689</v>
      </c>
      <c r="H39" s="10"/>
      <c r="I39" s="10"/>
      <c r="J39" s="10"/>
      <c r="K39" s="10"/>
      <c r="L39" s="10"/>
      <c r="M39" s="10"/>
      <c r="N39" s="11"/>
      <c r="O39" s="10"/>
      <c r="P39" s="10"/>
      <c r="Q39" s="10">
        <v>-194</v>
      </c>
      <c r="R39" s="10">
        <v>250</v>
      </c>
      <c r="S39" s="10">
        <v>56</v>
      </c>
      <c r="T39" s="10"/>
      <c r="U39" s="10"/>
      <c r="V39" s="10"/>
      <c r="W39" s="10"/>
      <c r="X39" s="10"/>
      <c r="Y39" s="10"/>
      <c r="Z39" s="10"/>
      <c r="AA39" s="10"/>
      <c r="AB39" s="10"/>
      <c r="AC39" s="10"/>
    </row>
    <row r="40" spans="1:29" ht="72.5">
      <c r="A40" s="2" t="s">
        <v>239</v>
      </c>
      <c r="B40" s="2" t="s">
        <v>1501</v>
      </c>
      <c r="C40" s="2" t="s">
        <v>1502</v>
      </c>
      <c r="G40" s="10" t="s">
        <v>25</v>
      </c>
      <c r="H40" s="10"/>
      <c r="I40" s="10">
        <v>13</v>
      </c>
      <c r="J40" s="10">
        <v>53</v>
      </c>
      <c r="K40" s="10"/>
      <c r="L40" s="10" t="s">
        <v>2641</v>
      </c>
      <c r="M40" s="10" t="s">
        <v>2712</v>
      </c>
      <c r="N40" s="11" t="s">
        <v>2713</v>
      </c>
      <c r="O40" s="10"/>
      <c r="P40" s="10">
        <v>3</v>
      </c>
      <c r="Q40" s="10"/>
      <c r="R40" s="10" t="s">
        <v>2834</v>
      </c>
      <c r="S40" s="10" t="s">
        <v>2834</v>
      </c>
      <c r="T40" s="10"/>
      <c r="U40" s="10"/>
      <c r="V40" s="10"/>
      <c r="W40" s="10"/>
      <c r="X40" s="10"/>
      <c r="Y40" s="10"/>
      <c r="Z40" s="10"/>
      <c r="AA40" s="10"/>
      <c r="AB40" s="10"/>
      <c r="AC40" s="10"/>
    </row>
    <row r="41" spans="1:29">
      <c r="A41" s="2" t="s">
        <v>242</v>
      </c>
      <c r="B41" s="2" t="s">
        <v>1503</v>
      </c>
      <c r="C41" s="2" t="s">
        <v>244</v>
      </c>
      <c r="F41" t="s">
        <v>19</v>
      </c>
      <c r="G41" s="10" t="s">
        <v>2686</v>
      </c>
      <c r="H41" s="10"/>
      <c r="I41" s="10"/>
      <c r="J41" s="10"/>
      <c r="K41" s="10"/>
      <c r="L41" s="10"/>
      <c r="M41" s="10"/>
      <c r="N41" s="11"/>
      <c r="O41" s="10"/>
      <c r="P41" s="10"/>
      <c r="Q41" s="10">
        <v>-3</v>
      </c>
      <c r="R41" s="10">
        <v>3</v>
      </c>
      <c r="S41" s="10">
        <v>0</v>
      </c>
      <c r="T41" s="10"/>
      <c r="U41" s="10"/>
      <c r="V41" s="10"/>
      <c r="W41" s="10"/>
      <c r="X41" s="10"/>
      <c r="Y41" s="10"/>
      <c r="Z41" s="10"/>
      <c r="AA41" s="10"/>
      <c r="AB41" s="10"/>
      <c r="AC41" s="10"/>
    </row>
    <row r="42" spans="1:29">
      <c r="A42" s="2" t="s">
        <v>248</v>
      </c>
      <c r="B42" s="2" t="s">
        <v>250</v>
      </c>
      <c r="C42" s="2" t="s">
        <v>249</v>
      </c>
      <c r="G42" s="10" t="s">
        <v>2686</v>
      </c>
      <c r="H42" s="10"/>
      <c r="I42" s="10"/>
      <c r="J42" s="10"/>
      <c r="K42" s="10"/>
      <c r="L42" s="10"/>
      <c r="M42" s="10"/>
      <c r="N42" s="11"/>
      <c r="O42" s="10"/>
      <c r="P42" s="10"/>
      <c r="Q42" s="10">
        <v>-26</v>
      </c>
      <c r="R42" s="10">
        <v>26</v>
      </c>
      <c r="S42" s="10">
        <v>0</v>
      </c>
      <c r="T42" s="10"/>
      <c r="U42" s="10"/>
      <c r="V42" s="10"/>
      <c r="W42" s="10"/>
      <c r="X42" s="10"/>
      <c r="Y42" s="10"/>
      <c r="Z42" s="10"/>
      <c r="AA42" s="10"/>
      <c r="AB42" s="10"/>
      <c r="AC42" s="10"/>
    </row>
    <row r="43" spans="1:29" ht="29">
      <c r="A43" s="2" t="s">
        <v>256</v>
      </c>
      <c r="B43" s="2" t="s">
        <v>1508</v>
      </c>
      <c r="C43" s="2" t="s">
        <v>1507</v>
      </c>
      <c r="G43" s="10" t="s">
        <v>26</v>
      </c>
      <c r="H43" s="10"/>
      <c r="I43" s="10"/>
      <c r="J43" s="10"/>
      <c r="K43" s="10"/>
      <c r="L43" s="10"/>
      <c r="M43" s="10"/>
      <c r="N43" s="11"/>
      <c r="O43" s="10"/>
      <c r="P43" s="10"/>
      <c r="Q43" s="10"/>
      <c r="R43" s="10" t="s">
        <v>2834</v>
      </c>
      <c r="S43" s="10" t="s">
        <v>2834</v>
      </c>
      <c r="T43" s="10"/>
      <c r="U43" s="10"/>
      <c r="V43" s="10"/>
      <c r="W43" s="10"/>
      <c r="X43" s="10"/>
      <c r="Y43" s="10"/>
      <c r="Z43" s="10"/>
      <c r="AA43" s="10"/>
      <c r="AB43" s="10"/>
      <c r="AC43" s="10"/>
    </row>
    <row r="44" spans="1:29">
      <c r="A44" s="2" t="s">
        <v>259</v>
      </c>
      <c r="B44" s="13" t="s">
        <v>1515</v>
      </c>
      <c r="C44" s="2" t="s">
        <v>260</v>
      </c>
      <c r="F44" t="s">
        <v>19</v>
      </c>
      <c r="G44" s="10" t="s">
        <v>2686</v>
      </c>
      <c r="H44" s="10"/>
      <c r="I44" s="10"/>
      <c r="J44" s="10"/>
      <c r="K44" s="10"/>
      <c r="L44" s="10"/>
      <c r="M44" s="10"/>
      <c r="N44" s="11"/>
      <c r="O44" s="10"/>
      <c r="P44" s="10"/>
      <c r="Q44" s="10">
        <v>-5</v>
      </c>
      <c r="R44" s="10">
        <v>5</v>
      </c>
      <c r="S44" s="10">
        <v>0</v>
      </c>
      <c r="T44" s="10"/>
      <c r="U44" s="10"/>
      <c r="V44" s="10"/>
      <c r="W44" s="10"/>
      <c r="X44" s="10"/>
      <c r="Y44" s="10"/>
      <c r="Z44" s="10"/>
      <c r="AA44" s="10"/>
      <c r="AB44" s="10"/>
      <c r="AC44" s="10"/>
    </row>
    <row r="45" spans="1:29">
      <c r="A45" s="2" t="s">
        <v>262</v>
      </c>
      <c r="B45" s="2" t="s">
        <v>2911</v>
      </c>
      <c r="C45" s="2" t="s">
        <v>1526</v>
      </c>
      <c r="G45" s="10" t="s">
        <v>25</v>
      </c>
      <c r="H45" s="10"/>
      <c r="I45" s="10">
        <v>1</v>
      </c>
      <c r="J45" s="10">
        <v>2</v>
      </c>
      <c r="K45" s="10" t="s">
        <v>2662</v>
      </c>
      <c r="L45" s="10" t="s">
        <v>2687</v>
      </c>
      <c r="M45" s="10"/>
      <c r="N45" s="11"/>
      <c r="O45" s="10"/>
      <c r="P45" s="10">
        <v>743</v>
      </c>
      <c r="Q45" s="10"/>
      <c r="R45" s="10" t="s">
        <v>2834</v>
      </c>
      <c r="S45" s="10" t="s">
        <v>2834</v>
      </c>
      <c r="T45" s="10"/>
      <c r="U45" s="10"/>
      <c r="V45" s="10"/>
      <c r="W45" s="10"/>
      <c r="X45" s="10"/>
      <c r="Y45" s="10"/>
      <c r="Z45" s="10"/>
      <c r="AA45" s="10"/>
      <c r="AB45" s="10"/>
      <c r="AC45" s="10"/>
    </row>
    <row r="46" spans="1:29" ht="29">
      <c r="A46" s="2" t="s">
        <v>266</v>
      </c>
      <c r="B46" s="2" t="s">
        <v>1532</v>
      </c>
      <c r="C46" s="2" t="s">
        <v>1533</v>
      </c>
      <c r="G46" s="10" t="s">
        <v>2688</v>
      </c>
      <c r="H46" s="10"/>
      <c r="I46" s="10"/>
      <c r="J46" s="10"/>
      <c r="K46" s="10"/>
      <c r="L46" s="10"/>
      <c r="M46" s="10"/>
      <c r="N46" s="11"/>
      <c r="O46" s="10"/>
      <c r="P46" s="10"/>
      <c r="Q46" s="10"/>
      <c r="R46" s="10" t="s">
        <v>2834</v>
      </c>
      <c r="S46" s="10" t="s">
        <v>2834</v>
      </c>
      <c r="T46" s="10"/>
      <c r="U46" s="10"/>
      <c r="V46" s="10"/>
      <c r="W46" s="10"/>
      <c r="X46" s="10"/>
      <c r="Y46" s="10"/>
      <c r="Z46" s="10"/>
      <c r="AA46" s="10"/>
      <c r="AB46" s="10"/>
      <c r="AC46" s="10"/>
    </row>
    <row r="47" spans="1:29" ht="29">
      <c r="A47" s="2" t="s">
        <v>266</v>
      </c>
      <c r="B47" s="2" t="s">
        <v>1534</v>
      </c>
      <c r="C47" s="2" t="s">
        <v>1531</v>
      </c>
      <c r="G47" s="10" t="s">
        <v>25</v>
      </c>
      <c r="H47" s="10"/>
      <c r="I47" s="10">
        <v>1</v>
      </c>
      <c r="J47" s="10">
        <v>2</v>
      </c>
      <c r="K47" s="10" t="s">
        <v>2662</v>
      </c>
      <c r="L47" s="10" t="s">
        <v>2687</v>
      </c>
      <c r="M47" s="10"/>
      <c r="N47" s="11"/>
      <c r="O47" s="10"/>
      <c r="P47" s="10">
        <v>743</v>
      </c>
      <c r="Q47" s="10"/>
      <c r="R47" s="10" t="s">
        <v>2834</v>
      </c>
      <c r="S47" s="10" t="s">
        <v>2834</v>
      </c>
      <c r="T47" s="10"/>
      <c r="U47" s="10"/>
      <c r="V47" s="10"/>
      <c r="W47" s="10"/>
      <c r="X47" s="10"/>
      <c r="Y47" s="10"/>
      <c r="Z47" s="10"/>
      <c r="AA47" s="10"/>
      <c r="AB47" s="10"/>
      <c r="AC47" s="10"/>
    </row>
    <row r="48" spans="1:29">
      <c r="A48" s="2" t="s">
        <v>267</v>
      </c>
      <c r="B48" s="2" t="s">
        <v>1535</v>
      </c>
      <c r="C48" s="2" t="s">
        <v>1536</v>
      </c>
      <c r="G48" s="10" t="s">
        <v>2689</v>
      </c>
      <c r="H48" s="10"/>
      <c r="I48" s="10"/>
      <c r="J48" s="10"/>
      <c r="K48" s="10"/>
      <c r="L48" s="10"/>
      <c r="M48" s="10"/>
      <c r="N48" s="11"/>
      <c r="O48" s="10"/>
      <c r="P48" s="10"/>
      <c r="Q48" s="10">
        <v>0</v>
      </c>
      <c r="R48" s="10">
        <v>7</v>
      </c>
      <c r="S48" s="10">
        <v>7</v>
      </c>
      <c r="T48" s="10"/>
      <c r="U48" s="10"/>
      <c r="V48" s="10"/>
      <c r="W48" s="10"/>
      <c r="X48" s="10"/>
      <c r="Y48" s="10"/>
      <c r="Z48" s="10"/>
      <c r="AA48" s="10"/>
      <c r="AB48" s="10"/>
      <c r="AC48" s="10"/>
    </row>
    <row r="49" spans="1:29" ht="29">
      <c r="A49" s="2" t="s">
        <v>274</v>
      </c>
      <c r="B49" s="2" t="s">
        <v>1538</v>
      </c>
      <c r="C49" s="2" t="s">
        <v>1539</v>
      </c>
      <c r="F49" t="s">
        <v>19</v>
      </c>
      <c r="G49" s="10" t="s">
        <v>2686</v>
      </c>
      <c r="H49" s="10"/>
      <c r="I49" s="10"/>
      <c r="J49" s="10"/>
      <c r="K49" s="10"/>
      <c r="L49" s="10"/>
      <c r="M49" s="10"/>
      <c r="N49" s="11"/>
      <c r="O49" s="10"/>
      <c r="P49" s="10"/>
      <c r="Q49" s="10">
        <v>180</v>
      </c>
      <c r="R49" s="10">
        <v>86</v>
      </c>
      <c r="S49" s="10">
        <v>266</v>
      </c>
      <c r="T49" s="10"/>
      <c r="U49" s="10"/>
      <c r="V49" s="10"/>
      <c r="W49" s="10"/>
      <c r="X49" s="10"/>
      <c r="Y49" s="10"/>
      <c r="Z49" s="10"/>
      <c r="AA49" s="10"/>
      <c r="AB49" s="10"/>
      <c r="AC49" s="10"/>
    </row>
    <row r="50" spans="1:29" ht="29">
      <c r="A50" s="2" t="s">
        <v>283</v>
      </c>
      <c r="B50" s="2" t="s">
        <v>1542</v>
      </c>
      <c r="C50" s="2" t="s">
        <v>1543</v>
      </c>
      <c r="F50" t="s">
        <v>23</v>
      </c>
      <c r="G50" s="10" t="s">
        <v>2686</v>
      </c>
      <c r="H50" s="10"/>
      <c r="I50" s="10"/>
      <c r="J50" s="10"/>
      <c r="K50" s="10"/>
      <c r="L50" s="10"/>
      <c r="M50" s="10"/>
      <c r="N50" s="11"/>
      <c r="O50" s="10"/>
      <c r="P50" s="10"/>
      <c r="Q50" s="10">
        <v>-1</v>
      </c>
      <c r="R50" s="10">
        <v>1</v>
      </c>
      <c r="S50" s="10">
        <v>0</v>
      </c>
      <c r="T50" s="10"/>
      <c r="U50" s="10"/>
      <c r="V50" s="10"/>
      <c r="W50" s="10"/>
      <c r="X50" s="10"/>
      <c r="Y50" s="10"/>
      <c r="Z50" s="10"/>
      <c r="AA50" s="10"/>
      <c r="AB50" s="10"/>
      <c r="AC50" s="10"/>
    </row>
    <row r="51" spans="1:29">
      <c r="A51" s="2" t="s">
        <v>287</v>
      </c>
      <c r="B51" s="2" t="s">
        <v>1549</v>
      </c>
      <c r="C51" s="2" t="s">
        <v>1548</v>
      </c>
      <c r="G51" s="10" t="s">
        <v>2689</v>
      </c>
      <c r="H51" s="10"/>
      <c r="I51" s="10"/>
      <c r="J51" s="10"/>
      <c r="K51" s="10"/>
      <c r="L51" s="10"/>
      <c r="M51" s="10"/>
      <c r="N51" s="11"/>
      <c r="O51" s="10"/>
      <c r="P51" s="10"/>
      <c r="Q51" s="10">
        <v>-124</v>
      </c>
      <c r="R51" s="10">
        <v>124</v>
      </c>
      <c r="S51" s="10">
        <v>0</v>
      </c>
      <c r="T51" s="10"/>
      <c r="U51" s="10"/>
      <c r="V51" s="10"/>
      <c r="W51" s="10"/>
      <c r="X51" s="10"/>
      <c r="Y51" s="10"/>
      <c r="Z51" s="10"/>
      <c r="AA51" s="10"/>
      <c r="AB51" s="10"/>
      <c r="AC51" s="10"/>
    </row>
    <row r="52" spans="1:29">
      <c r="A52" s="2" t="s">
        <v>291</v>
      </c>
      <c r="B52" s="2" t="s">
        <v>1554</v>
      </c>
      <c r="C52" s="2" t="s">
        <v>1553</v>
      </c>
      <c r="G52" s="10" t="s">
        <v>2686</v>
      </c>
      <c r="H52" s="10"/>
      <c r="I52" s="10"/>
      <c r="J52" s="10"/>
      <c r="K52" s="10"/>
      <c r="L52" s="10"/>
      <c r="M52" s="10"/>
      <c r="N52" s="11"/>
      <c r="O52" s="10"/>
      <c r="P52" s="10"/>
      <c r="Q52" s="10">
        <v>-249</v>
      </c>
      <c r="R52" s="10">
        <v>280</v>
      </c>
      <c r="S52" s="10">
        <v>31</v>
      </c>
      <c r="T52" s="10"/>
      <c r="U52" s="10"/>
      <c r="V52" s="10"/>
      <c r="W52" s="10"/>
      <c r="X52" s="10"/>
      <c r="Y52" s="10"/>
      <c r="Z52" s="10"/>
      <c r="AA52" s="10"/>
      <c r="AB52" s="10"/>
      <c r="AC52" s="10"/>
    </row>
    <row r="53" spans="1:29">
      <c r="A53" s="2" t="s">
        <v>305</v>
      </c>
      <c r="B53" s="2" t="s">
        <v>1561</v>
      </c>
      <c r="C53" s="2" t="s">
        <v>1562</v>
      </c>
      <c r="F53" t="s">
        <v>19</v>
      </c>
      <c r="G53" s="10" t="s">
        <v>25</v>
      </c>
      <c r="H53" s="10"/>
      <c r="I53" s="10">
        <v>1</v>
      </c>
      <c r="J53" s="10">
        <v>4</v>
      </c>
      <c r="K53" s="10" t="s">
        <v>2660</v>
      </c>
      <c r="L53" s="10" t="s">
        <v>2647</v>
      </c>
      <c r="M53" s="10"/>
      <c r="N53" s="11"/>
      <c r="O53" s="10"/>
      <c r="P53" s="10">
        <v>52</v>
      </c>
      <c r="Q53" s="10"/>
      <c r="R53" s="10" t="s">
        <v>2834</v>
      </c>
      <c r="S53" s="10" t="s">
        <v>2834</v>
      </c>
      <c r="T53" s="10"/>
      <c r="U53" s="10"/>
      <c r="V53" s="10"/>
      <c r="W53" s="10"/>
      <c r="X53" s="10"/>
      <c r="Y53" s="10"/>
      <c r="Z53" s="10"/>
      <c r="AA53" s="10"/>
      <c r="AB53" s="10"/>
      <c r="AC53" s="10"/>
    </row>
    <row r="54" spans="1:29">
      <c r="A54" s="2" t="s">
        <v>306</v>
      </c>
      <c r="B54" s="2" t="s">
        <v>1563</v>
      </c>
      <c r="C54" s="2" t="s">
        <v>1564</v>
      </c>
      <c r="G54" s="10" t="s">
        <v>2689</v>
      </c>
      <c r="H54" s="10"/>
      <c r="I54" s="10"/>
      <c r="J54" s="10"/>
      <c r="K54" s="10"/>
      <c r="L54" s="10"/>
      <c r="M54" s="10"/>
      <c r="N54" s="11"/>
      <c r="O54" s="10"/>
      <c r="P54" s="10"/>
      <c r="Q54" s="10">
        <v>2</v>
      </c>
      <c r="R54" s="10">
        <v>52</v>
      </c>
      <c r="S54" s="10">
        <v>54</v>
      </c>
      <c r="T54" s="10"/>
      <c r="U54" s="10"/>
      <c r="V54" s="10"/>
      <c r="W54" s="10"/>
      <c r="X54" s="10"/>
      <c r="Y54" s="10"/>
      <c r="Z54" s="10"/>
      <c r="AA54" s="10"/>
      <c r="AB54" s="10"/>
      <c r="AC54" s="10"/>
    </row>
    <row r="55" spans="1:29">
      <c r="A55" s="2" t="s">
        <v>319</v>
      </c>
      <c r="B55" s="2" t="s">
        <v>321</v>
      </c>
      <c r="C55" s="2" t="s">
        <v>320</v>
      </c>
      <c r="F55" t="s">
        <v>22</v>
      </c>
      <c r="G55" s="10" t="s">
        <v>2688</v>
      </c>
      <c r="H55" s="10"/>
      <c r="I55" s="10"/>
      <c r="J55" s="10"/>
      <c r="K55" s="10"/>
      <c r="L55" s="10"/>
      <c r="M55" s="10"/>
      <c r="N55" s="11"/>
      <c r="O55" s="10"/>
      <c r="P55" s="10"/>
      <c r="Q55" s="10"/>
      <c r="R55" s="10" t="s">
        <v>2834</v>
      </c>
      <c r="S55" s="10" t="s">
        <v>2834</v>
      </c>
      <c r="T55" s="10"/>
      <c r="U55" s="10"/>
      <c r="V55" s="10"/>
      <c r="W55" s="10"/>
      <c r="X55" s="10"/>
      <c r="Y55" s="10"/>
      <c r="Z55" s="10"/>
      <c r="AA55" s="10"/>
      <c r="AB55" s="10"/>
      <c r="AC55" s="10"/>
    </row>
    <row r="56" spans="1:29">
      <c r="A56" s="2" t="s">
        <v>322</v>
      </c>
      <c r="B56" s="2" t="s">
        <v>1581</v>
      </c>
      <c r="C56" s="2" t="s">
        <v>1582</v>
      </c>
      <c r="G56" s="10" t="s">
        <v>2686</v>
      </c>
      <c r="H56" s="10"/>
      <c r="I56" s="10"/>
      <c r="J56" s="10"/>
      <c r="K56" s="10"/>
      <c r="L56" s="10"/>
      <c r="M56" s="10"/>
      <c r="N56" s="11"/>
      <c r="O56" s="10"/>
      <c r="P56" s="10"/>
      <c r="Q56" s="10">
        <v>-2</v>
      </c>
      <c r="R56" s="10">
        <v>3</v>
      </c>
      <c r="S56" s="10">
        <v>1</v>
      </c>
      <c r="T56" s="10"/>
      <c r="U56" s="10"/>
      <c r="V56" s="10"/>
      <c r="W56" s="10"/>
      <c r="X56" s="10"/>
      <c r="Y56" s="10"/>
      <c r="Z56" s="10"/>
      <c r="AA56" s="10"/>
      <c r="AB56" s="10"/>
      <c r="AC56" s="10"/>
    </row>
    <row r="57" spans="1:29">
      <c r="A57" s="2" t="s">
        <v>322</v>
      </c>
      <c r="B57" s="2" t="s">
        <v>1586</v>
      </c>
      <c r="C57" s="2" t="s">
        <v>1585</v>
      </c>
      <c r="G57" s="10" t="s">
        <v>2688</v>
      </c>
      <c r="H57" s="10"/>
      <c r="I57" s="10"/>
      <c r="J57" s="10"/>
      <c r="K57" s="10"/>
      <c r="L57" s="10"/>
      <c r="M57" s="10"/>
      <c r="N57" s="11"/>
      <c r="O57" s="10"/>
      <c r="P57" s="10"/>
      <c r="Q57" s="10"/>
      <c r="R57" s="10" t="s">
        <v>2834</v>
      </c>
      <c r="S57" s="10" t="s">
        <v>2834</v>
      </c>
      <c r="T57" s="10"/>
      <c r="U57" s="10"/>
      <c r="V57" s="10"/>
      <c r="W57" s="10"/>
      <c r="X57" s="10"/>
      <c r="Y57" s="10"/>
      <c r="Z57" s="10"/>
      <c r="AA57" s="10"/>
      <c r="AB57" s="10"/>
      <c r="AC57" s="10"/>
    </row>
    <row r="58" spans="1:29">
      <c r="A58" s="2" t="s">
        <v>329</v>
      </c>
      <c r="B58" s="2" t="s">
        <v>1589</v>
      </c>
      <c r="C58" s="2" t="s">
        <v>1590</v>
      </c>
      <c r="G58" s="10" t="s">
        <v>2686</v>
      </c>
      <c r="H58" s="10"/>
      <c r="I58" s="10"/>
      <c r="J58" s="10"/>
      <c r="K58" s="10"/>
      <c r="L58" s="10"/>
      <c r="M58" s="10"/>
      <c r="N58" s="11"/>
      <c r="O58" s="10"/>
      <c r="P58" s="10"/>
      <c r="Q58" s="10">
        <v>2400</v>
      </c>
      <c r="R58" s="10">
        <v>75</v>
      </c>
      <c r="S58" s="10">
        <v>2475</v>
      </c>
      <c r="T58" s="10"/>
      <c r="U58" s="10"/>
      <c r="V58" s="10"/>
      <c r="W58" s="10"/>
      <c r="X58" s="10"/>
      <c r="Y58" s="10"/>
      <c r="Z58" s="10"/>
      <c r="AA58" s="10"/>
      <c r="AB58" s="10"/>
      <c r="AC58" s="10"/>
    </row>
    <row r="59" spans="1:29">
      <c r="A59" s="2" t="s">
        <v>332</v>
      </c>
      <c r="B59" s="2" t="s">
        <v>1591</v>
      </c>
      <c r="C59" s="2" t="s">
        <v>1592</v>
      </c>
      <c r="G59" s="10" t="s">
        <v>2686</v>
      </c>
      <c r="H59" s="10"/>
      <c r="I59" s="10"/>
      <c r="J59" s="10"/>
      <c r="K59" s="10"/>
      <c r="L59" s="10"/>
      <c r="M59" s="10"/>
      <c r="N59" s="11"/>
      <c r="O59" s="10"/>
      <c r="P59" s="10"/>
      <c r="Q59" s="10">
        <v>-431</v>
      </c>
      <c r="R59" s="10">
        <v>743</v>
      </c>
      <c r="S59" s="10">
        <v>312</v>
      </c>
      <c r="T59" s="10"/>
      <c r="U59" s="10"/>
      <c r="V59" s="10"/>
      <c r="W59" s="10"/>
      <c r="X59" s="10"/>
      <c r="Y59" s="10"/>
      <c r="Z59" s="10"/>
      <c r="AA59" s="10"/>
      <c r="AB59" s="10"/>
      <c r="AC59" s="10"/>
    </row>
    <row r="60" spans="1:29">
      <c r="A60" s="2" t="s">
        <v>333</v>
      </c>
      <c r="B60" s="2" t="s">
        <v>1593</v>
      </c>
      <c r="C60" s="2" t="s">
        <v>1594</v>
      </c>
      <c r="F60" t="s">
        <v>19</v>
      </c>
      <c r="G60" s="10" t="s">
        <v>2686</v>
      </c>
      <c r="H60" s="10"/>
      <c r="I60" s="10"/>
      <c r="J60" s="10"/>
      <c r="K60" s="10"/>
      <c r="L60" s="10"/>
      <c r="M60" s="10"/>
      <c r="N60" s="11"/>
      <c r="O60" s="10"/>
      <c r="P60" s="10"/>
      <c r="Q60" s="10">
        <v>-431</v>
      </c>
      <c r="R60" s="10">
        <v>743</v>
      </c>
      <c r="S60" s="10">
        <v>312</v>
      </c>
      <c r="T60" s="10"/>
      <c r="U60" s="10"/>
      <c r="V60" s="10"/>
      <c r="W60" s="10"/>
      <c r="X60" s="10"/>
      <c r="Y60" s="10"/>
      <c r="Z60" s="10"/>
      <c r="AA60" s="10"/>
      <c r="AB60" s="10"/>
      <c r="AC60" s="10"/>
    </row>
    <row r="61" spans="1:29" ht="29">
      <c r="A61" s="2" t="s">
        <v>335</v>
      </c>
      <c r="B61" s="2" t="s">
        <v>1601</v>
      </c>
      <c r="C61" s="2" t="s">
        <v>1600</v>
      </c>
      <c r="F61" t="s">
        <v>19</v>
      </c>
      <c r="G61" s="10" t="s">
        <v>2686</v>
      </c>
      <c r="H61" s="10"/>
      <c r="I61" s="10"/>
      <c r="J61" s="10"/>
      <c r="K61" s="10"/>
      <c r="L61" s="10"/>
      <c r="M61" s="10"/>
      <c r="N61" s="11"/>
      <c r="O61" s="10"/>
      <c r="P61" s="10"/>
      <c r="Q61" s="10">
        <v>-32</v>
      </c>
      <c r="R61" s="10">
        <v>38</v>
      </c>
      <c r="S61" s="10">
        <v>6</v>
      </c>
      <c r="T61" s="10"/>
      <c r="U61" s="10"/>
      <c r="V61" s="10"/>
      <c r="W61" s="10"/>
      <c r="X61" s="10"/>
      <c r="Y61" s="10"/>
      <c r="Z61" s="10"/>
      <c r="AA61" s="10"/>
      <c r="AB61" s="10"/>
      <c r="AC61" s="10"/>
    </row>
    <row r="62" spans="1:29">
      <c r="A62" s="2" t="s">
        <v>339</v>
      </c>
      <c r="B62" s="13" t="s">
        <v>1605</v>
      </c>
      <c r="C62" s="2" t="s">
        <v>340</v>
      </c>
      <c r="F62" t="s">
        <v>19</v>
      </c>
      <c r="G62" s="10" t="s">
        <v>2688</v>
      </c>
      <c r="H62" s="10"/>
      <c r="I62" s="10"/>
      <c r="J62" s="10"/>
      <c r="K62" s="10"/>
      <c r="L62" s="10"/>
      <c r="M62" s="10"/>
      <c r="N62" s="11"/>
      <c r="O62" s="10"/>
      <c r="P62" s="10"/>
      <c r="Q62" s="10"/>
      <c r="R62" s="10" t="s">
        <v>2834</v>
      </c>
      <c r="S62" s="10" t="s">
        <v>2834</v>
      </c>
      <c r="T62" s="10"/>
      <c r="U62" s="10"/>
      <c r="V62" s="10"/>
      <c r="W62" s="10"/>
      <c r="X62" s="10"/>
      <c r="Y62" s="10"/>
      <c r="Z62" s="10"/>
      <c r="AA62" s="10"/>
      <c r="AB62" s="10"/>
      <c r="AC62" s="10"/>
    </row>
    <row r="63" spans="1:29">
      <c r="A63" s="2" t="s">
        <v>339</v>
      </c>
      <c r="B63" s="2" t="s">
        <v>342</v>
      </c>
      <c r="C63" s="2" t="s">
        <v>341</v>
      </c>
      <c r="G63" s="10" t="s">
        <v>2688</v>
      </c>
      <c r="H63" s="10"/>
      <c r="I63" s="10"/>
      <c r="J63" s="10"/>
      <c r="K63" s="10"/>
      <c r="L63" s="10"/>
      <c r="M63" s="10"/>
      <c r="N63" s="11"/>
      <c r="O63" s="10"/>
      <c r="P63" s="10"/>
      <c r="Q63" s="10"/>
      <c r="R63" s="10" t="s">
        <v>2834</v>
      </c>
      <c r="S63" s="10" t="s">
        <v>2834</v>
      </c>
      <c r="T63" s="10"/>
      <c r="U63" s="10"/>
      <c r="V63" s="10"/>
      <c r="W63" s="10"/>
      <c r="X63" s="10"/>
      <c r="Y63" s="10"/>
      <c r="Z63" s="10"/>
      <c r="AA63" s="10"/>
      <c r="AB63" s="10"/>
      <c r="AC63" s="10"/>
    </row>
    <row r="64" spans="1:29">
      <c r="A64" s="2" t="s">
        <v>350</v>
      </c>
      <c r="B64" s="2" t="s">
        <v>1613</v>
      </c>
      <c r="C64" s="2" t="s">
        <v>1614</v>
      </c>
      <c r="F64" t="s">
        <v>19</v>
      </c>
      <c r="G64" s="10" t="s">
        <v>2686</v>
      </c>
      <c r="H64" s="10"/>
      <c r="I64" s="10"/>
      <c r="J64" s="10"/>
      <c r="K64" s="10"/>
      <c r="L64" s="10"/>
      <c r="M64" s="10"/>
      <c r="N64" s="11"/>
      <c r="O64" s="10"/>
      <c r="P64" s="10"/>
      <c r="Q64" s="10">
        <v>431</v>
      </c>
      <c r="R64" s="10">
        <v>312</v>
      </c>
      <c r="S64" s="10">
        <v>743</v>
      </c>
      <c r="T64" s="10"/>
      <c r="U64" s="10"/>
      <c r="V64" s="10"/>
      <c r="W64" s="10"/>
      <c r="X64" s="10"/>
      <c r="Y64" s="10"/>
      <c r="Z64" s="10"/>
      <c r="AA64" s="10"/>
      <c r="AB64" s="10"/>
      <c r="AC64" s="10"/>
    </row>
    <row r="65" spans="1:29">
      <c r="A65" s="2" t="s">
        <v>364</v>
      </c>
      <c r="B65" s="2" t="s">
        <v>366</v>
      </c>
      <c r="C65" s="2" t="s">
        <v>365</v>
      </c>
      <c r="G65" s="10" t="s">
        <v>2686</v>
      </c>
      <c r="H65" s="10"/>
      <c r="I65" s="10"/>
      <c r="J65" s="10"/>
      <c r="K65" s="10"/>
      <c r="L65" s="10"/>
      <c r="M65" s="10"/>
      <c r="N65" s="11"/>
      <c r="O65" s="10"/>
      <c r="P65" s="10"/>
      <c r="Q65" s="10">
        <v>7</v>
      </c>
      <c r="R65" s="10">
        <v>3</v>
      </c>
      <c r="S65" s="10">
        <v>10</v>
      </c>
      <c r="T65" s="10"/>
      <c r="U65" s="10"/>
      <c r="V65" s="10"/>
      <c r="W65" s="10"/>
      <c r="X65" s="10"/>
      <c r="Y65" s="10"/>
      <c r="Z65" s="10"/>
      <c r="AA65" s="10"/>
      <c r="AB65" s="10"/>
      <c r="AC65" s="10"/>
    </row>
    <row r="66" spans="1:29">
      <c r="A66" s="2" t="s">
        <v>367</v>
      </c>
      <c r="B66" s="2" t="s">
        <v>1622</v>
      </c>
      <c r="C66" s="2" t="s">
        <v>1623</v>
      </c>
      <c r="G66" s="10" t="s">
        <v>2686</v>
      </c>
      <c r="H66" s="10"/>
      <c r="I66" s="10"/>
      <c r="J66" s="10"/>
      <c r="K66" s="10"/>
      <c r="L66" s="10"/>
      <c r="M66" s="10"/>
      <c r="N66" s="11"/>
      <c r="O66" s="10"/>
      <c r="P66" s="10"/>
      <c r="Q66" s="10">
        <v>5</v>
      </c>
      <c r="R66" s="10">
        <v>12</v>
      </c>
      <c r="S66" s="10">
        <v>17</v>
      </c>
      <c r="T66" s="10"/>
      <c r="U66" s="10"/>
      <c r="V66" s="10"/>
      <c r="W66" s="10"/>
      <c r="X66" s="10"/>
      <c r="Y66" s="10"/>
      <c r="Z66" s="10"/>
      <c r="AA66" s="10"/>
      <c r="AB66" s="10"/>
      <c r="AC66" s="10"/>
    </row>
    <row r="67" spans="1:29" ht="29">
      <c r="A67" s="2" t="s">
        <v>382</v>
      </c>
      <c r="B67" s="2" t="s">
        <v>1636</v>
      </c>
      <c r="C67" s="2" t="s">
        <v>1637</v>
      </c>
      <c r="F67" t="s">
        <v>19</v>
      </c>
      <c r="G67" s="10" t="s">
        <v>25</v>
      </c>
      <c r="H67" s="10"/>
      <c r="I67" s="10">
        <v>1</v>
      </c>
      <c r="J67" s="10">
        <v>3</v>
      </c>
      <c r="K67" s="10" t="s">
        <v>2655</v>
      </c>
      <c r="L67" s="10" t="s">
        <v>2647</v>
      </c>
      <c r="M67" s="10"/>
      <c r="N67" s="11"/>
      <c r="O67" s="10"/>
      <c r="P67" s="10">
        <v>1701</v>
      </c>
      <c r="Q67" s="10"/>
      <c r="R67" s="10" t="s">
        <v>2834</v>
      </c>
      <c r="S67" s="10" t="s">
        <v>2834</v>
      </c>
      <c r="T67" s="10"/>
      <c r="U67" s="10"/>
      <c r="V67" s="10"/>
      <c r="W67" s="10"/>
      <c r="X67" s="10"/>
      <c r="Y67" s="10"/>
      <c r="Z67" s="10"/>
      <c r="AA67" s="10"/>
      <c r="AB67" s="10"/>
      <c r="AC67" s="10"/>
    </row>
    <row r="68" spans="1:29">
      <c r="A68" s="2" t="s">
        <v>383</v>
      </c>
      <c r="B68" s="2" t="s">
        <v>1645</v>
      </c>
      <c r="C68" s="2" t="s">
        <v>1646</v>
      </c>
      <c r="F68" t="s">
        <v>19</v>
      </c>
      <c r="G68" s="10" t="s">
        <v>25</v>
      </c>
      <c r="H68" s="10"/>
      <c r="I68" s="10">
        <v>1</v>
      </c>
      <c r="J68" s="10">
        <v>1</v>
      </c>
      <c r="K68" s="10" t="s">
        <v>2646</v>
      </c>
      <c r="L68" s="10" t="s">
        <v>2687</v>
      </c>
      <c r="M68" s="10"/>
      <c r="N68" s="11"/>
      <c r="O68" s="10"/>
      <c r="P68" s="10">
        <v>2475</v>
      </c>
      <c r="Q68" s="10"/>
      <c r="R68" s="10" t="s">
        <v>2834</v>
      </c>
      <c r="S68" s="10" t="s">
        <v>2834</v>
      </c>
      <c r="T68" s="10"/>
      <c r="U68" s="10"/>
      <c r="V68" s="10"/>
      <c r="W68" s="10"/>
      <c r="X68" s="10"/>
      <c r="Y68" s="10"/>
      <c r="Z68" s="10"/>
      <c r="AA68" s="10"/>
      <c r="AB68" s="10"/>
      <c r="AC68" s="10"/>
    </row>
    <row r="69" spans="1:29" ht="29">
      <c r="A69" s="2" t="s">
        <v>393</v>
      </c>
      <c r="B69" s="2" t="s">
        <v>1651</v>
      </c>
      <c r="C69" s="2" t="s">
        <v>1650</v>
      </c>
      <c r="G69" s="10" t="s">
        <v>25</v>
      </c>
      <c r="H69" s="10"/>
      <c r="I69" s="10">
        <v>1</v>
      </c>
      <c r="J69" s="10">
        <v>5</v>
      </c>
      <c r="K69" s="10" t="s">
        <v>2662</v>
      </c>
      <c r="L69" s="10" t="s">
        <v>2647</v>
      </c>
      <c r="M69" s="10"/>
      <c r="N69" s="11"/>
      <c r="O69" s="10"/>
      <c r="P69" s="10">
        <v>830</v>
      </c>
      <c r="Q69" s="10"/>
      <c r="R69" s="10" t="s">
        <v>2834</v>
      </c>
      <c r="S69" s="10" t="s">
        <v>2834</v>
      </c>
      <c r="T69" s="10"/>
      <c r="U69" s="10"/>
      <c r="V69" s="10"/>
      <c r="W69" s="10"/>
      <c r="X69" s="10"/>
      <c r="Y69" s="10"/>
      <c r="Z69" s="10"/>
      <c r="AA69" s="10"/>
      <c r="AB69" s="10"/>
      <c r="AC69" s="10"/>
    </row>
    <row r="70" spans="1:29" ht="29">
      <c r="A70" s="2" t="s">
        <v>393</v>
      </c>
      <c r="B70" s="2" t="s">
        <v>1652</v>
      </c>
      <c r="C70" s="2" t="s">
        <v>1650</v>
      </c>
      <c r="G70" s="10" t="s">
        <v>25</v>
      </c>
      <c r="H70" s="10"/>
      <c r="I70" s="10">
        <v>1</v>
      </c>
      <c r="J70" s="10">
        <v>3</v>
      </c>
      <c r="K70" s="10" t="s">
        <v>2646</v>
      </c>
      <c r="L70" s="10" t="s">
        <v>2647</v>
      </c>
      <c r="M70" s="10"/>
      <c r="N70" s="11"/>
      <c r="O70" s="10"/>
      <c r="P70" s="10">
        <v>2475</v>
      </c>
      <c r="Q70" s="10"/>
      <c r="R70" s="10" t="s">
        <v>2834</v>
      </c>
      <c r="S70" s="10" t="s">
        <v>2834</v>
      </c>
      <c r="T70" s="10"/>
      <c r="U70" s="10"/>
      <c r="V70" s="10"/>
      <c r="W70" s="10"/>
      <c r="X70" s="10"/>
      <c r="Y70" s="10"/>
      <c r="Z70" s="10"/>
      <c r="AA70" s="10"/>
      <c r="AB70" s="10"/>
      <c r="AC70" s="10"/>
    </row>
    <row r="71" spans="1:29" ht="29">
      <c r="A71" s="2" t="s">
        <v>402</v>
      </c>
      <c r="B71" s="2" t="s">
        <v>1660</v>
      </c>
      <c r="C71" s="2" t="s">
        <v>1661</v>
      </c>
      <c r="G71" s="10" t="s">
        <v>2688</v>
      </c>
      <c r="H71" s="10"/>
      <c r="I71" s="10"/>
      <c r="J71" s="10"/>
      <c r="K71" s="10"/>
      <c r="L71" s="10"/>
      <c r="M71" s="10"/>
      <c r="N71" s="11"/>
      <c r="O71" s="10"/>
      <c r="P71" s="10"/>
      <c r="Q71" s="10"/>
      <c r="R71" s="10" t="s">
        <v>2834</v>
      </c>
      <c r="S71" s="10" t="s">
        <v>2834</v>
      </c>
      <c r="T71" s="10"/>
      <c r="U71" s="10"/>
      <c r="V71" s="10"/>
      <c r="W71" s="10"/>
      <c r="X71" s="10"/>
      <c r="Y71" s="10"/>
      <c r="Z71" s="10"/>
      <c r="AA71" s="10"/>
      <c r="AB71" s="10"/>
      <c r="AC71" s="10"/>
    </row>
    <row r="72" spans="1:29">
      <c r="A72" s="2" t="s">
        <v>417</v>
      </c>
      <c r="B72" s="2" t="s">
        <v>1675</v>
      </c>
      <c r="C72" s="2" t="s">
        <v>1674</v>
      </c>
      <c r="G72" s="10" t="s">
        <v>25</v>
      </c>
      <c r="H72" s="10"/>
      <c r="I72" s="10">
        <v>1</v>
      </c>
      <c r="J72" s="10">
        <v>1</v>
      </c>
      <c r="K72" s="10" t="s">
        <v>2646</v>
      </c>
      <c r="L72" s="10" t="s">
        <v>2687</v>
      </c>
      <c r="M72" s="10"/>
      <c r="N72" s="11"/>
      <c r="O72" s="10"/>
      <c r="P72" s="10">
        <v>2475</v>
      </c>
      <c r="Q72" s="10"/>
      <c r="R72" s="10" t="s">
        <v>2834</v>
      </c>
      <c r="S72" s="10" t="s">
        <v>2834</v>
      </c>
      <c r="T72" s="10"/>
      <c r="U72" s="10"/>
      <c r="V72" s="10"/>
      <c r="W72" s="10"/>
      <c r="X72" s="10"/>
      <c r="Y72" s="10"/>
      <c r="Z72" s="10"/>
      <c r="AA72" s="10"/>
      <c r="AB72" s="10"/>
      <c r="AC72" s="10"/>
    </row>
    <row r="73" spans="1:29">
      <c r="A73" s="2" t="s">
        <v>418</v>
      </c>
      <c r="B73" s="2" t="s">
        <v>1684</v>
      </c>
      <c r="C73" s="2" t="s">
        <v>1683</v>
      </c>
      <c r="F73" t="s">
        <v>19</v>
      </c>
      <c r="G73" s="10" t="s">
        <v>25</v>
      </c>
      <c r="H73" s="10"/>
      <c r="I73" s="10">
        <v>1</v>
      </c>
      <c r="J73" s="10">
        <v>3</v>
      </c>
      <c r="K73" s="10" t="s">
        <v>2655</v>
      </c>
      <c r="L73" s="10" t="s">
        <v>2647</v>
      </c>
      <c r="M73" s="10"/>
      <c r="N73" s="11"/>
      <c r="O73" s="10"/>
      <c r="P73" s="10">
        <v>1701</v>
      </c>
      <c r="Q73" s="10"/>
      <c r="R73" s="10" t="s">
        <v>2834</v>
      </c>
      <c r="S73" s="10" t="s">
        <v>2834</v>
      </c>
      <c r="T73" s="10"/>
      <c r="U73" s="10"/>
      <c r="V73" s="10"/>
      <c r="W73" s="10"/>
      <c r="X73" s="10"/>
      <c r="Y73" s="10"/>
      <c r="Z73" s="10"/>
      <c r="AA73" s="10"/>
      <c r="AB73" s="10"/>
      <c r="AC73" s="10"/>
    </row>
    <row r="74" spans="1:29">
      <c r="A74" s="2" t="s">
        <v>421</v>
      </c>
      <c r="B74" s="2" t="s">
        <v>1698</v>
      </c>
      <c r="C74" s="2" t="s">
        <v>1699</v>
      </c>
      <c r="G74" s="10" t="s">
        <v>2686</v>
      </c>
      <c r="H74" s="10"/>
      <c r="I74" s="10"/>
      <c r="J74" s="10"/>
      <c r="K74" s="10"/>
      <c r="L74" s="10"/>
      <c r="M74" s="10"/>
      <c r="N74" s="11"/>
      <c r="O74" s="10"/>
      <c r="P74" s="10"/>
      <c r="Q74" s="10">
        <v>61</v>
      </c>
      <c r="R74" s="10">
        <v>105</v>
      </c>
      <c r="S74" s="10">
        <v>166</v>
      </c>
      <c r="T74" s="10"/>
      <c r="U74" s="10"/>
      <c r="V74" s="10"/>
      <c r="W74" s="10"/>
      <c r="X74" s="10"/>
      <c r="Y74" s="10"/>
      <c r="Z74" s="10"/>
      <c r="AA74" s="10"/>
      <c r="AB74" s="10"/>
      <c r="AC74" s="10"/>
    </row>
    <row r="75" spans="1:29">
      <c r="A75" s="2" t="s">
        <v>424</v>
      </c>
      <c r="B75" s="13" t="s">
        <v>1708</v>
      </c>
      <c r="C75" t="s">
        <v>1709</v>
      </c>
      <c r="G75" s="10" t="s">
        <v>2686</v>
      </c>
      <c r="H75" s="10"/>
      <c r="I75" s="10"/>
      <c r="J75" s="10"/>
      <c r="K75" s="10"/>
      <c r="L75" s="10"/>
      <c r="M75" s="10"/>
      <c r="N75" s="11"/>
      <c r="O75" s="10"/>
      <c r="P75" s="10"/>
      <c r="Q75" s="10">
        <v>249</v>
      </c>
      <c r="R75" s="10">
        <v>31</v>
      </c>
      <c r="S75" s="10">
        <v>280</v>
      </c>
      <c r="T75" s="10"/>
      <c r="U75" s="10"/>
      <c r="V75" s="10"/>
      <c r="W75" s="10"/>
      <c r="X75" s="10"/>
      <c r="Y75" s="10"/>
      <c r="Z75" s="10"/>
      <c r="AA75" s="10"/>
      <c r="AB75" s="10"/>
      <c r="AC75" s="10"/>
    </row>
    <row r="76" spans="1:29">
      <c r="A76" s="2" t="s">
        <v>428</v>
      </c>
      <c r="B76" s="2" t="s">
        <v>1716</v>
      </c>
      <c r="C76" s="2" t="s">
        <v>1717</v>
      </c>
      <c r="F76" t="s">
        <v>19</v>
      </c>
      <c r="G76" s="10" t="s">
        <v>25</v>
      </c>
      <c r="H76" s="10"/>
      <c r="I76" s="10">
        <v>1</v>
      </c>
      <c r="J76" s="10">
        <v>2</v>
      </c>
      <c r="K76" s="10" t="s">
        <v>2646</v>
      </c>
      <c r="L76" s="10" t="s">
        <v>2687</v>
      </c>
      <c r="M76" s="10"/>
      <c r="N76" s="11"/>
      <c r="O76" s="10"/>
      <c r="P76" s="10">
        <v>2475</v>
      </c>
      <c r="Q76" s="10"/>
      <c r="R76" s="10" t="s">
        <v>2834</v>
      </c>
      <c r="S76" s="10" t="s">
        <v>2834</v>
      </c>
      <c r="T76" s="10"/>
      <c r="U76" s="10"/>
      <c r="V76" s="10"/>
      <c r="W76" s="10"/>
      <c r="X76" s="10"/>
      <c r="Y76" s="10"/>
      <c r="Z76" s="10"/>
      <c r="AA76" s="10"/>
      <c r="AB76" s="10"/>
      <c r="AC76" s="10"/>
    </row>
    <row r="77" spans="1:29">
      <c r="A77" s="2" t="s">
        <v>446</v>
      </c>
      <c r="B77" s="13" t="s">
        <v>447</v>
      </c>
      <c r="C77" t="s">
        <v>1733</v>
      </c>
      <c r="F77" t="s">
        <v>19</v>
      </c>
      <c r="G77" s="10" t="s">
        <v>2688</v>
      </c>
      <c r="H77" s="10"/>
      <c r="I77" s="10"/>
      <c r="J77" s="10"/>
      <c r="K77" s="10"/>
      <c r="L77" s="10"/>
      <c r="M77" s="10"/>
      <c r="N77" s="11"/>
      <c r="O77" s="10"/>
      <c r="P77" s="10"/>
      <c r="Q77" s="10"/>
      <c r="R77" s="10" t="s">
        <v>2834</v>
      </c>
      <c r="S77" s="10" t="s">
        <v>2834</v>
      </c>
      <c r="T77" s="10"/>
      <c r="U77" s="10"/>
      <c r="V77" s="10"/>
      <c r="W77" s="10"/>
      <c r="X77" s="10"/>
      <c r="Y77" s="10"/>
      <c r="Z77" s="10"/>
      <c r="AA77" s="10"/>
      <c r="AB77" s="10"/>
      <c r="AC77" s="10"/>
    </row>
    <row r="78" spans="1:29">
      <c r="A78" s="2" t="s">
        <v>448</v>
      </c>
      <c r="B78" s="2" t="s">
        <v>1737</v>
      </c>
      <c r="C78" s="2" t="s">
        <v>1738</v>
      </c>
      <c r="G78" s="10" t="s">
        <v>25</v>
      </c>
      <c r="H78" s="10"/>
      <c r="I78" s="10">
        <v>1</v>
      </c>
      <c r="J78" s="10">
        <v>3</v>
      </c>
      <c r="K78" s="10" t="s">
        <v>2646</v>
      </c>
      <c r="L78" s="10" t="s">
        <v>2647</v>
      </c>
      <c r="M78" s="10"/>
      <c r="N78" s="11"/>
      <c r="O78" s="10"/>
      <c r="P78" s="10">
        <v>2475</v>
      </c>
      <c r="Q78" s="10"/>
      <c r="R78" s="10" t="s">
        <v>2834</v>
      </c>
      <c r="S78" s="10" t="s">
        <v>2834</v>
      </c>
      <c r="T78" s="10"/>
      <c r="U78" s="10"/>
      <c r="V78" s="10"/>
      <c r="W78" s="10"/>
      <c r="X78" s="10"/>
      <c r="Y78" s="10"/>
      <c r="Z78" s="10"/>
      <c r="AA78" s="10"/>
      <c r="AB78" s="10"/>
      <c r="AC78" s="10"/>
    </row>
    <row r="79" spans="1:29">
      <c r="A79" s="2" t="s">
        <v>451</v>
      </c>
      <c r="B79" s="2" t="s">
        <v>1745</v>
      </c>
      <c r="C79" s="2" t="s">
        <v>1744</v>
      </c>
      <c r="G79" s="10" t="s">
        <v>2688</v>
      </c>
      <c r="H79" s="10"/>
      <c r="I79" s="10"/>
      <c r="J79" s="10"/>
      <c r="K79" s="10"/>
      <c r="L79" s="10"/>
      <c r="M79" s="10"/>
      <c r="N79" s="11"/>
      <c r="O79" s="10"/>
      <c r="P79" s="10"/>
      <c r="Q79" s="10"/>
      <c r="R79" s="10" t="s">
        <v>2834</v>
      </c>
      <c r="S79" s="10" t="s">
        <v>2834</v>
      </c>
      <c r="T79" s="10"/>
      <c r="U79" s="10"/>
      <c r="V79" s="10"/>
      <c r="W79" s="10"/>
      <c r="X79" s="10"/>
      <c r="Y79" s="10"/>
      <c r="Z79" s="10"/>
      <c r="AA79" s="10"/>
      <c r="AB79" s="10"/>
      <c r="AC79" s="10"/>
    </row>
    <row r="80" spans="1:29" ht="29">
      <c r="A80" s="2" t="s">
        <v>464</v>
      </c>
      <c r="B80" s="2" t="s">
        <v>1753</v>
      </c>
      <c r="C80" s="2" t="s">
        <v>1752</v>
      </c>
      <c r="G80" s="10" t="s">
        <v>25</v>
      </c>
      <c r="H80" s="10"/>
      <c r="I80" s="10">
        <v>2</v>
      </c>
      <c r="J80" s="10">
        <v>13</v>
      </c>
      <c r="K80" s="10"/>
      <c r="L80" s="10" t="s">
        <v>2647</v>
      </c>
      <c r="M80" s="10"/>
      <c r="N80" s="11"/>
      <c r="O80" s="10"/>
      <c r="P80" s="10">
        <v>1</v>
      </c>
      <c r="Q80" s="10"/>
      <c r="R80" s="10" t="s">
        <v>2834</v>
      </c>
      <c r="S80" s="10" t="s">
        <v>2834</v>
      </c>
      <c r="T80" s="10"/>
      <c r="U80" s="10"/>
      <c r="V80" s="10"/>
      <c r="W80" s="10"/>
      <c r="X80" s="10"/>
      <c r="Y80" s="10"/>
      <c r="Z80" s="10"/>
      <c r="AA80" s="10"/>
      <c r="AB80" s="10"/>
      <c r="AC80" s="10"/>
    </row>
    <row r="81" spans="1:29" ht="87">
      <c r="A81" s="2" t="s">
        <v>468</v>
      </c>
      <c r="B81" s="2" t="s">
        <v>1759</v>
      </c>
      <c r="C81" s="2" t="s">
        <v>1760</v>
      </c>
      <c r="G81" s="10" t="s">
        <v>2686</v>
      </c>
      <c r="H81" s="10"/>
      <c r="I81" s="10"/>
      <c r="J81" s="10"/>
      <c r="K81" s="10"/>
      <c r="L81" s="10"/>
      <c r="M81" s="10"/>
      <c r="N81" s="11"/>
      <c r="O81" s="10"/>
      <c r="P81" s="10"/>
      <c r="Q81" s="10">
        <v>131</v>
      </c>
      <c r="R81" s="10">
        <v>79</v>
      </c>
      <c r="S81" s="10">
        <v>210</v>
      </c>
      <c r="T81" s="10"/>
      <c r="U81" s="10"/>
      <c r="V81" s="10"/>
      <c r="W81" s="10"/>
      <c r="X81" s="10"/>
      <c r="Y81" s="10"/>
      <c r="Z81" s="10"/>
      <c r="AA81" s="10"/>
      <c r="AB81" s="10"/>
      <c r="AC81" s="10"/>
    </row>
    <row r="82" spans="1:29" ht="87">
      <c r="A82" s="2" t="s">
        <v>468</v>
      </c>
      <c r="B82" s="2" t="s">
        <v>1763</v>
      </c>
      <c r="C82" s="2" t="s">
        <v>1758</v>
      </c>
      <c r="F82" t="s">
        <v>19</v>
      </c>
      <c r="G82" s="10" t="s">
        <v>25</v>
      </c>
      <c r="H82" s="10"/>
      <c r="I82" s="10">
        <v>9</v>
      </c>
      <c r="J82" s="10">
        <v>42</v>
      </c>
      <c r="K82" s="10"/>
      <c r="L82" s="10" t="s">
        <v>2647</v>
      </c>
      <c r="M82" s="10"/>
      <c r="N82" s="11"/>
      <c r="O82" s="10"/>
      <c r="P82" s="10">
        <v>2</v>
      </c>
      <c r="Q82" s="10"/>
      <c r="R82" s="10" t="s">
        <v>2834</v>
      </c>
      <c r="S82" s="10" t="s">
        <v>2834</v>
      </c>
      <c r="T82" s="10"/>
      <c r="U82" s="10"/>
      <c r="V82" s="10"/>
      <c r="W82" s="10"/>
      <c r="X82" s="10"/>
      <c r="Y82" s="10"/>
      <c r="Z82" s="10"/>
      <c r="AA82" s="10"/>
      <c r="AB82" s="10"/>
      <c r="AC82" s="10"/>
    </row>
    <row r="83" spans="1:29" ht="29">
      <c r="A83" s="2" t="s">
        <v>475</v>
      </c>
      <c r="B83" s="2" t="s">
        <v>1768</v>
      </c>
      <c r="C83" s="2" t="s">
        <v>1769</v>
      </c>
      <c r="G83" s="10" t="s">
        <v>2688</v>
      </c>
      <c r="H83" s="10"/>
      <c r="I83" s="10"/>
      <c r="J83" s="10"/>
      <c r="K83" s="10"/>
      <c r="L83" s="10"/>
      <c r="M83" s="10"/>
      <c r="N83" s="11"/>
      <c r="O83" s="10"/>
      <c r="P83" s="10"/>
      <c r="Q83" s="10"/>
      <c r="R83" s="10" t="s">
        <v>2834</v>
      </c>
      <c r="S83" s="10" t="s">
        <v>2834</v>
      </c>
      <c r="T83" s="10"/>
      <c r="U83" s="10"/>
      <c r="V83" s="10"/>
      <c r="W83" s="10"/>
      <c r="X83" s="10"/>
      <c r="Y83" s="10"/>
      <c r="Z83" s="10"/>
      <c r="AA83" s="10"/>
      <c r="AB83" s="10"/>
      <c r="AC83" s="10"/>
    </row>
    <row r="84" spans="1:29">
      <c r="A84" s="2" t="s">
        <v>479</v>
      </c>
      <c r="B84" s="2" t="s">
        <v>1770</v>
      </c>
      <c r="C84" s="2" t="s">
        <v>1771</v>
      </c>
      <c r="G84" s="10" t="s">
        <v>2688</v>
      </c>
      <c r="H84" s="10"/>
      <c r="I84" s="10"/>
      <c r="J84" s="10"/>
      <c r="K84" s="10"/>
      <c r="L84" s="10"/>
      <c r="M84" s="10"/>
      <c r="N84" s="11"/>
      <c r="O84" s="10"/>
      <c r="P84" s="10"/>
      <c r="Q84" s="10"/>
      <c r="R84" s="10" t="s">
        <v>2834</v>
      </c>
      <c r="S84" s="10" t="s">
        <v>2834</v>
      </c>
      <c r="T84" s="10"/>
      <c r="U84" s="10"/>
      <c r="V84" s="10"/>
      <c r="W84" s="10"/>
      <c r="X84" s="10"/>
      <c r="Y84" s="10"/>
      <c r="Z84" s="10"/>
      <c r="AA84" s="10"/>
      <c r="AB84" s="10"/>
      <c r="AC84" s="10"/>
    </row>
    <row r="85" spans="1:29">
      <c r="A85" s="2" t="s">
        <v>484</v>
      </c>
      <c r="B85" s="13" t="s">
        <v>1776</v>
      </c>
      <c r="C85" t="s">
        <v>1777</v>
      </c>
      <c r="G85" s="10" t="s">
        <v>2686</v>
      </c>
      <c r="H85" s="10"/>
      <c r="I85" s="10"/>
      <c r="J85" s="10"/>
      <c r="K85" s="10"/>
      <c r="L85" s="10"/>
      <c r="M85" s="10"/>
      <c r="N85" s="11"/>
      <c r="O85" s="10"/>
      <c r="P85" s="10"/>
      <c r="Q85" s="10">
        <v>2400</v>
      </c>
      <c r="R85" s="10">
        <v>75</v>
      </c>
      <c r="S85" s="10">
        <v>2475</v>
      </c>
      <c r="T85" s="10"/>
      <c r="U85" s="10"/>
      <c r="V85" s="10"/>
      <c r="W85" s="10"/>
      <c r="X85" s="10"/>
      <c r="Y85" s="10"/>
      <c r="Z85" s="10"/>
      <c r="AA85" s="10"/>
      <c r="AB85" s="10"/>
      <c r="AC85" s="10"/>
    </row>
    <row r="86" spans="1:29">
      <c r="A86" s="2" t="s">
        <v>485</v>
      </c>
      <c r="B86" s="13" t="s">
        <v>1779</v>
      </c>
      <c r="C86" t="s">
        <v>1778</v>
      </c>
      <c r="G86" s="10" t="s">
        <v>2686</v>
      </c>
      <c r="H86" s="10"/>
      <c r="I86" s="10"/>
      <c r="J86" s="10"/>
      <c r="K86" s="10"/>
      <c r="L86" s="10"/>
      <c r="M86" s="10"/>
      <c r="N86" s="11"/>
      <c r="O86" s="10"/>
      <c r="P86" s="10"/>
      <c r="Q86" s="10">
        <v>134</v>
      </c>
      <c r="R86" s="10">
        <v>37</v>
      </c>
      <c r="S86" s="10">
        <v>171</v>
      </c>
      <c r="T86" s="10"/>
      <c r="U86" s="10"/>
      <c r="V86" s="10"/>
      <c r="W86" s="10"/>
      <c r="X86" s="10"/>
      <c r="Y86" s="10"/>
      <c r="Z86" s="10"/>
      <c r="AA86" s="10"/>
      <c r="AB86" s="10"/>
      <c r="AC86" s="10"/>
    </row>
    <row r="87" spans="1:29">
      <c r="A87" s="2" t="s">
        <v>490</v>
      </c>
      <c r="B87" s="13" t="s">
        <v>1776</v>
      </c>
      <c r="C87" t="s">
        <v>1777</v>
      </c>
      <c r="G87" s="10" t="s">
        <v>2686</v>
      </c>
      <c r="H87" s="10"/>
      <c r="I87" s="10"/>
      <c r="J87" s="10"/>
      <c r="K87" s="10"/>
      <c r="L87" s="10"/>
      <c r="M87" s="10"/>
      <c r="N87" s="11"/>
      <c r="O87" s="10"/>
      <c r="P87" s="10"/>
      <c r="Q87" s="10">
        <v>2400</v>
      </c>
      <c r="R87" s="10">
        <v>75</v>
      </c>
      <c r="S87" s="10">
        <v>2475</v>
      </c>
      <c r="T87" s="10"/>
      <c r="U87" s="10"/>
      <c r="V87" s="10"/>
      <c r="W87" s="10"/>
      <c r="X87" s="10"/>
      <c r="Y87" s="10"/>
      <c r="Z87" s="10"/>
      <c r="AA87" s="10"/>
      <c r="AB87" s="10"/>
      <c r="AC87" s="10"/>
    </row>
    <row r="88" spans="1:29">
      <c r="A88" s="2" t="s">
        <v>492</v>
      </c>
      <c r="B88" s="13" t="s">
        <v>1790</v>
      </c>
      <c r="C88" t="s">
        <v>1791</v>
      </c>
      <c r="F88" t="s">
        <v>19</v>
      </c>
      <c r="G88" s="10" t="s">
        <v>2686</v>
      </c>
      <c r="H88" s="10"/>
      <c r="I88" s="10"/>
      <c r="J88" s="10"/>
      <c r="K88" s="10"/>
      <c r="L88" s="10"/>
      <c r="M88" s="10"/>
      <c r="N88" s="11"/>
      <c r="O88" s="10"/>
      <c r="P88" s="10"/>
      <c r="Q88" s="10">
        <v>586</v>
      </c>
      <c r="R88" s="10">
        <v>27</v>
      </c>
      <c r="S88" s="10">
        <v>613</v>
      </c>
      <c r="T88" s="10"/>
      <c r="U88" s="10"/>
      <c r="V88" s="10"/>
      <c r="W88" s="10"/>
      <c r="X88" s="10"/>
      <c r="Y88" s="10"/>
      <c r="Z88" s="10"/>
      <c r="AA88" s="10"/>
      <c r="AB88" s="10"/>
      <c r="AC88" s="10"/>
    </row>
    <row r="89" spans="1:29">
      <c r="A89" s="2" t="s">
        <v>499</v>
      </c>
      <c r="B89" s="2" t="s">
        <v>1811</v>
      </c>
      <c r="C89" s="2" t="s">
        <v>1810</v>
      </c>
      <c r="G89" s="10" t="s">
        <v>25</v>
      </c>
      <c r="H89" s="10"/>
      <c r="I89" s="10">
        <v>1</v>
      </c>
      <c r="J89" s="10">
        <v>3</v>
      </c>
      <c r="K89" s="10" t="s">
        <v>2646</v>
      </c>
      <c r="L89" s="10" t="s">
        <v>2647</v>
      </c>
      <c r="M89" s="10"/>
      <c r="N89" s="11"/>
      <c r="O89" s="10"/>
      <c r="P89" s="10">
        <v>2475</v>
      </c>
      <c r="Q89" s="10"/>
      <c r="R89" s="10" t="s">
        <v>2834</v>
      </c>
      <c r="S89" s="10" t="s">
        <v>2834</v>
      </c>
      <c r="T89" s="10"/>
      <c r="U89" s="10"/>
      <c r="V89" s="10"/>
      <c r="W89" s="10"/>
      <c r="X89" s="10"/>
      <c r="Y89" s="10"/>
      <c r="Z89" s="10"/>
      <c r="AA89" s="10"/>
      <c r="AB89" s="10"/>
      <c r="AC89" s="10"/>
    </row>
    <row r="90" spans="1:29" ht="29">
      <c r="A90" s="2" t="s">
        <v>500</v>
      </c>
      <c r="B90" s="2" t="s">
        <v>1817</v>
      </c>
      <c r="C90" s="2" t="s">
        <v>1816</v>
      </c>
      <c r="G90" s="10" t="s">
        <v>2686</v>
      </c>
      <c r="H90" s="10"/>
      <c r="I90" s="10"/>
      <c r="J90" s="10"/>
      <c r="K90" s="10"/>
      <c r="L90" s="10"/>
      <c r="M90" s="10"/>
      <c r="N90" s="11"/>
      <c r="O90" s="10"/>
      <c r="P90" s="10"/>
      <c r="Q90" s="10">
        <v>0</v>
      </c>
      <c r="R90" s="10">
        <v>2</v>
      </c>
      <c r="S90" s="10">
        <v>2</v>
      </c>
      <c r="T90" s="10"/>
      <c r="U90" s="10"/>
      <c r="V90" s="10"/>
      <c r="W90" s="10"/>
      <c r="X90" s="10"/>
      <c r="Y90" s="10"/>
      <c r="Z90" s="10"/>
      <c r="AA90" s="10"/>
      <c r="AB90" s="10"/>
      <c r="AC90" s="10"/>
    </row>
    <row r="91" spans="1:29">
      <c r="A91" s="2" t="s">
        <v>508</v>
      </c>
      <c r="B91" s="2" t="s">
        <v>509</v>
      </c>
      <c r="C91" s="2" t="s">
        <v>224</v>
      </c>
      <c r="G91" s="10" t="s">
        <v>2688</v>
      </c>
      <c r="H91" s="10"/>
      <c r="I91" s="10"/>
      <c r="J91" s="10"/>
      <c r="K91" s="10"/>
      <c r="L91" s="10"/>
      <c r="M91" s="10"/>
      <c r="N91" s="11"/>
      <c r="O91" s="10"/>
      <c r="P91" s="10"/>
      <c r="Q91" s="10"/>
      <c r="R91" s="10" t="s">
        <v>2834</v>
      </c>
      <c r="S91" s="10" t="s">
        <v>2834</v>
      </c>
      <c r="T91" s="10"/>
      <c r="U91" s="10"/>
      <c r="V91" s="10"/>
      <c r="W91" s="10"/>
      <c r="X91" s="10"/>
      <c r="Y91" s="10"/>
      <c r="Z91" s="10"/>
      <c r="AA91" s="10"/>
      <c r="AB91" s="10"/>
      <c r="AC91" s="10"/>
    </row>
    <row r="92" spans="1:29">
      <c r="A92" s="2" t="s">
        <v>511</v>
      </c>
      <c r="B92" s="13" t="s">
        <v>1828</v>
      </c>
      <c r="C92" t="s">
        <v>1829</v>
      </c>
      <c r="G92" s="10" t="s">
        <v>2688</v>
      </c>
      <c r="H92" s="10"/>
      <c r="I92" s="10"/>
      <c r="J92" s="10"/>
      <c r="K92" s="10"/>
      <c r="L92" s="10"/>
      <c r="M92" s="10"/>
      <c r="N92" s="11"/>
      <c r="O92" s="10"/>
      <c r="P92" s="10"/>
      <c r="Q92" s="10"/>
      <c r="R92" s="10" t="s">
        <v>2834</v>
      </c>
      <c r="S92" s="10" t="s">
        <v>2834</v>
      </c>
      <c r="T92" s="10"/>
      <c r="U92" s="10"/>
      <c r="V92" s="10"/>
      <c r="W92" s="10"/>
      <c r="X92" s="10"/>
      <c r="Y92" s="10"/>
      <c r="Z92" s="10"/>
      <c r="AA92" s="10"/>
      <c r="AB92" s="10"/>
      <c r="AC92" s="10"/>
    </row>
    <row r="93" spans="1:29">
      <c r="A93" s="2" t="s">
        <v>512</v>
      </c>
      <c r="B93" s="2" t="s">
        <v>2728</v>
      </c>
      <c r="C93" s="2" t="s">
        <v>2729</v>
      </c>
      <c r="G93" s="10" t="s">
        <v>2688</v>
      </c>
      <c r="H93" s="10"/>
      <c r="I93" s="10"/>
      <c r="J93" s="10"/>
      <c r="K93" s="10"/>
      <c r="L93" s="10"/>
      <c r="M93" s="10"/>
      <c r="N93" s="11"/>
      <c r="O93" s="10"/>
      <c r="P93" s="10"/>
      <c r="Q93" s="10"/>
      <c r="R93" s="10" t="s">
        <v>2834</v>
      </c>
      <c r="S93" s="10" t="s">
        <v>2834</v>
      </c>
      <c r="T93" s="10"/>
      <c r="U93" s="10"/>
      <c r="V93" s="10"/>
      <c r="W93" s="10"/>
      <c r="X93" s="10"/>
      <c r="Y93" s="10"/>
      <c r="Z93" s="10"/>
      <c r="AA93" s="10"/>
      <c r="AB93" s="10"/>
      <c r="AC93" s="10"/>
    </row>
    <row r="94" spans="1:29">
      <c r="A94" s="2" t="s">
        <v>512</v>
      </c>
      <c r="B94" s="2" t="s">
        <v>2730</v>
      </c>
      <c r="C94" s="2" t="s">
        <v>1830</v>
      </c>
      <c r="G94" s="10" t="s">
        <v>25</v>
      </c>
      <c r="H94" s="10"/>
      <c r="I94" s="10">
        <v>1</v>
      </c>
      <c r="J94" s="10">
        <v>2</v>
      </c>
      <c r="K94" s="10" t="s">
        <v>2646</v>
      </c>
      <c r="L94" s="10" t="s">
        <v>2687</v>
      </c>
      <c r="M94" s="10"/>
      <c r="N94" s="11"/>
      <c r="O94" s="10"/>
      <c r="P94" s="10">
        <v>2475</v>
      </c>
      <c r="Q94" s="10"/>
      <c r="R94" s="10" t="s">
        <v>2834</v>
      </c>
      <c r="S94" s="10" t="s">
        <v>2834</v>
      </c>
      <c r="T94" s="10"/>
      <c r="U94" s="10"/>
      <c r="V94" s="10"/>
      <c r="W94" s="10"/>
      <c r="X94" s="10"/>
      <c r="Y94" s="10"/>
      <c r="Z94" s="10"/>
      <c r="AA94" s="10"/>
      <c r="AB94" s="10"/>
      <c r="AC94" s="10"/>
    </row>
    <row r="95" spans="1:29" ht="29">
      <c r="A95" s="2" t="s">
        <v>514</v>
      </c>
      <c r="B95" s="2" t="s">
        <v>1832</v>
      </c>
      <c r="C95" s="2" t="s">
        <v>1833</v>
      </c>
      <c r="G95" s="10" t="s">
        <v>2686</v>
      </c>
      <c r="H95" s="10"/>
      <c r="I95" s="10"/>
      <c r="J95" s="10"/>
      <c r="K95" s="10"/>
      <c r="L95" s="10"/>
      <c r="M95" s="10"/>
      <c r="N95" s="11"/>
      <c r="O95" s="10"/>
      <c r="P95" s="10"/>
      <c r="Q95" s="10">
        <v>-774</v>
      </c>
      <c r="R95" s="10">
        <v>2475</v>
      </c>
      <c r="S95" s="10">
        <v>1701</v>
      </c>
      <c r="T95" s="10"/>
      <c r="U95" s="10"/>
      <c r="V95" s="10"/>
      <c r="W95" s="10"/>
      <c r="X95" s="10"/>
      <c r="Y95" s="10"/>
      <c r="Z95" s="10"/>
      <c r="AA95" s="10"/>
      <c r="AB95" s="10"/>
      <c r="AC95" s="10"/>
    </row>
    <row r="96" spans="1:29" ht="29">
      <c r="A96" s="2" t="s">
        <v>515</v>
      </c>
      <c r="B96" s="2" t="s">
        <v>1836</v>
      </c>
      <c r="C96" s="2" t="s">
        <v>1837</v>
      </c>
      <c r="F96" t="s">
        <v>19</v>
      </c>
      <c r="G96" s="10" t="s">
        <v>24</v>
      </c>
      <c r="H96" s="10"/>
      <c r="I96" s="10">
        <v>1</v>
      </c>
      <c r="J96" s="10">
        <v>2</v>
      </c>
      <c r="K96" s="10" t="s">
        <v>2646</v>
      </c>
      <c r="L96" s="10" t="s">
        <v>2687</v>
      </c>
      <c r="M96" s="10"/>
      <c r="N96" s="11"/>
      <c r="O96" s="10"/>
      <c r="P96" s="10">
        <v>2475</v>
      </c>
      <c r="Q96" s="10"/>
      <c r="R96" s="10" t="s">
        <v>2834</v>
      </c>
      <c r="S96" s="10" t="s">
        <v>2834</v>
      </c>
      <c r="T96" s="10"/>
      <c r="U96" s="10"/>
      <c r="V96" s="10"/>
      <c r="W96" s="10"/>
      <c r="X96" s="10"/>
      <c r="Y96" s="10"/>
      <c r="Z96" s="10"/>
      <c r="AA96" s="10"/>
      <c r="AB96" s="10"/>
      <c r="AC96" s="10"/>
    </row>
    <row r="97" spans="1:29">
      <c r="A97" s="2" t="s">
        <v>525</v>
      </c>
      <c r="B97" s="2" t="s">
        <v>1853</v>
      </c>
      <c r="C97" s="2" t="s">
        <v>526</v>
      </c>
      <c r="F97" t="s">
        <v>19</v>
      </c>
      <c r="G97" s="10" t="s">
        <v>2688</v>
      </c>
      <c r="H97" s="10"/>
      <c r="I97" s="10"/>
      <c r="J97" s="10"/>
      <c r="K97" s="10"/>
      <c r="L97" s="10"/>
      <c r="M97" s="10"/>
      <c r="N97" s="11"/>
      <c r="O97" s="10"/>
      <c r="P97" s="10"/>
      <c r="Q97" s="10"/>
      <c r="R97" s="10" t="s">
        <v>2834</v>
      </c>
      <c r="S97" s="10" t="s">
        <v>2834</v>
      </c>
      <c r="T97" s="10"/>
      <c r="U97" s="10"/>
      <c r="V97" s="10"/>
      <c r="W97" s="10"/>
      <c r="X97" s="10"/>
      <c r="Y97" s="10"/>
      <c r="Z97" s="10"/>
      <c r="AA97" s="10"/>
      <c r="AB97" s="10"/>
      <c r="AC97" s="10"/>
    </row>
    <row r="98" spans="1:29">
      <c r="A98" s="2" t="s">
        <v>533</v>
      </c>
      <c r="B98" s="2" t="s">
        <v>1855</v>
      </c>
      <c r="C98" s="2" t="s">
        <v>1856</v>
      </c>
      <c r="G98" s="10" t="s">
        <v>2689</v>
      </c>
      <c r="H98" s="10"/>
      <c r="I98" s="10"/>
      <c r="J98" s="10"/>
      <c r="K98" s="10"/>
      <c r="L98" s="10"/>
      <c r="M98" s="10"/>
      <c r="N98" s="11"/>
      <c r="O98" s="10"/>
      <c r="P98" s="10"/>
      <c r="Q98" s="10">
        <v>94</v>
      </c>
      <c r="R98" s="10">
        <v>14</v>
      </c>
      <c r="S98" s="10">
        <v>108</v>
      </c>
      <c r="T98" s="10"/>
      <c r="U98" s="10"/>
      <c r="V98" s="10"/>
      <c r="W98" s="10"/>
      <c r="X98" s="10"/>
      <c r="Y98" s="10"/>
      <c r="Z98" s="10"/>
      <c r="AA98" s="10"/>
      <c r="AB98" s="10"/>
      <c r="AC98" s="10"/>
    </row>
    <row r="99" spans="1:29">
      <c r="A99" s="2" t="s">
        <v>543</v>
      </c>
      <c r="B99" s="2" t="s">
        <v>2733</v>
      </c>
      <c r="C99" s="2" t="s">
        <v>2734</v>
      </c>
      <c r="G99" s="10" t="s">
        <v>2686</v>
      </c>
      <c r="H99" s="10"/>
      <c r="I99" s="10"/>
      <c r="J99" s="10"/>
      <c r="K99" s="10"/>
      <c r="L99" s="10"/>
      <c r="M99" s="10"/>
      <c r="N99" s="11"/>
      <c r="O99" s="10"/>
      <c r="P99" s="10"/>
      <c r="Q99" s="10">
        <v>-1699</v>
      </c>
      <c r="R99" s="10">
        <v>1701</v>
      </c>
      <c r="S99" s="10">
        <v>2</v>
      </c>
      <c r="T99" s="10"/>
      <c r="U99" s="10"/>
      <c r="V99" s="10"/>
      <c r="W99" s="10"/>
      <c r="X99" s="10"/>
      <c r="Y99" s="10"/>
      <c r="Z99" s="10"/>
      <c r="AA99" s="10"/>
      <c r="AB99" s="10"/>
      <c r="AC99" s="10"/>
    </row>
    <row r="100" spans="1:29">
      <c r="A100" s="2" t="s">
        <v>543</v>
      </c>
      <c r="B100" s="2" t="s">
        <v>2735</v>
      </c>
      <c r="C100" s="2" t="s">
        <v>2736</v>
      </c>
      <c r="G100" s="10" t="s">
        <v>2686</v>
      </c>
      <c r="H100" s="10"/>
      <c r="I100" s="10"/>
      <c r="J100" s="10"/>
      <c r="K100" s="10"/>
      <c r="L100" s="10"/>
      <c r="M100" s="10"/>
      <c r="N100" s="11"/>
      <c r="O100" s="10"/>
      <c r="P100" s="10"/>
      <c r="Q100" s="10">
        <v>15</v>
      </c>
      <c r="R100" s="10">
        <v>1</v>
      </c>
      <c r="S100" s="10">
        <v>16</v>
      </c>
      <c r="T100" s="10"/>
      <c r="U100" s="10"/>
      <c r="V100" s="10"/>
      <c r="W100" s="10"/>
      <c r="X100" s="10"/>
      <c r="Y100" s="10"/>
      <c r="Z100" s="10"/>
      <c r="AA100" s="10"/>
      <c r="AB100" s="10"/>
      <c r="AC100" s="10"/>
    </row>
    <row r="101" spans="1:29">
      <c r="A101" s="2" t="s">
        <v>544</v>
      </c>
      <c r="B101" s="13" t="s">
        <v>1864</v>
      </c>
      <c r="C101" t="s">
        <v>1865</v>
      </c>
      <c r="F101" t="s">
        <v>19</v>
      </c>
      <c r="G101" s="10" t="s">
        <v>2688</v>
      </c>
      <c r="H101" s="10"/>
      <c r="I101" s="10"/>
      <c r="J101" s="10"/>
      <c r="K101" s="10"/>
      <c r="L101" s="10"/>
      <c r="M101" s="10"/>
      <c r="N101" s="11"/>
      <c r="O101" s="10"/>
      <c r="P101" s="10"/>
      <c r="Q101" s="10"/>
      <c r="R101" s="10" t="s">
        <v>2834</v>
      </c>
      <c r="S101" s="10" t="s">
        <v>2834</v>
      </c>
      <c r="T101" s="10"/>
      <c r="U101" s="10"/>
      <c r="V101" s="10"/>
      <c r="W101" s="10"/>
      <c r="X101" s="10"/>
      <c r="Y101" s="10"/>
      <c r="Z101" s="10"/>
      <c r="AA101" s="10"/>
      <c r="AB101" s="10"/>
      <c r="AC101" s="10"/>
    </row>
    <row r="102" spans="1:29">
      <c r="A102" s="2" t="s">
        <v>553</v>
      </c>
      <c r="B102" s="2" t="s">
        <v>555</v>
      </c>
      <c r="C102" s="2" t="s">
        <v>554</v>
      </c>
      <c r="G102" s="10" t="s">
        <v>2688</v>
      </c>
      <c r="H102" s="10"/>
      <c r="I102" s="10"/>
      <c r="J102" s="10"/>
      <c r="K102" s="10"/>
      <c r="L102" s="10"/>
      <c r="M102" s="10"/>
      <c r="N102" s="11"/>
      <c r="O102" s="10"/>
      <c r="P102" s="10"/>
      <c r="Q102" s="10"/>
      <c r="R102" s="10" t="s">
        <v>2834</v>
      </c>
      <c r="S102" s="10" t="s">
        <v>2834</v>
      </c>
      <c r="T102" s="10"/>
      <c r="U102" s="10"/>
      <c r="V102" s="10"/>
      <c r="W102" s="10"/>
      <c r="X102" s="10"/>
      <c r="Y102" s="10"/>
      <c r="Z102" s="10"/>
      <c r="AA102" s="10"/>
      <c r="AB102" s="10"/>
      <c r="AC102" s="10"/>
    </row>
    <row r="103" spans="1:29">
      <c r="A103" s="2" t="s">
        <v>556</v>
      </c>
      <c r="B103" s="2" t="s">
        <v>1868</v>
      </c>
      <c r="C103" s="2" t="s">
        <v>1869</v>
      </c>
      <c r="F103" t="s">
        <v>19</v>
      </c>
      <c r="G103" s="10" t="s">
        <v>2688</v>
      </c>
      <c r="H103" s="10"/>
      <c r="I103" s="10"/>
      <c r="J103" s="10"/>
      <c r="K103" s="10"/>
      <c r="L103" s="10"/>
      <c r="M103" s="10"/>
      <c r="N103" s="11"/>
      <c r="O103" s="10"/>
      <c r="P103" s="10"/>
      <c r="Q103" s="10"/>
      <c r="R103" s="10" t="s">
        <v>2834</v>
      </c>
      <c r="S103" s="10" t="s">
        <v>2834</v>
      </c>
      <c r="T103" s="10"/>
      <c r="U103" s="10"/>
      <c r="V103" s="10"/>
      <c r="W103" s="10"/>
      <c r="X103" s="10"/>
      <c r="Y103" s="10"/>
      <c r="Z103" s="10"/>
      <c r="AA103" s="10"/>
      <c r="AB103" s="10"/>
      <c r="AC103" s="10"/>
    </row>
    <row r="104" spans="1:29">
      <c r="A104" s="2" t="s">
        <v>560</v>
      </c>
      <c r="B104" s="13" t="s">
        <v>1873</v>
      </c>
      <c r="C104" s="2" t="s">
        <v>2737</v>
      </c>
      <c r="F104" t="s">
        <v>19</v>
      </c>
      <c r="G104" s="10" t="s">
        <v>2686</v>
      </c>
      <c r="H104" s="10"/>
      <c r="I104" s="10"/>
      <c r="J104" s="10"/>
      <c r="K104" s="10"/>
      <c r="L104" s="10"/>
      <c r="M104" s="10"/>
      <c r="N104" s="11"/>
      <c r="O104" s="10"/>
      <c r="P104" s="10"/>
      <c r="Q104" s="10">
        <v>5</v>
      </c>
      <c r="R104" s="10">
        <v>12</v>
      </c>
      <c r="S104" s="10">
        <v>17</v>
      </c>
      <c r="T104" s="10"/>
      <c r="U104" s="10"/>
      <c r="V104" s="10"/>
      <c r="W104" s="10"/>
      <c r="X104" s="10"/>
      <c r="Y104" s="10"/>
      <c r="Z104" s="10"/>
      <c r="AA104" s="10"/>
      <c r="AB104" s="10"/>
      <c r="AC104" s="10"/>
    </row>
    <row r="105" spans="1:29">
      <c r="A105" s="2" t="s">
        <v>569</v>
      </c>
      <c r="B105" s="2" t="s">
        <v>1879</v>
      </c>
      <c r="C105" s="2" t="s">
        <v>1878</v>
      </c>
      <c r="G105" s="10" t="s">
        <v>2686</v>
      </c>
      <c r="H105" s="10"/>
      <c r="I105" s="10"/>
      <c r="J105" s="10"/>
      <c r="K105" s="10"/>
      <c r="L105" s="10"/>
      <c r="M105" s="10"/>
      <c r="N105" s="11"/>
      <c r="O105" s="10"/>
      <c r="P105" s="10"/>
      <c r="Q105" s="10">
        <v>-447</v>
      </c>
      <c r="R105" s="10">
        <v>613</v>
      </c>
      <c r="S105" s="10">
        <v>166</v>
      </c>
      <c r="T105" s="10"/>
      <c r="U105" s="10"/>
      <c r="V105" s="10"/>
      <c r="W105" s="10"/>
      <c r="X105" s="10"/>
      <c r="Y105" s="10"/>
      <c r="Z105" s="10"/>
      <c r="AA105" s="10"/>
      <c r="AB105" s="10"/>
      <c r="AC105" s="10"/>
    </row>
    <row r="106" spans="1:29">
      <c r="A106" s="2" t="s">
        <v>570</v>
      </c>
      <c r="B106" s="13" t="s">
        <v>1882</v>
      </c>
      <c r="C106" t="s">
        <v>1883</v>
      </c>
      <c r="G106" s="10" t="s">
        <v>2686</v>
      </c>
      <c r="H106" s="10"/>
      <c r="I106" s="10"/>
      <c r="J106" s="10"/>
      <c r="K106" s="10"/>
      <c r="L106" s="10"/>
      <c r="M106" s="10"/>
      <c r="N106" s="11"/>
      <c r="O106" s="10"/>
      <c r="P106" s="10"/>
      <c r="Q106" s="10">
        <v>-46</v>
      </c>
      <c r="R106" s="10">
        <v>63</v>
      </c>
      <c r="S106" s="10">
        <v>17</v>
      </c>
      <c r="T106" s="10"/>
      <c r="U106" s="10"/>
      <c r="V106" s="10"/>
      <c r="W106" s="10"/>
      <c r="X106" s="10"/>
      <c r="Y106" s="10"/>
      <c r="Z106" s="10"/>
      <c r="AA106" s="10"/>
      <c r="AB106" s="10"/>
      <c r="AC106" s="10"/>
    </row>
    <row r="107" spans="1:29">
      <c r="A107" s="2" t="s">
        <v>570</v>
      </c>
      <c r="B107" s="2" t="s">
        <v>1884</v>
      </c>
      <c r="C107" s="2" t="s">
        <v>1885</v>
      </c>
      <c r="F107" t="s">
        <v>19</v>
      </c>
      <c r="G107" s="10" t="s">
        <v>2688</v>
      </c>
      <c r="H107" s="10"/>
      <c r="I107" s="10"/>
      <c r="J107" s="10"/>
      <c r="K107" s="10"/>
      <c r="L107" s="10"/>
      <c r="M107" s="10"/>
      <c r="N107" s="11"/>
      <c r="O107" s="10"/>
      <c r="P107" s="10"/>
      <c r="Q107" s="10"/>
      <c r="R107" s="10" t="s">
        <v>2834</v>
      </c>
      <c r="S107" s="10" t="s">
        <v>2834</v>
      </c>
      <c r="T107" s="10"/>
      <c r="U107" s="10"/>
      <c r="V107" s="10"/>
      <c r="W107" s="10"/>
      <c r="X107" s="10"/>
      <c r="Y107" s="10"/>
      <c r="Z107" s="10"/>
      <c r="AA107" s="10"/>
      <c r="AB107" s="10"/>
      <c r="AC107" s="10"/>
    </row>
    <row r="108" spans="1:29" ht="29">
      <c r="A108" s="2" t="s">
        <v>572</v>
      </c>
      <c r="B108" s="2" t="s">
        <v>1888</v>
      </c>
      <c r="C108" s="2" t="s">
        <v>1889</v>
      </c>
      <c r="G108" s="10" t="s">
        <v>2688</v>
      </c>
      <c r="H108" s="10"/>
      <c r="I108" s="10"/>
      <c r="J108" s="10"/>
      <c r="K108" s="10"/>
      <c r="L108" s="10"/>
      <c r="M108" s="10"/>
      <c r="N108" s="11"/>
      <c r="O108" s="10"/>
      <c r="P108" s="10"/>
      <c r="Q108" s="10"/>
      <c r="R108" s="10" t="s">
        <v>2834</v>
      </c>
      <c r="S108" s="10" t="s">
        <v>2834</v>
      </c>
      <c r="T108" s="10"/>
      <c r="U108" s="10"/>
      <c r="V108" s="10"/>
      <c r="W108" s="10"/>
      <c r="X108" s="10"/>
      <c r="Y108" s="10"/>
      <c r="Z108" s="10"/>
      <c r="AA108" s="10"/>
      <c r="AB108" s="10"/>
      <c r="AC108" s="10"/>
    </row>
    <row r="109" spans="1:29">
      <c r="A109" s="2" t="s">
        <v>575</v>
      </c>
      <c r="B109" s="2" t="s">
        <v>1894</v>
      </c>
      <c r="C109" s="2" t="s">
        <v>576</v>
      </c>
      <c r="F109" t="s">
        <v>19</v>
      </c>
      <c r="G109" s="10" t="s">
        <v>2688</v>
      </c>
      <c r="H109" s="10"/>
      <c r="I109" s="10"/>
      <c r="J109" s="10"/>
      <c r="K109" s="10"/>
      <c r="L109" s="10"/>
      <c r="M109" s="10"/>
      <c r="N109" s="11"/>
      <c r="O109" s="10"/>
      <c r="P109" s="10"/>
      <c r="Q109" s="10"/>
      <c r="R109" s="10" t="s">
        <v>2834</v>
      </c>
      <c r="S109" s="10" t="s">
        <v>2834</v>
      </c>
      <c r="T109" s="10"/>
      <c r="U109" s="10"/>
      <c r="V109" s="10"/>
      <c r="W109" s="10"/>
      <c r="X109" s="10"/>
      <c r="Y109" s="10"/>
      <c r="Z109" s="10"/>
      <c r="AA109" s="10"/>
      <c r="AB109" s="10"/>
      <c r="AC109" s="10"/>
    </row>
    <row r="110" spans="1:29">
      <c r="A110" s="2" t="s">
        <v>584</v>
      </c>
      <c r="B110" s="2" t="s">
        <v>1900</v>
      </c>
      <c r="C110" s="2" t="s">
        <v>1899</v>
      </c>
      <c r="F110" t="s">
        <v>19</v>
      </c>
      <c r="G110" s="10" t="s">
        <v>25</v>
      </c>
      <c r="H110" s="10"/>
      <c r="I110" s="10">
        <v>1</v>
      </c>
      <c r="J110" s="10">
        <v>3</v>
      </c>
      <c r="K110" s="10" t="s">
        <v>2646</v>
      </c>
      <c r="L110" s="10" t="s">
        <v>2647</v>
      </c>
      <c r="M110" s="10"/>
      <c r="N110" s="11"/>
      <c r="O110" s="10"/>
      <c r="P110" s="10">
        <v>2475</v>
      </c>
      <c r="Q110" s="10"/>
      <c r="R110" s="10" t="s">
        <v>2834</v>
      </c>
      <c r="S110" s="10" t="s">
        <v>2834</v>
      </c>
      <c r="T110" s="10"/>
      <c r="U110" s="10"/>
      <c r="V110" s="10"/>
      <c r="W110" s="10"/>
      <c r="X110" s="10"/>
      <c r="Y110" s="10"/>
      <c r="Z110" s="10"/>
      <c r="AA110" s="10"/>
      <c r="AB110" s="10"/>
      <c r="AC110" s="10"/>
    </row>
    <row r="111" spans="1:29" ht="29">
      <c r="A111" s="2" t="s">
        <v>585</v>
      </c>
      <c r="B111" s="2" t="s">
        <v>1905</v>
      </c>
      <c r="C111" s="2" t="s">
        <v>1904</v>
      </c>
      <c r="F111" t="s">
        <v>19</v>
      </c>
      <c r="G111" s="10" t="s">
        <v>25</v>
      </c>
      <c r="H111" s="10"/>
      <c r="I111" s="10">
        <v>1</v>
      </c>
      <c r="J111" s="10">
        <v>3</v>
      </c>
      <c r="K111" s="10" t="s">
        <v>2662</v>
      </c>
      <c r="L111" s="10" t="s">
        <v>2647</v>
      </c>
      <c r="M111" s="10"/>
      <c r="N111" s="11"/>
      <c r="O111" s="10"/>
      <c r="P111" s="10">
        <v>743</v>
      </c>
      <c r="Q111" s="10"/>
      <c r="R111" s="10" t="s">
        <v>2834</v>
      </c>
      <c r="S111" s="10" t="s">
        <v>2834</v>
      </c>
      <c r="T111" s="10"/>
      <c r="U111" s="10"/>
      <c r="V111" s="10"/>
      <c r="W111" s="10"/>
      <c r="X111" s="10"/>
      <c r="Y111" s="10"/>
      <c r="Z111" s="10"/>
      <c r="AA111" s="10"/>
      <c r="AB111" s="10"/>
      <c r="AC111" s="10"/>
    </row>
    <row r="112" spans="1:29" ht="29">
      <c r="A112" s="2" t="s">
        <v>585</v>
      </c>
      <c r="B112" s="2" t="s">
        <v>1903</v>
      </c>
      <c r="C112" s="2" t="s">
        <v>1906</v>
      </c>
      <c r="F112" t="s">
        <v>19</v>
      </c>
      <c r="G112" s="10" t="s">
        <v>24</v>
      </c>
      <c r="H112" s="10"/>
      <c r="I112" s="10">
        <v>1</v>
      </c>
      <c r="J112" s="10">
        <v>3</v>
      </c>
      <c r="K112" s="10" t="s">
        <v>2664</v>
      </c>
      <c r="L112" s="10" t="s">
        <v>2647</v>
      </c>
      <c r="M112" s="10"/>
      <c r="N112" s="11"/>
      <c r="O112" s="10"/>
      <c r="P112" s="10">
        <v>112</v>
      </c>
      <c r="Q112" s="10"/>
      <c r="R112" s="10" t="s">
        <v>2834</v>
      </c>
      <c r="S112" s="10" t="s">
        <v>2834</v>
      </c>
      <c r="T112" s="10"/>
      <c r="U112" s="10"/>
      <c r="V112" s="10"/>
      <c r="W112" s="10"/>
      <c r="X112" s="10"/>
      <c r="Y112" s="10"/>
      <c r="Z112" s="10"/>
      <c r="AA112" s="10"/>
      <c r="AB112" s="10"/>
      <c r="AC112" s="10"/>
    </row>
    <row r="113" spans="1:29">
      <c r="A113" s="2" t="s">
        <v>593</v>
      </c>
      <c r="B113" s="2" t="s">
        <v>596</v>
      </c>
      <c r="C113" s="2" t="s">
        <v>595</v>
      </c>
      <c r="G113" s="10" t="s">
        <v>2688</v>
      </c>
      <c r="H113" s="10"/>
      <c r="I113" s="10"/>
      <c r="J113" s="10"/>
      <c r="K113" s="10"/>
      <c r="L113" s="10"/>
      <c r="M113" s="10"/>
      <c r="N113" s="11"/>
      <c r="O113" s="10"/>
      <c r="P113" s="10"/>
      <c r="Q113" s="10"/>
      <c r="R113" s="10" t="s">
        <v>2834</v>
      </c>
      <c r="S113" s="10" t="s">
        <v>2834</v>
      </c>
      <c r="T113" s="10"/>
      <c r="U113" s="10"/>
      <c r="V113" s="10"/>
      <c r="W113" s="10"/>
      <c r="X113" s="10"/>
      <c r="Y113" s="10"/>
      <c r="Z113" s="10"/>
      <c r="AA113" s="10"/>
      <c r="AB113" s="10"/>
      <c r="AC113" s="10"/>
    </row>
    <row r="114" spans="1:29" ht="29">
      <c r="A114" s="2" t="s">
        <v>597</v>
      </c>
      <c r="B114" s="2" t="s">
        <v>1919</v>
      </c>
      <c r="C114" s="2" t="s">
        <v>1920</v>
      </c>
      <c r="G114" s="10" t="s">
        <v>2686</v>
      </c>
      <c r="H114" s="10"/>
      <c r="I114" s="10"/>
      <c r="J114" s="10"/>
      <c r="K114" s="10"/>
      <c r="L114" s="10"/>
      <c r="M114" s="10"/>
      <c r="N114" s="11"/>
      <c r="O114" s="10"/>
      <c r="P114" s="10"/>
      <c r="Q114" s="10">
        <v>-13</v>
      </c>
      <c r="R114" s="10">
        <v>14</v>
      </c>
      <c r="S114" s="10">
        <v>1</v>
      </c>
      <c r="T114" s="10"/>
      <c r="U114" s="10"/>
      <c r="V114" s="10"/>
      <c r="W114" s="10"/>
      <c r="X114" s="10"/>
      <c r="Y114" s="10"/>
      <c r="Z114" s="10"/>
      <c r="AA114" s="10"/>
      <c r="AB114" s="10"/>
      <c r="AC114" s="10"/>
    </row>
    <row r="115" spans="1:29" ht="29">
      <c r="A115" s="2" t="s">
        <v>601</v>
      </c>
      <c r="B115" s="13" t="s">
        <v>2782</v>
      </c>
      <c r="C115" s="2" t="s">
        <v>2783</v>
      </c>
      <c r="F115" t="s">
        <v>19</v>
      </c>
      <c r="G115" s="10" t="s">
        <v>2688</v>
      </c>
      <c r="H115" s="10"/>
      <c r="I115" s="10"/>
      <c r="J115" s="10"/>
      <c r="K115" s="10"/>
      <c r="L115" s="10"/>
      <c r="M115" s="10"/>
      <c r="N115" s="11"/>
      <c r="O115" s="10"/>
      <c r="P115" s="10"/>
      <c r="Q115" s="10"/>
      <c r="R115" s="10" t="s">
        <v>2834</v>
      </c>
      <c r="S115" s="10" t="s">
        <v>2834</v>
      </c>
      <c r="T115" s="10"/>
      <c r="U115" s="10"/>
      <c r="V115" s="10"/>
      <c r="W115" s="10"/>
      <c r="X115" s="10"/>
      <c r="Y115" s="10"/>
      <c r="Z115" s="10"/>
      <c r="AA115" s="10"/>
      <c r="AB115" s="10"/>
      <c r="AC115" s="10"/>
    </row>
    <row r="116" spans="1:29">
      <c r="A116" s="2" t="s">
        <v>601</v>
      </c>
      <c r="B116" s="2" t="s">
        <v>1926</v>
      </c>
      <c r="C116" s="2" t="s">
        <v>1927</v>
      </c>
      <c r="F116" t="s">
        <v>19</v>
      </c>
      <c r="G116" s="10" t="s">
        <v>24</v>
      </c>
      <c r="H116" s="10"/>
      <c r="I116" s="10">
        <v>1</v>
      </c>
      <c r="J116" s="10">
        <v>4</v>
      </c>
      <c r="K116" s="10" t="s">
        <v>2660</v>
      </c>
      <c r="L116" s="10" t="s">
        <v>2647</v>
      </c>
      <c r="M116" s="10"/>
      <c r="N116" s="11"/>
      <c r="O116" s="10"/>
      <c r="P116" s="10">
        <v>132</v>
      </c>
      <c r="Q116" s="10"/>
      <c r="R116" s="10" t="s">
        <v>2834</v>
      </c>
      <c r="S116" s="10" t="s">
        <v>2834</v>
      </c>
      <c r="T116" s="10"/>
      <c r="U116" s="10"/>
      <c r="V116" s="10"/>
      <c r="W116" s="10"/>
      <c r="X116" s="10"/>
      <c r="Y116" s="10"/>
      <c r="Z116" s="10"/>
      <c r="AA116" s="10"/>
      <c r="AB116" s="10"/>
      <c r="AC116" s="10"/>
    </row>
    <row r="117" spans="1:29">
      <c r="A117" s="2" t="s">
        <v>602</v>
      </c>
      <c r="B117" s="2" t="s">
        <v>1928</v>
      </c>
      <c r="C117" s="2" t="s">
        <v>1929</v>
      </c>
      <c r="G117" s="10" t="s">
        <v>2688</v>
      </c>
      <c r="H117" s="10"/>
      <c r="I117" s="10"/>
      <c r="J117" s="10"/>
      <c r="K117" s="10"/>
      <c r="L117" s="10"/>
      <c r="M117" s="10"/>
      <c r="N117" s="11"/>
      <c r="O117" s="10"/>
      <c r="P117" s="10"/>
      <c r="Q117" s="10"/>
      <c r="R117" s="10" t="s">
        <v>2834</v>
      </c>
      <c r="S117" s="10" t="s">
        <v>2834</v>
      </c>
      <c r="T117" s="10"/>
      <c r="U117" s="10"/>
      <c r="V117" s="10"/>
      <c r="W117" s="10"/>
      <c r="X117" s="10"/>
      <c r="Y117" s="10"/>
      <c r="Z117" s="10"/>
      <c r="AA117" s="10"/>
      <c r="AB117" s="10"/>
      <c r="AC117" s="10"/>
    </row>
    <row r="118" spans="1:29" ht="43.5">
      <c r="A118" s="2" t="s">
        <v>603</v>
      </c>
      <c r="B118" s="13" t="s">
        <v>1930</v>
      </c>
      <c r="C118" s="2" t="s">
        <v>1931</v>
      </c>
      <c r="F118" t="s">
        <v>19</v>
      </c>
      <c r="G118" s="10" t="s">
        <v>24</v>
      </c>
      <c r="H118" s="10"/>
      <c r="I118" s="10">
        <v>4</v>
      </c>
      <c r="J118" s="10">
        <v>19</v>
      </c>
      <c r="K118" s="10"/>
      <c r="L118" s="10" t="s">
        <v>2647</v>
      </c>
      <c r="M118" s="10"/>
      <c r="N118" s="11"/>
      <c r="O118" s="10" t="s">
        <v>2648</v>
      </c>
      <c r="P118" s="10">
        <v>146</v>
      </c>
      <c r="Q118" s="10"/>
      <c r="R118" s="10" t="s">
        <v>2834</v>
      </c>
      <c r="S118" s="10" t="s">
        <v>2834</v>
      </c>
      <c r="T118" s="10"/>
      <c r="U118" s="10"/>
      <c r="V118" s="10"/>
      <c r="W118" s="10"/>
      <c r="X118" s="10"/>
      <c r="Y118" s="10"/>
      <c r="Z118" s="10"/>
      <c r="AA118" s="10"/>
      <c r="AB118" s="10"/>
      <c r="AC118" s="10"/>
    </row>
    <row r="119" spans="1:29">
      <c r="A119" s="2" t="s">
        <v>622</v>
      </c>
      <c r="B119" s="2" t="s">
        <v>1944</v>
      </c>
      <c r="C119" s="2" t="s">
        <v>2784</v>
      </c>
      <c r="G119" s="10" t="s">
        <v>2688</v>
      </c>
      <c r="H119" s="10"/>
      <c r="I119" s="10"/>
      <c r="J119" s="10"/>
      <c r="K119" s="10"/>
      <c r="L119" s="10"/>
      <c r="M119" s="10"/>
      <c r="N119" s="11"/>
      <c r="O119" s="10"/>
      <c r="P119" s="10"/>
      <c r="Q119" s="10"/>
      <c r="R119" s="10" t="s">
        <v>2834</v>
      </c>
      <c r="S119" s="10" t="s">
        <v>2834</v>
      </c>
      <c r="T119" s="10"/>
      <c r="U119" s="10"/>
      <c r="V119" s="10"/>
      <c r="W119" s="10"/>
      <c r="X119" s="10"/>
      <c r="Y119" s="10"/>
      <c r="Z119" s="10"/>
      <c r="AA119" s="10"/>
      <c r="AB119" s="10"/>
      <c r="AC119" s="10"/>
    </row>
    <row r="120" spans="1:29">
      <c r="A120" s="2" t="s">
        <v>626</v>
      </c>
      <c r="B120" s="2" t="s">
        <v>1947</v>
      </c>
      <c r="C120" s="2" t="s">
        <v>2740</v>
      </c>
      <c r="F120" t="s">
        <v>19</v>
      </c>
      <c r="G120" s="10" t="s">
        <v>2686</v>
      </c>
      <c r="H120" s="10"/>
      <c r="I120" s="10"/>
      <c r="J120" s="10"/>
      <c r="K120" s="10"/>
      <c r="L120" s="10"/>
      <c r="M120" s="10"/>
      <c r="N120" s="11"/>
      <c r="O120" s="10"/>
      <c r="P120" s="10"/>
      <c r="Q120" s="10">
        <v>-32</v>
      </c>
      <c r="R120" s="10">
        <v>44</v>
      </c>
      <c r="S120" s="10">
        <v>12</v>
      </c>
      <c r="T120" s="10"/>
      <c r="U120" s="10"/>
      <c r="V120" s="10"/>
      <c r="W120" s="10"/>
      <c r="X120" s="10"/>
      <c r="Y120" s="10"/>
      <c r="Z120" s="10"/>
      <c r="AA120" s="10"/>
      <c r="AB120" s="10"/>
      <c r="AC120" s="10"/>
    </row>
    <row r="121" spans="1:29">
      <c r="A121" s="2" t="s">
        <v>627</v>
      </c>
      <c r="B121" s="2" t="s">
        <v>1948</v>
      </c>
      <c r="C121" s="2" t="s">
        <v>1949</v>
      </c>
      <c r="D121" t="s">
        <v>12</v>
      </c>
      <c r="G121" s="10" t="s">
        <v>25</v>
      </c>
      <c r="H121" s="10"/>
      <c r="I121" s="10">
        <v>1</v>
      </c>
      <c r="J121" s="10">
        <v>1</v>
      </c>
      <c r="K121" s="10" t="s">
        <v>2655</v>
      </c>
      <c r="L121" s="10" t="s">
        <v>2687</v>
      </c>
      <c r="M121" s="10"/>
      <c r="N121" s="11"/>
      <c r="O121" s="10"/>
      <c r="P121" s="10">
        <v>1701</v>
      </c>
      <c r="Q121" s="10"/>
      <c r="R121" s="10" t="s">
        <v>2834</v>
      </c>
      <c r="S121" s="10" t="s">
        <v>2834</v>
      </c>
      <c r="T121" s="10"/>
      <c r="U121" s="10"/>
      <c r="V121" s="10"/>
      <c r="W121" s="10"/>
      <c r="X121" s="10"/>
      <c r="Y121" s="10"/>
      <c r="Z121" s="10"/>
      <c r="AA121" s="10"/>
      <c r="AB121" s="10"/>
      <c r="AC121" s="10"/>
    </row>
    <row r="122" spans="1:29">
      <c r="A122" s="2" t="s">
        <v>628</v>
      </c>
      <c r="B122" s="2" t="s">
        <v>1950</v>
      </c>
      <c r="C122" s="2" t="s">
        <v>1951</v>
      </c>
      <c r="G122" s="10" t="s">
        <v>2686</v>
      </c>
      <c r="H122" s="10"/>
      <c r="I122" s="10"/>
      <c r="J122" s="10"/>
      <c r="K122" s="10"/>
      <c r="L122" s="10"/>
      <c r="M122" s="10"/>
      <c r="N122" s="11"/>
      <c r="O122" s="10"/>
      <c r="P122" s="10"/>
      <c r="Q122" s="10">
        <v>2351</v>
      </c>
      <c r="R122" s="10">
        <v>124</v>
      </c>
      <c r="S122" s="10">
        <v>2475</v>
      </c>
      <c r="T122" s="10"/>
      <c r="U122" s="10"/>
      <c r="V122" s="10"/>
      <c r="W122" s="10"/>
      <c r="X122" s="10"/>
      <c r="Y122" s="10"/>
      <c r="Z122" s="10"/>
      <c r="AA122" s="10"/>
      <c r="AB122" s="10"/>
      <c r="AC122" s="10"/>
    </row>
    <row r="123" spans="1:29">
      <c r="A123" s="2" t="s">
        <v>628</v>
      </c>
      <c r="B123" s="2" t="s">
        <v>1953</v>
      </c>
      <c r="C123" s="2" t="s">
        <v>1952</v>
      </c>
      <c r="G123" s="10" t="s">
        <v>25</v>
      </c>
      <c r="H123" s="10"/>
      <c r="I123" s="10">
        <v>1</v>
      </c>
      <c r="J123" s="10">
        <v>2</v>
      </c>
      <c r="K123" s="10" t="s">
        <v>2646</v>
      </c>
      <c r="L123" s="10" t="s">
        <v>2687</v>
      </c>
      <c r="M123" s="10"/>
      <c r="N123" s="11"/>
      <c r="O123" s="10"/>
      <c r="P123" s="10">
        <v>2475</v>
      </c>
      <c r="Q123" s="10"/>
      <c r="R123" s="10" t="s">
        <v>2834</v>
      </c>
      <c r="S123" s="10" t="s">
        <v>2834</v>
      </c>
      <c r="T123" s="10"/>
      <c r="U123" s="10"/>
      <c r="V123" s="10"/>
      <c r="W123" s="10"/>
      <c r="X123" s="10"/>
      <c r="Y123" s="10"/>
      <c r="Z123" s="10"/>
      <c r="AA123" s="10"/>
      <c r="AB123" s="10"/>
      <c r="AC123" s="10"/>
    </row>
    <row r="124" spans="1:29">
      <c r="A124" s="2" t="s">
        <v>636</v>
      </c>
      <c r="B124" s="2" t="s">
        <v>1957</v>
      </c>
      <c r="C124" s="2" t="s">
        <v>1956</v>
      </c>
      <c r="G124" s="10" t="s">
        <v>2686</v>
      </c>
      <c r="H124" s="10"/>
      <c r="I124" s="10"/>
      <c r="J124" s="10"/>
      <c r="K124" s="10"/>
      <c r="L124" s="10"/>
      <c r="M124" s="10"/>
      <c r="N124" s="11"/>
      <c r="O124" s="10"/>
      <c r="P124" s="10"/>
      <c r="Q124" s="10">
        <v>249</v>
      </c>
      <c r="R124" s="10">
        <v>31</v>
      </c>
      <c r="S124" s="10">
        <v>280</v>
      </c>
      <c r="T124" s="10"/>
      <c r="U124" s="10"/>
      <c r="V124" s="10"/>
      <c r="W124" s="10"/>
      <c r="X124" s="10"/>
      <c r="Y124" s="10"/>
      <c r="Z124" s="10"/>
      <c r="AA124" s="10"/>
      <c r="AB124" s="10"/>
      <c r="AC124" s="10"/>
    </row>
    <row r="125" spans="1:29">
      <c r="A125" s="2" t="s">
        <v>642</v>
      </c>
      <c r="B125" s="2" t="s">
        <v>1962</v>
      </c>
      <c r="C125" s="2" t="s">
        <v>1961</v>
      </c>
      <c r="G125" s="10" t="s">
        <v>24</v>
      </c>
      <c r="H125" s="10"/>
      <c r="I125" s="10">
        <v>1</v>
      </c>
      <c r="J125" s="10">
        <v>3</v>
      </c>
      <c r="K125" s="10" t="s">
        <v>2655</v>
      </c>
      <c r="L125" s="10" t="s">
        <v>2687</v>
      </c>
      <c r="M125" s="10"/>
      <c r="N125" s="11"/>
      <c r="O125" s="10"/>
      <c r="P125" s="10">
        <v>1701</v>
      </c>
      <c r="Q125" s="10"/>
      <c r="R125" s="10" t="s">
        <v>2834</v>
      </c>
      <c r="S125" s="10" t="s">
        <v>2834</v>
      </c>
      <c r="T125" s="10"/>
      <c r="U125" s="10"/>
      <c r="V125" s="10"/>
      <c r="W125" s="10"/>
      <c r="X125" s="10"/>
      <c r="Y125" s="10"/>
      <c r="Z125" s="10"/>
      <c r="AA125" s="10"/>
      <c r="AB125" s="10"/>
      <c r="AC125" s="10"/>
    </row>
    <row r="126" spans="1:29">
      <c r="A126" s="2" t="s">
        <v>648</v>
      </c>
      <c r="B126" s="2" t="s">
        <v>650</v>
      </c>
      <c r="C126" s="2" t="s">
        <v>649</v>
      </c>
      <c r="G126" s="10" t="s">
        <v>2688</v>
      </c>
      <c r="H126" s="10"/>
      <c r="I126" s="10"/>
      <c r="J126" s="10"/>
      <c r="K126" s="10"/>
      <c r="L126" s="10"/>
      <c r="M126" s="10"/>
      <c r="N126" s="11"/>
      <c r="O126" s="10"/>
      <c r="P126" s="10"/>
      <c r="Q126" s="10"/>
      <c r="R126" s="10" t="s">
        <v>2834</v>
      </c>
      <c r="S126" s="10" t="s">
        <v>2834</v>
      </c>
      <c r="T126" s="10"/>
      <c r="U126" s="10"/>
      <c r="V126" s="10"/>
      <c r="W126" s="10"/>
      <c r="X126" s="10"/>
      <c r="Y126" s="10"/>
      <c r="Z126" s="10"/>
      <c r="AA126" s="10"/>
      <c r="AB126" s="10"/>
      <c r="AC126" s="10"/>
    </row>
    <row r="127" spans="1:29" ht="29">
      <c r="A127" s="2" t="s">
        <v>664</v>
      </c>
      <c r="B127" s="2" t="s">
        <v>1975</v>
      </c>
      <c r="C127" s="2" t="s">
        <v>1976</v>
      </c>
      <c r="F127" t="s">
        <v>19</v>
      </c>
      <c r="G127" s="10" t="s">
        <v>2686</v>
      </c>
      <c r="H127" s="10"/>
      <c r="I127" s="10"/>
      <c r="J127" s="10"/>
      <c r="K127" s="10"/>
      <c r="L127" s="10"/>
      <c r="M127" s="10"/>
      <c r="N127" s="11"/>
      <c r="O127" s="10"/>
      <c r="P127" s="10"/>
      <c r="Q127" s="10">
        <v>-274</v>
      </c>
      <c r="R127" s="10">
        <v>280</v>
      </c>
      <c r="S127" s="10">
        <v>6</v>
      </c>
      <c r="T127" s="10"/>
      <c r="U127" s="10"/>
      <c r="V127" s="10"/>
      <c r="W127" s="10"/>
      <c r="X127" s="10"/>
      <c r="Y127" s="10"/>
      <c r="Z127" s="10"/>
      <c r="AA127" s="10"/>
      <c r="AB127" s="10"/>
      <c r="AC127" s="10"/>
    </row>
    <row r="128" spans="1:29">
      <c r="A128" s="2" t="s">
        <v>665</v>
      </c>
      <c r="B128" s="2" t="s">
        <v>1979</v>
      </c>
      <c r="C128" s="2" t="s">
        <v>1980</v>
      </c>
      <c r="F128" t="s">
        <v>19</v>
      </c>
      <c r="G128" s="10" t="s">
        <v>2686</v>
      </c>
      <c r="H128" s="10"/>
      <c r="I128" s="10"/>
      <c r="J128" s="10"/>
      <c r="K128" s="10"/>
      <c r="L128" s="10"/>
      <c r="M128" s="10"/>
      <c r="N128" s="11"/>
      <c r="O128" s="10"/>
      <c r="P128" s="10"/>
      <c r="Q128" s="10">
        <v>-431</v>
      </c>
      <c r="R128" s="10">
        <v>743</v>
      </c>
      <c r="S128" s="10">
        <v>312</v>
      </c>
      <c r="T128" s="10"/>
      <c r="U128" s="10"/>
      <c r="V128" s="10"/>
      <c r="W128" s="10"/>
      <c r="X128" s="10"/>
      <c r="Y128" s="10"/>
      <c r="Z128" s="10"/>
      <c r="AA128" s="10"/>
      <c r="AB128" s="10"/>
      <c r="AC128" s="10"/>
    </row>
    <row r="129" spans="1:29">
      <c r="A129" s="2" t="s">
        <v>665</v>
      </c>
      <c r="B129" s="2" t="s">
        <v>252</v>
      </c>
      <c r="C129" s="2" t="s">
        <v>253</v>
      </c>
      <c r="F129" t="s">
        <v>19</v>
      </c>
      <c r="G129" s="10" t="s">
        <v>2686</v>
      </c>
      <c r="H129" s="10"/>
      <c r="I129" s="10"/>
      <c r="J129" s="10"/>
      <c r="K129" s="10"/>
      <c r="L129" s="10"/>
      <c r="M129" s="10"/>
      <c r="N129" s="11"/>
      <c r="O129" s="10"/>
      <c r="P129" s="10"/>
      <c r="Q129" s="10">
        <v>-2</v>
      </c>
      <c r="R129" s="10">
        <v>2</v>
      </c>
      <c r="S129" s="10">
        <v>0</v>
      </c>
      <c r="T129" s="10"/>
      <c r="U129" s="10"/>
      <c r="V129" s="10"/>
      <c r="W129" s="10"/>
      <c r="X129" s="10"/>
      <c r="Y129" s="10"/>
      <c r="Z129" s="10"/>
      <c r="AA129" s="10"/>
      <c r="AB129" s="10"/>
      <c r="AC129" s="10"/>
    </row>
    <row r="130" spans="1:29">
      <c r="A130" s="2" t="s">
        <v>666</v>
      </c>
      <c r="B130" s="5" t="s">
        <v>1981</v>
      </c>
      <c r="C130" s="2" t="s">
        <v>1982</v>
      </c>
      <c r="G130" s="10" t="s">
        <v>2688</v>
      </c>
      <c r="H130" s="10"/>
      <c r="I130" s="10"/>
      <c r="J130" s="10"/>
      <c r="K130" s="10"/>
      <c r="L130" s="10"/>
      <c r="M130" s="10"/>
      <c r="N130" s="11"/>
      <c r="O130" s="10"/>
      <c r="P130" s="10"/>
      <c r="Q130" s="10"/>
      <c r="R130" s="10" t="s">
        <v>2834</v>
      </c>
      <c r="S130" s="10" t="s">
        <v>2834</v>
      </c>
      <c r="T130" s="10"/>
      <c r="U130" s="10"/>
      <c r="V130" s="10"/>
      <c r="W130" s="10"/>
      <c r="X130" s="10"/>
      <c r="Y130" s="10"/>
      <c r="Z130" s="10"/>
      <c r="AA130" s="10"/>
      <c r="AB130" s="10"/>
      <c r="AC130" s="10"/>
    </row>
    <row r="131" spans="1:29">
      <c r="A131" s="2" t="s">
        <v>673</v>
      </c>
      <c r="B131" s="2" t="s">
        <v>675</v>
      </c>
      <c r="C131" s="2" t="s">
        <v>674</v>
      </c>
      <c r="G131" s="10" t="s">
        <v>2688</v>
      </c>
      <c r="H131" s="10"/>
      <c r="I131" s="10"/>
      <c r="J131" s="10"/>
      <c r="K131" s="10"/>
      <c r="L131" s="10"/>
      <c r="M131" s="10"/>
      <c r="N131" s="11"/>
      <c r="O131" s="10"/>
      <c r="P131" s="10"/>
      <c r="Q131" s="10"/>
      <c r="R131" s="10" t="s">
        <v>2834</v>
      </c>
      <c r="S131" s="10" t="s">
        <v>2834</v>
      </c>
      <c r="T131" s="10"/>
      <c r="U131" s="10"/>
      <c r="V131" s="10"/>
      <c r="W131" s="10"/>
      <c r="X131" s="10"/>
      <c r="Y131" s="10"/>
      <c r="Z131" s="10"/>
      <c r="AA131" s="10"/>
      <c r="AB131" s="10"/>
      <c r="AC131" s="10"/>
    </row>
    <row r="132" spans="1:29">
      <c r="A132" s="2" t="s">
        <v>681</v>
      </c>
      <c r="B132" s="2" t="s">
        <v>1990</v>
      </c>
      <c r="C132" s="2" t="s">
        <v>1991</v>
      </c>
      <c r="F132" t="s">
        <v>19</v>
      </c>
      <c r="G132" s="10" t="s">
        <v>24</v>
      </c>
      <c r="H132" s="10"/>
      <c r="I132" s="10">
        <v>1</v>
      </c>
      <c r="J132" s="10">
        <v>4</v>
      </c>
      <c r="K132" s="10" t="s">
        <v>2655</v>
      </c>
      <c r="L132" s="10" t="s">
        <v>2647</v>
      </c>
      <c r="M132" s="10"/>
      <c r="N132" s="11"/>
      <c r="O132" s="10"/>
      <c r="P132" s="10">
        <v>1</v>
      </c>
      <c r="Q132" s="10"/>
      <c r="R132" s="10" t="s">
        <v>2834</v>
      </c>
      <c r="S132" s="10" t="s">
        <v>2834</v>
      </c>
      <c r="T132" s="10"/>
      <c r="U132" s="10"/>
      <c r="V132" s="10"/>
      <c r="W132" s="10"/>
      <c r="X132" s="10"/>
      <c r="Y132" s="10"/>
      <c r="Z132" s="10"/>
      <c r="AA132" s="10"/>
      <c r="AB132" s="10"/>
      <c r="AC132" s="10"/>
    </row>
    <row r="133" spans="1:29" ht="29">
      <c r="A133" s="2" t="s">
        <v>682</v>
      </c>
      <c r="B133" s="2" t="s">
        <v>1994</v>
      </c>
      <c r="C133" s="2" t="s">
        <v>1992</v>
      </c>
      <c r="G133" s="10" t="s">
        <v>25</v>
      </c>
      <c r="H133" s="10"/>
      <c r="I133" s="10">
        <v>1</v>
      </c>
      <c r="J133" s="10">
        <v>3</v>
      </c>
      <c r="K133" s="10" t="s">
        <v>2655</v>
      </c>
      <c r="L133" s="10" t="s">
        <v>2647</v>
      </c>
      <c r="M133" s="10"/>
      <c r="N133" s="11"/>
      <c r="O133" s="10"/>
      <c r="P133" s="10">
        <v>1701</v>
      </c>
      <c r="Q133" s="10"/>
      <c r="R133" s="10" t="s">
        <v>2834</v>
      </c>
      <c r="S133" s="10" t="s">
        <v>2834</v>
      </c>
      <c r="T133" s="10"/>
      <c r="U133" s="10"/>
      <c r="V133" s="10"/>
      <c r="W133" s="10"/>
      <c r="X133" s="10"/>
      <c r="Y133" s="10"/>
      <c r="Z133" s="10"/>
      <c r="AA133" s="10"/>
      <c r="AB133" s="10"/>
      <c r="AC133" s="10"/>
    </row>
    <row r="134" spans="1:29" ht="29">
      <c r="A134" s="2" t="s">
        <v>682</v>
      </c>
      <c r="B134" s="2" t="s">
        <v>1993</v>
      </c>
      <c r="C134" s="2" t="s">
        <v>1995</v>
      </c>
      <c r="G134" s="10" t="s">
        <v>24</v>
      </c>
      <c r="H134" s="10"/>
      <c r="I134" s="10">
        <v>1</v>
      </c>
      <c r="J134" s="10">
        <v>2</v>
      </c>
      <c r="K134" s="10" t="s">
        <v>2646</v>
      </c>
      <c r="L134" s="10" t="s">
        <v>2687</v>
      </c>
      <c r="M134" s="10"/>
      <c r="N134" s="11"/>
      <c r="O134" s="10"/>
      <c r="P134" s="10">
        <v>2475</v>
      </c>
      <c r="Q134" s="10"/>
      <c r="R134" s="10" t="s">
        <v>2834</v>
      </c>
      <c r="S134" s="10" t="s">
        <v>2834</v>
      </c>
      <c r="T134" s="10"/>
      <c r="U134" s="10"/>
      <c r="V134" s="10"/>
      <c r="W134" s="10"/>
      <c r="X134" s="10"/>
      <c r="Y134" s="10"/>
      <c r="Z134" s="10"/>
      <c r="AA134" s="10"/>
      <c r="AB134" s="10"/>
      <c r="AC134" s="10"/>
    </row>
    <row r="135" spans="1:29" ht="29">
      <c r="A135" s="2" t="s">
        <v>682</v>
      </c>
      <c r="B135" s="2" t="s">
        <v>1997</v>
      </c>
      <c r="C135" s="2" t="s">
        <v>1996</v>
      </c>
      <c r="G135" s="10" t="s">
        <v>24</v>
      </c>
      <c r="H135" s="10"/>
      <c r="I135" s="10">
        <v>2</v>
      </c>
      <c r="J135" s="10">
        <v>7</v>
      </c>
      <c r="K135" s="10"/>
      <c r="L135" s="10" t="s">
        <v>2647</v>
      </c>
      <c r="M135" s="10"/>
      <c r="N135" s="11"/>
      <c r="O135" s="10"/>
      <c r="P135" s="10">
        <v>132</v>
      </c>
      <c r="Q135" s="10"/>
      <c r="R135" s="10" t="s">
        <v>2834</v>
      </c>
      <c r="S135" s="10" t="s">
        <v>2834</v>
      </c>
      <c r="T135" s="10"/>
      <c r="U135" s="10"/>
      <c r="V135" s="10"/>
      <c r="W135" s="10"/>
      <c r="X135" s="10"/>
      <c r="Y135" s="10"/>
      <c r="Z135" s="10"/>
      <c r="AA135" s="10"/>
      <c r="AB135" s="10"/>
      <c r="AC135" s="10"/>
    </row>
    <row r="136" spans="1:29">
      <c r="A136" s="2" t="s">
        <v>686</v>
      </c>
      <c r="B136" s="2" t="s">
        <v>688</v>
      </c>
      <c r="C136" s="2" t="s">
        <v>687</v>
      </c>
      <c r="G136" s="10" t="s">
        <v>2688</v>
      </c>
      <c r="H136" s="10"/>
      <c r="I136" s="10"/>
      <c r="J136" s="10"/>
      <c r="K136" s="10"/>
      <c r="L136" s="10"/>
      <c r="M136" s="10"/>
      <c r="N136" s="11"/>
      <c r="O136" s="10"/>
      <c r="P136" s="10"/>
      <c r="Q136" s="10"/>
      <c r="R136" s="10" t="s">
        <v>2834</v>
      </c>
      <c r="S136" s="10" t="s">
        <v>2834</v>
      </c>
      <c r="T136" s="10"/>
      <c r="U136" s="10"/>
      <c r="V136" s="10"/>
      <c r="W136" s="10"/>
      <c r="X136" s="10"/>
      <c r="Y136" s="10"/>
      <c r="Z136" s="10"/>
      <c r="AA136" s="10"/>
      <c r="AB136" s="10"/>
      <c r="AC136" s="10"/>
    </row>
    <row r="137" spans="1:29">
      <c r="A137" s="2" t="s">
        <v>693</v>
      </c>
      <c r="B137" s="2" t="s">
        <v>2002</v>
      </c>
      <c r="C137" s="2" t="s">
        <v>2001</v>
      </c>
      <c r="G137" s="10" t="s">
        <v>24</v>
      </c>
      <c r="H137" s="10"/>
      <c r="I137" s="10">
        <v>1</v>
      </c>
      <c r="J137" s="10">
        <v>3</v>
      </c>
      <c r="K137" s="10" t="s">
        <v>2646</v>
      </c>
      <c r="L137" s="10" t="s">
        <v>2647</v>
      </c>
      <c r="M137" s="10"/>
      <c r="N137" s="11"/>
      <c r="O137" s="10"/>
      <c r="P137" s="10">
        <v>2475</v>
      </c>
      <c r="Q137" s="10"/>
      <c r="R137" s="10" t="s">
        <v>2834</v>
      </c>
      <c r="S137" s="10" t="s">
        <v>2834</v>
      </c>
      <c r="T137" s="10"/>
      <c r="U137" s="10"/>
      <c r="V137" s="10"/>
      <c r="W137" s="10"/>
      <c r="X137" s="10"/>
      <c r="Y137" s="10"/>
      <c r="Z137" s="10"/>
      <c r="AA137" s="10"/>
      <c r="AB137" s="10"/>
      <c r="AC137" s="10"/>
    </row>
    <row r="138" spans="1:29">
      <c r="A138" s="2" t="s">
        <v>694</v>
      </c>
      <c r="B138" s="2" t="s">
        <v>2003</v>
      </c>
      <c r="C138" s="2" t="s">
        <v>2004</v>
      </c>
      <c r="G138" s="10" t="s">
        <v>2686</v>
      </c>
      <c r="H138" s="10"/>
      <c r="I138" s="10"/>
      <c r="J138" s="10"/>
      <c r="K138" s="10"/>
      <c r="L138" s="10"/>
      <c r="M138" s="10"/>
      <c r="N138" s="11"/>
      <c r="O138" s="10"/>
      <c r="P138" s="10"/>
      <c r="Q138" s="10">
        <v>249</v>
      </c>
      <c r="R138" s="10">
        <v>31</v>
      </c>
      <c r="S138" s="10">
        <v>280</v>
      </c>
      <c r="T138" s="10"/>
      <c r="U138" s="10"/>
      <c r="V138" s="10"/>
      <c r="W138" s="10"/>
      <c r="X138" s="10"/>
      <c r="Y138" s="10"/>
      <c r="Z138" s="10"/>
      <c r="AA138" s="10"/>
      <c r="AB138" s="10"/>
      <c r="AC138" s="10"/>
    </row>
    <row r="139" spans="1:29">
      <c r="A139" s="2" t="s">
        <v>695</v>
      </c>
      <c r="B139" s="2" t="s">
        <v>2005</v>
      </c>
      <c r="C139" s="2" t="s">
        <v>2006</v>
      </c>
      <c r="F139" t="s">
        <v>19</v>
      </c>
      <c r="G139" s="10" t="s">
        <v>2688</v>
      </c>
      <c r="H139" s="10"/>
      <c r="I139" s="10"/>
      <c r="J139" s="10"/>
      <c r="K139" s="10"/>
      <c r="L139" s="10"/>
      <c r="M139" s="10"/>
      <c r="N139" s="11"/>
      <c r="O139" s="10"/>
      <c r="P139" s="10"/>
      <c r="Q139" s="10"/>
      <c r="R139" s="10" t="s">
        <v>2834</v>
      </c>
      <c r="S139" s="10" t="s">
        <v>2834</v>
      </c>
      <c r="T139" s="10"/>
      <c r="U139" s="10"/>
      <c r="V139" s="10"/>
      <c r="W139" s="10"/>
      <c r="X139" s="10"/>
      <c r="Y139" s="10"/>
      <c r="Z139" s="10"/>
      <c r="AA139" s="10"/>
      <c r="AB139" s="10"/>
      <c r="AC139" s="10"/>
    </row>
    <row r="140" spans="1:29">
      <c r="A140" s="2" t="s">
        <v>707</v>
      </c>
      <c r="B140" s="2" t="s">
        <v>2011</v>
      </c>
      <c r="C140" s="2" t="s">
        <v>2012</v>
      </c>
      <c r="F140" t="s">
        <v>19</v>
      </c>
      <c r="G140" s="10" t="s">
        <v>2686</v>
      </c>
      <c r="H140" s="10"/>
      <c r="I140" s="10"/>
      <c r="J140" s="10"/>
      <c r="K140" s="10"/>
      <c r="L140" s="10"/>
      <c r="M140" s="10"/>
      <c r="N140" s="11"/>
      <c r="O140" s="10"/>
      <c r="P140" s="10"/>
      <c r="Q140" s="10">
        <v>2376</v>
      </c>
      <c r="R140" s="10">
        <v>99</v>
      </c>
      <c r="S140" s="10">
        <v>2475</v>
      </c>
      <c r="T140" s="10"/>
      <c r="U140" s="10"/>
      <c r="V140" s="10"/>
      <c r="W140" s="10"/>
      <c r="X140" s="10"/>
      <c r="Y140" s="10"/>
      <c r="Z140" s="10"/>
      <c r="AA140" s="10"/>
      <c r="AB140" s="10"/>
      <c r="AC140" s="10"/>
    </row>
    <row r="141" spans="1:29">
      <c r="A141" s="2" t="s">
        <v>708</v>
      </c>
      <c r="B141" s="13" t="s">
        <v>825</v>
      </c>
      <c r="C141" s="2" t="s">
        <v>709</v>
      </c>
      <c r="F141" t="s">
        <v>19</v>
      </c>
      <c r="G141" s="10" t="s">
        <v>2686</v>
      </c>
      <c r="H141" s="10"/>
      <c r="I141" s="10"/>
      <c r="J141" s="10"/>
      <c r="K141" s="10"/>
      <c r="L141" s="10"/>
      <c r="M141" s="10"/>
      <c r="N141" s="11"/>
      <c r="O141" s="10"/>
      <c r="P141" s="10"/>
      <c r="Q141" s="10">
        <v>-11</v>
      </c>
      <c r="R141" s="10">
        <v>11</v>
      </c>
      <c r="S141" s="10">
        <v>0</v>
      </c>
      <c r="T141" s="10"/>
      <c r="U141" s="10"/>
      <c r="V141" s="10"/>
      <c r="W141" s="10"/>
      <c r="X141" s="10"/>
      <c r="Y141" s="10"/>
      <c r="Z141" s="10"/>
      <c r="AA141" s="10"/>
      <c r="AB141" s="10"/>
      <c r="AC141" s="10"/>
    </row>
    <row r="142" spans="1:29">
      <c r="A142" s="2" t="s">
        <v>712</v>
      </c>
      <c r="B142" s="2" t="s">
        <v>2022</v>
      </c>
      <c r="C142" s="2" t="s">
        <v>713</v>
      </c>
      <c r="G142" s="10" t="s">
        <v>2688</v>
      </c>
      <c r="H142" s="10"/>
      <c r="I142" s="10"/>
      <c r="J142" s="10"/>
      <c r="K142" s="10"/>
      <c r="L142" s="10"/>
      <c r="M142" s="10"/>
      <c r="N142" s="11"/>
      <c r="O142" s="10"/>
      <c r="P142" s="10"/>
      <c r="Q142" s="10">
        <v>-6</v>
      </c>
      <c r="R142" s="10">
        <v>6</v>
      </c>
      <c r="S142" s="10">
        <v>0</v>
      </c>
      <c r="T142" s="10"/>
      <c r="U142" s="10"/>
      <c r="V142" s="10"/>
      <c r="W142" s="10"/>
      <c r="X142" s="10"/>
      <c r="Y142" s="10"/>
      <c r="Z142" s="10"/>
      <c r="AA142" s="10"/>
      <c r="AB142" s="10"/>
      <c r="AC142" s="10"/>
    </row>
    <row r="143" spans="1:29" ht="87">
      <c r="A143" s="2" t="s">
        <v>716</v>
      </c>
      <c r="B143" s="2" t="s">
        <v>2024</v>
      </c>
      <c r="C143" s="2" t="s">
        <v>2023</v>
      </c>
      <c r="G143" s="10" t="s">
        <v>25</v>
      </c>
      <c r="H143" s="10"/>
      <c r="I143" s="10">
        <v>13</v>
      </c>
      <c r="J143" s="10">
        <v>61</v>
      </c>
      <c r="K143" s="10"/>
      <c r="L143" s="10" t="s">
        <v>2641</v>
      </c>
      <c r="M143" s="10" t="s">
        <v>2724</v>
      </c>
      <c r="N143" s="11" t="s">
        <v>2725</v>
      </c>
      <c r="O143" s="10"/>
      <c r="P143" s="10">
        <v>1</v>
      </c>
      <c r="Q143" s="10"/>
      <c r="R143" s="10" t="s">
        <v>2834</v>
      </c>
      <c r="S143" s="10" t="s">
        <v>2834</v>
      </c>
      <c r="T143" s="10"/>
      <c r="U143" s="10"/>
      <c r="V143" s="10"/>
      <c r="W143" s="10"/>
      <c r="X143" s="10"/>
      <c r="Y143" s="10"/>
      <c r="Z143" s="10"/>
      <c r="AA143" s="10"/>
      <c r="AB143" s="10"/>
      <c r="AC143" s="10"/>
    </row>
    <row r="144" spans="1:29" ht="29">
      <c r="A144" s="2" t="s">
        <v>725</v>
      </c>
      <c r="B144" s="2" t="s">
        <v>2028</v>
      </c>
      <c r="C144" s="2" t="s">
        <v>2027</v>
      </c>
      <c r="F144" t="s">
        <v>19</v>
      </c>
      <c r="G144" s="10" t="s">
        <v>24</v>
      </c>
      <c r="H144" s="10"/>
      <c r="I144" s="10">
        <v>1</v>
      </c>
      <c r="J144" s="10">
        <v>3</v>
      </c>
      <c r="K144" s="10" t="s">
        <v>2655</v>
      </c>
      <c r="L144" s="10" t="s">
        <v>2647</v>
      </c>
      <c r="M144" s="10"/>
      <c r="N144" s="11"/>
      <c r="O144" s="10"/>
      <c r="P144" s="10">
        <v>1701</v>
      </c>
      <c r="Q144" s="10"/>
      <c r="R144" s="10" t="s">
        <v>2834</v>
      </c>
      <c r="S144" s="10" t="s">
        <v>2834</v>
      </c>
      <c r="T144" s="10"/>
      <c r="U144" s="10"/>
      <c r="V144" s="10"/>
      <c r="W144" s="10"/>
      <c r="X144" s="10"/>
      <c r="Y144" s="10"/>
      <c r="Z144" s="10"/>
      <c r="AA144" s="10"/>
      <c r="AB144" s="10"/>
      <c r="AC144" s="10"/>
    </row>
    <row r="145" spans="1:29" ht="29">
      <c r="A145" s="2" t="s">
        <v>728</v>
      </c>
      <c r="B145" s="2" t="s">
        <v>731</v>
      </c>
      <c r="C145" s="2" t="s">
        <v>730</v>
      </c>
      <c r="G145" s="10" t="s">
        <v>2688</v>
      </c>
      <c r="H145" s="10"/>
      <c r="I145" s="10"/>
      <c r="J145" s="10"/>
      <c r="K145" s="10"/>
      <c r="L145" s="10"/>
      <c r="M145" s="10"/>
      <c r="N145" s="11"/>
      <c r="O145" s="10"/>
      <c r="P145" s="10"/>
      <c r="Q145" s="10"/>
      <c r="R145" s="10" t="s">
        <v>2834</v>
      </c>
      <c r="S145" s="10" t="s">
        <v>2834</v>
      </c>
      <c r="T145" s="10"/>
      <c r="U145" s="10"/>
      <c r="V145" s="10"/>
      <c r="W145" s="10"/>
      <c r="X145" s="10"/>
      <c r="Y145" s="10"/>
      <c r="Z145" s="10"/>
      <c r="AA145" s="10"/>
      <c r="AB145" s="10"/>
      <c r="AC145" s="10"/>
    </row>
    <row r="146" spans="1:29">
      <c r="A146" s="2" t="s">
        <v>732</v>
      </c>
      <c r="B146" s="2" t="s">
        <v>2036</v>
      </c>
      <c r="C146" s="2" t="s">
        <v>2035</v>
      </c>
      <c r="F146" t="s">
        <v>19</v>
      </c>
      <c r="G146" s="10" t="s">
        <v>2686</v>
      </c>
      <c r="H146" s="10"/>
      <c r="I146" s="10"/>
      <c r="J146" s="10"/>
      <c r="K146" s="10"/>
      <c r="L146" s="10"/>
      <c r="M146" s="10"/>
      <c r="N146" s="11"/>
      <c r="O146" s="10"/>
      <c r="P146" s="10"/>
      <c r="Q146" s="10">
        <v>431</v>
      </c>
      <c r="R146" s="10">
        <v>312</v>
      </c>
      <c r="S146" s="10">
        <v>743</v>
      </c>
      <c r="T146" s="10"/>
      <c r="U146" s="10"/>
      <c r="V146" s="10"/>
      <c r="W146" s="10"/>
      <c r="X146" s="10"/>
      <c r="Y146" s="10"/>
      <c r="Z146" s="10"/>
      <c r="AA146" s="10"/>
      <c r="AB146" s="10"/>
      <c r="AC146" s="10"/>
    </row>
    <row r="147" spans="1:29">
      <c r="A147" s="2" t="s">
        <v>732</v>
      </c>
      <c r="B147" s="2" t="s">
        <v>2037</v>
      </c>
      <c r="C147" s="2" t="s">
        <v>2038</v>
      </c>
      <c r="F147" t="s">
        <v>19</v>
      </c>
      <c r="G147" s="10" t="s">
        <v>25</v>
      </c>
      <c r="H147" s="10"/>
      <c r="I147" s="10">
        <v>1</v>
      </c>
      <c r="J147" s="10">
        <v>3</v>
      </c>
      <c r="K147" s="10" t="s">
        <v>2655</v>
      </c>
      <c r="L147" s="10" t="s">
        <v>2647</v>
      </c>
      <c r="M147" s="10"/>
      <c r="N147" s="11"/>
      <c r="O147" s="10"/>
      <c r="P147" s="10">
        <v>1701</v>
      </c>
      <c r="Q147" s="10"/>
      <c r="R147" s="10" t="s">
        <v>2834</v>
      </c>
      <c r="S147" s="10" t="s">
        <v>2834</v>
      </c>
      <c r="T147" s="10"/>
      <c r="U147" s="10"/>
      <c r="V147" s="10"/>
      <c r="W147" s="10"/>
      <c r="X147" s="10"/>
      <c r="Y147" s="10"/>
      <c r="Z147" s="10"/>
      <c r="AA147" s="10"/>
      <c r="AB147" s="10"/>
      <c r="AC147" s="10"/>
    </row>
    <row r="148" spans="1:29">
      <c r="A148" s="2" t="s">
        <v>735</v>
      </c>
      <c r="B148" s="13" t="s">
        <v>2043</v>
      </c>
      <c r="C148" t="s">
        <v>2044</v>
      </c>
      <c r="F148" t="s">
        <v>19</v>
      </c>
      <c r="G148" s="10" t="s">
        <v>2686</v>
      </c>
      <c r="H148" s="10"/>
      <c r="I148" s="10"/>
      <c r="J148" s="10"/>
      <c r="K148" s="10"/>
      <c r="L148" s="10"/>
      <c r="M148" s="10"/>
      <c r="N148" s="11"/>
      <c r="O148" s="10"/>
      <c r="P148" s="10"/>
      <c r="Q148" s="10">
        <v>2400</v>
      </c>
      <c r="R148" s="10">
        <v>75</v>
      </c>
      <c r="S148" s="10">
        <v>2475</v>
      </c>
      <c r="T148" s="10"/>
      <c r="U148" s="10"/>
      <c r="V148" s="10"/>
      <c r="W148" s="10"/>
      <c r="X148" s="10"/>
      <c r="Y148" s="10"/>
      <c r="Z148" s="10"/>
      <c r="AA148" s="10"/>
      <c r="AB148" s="10"/>
      <c r="AC148" s="10"/>
    </row>
    <row r="149" spans="1:29">
      <c r="A149" s="2" t="s">
        <v>736</v>
      </c>
      <c r="B149" s="2" t="s">
        <v>738</v>
      </c>
      <c r="C149" s="2" t="s">
        <v>737</v>
      </c>
      <c r="G149" s="10" t="s">
        <v>2688</v>
      </c>
      <c r="H149" s="10"/>
      <c r="I149" s="10"/>
      <c r="J149" s="10"/>
      <c r="K149" s="10"/>
      <c r="L149" s="10"/>
      <c r="M149" s="10"/>
      <c r="N149" s="11"/>
      <c r="O149" s="10"/>
      <c r="P149" s="10"/>
      <c r="Q149" s="10"/>
      <c r="R149" s="10" t="s">
        <v>2834</v>
      </c>
      <c r="S149" s="10" t="s">
        <v>2834</v>
      </c>
      <c r="T149" s="10"/>
      <c r="U149" s="10"/>
      <c r="V149" s="10"/>
      <c r="W149" s="10"/>
      <c r="X149" s="10"/>
      <c r="Y149" s="10"/>
      <c r="Z149" s="10"/>
      <c r="AA149" s="10"/>
      <c r="AB149" s="10"/>
      <c r="AC149" s="10"/>
    </row>
    <row r="150" spans="1:29">
      <c r="A150" s="2" t="s">
        <v>739</v>
      </c>
      <c r="B150" s="2" t="s">
        <v>2045</v>
      </c>
      <c r="C150" s="2" t="s">
        <v>2046</v>
      </c>
      <c r="F150" t="s">
        <v>19</v>
      </c>
      <c r="G150" s="10" t="s">
        <v>2686</v>
      </c>
      <c r="H150" s="10"/>
      <c r="I150" s="10"/>
      <c r="J150" s="10"/>
      <c r="K150" s="10"/>
      <c r="L150" s="10"/>
      <c r="M150" s="10"/>
      <c r="N150" s="11"/>
      <c r="O150" s="10"/>
      <c r="P150" s="10"/>
      <c r="Q150" s="10">
        <v>249</v>
      </c>
      <c r="R150" s="10">
        <v>31</v>
      </c>
      <c r="S150" s="10">
        <v>280</v>
      </c>
      <c r="T150" s="10"/>
      <c r="U150" s="10"/>
      <c r="V150" s="10"/>
      <c r="W150" s="10"/>
      <c r="X150" s="10"/>
      <c r="Y150" s="10"/>
      <c r="Z150" s="10"/>
      <c r="AA150" s="10"/>
      <c r="AB150" s="10"/>
      <c r="AC150" s="10"/>
    </row>
    <row r="151" spans="1:29" ht="29">
      <c r="A151" s="2" t="s">
        <v>751</v>
      </c>
      <c r="B151" s="2" t="s">
        <v>2054</v>
      </c>
      <c r="C151" s="2" t="s">
        <v>2055</v>
      </c>
      <c r="G151" s="10" t="s">
        <v>2688</v>
      </c>
      <c r="H151" s="10"/>
      <c r="I151" s="10"/>
      <c r="J151" s="10"/>
      <c r="K151" s="10"/>
      <c r="L151" s="10"/>
      <c r="M151" s="10"/>
      <c r="N151" s="11"/>
      <c r="O151" s="10"/>
      <c r="P151" s="10"/>
      <c r="Q151" s="10"/>
      <c r="R151" s="10" t="s">
        <v>2834</v>
      </c>
      <c r="S151" s="10" t="s">
        <v>2834</v>
      </c>
      <c r="T151" s="10"/>
      <c r="U151" s="10"/>
      <c r="V151" s="10"/>
      <c r="W151" s="10"/>
      <c r="X151" s="10"/>
      <c r="Y151" s="10"/>
      <c r="Z151" s="10"/>
      <c r="AA151" s="10"/>
      <c r="AB151" s="10"/>
      <c r="AC151" s="10"/>
    </row>
    <row r="152" spans="1:29" ht="29">
      <c r="A152" s="2" t="s">
        <v>751</v>
      </c>
      <c r="B152" s="2" t="s">
        <v>278</v>
      </c>
      <c r="C152" s="2" t="s">
        <v>279</v>
      </c>
      <c r="G152" s="10" t="s">
        <v>2686</v>
      </c>
      <c r="H152" s="10"/>
      <c r="I152" s="10"/>
      <c r="J152" s="10"/>
      <c r="K152" s="10"/>
      <c r="L152" s="10"/>
      <c r="M152" s="10"/>
      <c r="N152" s="11"/>
      <c r="O152" s="10"/>
      <c r="P152" s="10"/>
      <c r="Q152" s="10">
        <v>-3</v>
      </c>
      <c r="R152" s="10">
        <v>10</v>
      </c>
      <c r="S152" s="10">
        <v>7</v>
      </c>
      <c r="T152" s="10"/>
      <c r="U152" s="10"/>
      <c r="V152" s="10"/>
      <c r="W152" s="10"/>
      <c r="X152" s="10"/>
      <c r="Y152" s="10"/>
      <c r="Z152" s="10"/>
      <c r="AA152" s="10"/>
      <c r="AB152" s="10"/>
      <c r="AC152" s="10"/>
    </row>
    <row r="153" spans="1:29" ht="29">
      <c r="A153" s="2" t="s">
        <v>756</v>
      </c>
      <c r="B153" s="2" t="s">
        <v>2058</v>
      </c>
      <c r="C153" s="2" t="s">
        <v>2057</v>
      </c>
      <c r="F153" t="s">
        <v>19</v>
      </c>
      <c r="G153" s="10" t="s">
        <v>2686</v>
      </c>
      <c r="H153" s="10"/>
      <c r="I153" s="10"/>
      <c r="J153" s="10"/>
      <c r="K153" s="10"/>
      <c r="L153" s="10"/>
      <c r="M153" s="10"/>
      <c r="N153" s="11"/>
      <c r="O153" s="10"/>
      <c r="P153" s="10"/>
      <c r="Q153" s="10">
        <v>-431</v>
      </c>
      <c r="R153" s="10">
        <v>743</v>
      </c>
      <c r="S153" s="10">
        <v>312</v>
      </c>
      <c r="T153" s="10"/>
      <c r="U153" s="10"/>
      <c r="V153" s="10"/>
      <c r="W153" s="10"/>
      <c r="X153" s="10"/>
      <c r="Y153" s="10"/>
      <c r="Z153" s="10"/>
      <c r="AA153" s="10"/>
      <c r="AB153" s="10"/>
      <c r="AC153" s="10"/>
    </row>
    <row r="154" spans="1:29">
      <c r="A154" s="2" t="s">
        <v>759</v>
      </c>
      <c r="B154" s="2" t="s">
        <v>2063</v>
      </c>
      <c r="C154" s="2" t="s">
        <v>2064</v>
      </c>
      <c r="F154" t="s">
        <v>19</v>
      </c>
      <c r="G154" s="10" t="s">
        <v>2686</v>
      </c>
      <c r="H154" s="10"/>
      <c r="I154" s="10"/>
      <c r="J154" s="10"/>
      <c r="K154" s="10"/>
      <c r="L154" s="10"/>
      <c r="M154" s="10"/>
      <c r="N154" s="11"/>
      <c r="O154" s="10"/>
      <c r="P154" s="10"/>
      <c r="Q154" s="10">
        <v>-78</v>
      </c>
      <c r="R154" s="10">
        <v>79</v>
      </c>
      <c r="S154" s="10">
        <v>1</v>
      </c>
      <c r="T154" s="10"/>
      <c r="U154" s="10"/>
      <c r="V154" s="10"/>
      <c r="W154" s="10"/>
      <c r="X154" s="10"/>
      <c r="Y154" s="10"/>
      <c r="Z154" s="10"/>
      <c r="AA154" s="10"/>
      <c r="AB154" s="10"/>
      <c r="AC154" s="10"/>
    </row>
    <row r="155" spans="1:29">
      <c r="A155" s="2" t="s">
        <v>763</v>
      </c>
      <c r="B155" s="2" t="s">
        <v>2066</v>
      </c>
      <c r="C155" s="2" t="s">
        <v>2065</v>
      </c>
      <c r="F155" t="s">
        <v>19</v>
      </c>
      <c r="G155" s="10" t="s">
        <v>2686</v>
      </c>
      <c r="H155" s="10"/>
      <c r="I155" s="10"/>
      <c r="J155" s="10"/>
      <c r="K155" s="10"/>
      <c r="L155" s="10"/>
      <c r="M155" s="10"/>
      <c r="N155" s="11"/>
      <c r="O155" s="10"/>
      <c r="P155" s="10"/>
      <c r="Q155" s="10">
        <v>19</v>
      </c>
      <c r="R155" s="10">
        <v>6</v>
      </c>
      <c r="S155" s="10">
        <v>25</v>
      </c>
      <c r="T155" s="10"/>
      <c r="U155" s="10"/>
      <c r="V155" s="10"/>
      <c r="W155" s="10"/>
      <c r="X155" s="10"/>
      <c r="Y155" s="10"/>
      <c r="Z155" s="10"/>
      <c r="AA155" s="10"/>
      <c r="AB155" s="10"/>
      <c r="AC155" s="10"/>
    </row>
    <row r="156" spans="1:29">
      <c r="A156" s="2" t="s">
        <v>763</v>
      </c>
      <c r="B156" s="13" t="s">
        <v>2067</v>
      </c>
      <c r="C156" s="2" t="s">
        <v>764</v>
      </c>
      <c r="G156" s="10" t="s">
        <v>2688</v>
      </c>
      <c r="H156" s="10"/>
      <c r="I156" s="10"/>
      <c r="J156" s="10"/>
      <c r="K156" s="10"/>
      <c r="L156" s="10"/>
      <c r="M156" s="10"/>
      <c r="N156" s="11"/>
      <c r="O156" s="10"/>
      <c r="P156" s="10"/>
      <c r="Q156" s="10"/>
      <c r="R156" s="10" t="s">
        <v>2834</v>
      </c>
      <c r="S156" s="10" t="s">
        <v>2834</v>
      </c>
      <c r="T156" s="10"/>
      <c r="U156" s="10"/>
      <c r="V156" s="10"/>
      <c r="W156" s="10"/>
      <c r="X156" s="10"/>
      <c r="Y156" s="10"/>
      <c r="Z156" s="10"/>
      <c r="AA156" s="10"/>
      <c r="AB156" s="10"/>
      <c r="AC156" s="10"/>
    </row>
    <row r="157" spans="1:29">
      <c r="A157" s="2" t="s">
        <v>768</v>
      </c>
      <c r="B157" s="2" t="s">
        <v>769</v>
      </c>
      <c r="C157" s="2" t="s">
        <v>554</v>
      </c>
      <c r="G157" s="10" t="s">
        <v>2688</v>
      </c>
      <c r="H157" s="10"/>
      <c r="I157" s="10"/>
      <c r="J157" s="10"/>
      <c r="K157" s="10"/>
      <c r="L157" s="10"/>
      <c r="M157" s="10"/>
      <c r="N157" s="11"/>
      <c r="O157" s="10"/>
      <c r="P157" s="10"/>
      <c r="Q157" s="10"/>
      <c r="R157" s="10" t="s">
        <v>2834</v>
      </c>
      <c r="S157" s="10" t="s">
        <v>2834</v>
      </c>
      <c r="T157" s="10"/>
      <c r="U157" s="10"/>
      <c r="V157" s="10"/>
      <c r="W157" s="10"/>
      <c r="X157" s="10"/>
      <c r="Y157" s="10"/>
      <c r="Z157" s="10"/>
      <c r="AA157" s="10"/>
      <c r="AB157" s="10"/>
      <c r="AC157" s="10"/>
    </row>
    <row r="158" spans="1:29">
      <c r="A158" s="2" t="s">
        <v>768</v>
      </c>
      <c r="B158" s="3" t="s">
        <v>771</v>
      </c>
      <c r="C158" s="2" t="s">
        <v>770</v>
      </c>
      <c r="D158" t="s">
        <v>31</v>
      </c>
      <c r="G158" s="10" t="s">
        <v>2688</v>
      </c>
      <c r="H158" s="10"/>
      <c r="I158" s="10"/>
      <c r="J158" s="10"/>
      <c r="K158" s="10"/>
      <c r="L158" s="10"/>
      <c r="M158" s="10"/>
      <c r="N158" s="11"/>
      <c r="O158" s="10"/>
      <c r="P158" s="10"/>
      <c r="Q158" s="10"/>
      <c r="R158" s="10" t="s">
        <v>2834</v>
      </c>
      <c r="S158" s="10" t="s">
        <v>2834</v>
      </c>
      <c r="T158" s="10"/>
      <c r="U158" s="10"/>
      <c r="V158" s="10"/>
      <c r="W158" s="10"/>
      <c r="X158" s="10"/>
      <c r="Y158" s="10"/>
      <c r="Z158" s="10"/>
      <c r="AA158" s="10"/>
      <c r="AB158" s="10"/>
      <c r="AC158" s="10"/>
    </row>
    <row r="159" spans="1:29">
      <c r="A159" s="2" t="s">
        <v>773</v>
      </c>
      <c r="B159" s="13" t="s">
        <v>2074</v>
      </c>
      <c r="C159" t="s">
        <v>2075</v>
      </c>
      <c r="F159" t="s">
        <v>19</v>
      </c>
      <c r="G159" s="10" t="s">
        <v>24</v>
      </c>
      <c r="H159" s="10"/>
      <c r="I159" s="10">
        <v>1</v>
      </c>
      <c r="J159" s="10">
        <v>1</v>
      </c>
      <c r="K159" s="10" t="s">
        <v>2646</v>
      </c>
      <c r="L159" s="10" t="s">
        <v>2687</v>
      </c>
      <c r="M159" s="10"/>
      <c r="N159" s="11"/>
      <c r="O159" s="10"/>
      <c r="P159" s="10">
        <v>2475</v>
      </c>
      <c r="Q159" s="10"/>
      <c r="R159" s="10" t="s">
        <v>2834</v>
      </c>
      <c r="S159" s="10" t="s">
        <v>2834</v>
      </c>
      <c r="T159" s="10"/>
      <c r="U159" s="10"/>
      <c r="V159" s="10"/>
      <c r="W159" s="10"/>
      <c r="X159" s="10"/>
      <c r="Y159" s="10"/>
      <c r="Z159" s="10"/>
      <c r="AA159" s="10"/>
      <c r="AB159" s="10"/>
      <c r="AC159" s="10"/>
    </row>
    <row r="160" spans="1:29">
      <c r="A160" s="2" t="s">
        <v>780</v>
      </c>
      <c r="B160" s="13" t="s">
        <v>2078</v>
      </c>
      <c r="C160" t="s">
        <v>2079</v>
      </c>
      <c r="F160" t="s">
        <v>19</v>
      </c>
      <c r="G160" s="10" t="s">
        <v>25</v>
      </c>
      <c r="H160" s="10"/>
      <c r="I160" s="10">
        <v>1</v>
      </c>
      <c r="J160" s="10">
        <v>3</v>
      </c>
      <c r="K160" s="10" t="s">
        <v>2646</v>
      </c>
      <c r="L160" s="10" t="s">
        <v>2687</v>
      </c>
      <c r="M160" s="10"/>
      <c r="N160" s="11"/>
      <c r="O160" s="10"/>
      <c r="P160" s="10">
        <v>2475</v>
      </c>
      <c r="Q160" s="10"/>
      <c r="R160" s="10" t="s">
        <v>2834</v>
      </c>
      <c r="S160" s="10" t="s">
        <v>2834</v>
      </c>
      <c r="T160" s="10" t="s">
        <v>4</v>
      </c>
      <c r="U160" s="10"/>
      <c r="V160" s="10"/>
      <c r="W160" s="10"/>
      <c r="X160" s="10"/>
      <c r="Y160" s="10"/>
      <c r="Z160" s="10"/>
      <c r="AA160" s="10"/>
      <c r="AB160" s="10"/>
      <c r="AC160" s="10"/>
    </row>
    <row r="161" spans="1:29">
      <c r="A161" s="2" t="s">
        <v>781</v>
      </c>
      <c r="B161" s="2" t="s">
        <v>2080</v>
      </c>
      <c r="C161" s="2" t="s">
        <v>2081</v>
      </c>
      <c r="F161" t="s">
        <v>19</v>
      </c>
      <c r="G161" s="10" t="s">
        <v>2688</v>
      </c>
      <c r="H161" s="10"/>
      <c r="I161" s="10"/>
      <c r="J161" s="10"/>
      <c r="K161" s="10"/>
      <c r="L161" s="10"/>
      <c r="M161" s="10"/>
      <c r="N161" s="11"/>
      <c r="O161" s="10"/>
      <c r="P161" s="10"/>
      <c r="Q161" s="10"/>
      <c r="R161" s="10" t="s">
        <v>2834</v>
      </c>
      <c r="S161" s="10" t="s">
        <v>2834</v>
      </c>
      <c r="T161" s="10"/>
      <c r="U161" s="10"/>
      <c r="V161" s="10"/>
      <c r="W161" s="10"/>
      <c r="X161" s="10"/>
      <c r="Y161" s="10"/>
      <c r="Z161" s="10"/>
      <c r="AA161" s="10"/>
      <c r="AB161" s="10"/>
      <c r="AC161" s="10"/>
    </row>
    <row r="162" spans="1:29">
      <c r="A162" s="2" t="s">
        <v>784</v>
      </c>
      <c r="B162" s="13" t="s">
        <v>1957</v>
      </c>
      <c r="C162" t="s">
        <v>1956</v>
      </c>
      <c r="G162" s="10" t="s">
        <v>2686</v>
      </c>
      <c r="H162" s="10"/>
      <c r="I162" s="10"/>
      <c r="J162" s="10"/>
      <c r="K162" s="10"/>
      <c r="L162" s="10"/>
      <c r="M162" s="10"/>
      <c r="N162" s="11"/>
      <c r="O162" s="10"/>
      <c r="P162" s="10"/>
      <c r="Q162" s="10">
        <v>249</v>
      </c>
      <c r="R162" s="10">
        <v>31</v>
      </c>
      <c r="S162" s="10">
        <v>280</v>
      </c>
      <c r="T162" s="10"/>
      <c r="U162" s="10"/>
      <c r="V162" s="10"/>
      <c r="W162" s="10"/>
      <c r="X162" s="10"/>
      <c r="Y162" s="10"/>
      <c r="Z162" s="10"/>
      <c r="AA162" s="10"/>
      <c r="AB162" s="10"/>
      <c r="AC162" s="10"/>
    </row>
    <row r="163" spans="1:29">
      <c r="A163" s="2" t="s">
        <v>785</v>
      </c>
      <c r="B163" s="2" t="s">
        <v>2083</v>
      </c>
      <c r="C163" s="2" t="s">
        <v>2084</v>
      </c>
      <c r="F163" t="s">
        <v>19</v>
      </c>
      <c r="G163" s="10" t="s">
        <v>2686</v>
      </c>
      <c r="H163" s="10"/>
      <c r="I163" s="10"/>
      <c r="J163" s="10"/>
      <c r="K163" s="10"/>
      <c r="L163" s="10"/>
      <c r="M163" s="10"/>
      <c r="N163" s="11"/>
      <c r="O163" s="10"/>
      <c r="P163" s="10"/>
      <c r="Q163" s="10">
        <v>1515</v>
      </c>
      <c r="R163" s="10">
        <v>186</v>
      </c>
      <c r="S163" s="10">
        <v>1701</v>
      </c>
      <c r="T163" s="10"/>
      <c r="U163" s="10"/>
      <c r="V163" s="10"/>
      <c r="W163" s="10"/>
      <c r="X163" s="10"/>
      <c r="Y163" s="10"/>
      <c r="Z163" s="10"/>
      <c r="AA163" s="10"/>
      <c r="AB163" s="10"/>
      <c r="AC163" s="10"/>
    </row>
    <row r="164" spans="1:29" ht="29">
      <c r="A164" s="2" t="s">
        <v>786</v>
      </c>
      <c r="B164" s="2" t="s">
        <v>2087</v>
      </c>
      <c r="C164" s="2" t="s">
        <v>2086</v>
      </c>
      <c r="F164" t="s">
        <v>19</v>
      </c>
      <c r="G164" s="10" t="s">
        <v>25</v>
      </c>
      <c r="H164" s="10"/>
      <c r="I164" s="10">
        <v>1</v>
      </c>
      <c r="J164" s="10">
        <v>5</v>
      </c>
      <c r="K164" s="10" t="s">
        <v>2693</v>
      </c>
      <c r="L164" s="10" t="s">
        <v>2641</v>
      </c>
      <c r="M164" s="10" t="s">
        <v>2704</v>
      </c>
      <c r="N164" s="11" t="s">
        <v>2705</v>
      </c>
      <c r="O164" s="10"/>
      <c r="P164" s="10">
        <v>116</v>
      </c>
      <c r="Q164" s="10"/>
      <c r="R164" s="10" t="s">
        <v>2834</v>
      </c>
      <c r="S164" s="10" t="s">
        <v>2834</v>
      </c>
      <c r="T164" s="10"/>
      <c r="U164" s="10"/>
      <c r="V164" s="10"/>
      <c r="W164" s="10"/>
      <c r="X164" s="10"/>
      <c r="Y164" s="10"/>
      <c r="Z164" s="10"/>
      <c r="AA164" s="10"/>
      <c r="AB164" s="10"/>
      <c r="AC164" s="10"/>
    </row>
    <row r="165" spans="1:29" ht="29">
      <c r="A165" s="2" t="s">
        <v>787</v>
      </c>
      <c r="B165" s="13" t="s">
        <v>2091</v>
      </c>
      <c r="C165" s="2" t="s">
        <v>2092</v>
      </c>
      <c r="G165" s="10" t="s">
        <v>2688</v>
      </c>
      <c r="H165" s="10"/>
      <c r="I165" s="10"/>
      <c r="J165" s="10"/>
      <c r="K165" s="10"/>
      <c r="L165" s="10"/>
      <c r="M165" s="10"/>
      <c r="N165" s="11"/>
      <c r="O165" s="10"/>
      <c r="P165" s="10"/>
      <c r="Q165" s="10"/>
      <c r="R165" s="10" t="s">
        <v>2834</v>
      </c>
      <c r="S165" s="10" t="s">
        <v>2834</v>
      </c>
      <c r="T165" s="10"/>
      <c r="U165" s="10"/>
      <c r="V165" s="10"/>
      <c r="W165" s="10"/>
      <c r="X165" s="10"/>
      <c r="Y165" s="10"/>
      <c r="Z165" s="10"/>
      <c r="AA165" s="10"/>
      <c r="AB165" s="10"/>
      <c r="AC165" s="10"/>
    </row>
    <row r="166" spans="1:29">
      <c r="A166" s="2" t="s">
        <v>789</v>
      </c>
      <c r="B166" s="2" t="s">
        <v>791</v>
      </c>
      <c r="C166" s="2" t="s">
        <v>790</v>
      </c>
      <c r="G166" s="10" t="s">
        <v>2686</v>
      </c>
      <c r="H166" s="10"/>
      <c r="I166" s="10"/>
      <c r="J166" s="10"/>
      <c r="K166" s="10"/>
      <c r="L166" s="10"/>
      <c r="M166" s="10"/>
      <c r="N166" s="11"/>
      <c r="O166" s="10"/>
      <c r="P166" s="10"/>
      <c r="Q166" s="10">
        <v>-4</v>
      </c>
      <c r="R166" s="10">
        <v>4</v>
      </c>
      <c r="S166" s="10">
        <v>0</v>
      </c>
      <c r="T166" s="10"/>
      <c r="U166" s="10"/>
      <c r="V166" s="10"/>
      <c r="W166" s="10"/>
      <c r="X166" s="10"/>
      <c r="Y166" s="10"/>
      <c r="Z166" s="10"/>
      <c r="AA166" s="10"/>
      <c r="AB166" s="10"/>
      <c r="AC166" s="10"/>
    </row>
    <row r="167" spans="1:29">
      <c r="A167" s="2" t="s">
        <v>789</v>
      </c>
      <c r="B167" s="2" t="s">
        <v>2098</v>
      </c>
      <c r="C167" s="2" t="s">
        <v>2099</v>
      </c>
      <c r="F167" t="s">
        <v>19</v>
      </c>
      <c r="G167" s="10" t="s">
        <v>25</v>
      </c>
      <c r="H167" s="10"/>
      <c r="I167" s="10">
        <v>1</v>
      </c>
      <c r="J167" s="10">
        <v>3</v>
      </c>
      <c r="K167" s="10" t="s">
        <v>2655</v>
      </c>
      <c r="L167" s="10" t="s">
        <v>2647</v>
      </c>
      <c r="M167" s="10"/>
      <c r="N167" s="11"/>
      <c r="O167" s="10"/>
      <c r="P167" s="10">
        <v>1701</v>
      </c>
      <c r="Q167" s="10"/>
      <c r="R167" s="10" t="s">
        <v>2834</v>
      </c>
      <c r="S167" s="10" t="s">
        <v>2834</v>
      </c>
      <c r="T167" s="10"/>
      <c r="U167" s="10"/>
      <c r="V167" s="10"/>
      <c r="W167" s="10"/>
      <c r="X167" s="10"/>
      <c r="Y167" s="10"/>
      <c r="Z167" s="10"/>
      <c r="AA167" s="10"/>
      <c r="AB167" s="10"/>
      <c r="AC167" s="10"/>
    </row>
    <row r="168" spans="1:29">
      <c r="A168" s="2" t="s">
        <v>795</v>
      </c>
      <c r="B168" s="2" t="s">
        <v>2100</v>
      </c>
      <c r="C168" s="2" t="s">
        <v>796</v>
      </c>
      <c r="F168" t="s">
        <v>19</v>
      </c>
      <c r="G168" s="10" t="s">
        <v>2688</v>
      </c>
      <c r="H168" s="10"/>
      <c r="I168" s="10"/>
      <c r="J168" s="10"/>
      <c r="K168" s="10"/>
      <c r="L168" s="10"/>
      <c r="M168" s="10"/>
      <c r="N168" s="11"/>
      <c r="O168" s="10"/>
      <c r="P168" s="10"/>
      <c r="Q168" s="10"/>
      <c r="R168" s="10" t="s">
        <v>2834</v>
      </c>
      <c r="S168" s="10" t="s">
        <v>2834</v>
      </c>
      <c r="T168" s="10"/>
      <c r="U168" s="10"/>
      <c r="V168" s="10"/>
      <c r="W168" s="10"/>
      <c r="X168" s="10"/>
      <c r="Y168" s="10"/>
      <c r="Z168" s="10"/>
      <c r="AA168" s="10"/>
      <c r="AB168" s="10"/>
      <c r="AC168" s="10"/>
    </row>
    <row r="169" spans="1:29" ht="29">
      <c r="A169" s="2" t="s">
        <v>806</v>
      </c>
      <c r="B169" s="2" t="s">
        <v>2109</v>
      </c>
      <c r="C169" s="2" t="s">
        <v>807</v>
      </c>
      <c r="F169" t="s">
        <v>19</v>
      </c>
      <c r="G169" s="10" t="s">
        <v>2688</v>
      </c>
      <c r="H169" s="10"/>
      <c r="I169" s="10"/>
      <c r="J169" s="10"/>
      <c r="K169" s="10"/>
      <c r="L169" s="10"/>
      <c r="M169" s="10"/>
      <c r="N169" s="11"/>
      <c r="O169" s="10"/>
      <c r="P169" s="10"/>
      <c r="Q169" s="10"/>
      <c r="R169" s="10" t="s">
        <v>2834</v>
      </c>
      <c r="S169" s="10" t="s">
        <v>2834</v>
      </c>
      <c r="T169" s="10"/>
      <c r="U169" s="10"/>
      <c r="V169" s="10"/>
      <c r="W169" s="10"/>
      <c r="X169" s="10"/>
      <c r="Y169" s="10"/>
      <c r="Z169" s="10"/>
      <c r="AA169" s="10"/>
      <c r="AB169" s="10"/>
      <c r="AC169" s="10"/>
    </row>
    <row r="170" spans="1:29" ht="29">
      <c r="A170" s="2" t="s">
        <v>806</v>
      </c>
      <c r="B170" s="2" t="s">
        <v>2110</v>
      </c>
      <c r="C170" s="2" t="s">
        <v>2111</v>
      </c>
      <c r="F170" t="s">
        <v>19</v>
      </c>
      <c r="G170" s="10" t="s">
        <v>24</v>
      </c>
      <c r="H170" s="10"/>
      <c r="I170" s="10">
        <v>1</v>
      </c>
      <c r="J170" s="10">
        <v>3</v>
      </c>
      <c r="K170" s="10" t="s">
        <v>2655</v>
      </c>
      <c r="L170" s="10" t="s">
        <v>2647</v>
      </c>
      <c r="M170" s="10"/>
      <c r="N170" s="11"/>
      <c r="O170" s="10"/>
      <c r="P170" s="10">
        <v>1701</v>
      </c>
      <c r="Q170" s="10"/>
      <c r="R170" s="10" t="s">
        <v>2834</v>
      </c>
      <c r="S170" s="10" t="s">
        <v>2834</v>
      </c>
      <c r="T170" s="10"/>
      <c r="U170" s="10"/>
      <c r="V170" s="10"/>
      <c r="W170" s="10"/>
      <c r="X170" s="10"/>
      <c r="Y170" s="10"/>
      <c r="Z170" s="10"/>
      <c r="AA170" s="10"/>
      <c r="AB170" s="10"/>
      <c r="AC170" s="10"/>
    </row>
    <row r="171" spans="1:29" ht="29">
      <c r="A171" s="2" t="s">
        <v>809</v>
      </c>
      <c r="B171" s="2" t="s">
        <v>2117</v>
      </c>
      <c r="C171" s="2" t="s">
        <v>2118</v>
      </c>
      <c r="F171" t="s">
        <v>19</v>
      </c>
      <c r="G171" s="10" t="s">
        <v>25</v>
      </c>
      <c r="H171" s="10"/>
      <c r="I171" s="10">
        <v>1</v>
      </c>
      <c r="J171" s="10">
        <v>7</v>
      </c>
      <c r="K171" s="10" t="s">
        <v>2693</v>
      </c>
      <c r="L171" s="10" t="s">
        <v>2647</v>
      </c>
      <c r="M171" s="10"/>
      <c r="N171" s="11"/>
      <c r="O171" s="10"/>
      <c r="P171" s="10">
        <v>17</v>
      </c>
      <c r="Q171" s="10"/>
      <c r="R171" s="10" t="s">
        <v>2834</v>
      </c>
      <c r="S171" s="10" t="s">
        <v>2834</v>
      </c>
      <c r="T171" s="10"/>
      <c r="U171" s="10"/>
      <c r="V171" s="10"/>
      <c r="W171" s="10"/>
      <c r="X171" s="10"/>
      <c r="Y171" s="10"/>
      <c r="Z171" s="10"/>
      <c r="AA171" s="10"/>
      <c r="AB171" s="10"/>
      <c r="AC171" s="10"/>
    </row>
    <row r="172" spans="1:29" ht="29">
      <c r="A172" s="2" t="s">
        <v>811</v>
      </c>
      <c r="B172" s="2" t="s">
        <v>2119</v>
      </c>
      <c r="C172" s="2" t="s">
        <v>2120</v>
      </c>
      <c r="F172" t="s">
        <v>19</v>
      </c>
      <c r="G172" s="10" t="s">
        <v>2686</v>
      </c>
      <c r="H172" s="10"/>
      <c r="I172" s="10"/>
      <c r="J172" s="10"/>
      <c r="K172" s="10"/>
      <c r="L172" s="10"/>
      <c r="M172" s="10"/>
      <c r="N172" s="11"/>
      <c r="O172" s="10"/>
      <c r="P172" s="10"/>
      <c r="Q172" s="10">
        <v>-812</v>
      </c>
      <c r="R172" s="10">
        <v>830</v>
      </c>
      <c r="S172" s="10">
        <v>18</v>
      </c>
      <c r="T172" s="10" t="s">
        <v>4</v>
      </c>
      <c r="U172" s="10"/>
      <c r="V172" s="10"/>
      <c r="W172" s="10"/>
      <c r="X172" s="10"/>
      <c r="Y172" s="10"/>
      <c r="Z172" s="10"/>
      <c r="AA172" s="10"/>
      <c r="AB172" s="10"/>
      <c r="AC172" s="10"/>
    </row>
    <row r="173" spans="1:29" ht="29">
      <c r="A173" s="2" t="s">
        <v>822</v>
      </c>
      <c r="B173" s="2" t="s">
        <v>2131</v>
      </c>
      <c r="C173" s="2" t="s">
        <v>2132</v>
      </c>
      <c r="F173" t="s">
        <v>19</v>
      </c>
      <c r="G173" s="10" t="s">
        <v>25</v>
      </c>
      <c r="H173" s="10"/>
      <c r="I173" s="10">
        <v>1</v>
      </c>
      <c r="J173" s="10">
        <v>2</v>
      </c>
      <c r="K173" s="10" t="s">
        <v>2662</v>
      </c>
      <c r="L173" s="10" t="s">
        <v>2687</v>
      </c>
      <c r="M173" s="10"/>
      <c r="N173" s="11"/>
      <c r="O173" s="10"/>
      <c r="P173" s="10">
        <v>743</v>
      </c>
      <c r="Q173" s="10"/>
      <c r="R173" s="10" t="s">
        <v>2834</v>
      </c>
      <c r="S173" s="10" t="s">
        <v>2834</v>
      </c>
      <c r="T173" s="10"/>
      <c r="U173" s="10"/>
      <c r="V173" s="10"/>
      <c r="W173" s="10"/>
      <c r="X173" s="10"/>
      <c r="Y173" s="10"/>
      <c r="Z173" s="10"/>
      <c r="AA173" s="10"/>
      <c r="AB173" s="10"/>
      <c r="AC173" s="10"/>
    </row>
    <row r="174" spans="1:29" ht="29">
      <c r="A174" s="2" t="s">
        <v>823</v>
      </c>
      <c r="B174" s="2" t="s">
        <v>2135</v>
      </c>
      <c r="C174" s="2" t="s">
        <v>2136</v>
      </c>
      <c r="F174" t="s">
        <v>19</v>
      </c>
      <c r="G174" s="10" t="s">
        <v>25</v>
      </c>
      <c r="H174" s="10"/>
      <c r="I174" s="10">
        <v>1</v>
      </c>
      <c r="J174" s="10">
        <v>5</v>
      </c>
      <c r="K174" s="10" t="s">
        <v>2640</v>
      </c>
      <c r="L174" s="10" t="s">
        <v>2647</v>
      </c>
      <c r="M174" s="10"/>
      <c r="N174" s="11"/>
      <c r="O174" s="10"/>
      <c r="P174" s="10">
        <v>4</v>
      </c>
      <c r="Q174" s="10"/>
      <c r="R174" s="10" t="s">
        <v>2834</v>
      </c>
      <c r="S174" s="10" t="s">
        <v>2834</v>
      </c>
      <c r="T174" s="10"/>
      <c r="U174" s="10"/>
      <c r="V174" s="10"/>
      <c r="W174" s="10"/>
      <c r="X174" s="10"/>
      <c r="Y174" s="10"/>
      <c r="Z174" s="10"/>
      <c r="AA174" s="10"/>
      <c r="AB174" s="10"/>
      <c r="AC174" s="10"/>
    </row>
    <row r="175" spans="1:29" ht="29">
      <c r="A175" s="2" t="s">
        <v>824</v>
      </c>
      <c r="B175" s="2" t="s">
        <v>2140</v>
      </c>
      <c r="C175" s="2" t="s">
        <v>826</v>
      </c>
      <c r="G175" s="10" t="s">
        <v>2686</v>
      </c>
      <c r="H175" s="10"/>
      <c r="I175" s="10"/>
      <c r="J175" s="10"/>
      <c r="K175" s="10"/>
      <c r="L175" s="10"/>
      <c r="M175" s="10"/>
      <c r="N175" s="11"/>
      <c r="O175" s="10"/>
      <c r="P175" s="10"/>
      <c r="Q175" s="10">
        <v>5</v>
      </c>
      <c r="R175" s="10">
        <v>0</v>
      </c>
      <c r="S175" s="10">
        <v>5</v>
      </c>
      <c r="T175" s="10"/>
      <c r="U175" s="10"/>
      <c r="V175" s="10"/>
      <c r="W175" s="10"/>
      <c r="X175" s="10"/>
      <c r="Y175" s="10"/>
      <c r="Z175" s="10"/>
      <c r="AA175" s="10"/>
      <c r="AB175" s="10"/>
      <c r="AC175" s="10"/>
    </row>
    <row r="176" spans="1:29" ht="29">
      <c r="A176" s="2" t="s">
        <v>827</v>
      </c>
      <c r="B176" s="2" t="s">
        <v>2144</v>
      </c>
      <c r="C176" s="2" t="s">
        <v>2143</v>
      </c>
      <c r="G176" s="10" t="s">
        <v>24</v>
      </c>
      <c r="H176" s="10"/>
      <c r="I176" s="10">
        <v>1</v>
      </c>
      <c r="J176" s="10">
        <v>2</v>
      </c>
      <c r="K176" s="10" t="s">
        <v>2664</v>
      </c>
      <c r="L176" s="10" t="s">
        <v>2687</v>
      </c>
      <c r="M176" s="10"/>
      <c r="N176" s="11"/>
      <c r="O176" s="10"/>
      <c r="P176" s="10">
        <v>613</v>
      </c>
      <c r="Q176" s="10"/>
      <c r="R176" s="10" t="s">
        <v>2834</v>
      </c>
      <c r="S176" s="10" t="s">
        <v>2834</v>
      </c>
      <c r="T176" s="10"/>
      <c r="U176" s="10"/>
      <c r="V176" s="10"/>
      <c r="W176" s="10"/>
      <c r="X176" s="10"/>
      <c r="Y176" s="10"/>
      <c r="Z176" s="10"/>
      <c r="AA176" s="10"/>
      <c r="AB176" s="10"/>
      <c r="AC176" s="10"/>
    </row>
    <row r="177" spans="1:29" ht="29">
      <c r="A177" s="2" t="s">
        <v>827</v>
      </c>
      <c r="B177" s="2" t="s">
        <v>2146</v>
      </c>
      <c r="C177" s="2" t="s">
        <v>2145</v>
      </c>
      <c r="G177" s="10" t="s">
        <v>24</v>
      </c>
      <c r="H177" s="10"/>
      <c r="I177" s="10">
        <v>1</v>
      </c>
      <c r="J177" s="10">
        <v>1</v>
      </c>
      <c r="K177" s="10" t="s">
        <v>2655</v>
      </c>
      <c r="L177" s="10" t="s">
        <v>2687</v>
      </c>
      <c r="M177" s="10"/>
      <c r="N177" s="11"/>
      <c r="O177" s="10"/>
      <c r="P177" s="10">
        <v>171</v>
      </c>
      <c r="Q177" s="10"/>
      <c r="R177" s="10" t="s">
        <v>2834</v>
      </c>
      <c r="S177" s="10" t="s">
        <v>2834</v>
      </c>
      <c r="T177" s="10"/>
      <c r="U177" s="10"/>
      <c r="V177" s="10"/>
      <c r="W177" s="10"/>
      <c r="X177" s="10"/>
      <c r="Y177" s="10"/>
      <c r="Z177" s="10"/>
      <c r="AA177" s="10"/>
      <c r="AB177" s="10"/>
      <c r="AC177" s="10"/>
    </row>
    <row r="178" spans="1:29" ht="29">
      <c r="A178" s="2" t="s">
        <v>827</v>
      </c>
      <c r="B178" s="2" t="s">
        <v>2147</v>
      </c>
      <c r="C178" s="2" t="s">
        <v>2148</v>
      </c>
      <c r="F178" t="s">
        <v>23</v>
      </c>
      <c r="G178" s="10" t="s">
        <v>2686</v>
      </c>
      <c r="H178" s="10"/>
      <c r="I178" s="10"/>
      <c r="J178" s="10"/>
      <c r="K178" s="10"/>
      <c r="L178" s="10"/>
      <c r="M178" s="10"/>
      <c r="N178" s="11"/>
      <c r="O178" s="10"/>
      <c r="P178" s="10"/>
      <c r="Q178" s="10">
        <v>10</v>
      </c>
      <c r="R178" s="10">
        <v>10</v>
      </c>
      <c r="S178" s="10">
        <v>20</v>
      </c>
      <c r="T178" s="10"/>
      <c r="U178" s="10"/>
      <c r="V178" s="10"/>
      <c r="W178" s="10"/>
      <c r="X178" s="10"/>
      <c r="Y178" s="10"/>
      <c r="Z178" s="10"/>
      <c r="AA178" s="10"/>
      <c r="AB178" s="10"/>
      <c r="AC178" s="10"/>
    </row>
    <row r="179" spans="1:29" ht="29">
      <c r="A179" s="2" t="s">
        <v>832</v>
      </c>
      <c r="B179" s="2" t="s">
        <v>2155</v>
      </c>
      <c r="C179" s="2" t="s">
        <v>2154</v>
      </c>
      <c r="G179" s="10" t="s">
        <v>25</v>
      </c>
      <c r="H179" s="10"/>
      <c r="I179" s="10">
        <v>1</v>
      </c>
      <c r="J179" s="10">
        <v>3</v>
      </c>
      <c r="K179" s="10" t="s">
        <v>2646</v>
      </c>
      <c r="L179" s="10" t="s">
        <v>2647</v>
      </c>
      <c r="M179" s="10"/>
      <c r="N179" s="11"/>
      <c r="O179" s="10"/>
      <c r="P179" s="10">
        <v>2475</v>
      </c>
      <c r="Q179" s="10"/>
      <c r="R179" s="10" t="s">
        <v>2834</v>
      </c>
      <c r="S179" s="10" t="s">
        <v>2834</v>
      </c>
      <c r="T179" s="10"/>
      <c r="U179" s="10"/>
      <c r="V179" s="10"/>
      <c r="W179" s="10"/>
      <c r="X179" s="10"/>
      <c r="Y179" s="10"/>
      <c r="Z179" s="10"/>
      <c r="AA179" s="10"/>
      <c r="AB179" s="10"/>
      <c r="AC179" s="10"/>
    </row>
    <row r="180" spans="1:29" ht="29">
      <c r="A180" s="2" t="s">
        <v>840</v>
      </c>
      <c r="B180" s="2" t="s">
        <v>2163</v>
      </c>
      <c r="C180" s="2" t="s">
        <v>2162</v>
      </c>
      <c r="F180" t="s">
        <v>19</v>
      </c>
      <c r="G180" s="10" t="s">
        <v>2688</v>
      </c>
      <c r="H180" s="10"/>
      <c r="I180" s="10"/>
      <c r="J180" s="10"/>
      <c r="K180" s="10"/>
      <c r="L180" s="10"/>
      <c r="M180" s="10"/>
      <c r="N180" s="11"/>
      <c r="O180" s="10"/>
      <c r="P180" s="10"/>
      <c r="Q180" s="10"/>
      <c r="R180" s="10" t="s">
        <v>2834</v>
      </c>
      <c r="S180" s="10" t="s">
        <v>2834</v>
      </c>
      <c r="T180" s="10"/>
      <c r="U180" s="10"/>
      <c r="V180" s="10"/>
      <c r="W180" s="10"/>
      <c r="X180" s="10"/>
      <c r="Y180" s="10"/>
      <c r="Z180" s="10"/>
      <c r="AA180" s="10"/>
      <c r="AB180" s="10"/>
      <c r="AC180" s="10"/>
    </row>
    <row r="181" spans="1:29" ht="29">
      <c r="A181" s="2" t="s">
        <v>840</v>
      </c>
      <c r="B181" s="13" t="s">
        <v>2919</v>
      </c>
      <c r="C181" t="s">
        <v>2922</v>
      </c>
      <c r="F181" t="s">
        <v>19</v>
      </c>
      <c r="G181" s="10" t="s">
        <v>24</v>
      </c>
      <c r="H181" s="10"/>
      <c r="I181" s="10">
        <v>1</v>
      </c>
      <c r="J181" s="10">
        <v>1</v>
      </c>
      <c r="K181" s="10" t="s">
        <v>2691</v>
      </c>
      <c r="L181" s="10" t="s">
        <v>2687</v>
      </c>
      <c r="M181" s="10"/>
      <c r="N181" s="11"/>
      <c r="O181" s="10"/>
      <c r="P181" s="10">
        <v>0</v>
      </c>
      <c r="Q181" s="10"/>
      <c r="R181" s="10" t="s">
        <v>2834</v>
      </c>
      <c r="S181" s="10" t="s">
        <v>2834</v>
      </c>
      <c r="T181" s="10"/>
      <c r="U181" s="10"/>
      <c r="V181" s="10"/>
      <c r="W181" s="10"/>
      <c r="X181" s="10"/>
      <c r="Y181" s="10"/>
      <c r="Z181" s="10"/>
      <c r="AA181" s="10"/>
      <c r="AB181" s="10"/>
      <c r="AC181" s="10"/>
    </row>
    <row r="182" spans="1:29" ht="29">
      <c r="A182" s="2" t="s">
        <v>843</v>
      </c>
      <c r="B182" s="2" t="s">
        <v>2920</v>
      </c>
      <c r="C182" s="2" t="s">
        <v>2921</v>
      </c>
      <c r="F182" t="s">
        <v>19</v>
      </c>
      <c r="G182" s="10" t="s">
        <v>24</v>
      </c>
      <c r="H182" s="10"/>
      <c r="I182" s="10">
        <v>1</v>
      </c>
      <c r="J182" s="10">
        <v>7</v>
      </c>
      <c r="K182" s="10" t="s">
        <v>2660</v>
      </c>
      <c r="L182" s="10" t="s">
        <v>2647</v>
      </c>
      <c r="M182" s="10"/>
      <c r="N182" s="11"/>
      <c r="O182" s="10"/>
      <c r="P182" s="10">
        <v>1</v>
      </c>
      <c r="Q182" s="10"/>
      <c r="R182" s="10" t="s">
        <v>2834</v>
      </c>
      <c r="S182" s="10" t="s">
        <v>2834</v>
      </c>
      <c r="T182" s="10"/>
      <c r="U182" s="10"/>
      <c r="V182" s="10"/>
      <c r="W182" s="10"/>
      <c r="X182" s="10"/>
      <c r="Y182" s="10"/>
      <c r="Z182" s="10"/>
      <c r="AA182" s="10"/>
      <c r="AB182" s="10"/>
      <c r="AC182" s="10"/>
    </row>
    <row r="183" spans="1:29" ht="29">
      <c r="A183" s="2" t="s">
        <v>844</v>
      </c>
      <c r="B183" s="2" t="s">
        <v>2166</v>
      </c>
      <c r="C183" s="2" t="s">
        <v>2167</v>
      </c>
      <c r="F183" t="s">
        <v>19</v>
      </c>
      <c r="G183" s="10" t="s">
        <v>2686</v>
      </c>
      <c r="H183" s="10"/>
      <c r="I183" s="10"/>
      <c r="J183" s="10"/>
      <c r="K183" s="10"/>
      <c r="L183" s="10"/>
      <c r="M183" s="10"/>
      <c r="N183" s="11"/>
      <c r="O183" s="10"/>
      <c r="P183" s="10"/>
      <c r="Q183" s="10">
        <v>-11</v>
      </c>
      <c r="R183" s="10">
        <v>18</v>
      </c>
      <c r="S183" s="10">
        <v>7</v>
      </c>
      <c r="T183" s="10"/>
      <c r="U183" s="10"/>
      <c r="V183" s="10"/>
      <c r="W183" s="10"/>
      <c r="X183" s="10"/>
      <c r="Y183" s="10"/>
      <c r="Z183" s="10"/>
      <c r="AA183" s="10"/>
      <c r="AB183" s="10"/>
      <c r="AC183" s="10"/>
    </row>
    <row r="184" spans="1:29" ht="29">
      <c r="A184" s="2" t="s">
        <v>845</v>
      </c>
      <c r="B184" s="2" t="s">
        <v>2169</v>
      </c>
      <c r="C184" s="2" t="s">
        <v>2170</v>
      </c>
      <c r="F184" t="s">
        <v>19</v>
      </c>
      <c r="G184" s="10" t="s">
        <v>2686</v>
      </c>
      <c r="H184" s="10"/>
      <c r="I184" s="10"/>
      <c r="J184" s="10"/>
      <c r="K184" s="10"/>
      <c r="L184" s="10"/>
      <c r="M184" s="10"/>
      <c r="N184" s="11"/>
      <c r="O184" s="10"/>
      <c r="P184" s="10"/>
      <c r="Q184" s="10">
        <v>431</v>
      </c>
      <c r="R184" s="10">
        <v>312</v>
      </c>
      <c r="S184" s="10">
        <v>743</v>
      </c>
      <c r="T184" s="10"/>
      <c r="U184" s="10"/>
      <c r="V184" s="10"/>
      <c r="W184" s="10"/>
      <c r="X184" s="10"/>
      <c r="Y184" s="10"/>
      <c r="Z184" s="10"/>
      <c r="AA184" s="10"/>
      <c r="AB184" s="10"/>
      <c r="AC184" s="10"/>
    </row>
    <row r="185" spans="1:29" ht="29">
      <c r="A185" s="2" t="s">
        <v>848</v>
      </c>
      <c r="B185" s="2" t="s">
        <v>852</v>
      </c>
      <c r="C185" s="2" t="s">
        <v>851</v>
      </c>
      <c r="G185" s="10" t="s">
        <v>2688</v>
      </c>
      <c r="H185" s="10"/>
      <c r="I185" s="10"/>
      <c r="J185" s="10"/>
      <c r="K185" s="10"/>
      <c r="L185" s="10"/>
      <c r="M185" s="10"/>
      <c r="N185" s="11"/>
      <c r="O185" s="10"/>
      <c r="P185" s="10"/>
      <c r="Q185" s="10"/>
      <c r="R185" s="10" t="s">
        <v>2834</v>
      </c>
      <c r="S185" s="10" t="s">
        <v>2834</v>
      </c>
      <c r="T185" s="10"/>
      <c r="U185" s="10"/>
      <c r="V185" s="10"/>
      <c r="W185" s="10"/>
      <c r="X185" s="10"/>
      <c r="Y185" s="10"/>
      <c r="Z185" s="10"/>
      <c r="AA185" s="10"/>
      <c r="AB185" s="10"/>
      <c r="AC185" s="10"/>
    </row>
    <row r="186" spans="1:29" ht="29">
      <c r="A186" s="2" t="s">
        <v>856</v>
      </c>
      <c r="B186" s="2" t="s">
        <v>2173</v>
      </c>
      <c r="C186" s="2" t="s">
        <v>2174</v>
      </c>
      <c r="G186" s="10" t="s">
        <v>25</v>
      </c>
      <c r="H186" s="10"/>
      <c r="I186" s="10">
        <v>1</v>
      </c>
      <c r="J186" s="10">
        <v>1</v>
      </c>
      <c r="K186" s="10" t="s">
        <v>2646</v>
      </c>
      <c r="L186" s="10" t="s">
        <v>2687</v>
      </c>
      <c r="M186" s="10"/>
      <c r="N186" s="11"/>
      <c r="O186" s="10"/>
      <c r="P186" s="10">
        <v>2475</v>
      </c>
      <c r="Q186" s="10"/>
      <c r="R186" s="10" t="s">
        <v>2834</v>
      </c>
      <c r="S186" s="10" t="s">
        <v>2834</v>
      </c>
      <c r="T186" s="10"/>
      <c r="U186" s="10"/>
      <c r="V186" s="10"/>
      <c r="W186" s="10"/>
      <c r="X186" s="10"/>
      <c r="Y186" s="10"/>
      <c r="Z186" s="10"/>
      <c r="AA186" s="10"/>
      <c r="AB186" s="10"/>
      <c r="AC186" s="10"/>
    </row>
    <row r="187" spans="1:29" ht="29">
      <c r="A187" s="2" t="s">
        <v>860</v>
      </c>
      <c r="B187" s="2" t="s">
        <v>243</v>
      </c>
      <c r="C187" s="2" t="s">
        <v>79</v>
      </c>
      <c r="G187" s="10" t="s">
        <v>2688</v>
      </c>
      <c r="H187" s="10"/>
      <c r="I187" s="10"/>
      <c r="J187" s="10"/>
      <c r="K187" s="10"/>
      <c r="L187" s="10"/>
      <c r="M187" s="10"/>
      <c r="N187" s="11"/>
      <c r="O187" s="10"/>
      <c r="P187" s="10"/>
      <c r="Q187" s="10"/>
      <c r="R187" s="10" t="s">
        <v>2834</v>
      </c>
      <c r="S187" s="10" t="s">
        <v>2834</v>
      </c>
      <c r="T187" s="10"/>
      <c r="U187" s="10"/>
      <c r="V187" s="10"/>
      <c r="W187" s="10"/>
      <c r="X187" s="10"/>
      <c r="Y187" s="10"/>
      <c r="Z187" s="10"/>
      <c r="AA187" s="10"/>
      <c r="AB187" s="10"/>
      <c r="AC187" s="10"/>
    </row>
    <row r="188" spans="1:29" ht="29">
      <c r="A188" s="2" t="s">
        <v>868</v>
      </c>
      <c r="B188" s="2" t="s">
        <v>2180</v>
      </c>
      <c r="C188" s="2" t="s">
        <v>2179</v>
      </c>
      <c r="F188" t="s">
        <v>19</v>
      </c>
      <c r="G188" s="10" t="s">
        <v>25</v>
      </c>
      <c r="H188" s="10"/>
      <c r="I188" s="10">
        <v>1</v>
      </c>
      <c r="J188" s="10">
        <v>3</v>
      </c>
      <c r="K188" s="10" t="s">
        <v>2655</v>
      </c>
      <c r="L188" s="10" t="s">
        <v>2647</v>
      </c>
      <c r="M188" s="10"/>
      <c r="N188" s="11"/>
      <c r="O188" s="10"/>
      <c r="P188" s="10">
        <v>1701</v>
      </c>
      <c r="Q188" s="10"/>
      <c r="R188" s="10" t="s">
        <v>2834</v>
      </c>
      <c r="S188" s="10" t="s">
        <v>2834</v>
      </c>
      <c r="T188" s="10"/>
      <c r="U188" s="10"/>
      <c r="V188" s="10"/>
      <c r="W188" s="10"/>
      <c r="X188" s="10"/>
      <c r="Y188" s="10"/>
      <c r="Z188" s="10"/>
      <c r="AA188" s="10"/>
      <c r="AB188" s="10"/>
      <c r="AC188" s="10"/>
    </row>
    <row r="189" spans="1:29" ht="29">
      <c r="A189" s="2" t="s">
        <v>869</v>
      </c>
      <c r="B189" s="2" t="s">
        <v>2187</v>
      </c>
      <c r="C189" s="2" t="s">
        <v>2188</v>
      </c>
      <c r="G189" s="10" t="s">
        <v>2688</v>
      </c>
      <c r="H189" s="10"/>
      <c r="I189" s="10"/>
      <c r="J189" s="10"/>
      <c r="K189" s="10"/>
      <c r="L189" s="10"/>
      <c r="M189" s="10"/>
      <c r="N189" s="11"/>
      <c r="O189" s="10"/>
      <c r="P189" s="10"/>
      <c r="Q189" s="10"/>
      <c r="R189" s="10" t="s">
        <v>2834</v>
      </c>
      <c r="S189" s="10" t="s">
        <v>2834</v>
      </c>
      <c r="T189" s="10"/>
      <c r="U189" s="10"/>
      <c r="V189" s="10"/>
      <c r="W189" s="10"/>
      <c r="X189" s="10"/>
      <c r="Y189" s="10"/>
      <c r="Z189" s="10"/>
      <c r="AA189" s="10"/>
      <c r="AB189" s="10"/>
      <c r="AC189" s="10"/>
    </row>
    <row r="190" spans="1:29" ht="29">
      <c r="A190" s="2" t="s">
        <v>874</v>
      </c>
      <c r="B190" s="2" t="s">
        <v>2047</v>
      </c>
      <c r="C190" s="2" t="s">
        <v>2189</v>
      </c>
      <c r="F190" t="s">
        <v>23</v>
      </c>
      <c r="G190" s="10" t="s">
        <v>2686</v>
      </c>
      <c r="H190" s="10"/>
      <c r="I190" s="10"/>
      <c r="J190" s="10"/>
      <c r="K190" s="10"/>
      <c r="L190" s="10"/>
      <c r="M190" s="10"/>
      <c r="N190" s="11"/>
      <c r="O190" s="10"/>
      <c r="P190" s="10"/>
      <c r="Q190" s="10">
        <v>-2440</v>
      </c>
      <c r="R190" s="10">
        <v>2475</v>
      </c>
      <c r="S190" s="10">
        <v>35</v>
      </c>
      <c r="T190" s="10"/>
      <c r="U190" s="10"/>
      <c r="V190" s="10"/>
      <c r="W190" s="10"/>
      <c r="X190" s="10"/>
      <c r="Y190" s="10"/>
      <c r="Z190" s="10"/>
      <c r="AA190" s="10"/>
      <c r="AB190" s="10"/>
      <c r="AC190" s="10"/>
    </row>
    <row r="191" spans="1:29" ht="29">
      <c r="A191" s="2" t="s">
        <v>884</v>
      </c>
      <c r="B191" s="2" t="s">
        <v>2195</v>
      </c>
      <c r="C191" s="2" t="s">
        <v>2196</v>
      </c>
      <c r="F191" t="s">
        <v>19</v>
      </c>
      <c r="G191" s="10" t="s">
        <v>2688</v>
      </c>
      <c r="H191" s="10"/>
      <c r="I191" s="10"/>
      <c r="J191" s="10"/>
      <c r="K191" s="10"/>
      <c r="L191" s="10"/>
      <c r="M191" s="10"/>
      <c r="N191" s="11"/>
      <c r="O191" s="10"/>
      <c r="P191" s="10"/>
      <c r="Q191" s="10"/>
      <c r="R191" s="10" t="s">
        <v>2834</v>
      </c>
      <c r="S191" s="10" t="s">
        <v>2834</v>
      </c>
      <c r="T191" s="10"/>
      <c r="U191" s="10"/>
      <c r="V191" s="10"/>
      <c r="W191" s="10"/>
      <c r="X191" s="10"/>
      <c r="Y191" s="10"/>
      <c r="Z191" s="10"/>
      <c r="AA191" s="10"/>
      <c r="AB191" s="10"/>
      <c r="AC191" s="10"/>
    </row>
    <row r="192" spans="1:29" ht="29">
      <c r="A192" s="2" t="s">
        <v>885</v>
      </c>
      <c r="B192" s="2" t="s">
        <v>886</v>
      </c>
      <c r="C192" s="2" t="s">
        <v>663</v>
      </c>
      <c r="G192" s="10" t="s">
        <v>2688</v>
      </c>
      <c r="H192" s="10"/>
      <c r="I192" s="10"/>
      <c r="J192" s="10"/>
      <c r="K192" s="10"/>
      <c r="L192" s="10"/>
      <c r="M192" s="10"/>
      <c r="N192" s="11"/>
      <c r="O192" s="10"/>
      <c r="P192" s="10"/>
      <c r="Q192" s="10"/>
      <c r="R192" s="10" t="s">
        <v>2834</v>
      </c>
      <c r="S192" s="10" t="s">
        <v>2834</v>
      </c>
      <c r="T192" s="10"/>
      <c r="U192" s="10"/>
      <c r="V192" s="10"/>
      <c r="W192" s="10"/>
      <c r="X192" s="10"/>
      <c r="Y192" s="10"/>
      <c r="Z192" s="10"/>
      <c r="AA192" s="10"/>
      <c r="AB192" s="10"/>
      <c r="AC192" s="10"/>
    </row>
    <row r="193" spans="1:29" ht="29">
      <c r="A193" s="2" t="s">
        <v>893</v>
      </c>
      <c r="B193" s="2" t="s">
        <v>2201</v>
      </c>
      <c r="C193" s="2" t="s">
        <v>2202</v>
      </c>
      <c r="G193" s="10" t="s">
        <v>2686</v>
      </c>
      <c r="H193" s="10"/>
      <c r="I193" s="10"/>
      <c r="J193" s="10"/>
      <c r="K193" s="10"/>
      <c r="L193" s="10"/>
      <c r="M193" s="10"/>
      <c r="N193" s="11"/>
      <c r="O193" s="10"/>
      <c r="P193" s="10"/>
      <c r="Q193" s="10">
        <v>1680</v>
      </c>
      <c r="R193" s="10">
        <v>21</v>
      </c>
      <c r="S193" s="10">
        <v>1701</v>
      </c>
      <c r="T193" s="10"/>
      <c r="U193" s="10"/>
      <c r="V193" s="10"/>
      <c r="W193" s="10"/>
      <c r="X193" s="10"/>
      <c r="Y193" s="10"/>
      <c r="Z193" s="10"/>
      <c r="AA193" s="10"/>
      <c r="AB193" s="10"/>
      <c r="AC193" s="10"/>
    </row>
    <row r="194" spans="1:29" ht="29">
      <c r="A194" s="2" t="s">
        <v>895</v>
      </c>
      <c r="B194" s="2" t="s">
        <v>255</v>
      </c>
      <c r="C194" s="2" t="s">
        <v>896</v>
      </c>
      <c r="G194" s="10" t="s">
        <v>2688</v>
      </c>
      <c r="H194" s="10"/>
      <c r="I194" s="10"/>
      <c r="J194" s="10"/>
      <c r="K194" s="10"/>
      <c r="L194" s="10"/>
      <c r="M194" s="10"/>
      <c r="N194" s="11"/>
      <c r="O194" s="10"/>
      <c r="P194" s="10"/>
      <c r="Q194" s="10"/>
      <c r="R194" s="10" t="s">
        <v>2834</v>
      </c>
      <c r="S194" s="10" t="s">
        <v>2834</v>
      </c>
      <c r="T194" s="10"/>
      <c r="U194" s="10"/>
      <c r="V194" s="10"/>
      <c r="W194" s="10"/>
      <c r="X194" s="10"/>
      <c r="Y194" s="10"/>
      <c r="Z194" s="10"/>
      <c r="AA194" s="10"/>
      <c r="AB194" s="10"/>
      <c r="AC194" s="10"/>
    </row>
    <row r="195" spans="1:29" ht="29">
      <c r="A195" s="2" t="s">
        <v>897</v>
      </c>
      <c r="B195" s="2" t="s">
        <v>2205</v>
      </c>
      <c r="C195" s="2" t="s">
        <v>2206</v>
      </c>
      <c r="G195" s="10" t="s">
        <v>2686</v>
      </c>
      <c r="H195" s="10"/>
      <c r="I195" s="10"/>
      <c r="J195" s="10"/>
      <c r="K195" s="10"/>
      <c r="L195" s="10"/>
      <c r="M195" s="10"/>
      <c r="N195" s="11"/>
      <c r="O195" s="10"/>
      <c r="P195" s="10"/>
      <c r="Q195" s="10">
        <v>-1572</v>
      </c>
      <c r="R195" s="10">
        <v>1701</v>
      </c>
      <c r="S195" s="10">
        <v>129</v>
      </c>
      <c r="T195" s="10"/>
      <c r="U195" s="10"/>
      <c r="V195" s="10"/>
      <c r="W195" s="10"/>
      <c r="X195" s="10"/>
      <c r="Y195" s="10"/>
      <c r="Z195" s="10"/>
      <c r="AA195" s="10"/>
      <c r="AB195" s="10"/>
      <c r="AC195" s="10"/>
    </row>
    <row r="196" spans="1:29" ht="29">
      <c r="A196" s="2" t="s">
        <v>898</v>
      </c>
      <c r="B196" s="2" t="s">
        <v>2207</v>
      </c>
      <c r="C196" s="2" t="s">
        <v>2208</v>
      </c>
      <c r="F196" t="s">
        <v>19</v>
      </c>
      <c r="G196" s="10" t="s">
        <v>25</v>
      </c>
      <c r="H196" s="10"/>
      <c r="I196" s="10">
        <v>2</v>
      </c>
      <c r="J196" s="10">
        <v>9</v>
      </c>
      <c r="K196" s="10"/>
      <c r="L196" s="10" t="s">
        <v>2647</v>
      </c>
      <c r="M196" s="10"/>
      <c r="N196" s="11"/>
      <c r="O196" s="10"/>
      <c r="P196" s="10">
        <v>56</v>
      </c>
      <c r="Q196" s="10"/>
      <c r="R196" s="10" t="s">
        <v>2834</v>
      </c>
      <c r="S196" s="10" t="s">
        <v>2834</v>
      </c>
      <c r="T196" s="10"/>
      <c r="U196" s="10"/>
      <c r="V196" s="10"/>
      <c r="W196" s="10"/>
      <c r="X196" s="10"/>
      <c r="Y196" s="10"/>
      <c r="Z196" s="10"/>
      <c r="AA196" s="10"/>
      <c r="AB196" s="10"/>
      <c r="AC196" s="10"/>
    </row>
    <row r="197" spans="1:29">
      <c r="A197" s="2" t="s">
        <v>1207</v>
      </c>
      <c r="B197" s="2" t="s">
        <v>805</v>
      </c>
      <c r="C197" s="2" t="s">
        <v>1208</v>
      </c>
      <c r="G197" s="10" t="s">
        <v>2688</v>
      </c>
      <c r="H197" s="10"/>
      <c r="I197" s="10"/>
      <c r="J197" s="10"/>
      <c r="K197" s="10"/>
      <c r="L197" s="10"/>
      <c r="M197" s="10"/>
      <c r="N197" s="11"/>
      <c r="O197" s="10"/>
      <c r="P197" s="10"/>
      <c r="Q197" s="10"/>
      <c r="R197" s="10" t="s">
        <v>2834</v>
      </c>
      <c r="S197" s="10" t="s">
        <v>2834</v>
      </c>
      <c r="T197" s="10"/>
      <c r="U197" s="10"/>
      <c r="V197" s="10"/>
      <c r="W197" s="10"/>
      <c r="X197" s="10"/>
      <c r="Y197" s="10"/>
      <c r="Z197" s="10"/>
      <c r="AA197" s="10"/>
      <c r="AB197" s="10"/>
      <c r="AC197" s="10"/>
    </row>
    <row r="198" spans="1:29" ht="87">
      <c r="A198" s="2" t="s">
        <v>1210</v>
      </c>
      <c r="B198" s="2" t="s">
        <v>2220</v>
      </c>
      <c r="C198" s="2" t="s">
        <v>2217</v>
      </c>
      <c r="F198" t="s">
        <v>19</v>
      </c>
      <c r="G198" s="10" t="s">
        <v>25</v>
      </c>
      <c r="H198" s="10"/>
      <c r="I198" s="10">
        <v>14</v>
      </c>
      <c r="J198" s="10">
        <v>64</v>
      </c>
      <c r="K198" s="10"/>
      <c r="L198" s="10" t="s">
        <v>2641</v>
      </c>
      <c r="M198" s="10" t="s">
        <v>2753</v>
      </c>
      <c r="N198" s="11" t="s">
        <v>2754</v>
      </c>
      <c r="O198" s="10"/>
      <c r="P198" s="10">
        <v>1</v>
      </c>
      <c r="Q198" s="10"/>
      <c r="R198" s="10" t="s">
        <v>2834</v>
      </c>
      <c r="S198" s="10" t="s">
        <v>2834</v>
      </c>
      <c r="T198" s="10"/>
      <c r="U198" s="10"/>
      <c r="V198" s="10"/>
      <c r="W198" s="10"/>
      <c r="X198" s="10"/>
      <c r="Y198" s="10"/>
      <c r="Z198" s="10"/>
      <c r="AA198" s="10"/>
      <c r="AB198" s="10"/>
      <c r="AC198" s="10"/>
    </row>
    <row r="199" spans="1:29" ht="87">
      <c r="A199" s="2" t="s">
        <v>1210</v>
      </c>
      <c r="B199" s="3" t="s">
        <v>2923</v>
      </c>
      <c r="C199" s="2" t="s">
        <v>2924</v>
      </c>
      <c r="D199" t="s">
        <v>31</v>
      </c>
      <c r="F199" t="s">
        <v>19</v>
      </c>
      <c r="G199" s="10" t="s">
        <v>2686</v>
      </c>
      <c r="H199" s="10"/>
      <c r="I199" s="10"/>
      <c r="J199" s="10"/>
      <c r="K199" s="10"/>
      <c r="L199" s="10"/>
      <c r="M199" s="10"/>
      <c r="N199" s="11"/>
      <c r="O199" s="10"/>
      <c r="P199" s="10"/>
      <c r="Q199" s="10">
        <v>431</v>
      </c>
      <c r="R199" s="10">
        <v>312</v>
      </c>
      <c r="S199" s="10">
        <v>743</v>
      </c>
      <c r="T199" s="10"/>
      <c r="U199" s="10"/>
      <c r="V199" s="10"/>
      <c r="W199" s="10"/>
      <c r="X199" s="10"/>
      <c r="Y199" s="10"/>
      <c r="Z199" s="10"/>
      <c r="AA199" s="10"/>
      <c r="AB199" s="10"/>
      <c r="AC199" s="10"/>
    </row>
    <row r="200" spans="1:29" ht="29">
      <c r="A200" s="2" t="s">
        <v>899</v>
      </c>
      <c r="B200" s="2" t="s">
        <v>2227</v>
      </c>
      <c r="C200" s="2" t="s">
        <v>2226</v>
      </c>
      <c r="G200" s="10" t="s">
        <v>26</v>
      </c>
      <c r="H200" s="10"/>
      <c r="I200" s="10"/>
      <c r="J200" s="10"/>
      <c r="K200" s="10"/>
      <c r="L200" s="10"/>
      <c r="M200" s="10"/>
      <c r="N200" s="11"/>
      <c r="O200" s="10"/>
      <c r="P200" s="10"/>
      <c r="Q200" s="10"/>
      <c r="R200" s="10" t="s">
        <v>2834</v>
      </c>
      <c r="S200" s="10" t="s">
        <v>2834</v>
      </c>
      <c r="T200" s="10"/>
      <c r="U200" s="10"/>
      <c r="V200" s="10"/>
      <c r="W200" s="10"/>
      <c r="X200" s="10"/>
      <c r="Y200" s="10"/>
      <c r="Z200" s="10"/>
      <c r="AA200" s="10"/>
      <c r="AB200" s="10"/>
      <c r="AC200" s="10"/>
    </row>
    <row r="201" spans="1:29">
      <c r="A201" s="2" t="s">
        <v>900</v>
      </c>
      <c r="B201" s="2" t="s">
        <v>825</v>
      </c>
      <c r="C201" s="2" t="s">
        <v>709</v>
      </c>
      <c r="F201" t="s">
        <v>19</v>
      </c>
      <c r="G201" s="10" t="s">
        <v>2686</v>
      </c>
      <c r="H201" s="10"/>
      <c r="I201" s="10"/>
      <c r="J201" s="10"/>
      <c r="K201" s="10"/>
      <c r="L201" s="10"/>
      <c r="M201" s="10"/>
      <c r="N201" s="11"/>
      <c r="O201" s="10"/>
      <c r="P201" s="10"/>
      <c r="Q201" s="10">
        <v>-11</v>
      </c>
      <c r="R201" s="10">
        <v>11</v>
      </c>
      <c r="S201" s="10">
        <v>0</v>
      </c>
      <c r="T201" s="10"/>
      <c r="U201" s="10"/>
      <c r="V201" s="10"/>
      <c r="W201" s="10"/>
      <c r="X201" s="10"/>
      <c r="Y201" s="10"/>
      <c r="Z201" s="10"/>
      <c r="AA201" s="10"/>
      <c r="AB201" s="10"/>
      <c r="AC201" s="10"/>
    </row>
    <row r="202" spans="1:29">
      <c r="A202" s="2" t="s">
        <v>904</v>
      </c>
      <c r="B202" s="2" t="s">
        <v>847</v>
      </c>
      <c r="C202" s="2" t="s">
        <v>905</v>
      </c>
      <c r="F202" t="s">
        <v>19</v>
      </c>
      <c r="G202" s="10" t="s">
        <v>2688</v>
      </c>
      <c r="H202" s="10"/>
      <c r="I202" s="10"/>
      <c r="J202" s="10"/>
      <c r="K202" s="10"/>
      <c r="L202" s="10"/>
      <c r="M202" s="10"/>
      <c r="N202" s="11"/>
      <c r="O202" s="10"/>
      <c r="P202" s="10"/>
      <c r="Q202" s="10"/>
      <c r="R202" s="10" t="s">
        <v>2834</v>
      </c>
      <c r="S202" s="10" t="s">
        <v>2834</v>
      </c>
      <c r="T202" s="10"/>
      <c r="U202" s="10"/>
      <c r="V202" s="10"/>
      <c r="W202" s="10"/>
      <c r="X202" s="10"/>
      <c r="Y202" s="10"/>
      <c r="Z202" s="10"/>
      <c r="AA202" s="10"/>
      <c r="AB202" s="10"/>
      <c r="AC202" s="10"/>
    </row>
    <row r="203" spans="1:29" ht="29">
      <c r="A203" s="2" t="s">
        <v>904</v>
      </c>
      <c r="B203" s="2" t="s">
        <v>2758</v>
      </c>
      <c r="C203" s="2" t="s">
        <v>2231</v>
      </c>
      <c r="G203" s="10" t="s">
        <v>25</v>
      </c>
      <c r="H203" s="10"/>
      <c r="I203" s="10">
        <v>1</v>
      </c>
      <c r="J203" s="10">
        <v>3</v>
      </c>
      <c r="K203" s="10" t="s">
        <v>2655</v>
      </c>
      <c r="L203" s="10" t="s">
        <v>2641</v>
      </c>
      <c r="M203" s="10" t="s">
        <v>2761</v>
      </c>
      <c r="N203" s="11" t="s">
        <v>2705</v>
      </c>
      <c r="O203" s="10"/>
      <c r="P203" s="10">
        <v>1701</v>
      </c>
      <c r="Q203" s="10"/>
      <c r="R203" s="10" t="s">
        <v>2834</v>
      </c>
      <c r="S203" s="10" t="s">
        <v>2834</v>
      </c>
      <c r="T203" s="10"/>
      <c r="U203" s="10"/>
      <c r="V203" s="10"/>
      <c r="W203" s="10"/>
      <c r="X203" s="10"/>
      <c r="Y203" s="10"/>
      <c r="Z203" s="10"/>
      <c r="AA203" s="10"/>
      <c r="AB203" s="10"/>
      <c r="AC203" s="10"/>
    </row>
    <row r="204" spans="1:29">
      <c r="A204" s="2" t="s">
        <v>907</v>
      </c>
      <c r="B204" s="2" t="s">
        <v>2236</v>
      </c>
      <c r="C204" s="2" t="s">
        <v>908</v>
      </c>
      <c r="F204" t="s">
        <v>19</v>
      </c>
      <c r="G204" s="10" t="s">
        <v>2688</v>
      </c>
      <c r="H204" s="10"/>
      <c r="I204" s="10"/>
      <c r="J204" s="10"/>
      <c r="K204" s="10"/>
      <c r="L204" s="10"/>
      <c r="M204" s="10"/>
      <c r="N204" s="11"/>
      <c r="O204" s="10"/>
      <c r="P204" s="10"/>
      <c r="Q204" s="10"/>
      <c r="R204" s="10" t="s">
        <v>2834</v>
      </c>
      <c r="S204" s="10" t="s">
        <v>2834</v>
      </c>
      <c r="T204" s="10"/>
      <c r="U204" s="10"/>
      <c r="V204" s="10"/>
      <c r="W204" s="10"/>
      <c r="X204" s="10"/>
      <c r="Y204" s="10"/>
      <c r="Z204" s="10"/>
      <c r="AA204" s="10"/>
      <c r="AB204" s="10"/>
      <c r="AC204" s="10"/>
    </row>
    <row r="205" spans="1:29">
      <c r="A205" s="2" t="s">
        <v>914</v>
      </c>
      <c r="B205" s="2" t="s">
        <v>2239</v>
      </c>
      <c r="C205" s="2" t="s">
        <v>2240</v>
      </c>
      <c r="G205" s="10" t="s">
        <v>24</v>
      </c>
      <c r="H205" s="10"/>
      <c r="I205" s="10">
        <v>1</v>
      </c>
      <c r="J205" s="10">
        <v>3</v>
      </c>
      <c r="K205" s="10" t="s">
        <v>2655</v>
      </c>
      <c r="L205" s="10" t="s">
        <v>2647</v>
      </c>
      <c r="M205" s="10"/>
      <c r="N205" s="11"/>
      <c r="O205" s="10"/>
      <c r="P205" s="10">
        <v>1701</v>
      </c>
      <c r="Q205" s="10"/>
      <c r="R205" s="10" t="s">
        <v>2834</v>
      </c>
      <c r="S205" s="10" t="s">
        <v>2834</v>
      </c>
      <c r="T205" s="10"/>
      <c r="U205" s="10"/>
      <c r="V205" s="10"/>
      <c r="W205" s="10"/>
      <c r="X205" s="10"/>
      <c r="Y205" s="10"/>
      <c r="Z205" s="10"/>
      <c r="AA205" s="10"/>
      <c r="AB205" s="10"/>
      <c r="AC205" s="10"/>
    </row>
    <row r="206" spans="1:29">
      <c r="A206" s="2" t="s">
        <v>916</v>
      </c>
      <c r="B206" s="2" t="s">
        <v>2243</v>
      </c>
      <c r="C206" s="2" t="s">
        <v>2244</v>
      </c>
      <c r="F206" t="s">
        <v>19</v>
      </c>
      <c r="G206" s="10" t="s">
        <v>2688</v>
      </c>
      <c r="H206" s="10"/>
      <c r="I206" s="10"/>
      <c r="J206" s="10"/>
      <c r="K206" s="10"/>
      <c r="L206" s="10"/>
      <c r="M206" s="10"/>
      <c r="N206" s="11"/>
      <c r="O206" s="10"/>
      <c r="P206" s="10"/>
      <c r="Q206" s="10"/>
      <c r="R206" s="10" t="s">
        <v>2834</v>
      </c>
      <c r="S206" s="10" t="s">
        <v>2834</v>
      </c>
      <c r="T206" s="10"/>
      <c r="U206" s="10"/>
      <c r="V206" s="10"/>
      <c r="W206" s="10"/>
      <c r="X206" s="10"/>
      <c r="Y206" s="10"/>
      <c r="Z206" s="10"/>
      <c r="AA206" s="10"/>
      <c r="AB206" s="10"/>
      <c r="AC206" s="10"/>
    </row>
    <row r="207" spans="1:29">
      <c r="A207" s="2" t="s">
        <v>925</v>
      </c>
      <c r="B207" s="2" t="s">
        <v>2258</v>
      </c>
      <c r="C207" s="2" t="s">
        <v>2257</v>
      </c>
      <c r="G207" s="10" t="s">
        <v>2688</v>
      </c>
      <c r="H207" s="10"/>
      <c r="I207" s="10"/>
      <c r="J207" s="10"/>
      <c r="K207" s="10"/>
      <c r="L207" s="10"/>
      <c r="M207" s="10"/>
      <c r="N207" s="11"/>
      <c r="O207" s="10"/>
      <c r="P207" s="10"/>
      <c r="Q207" s="10"/>
      <c r="R207" s="10" t="s">
        <v>2834</v>
      </c>
      <c r="S207" s="10" t="s">
        <v>2834</v>
      </c>
      <c r="T207" s="10"/>
      <c r="U207" s="10"/>
      <c r="V207" s="10"/>
      <c r="W207" s="10"/>
      <c r="X207" s="10"/>
      <c r="Y207" s="10"/>
      <c r="Z207" s="10"/>
      <c r="AA207" s="10"/>
      <c r="AB207" s="10"/>
      <c r="AC207" s="10"/>
    </row>
    <row r="208" spans="1:29">
      <c r="A208" s="2" t="s">
        <v>927</v>
      </c>
      <c r="B208" s="2" t="s">
        <v>2262</v>
      </c>
      <c r="C208" s="2" t="s">
        <v>2261</v>
      </c>
      <c r="F208" t="s">
        <v>19</v>
      </c>
      <c r="G208" s="10" t="s">
        <v>2686</v>
      </c>
      <c r="H208" s="10"/>
      <c r="I208" s="10"/>
      <c r="J208" s="10"/>
      <c r="K208" s="10"/>
      <c r="L208" s="10"/>
      <c r="M208" s="10"/>
      <c r="N208" s="11"/>
      <c r="O208" s="10"/>
      <c r="P208" s="10"/>
      <c r="Q208" s="10">
        <v>118</v>
      </c>
      <c r="R208" s="10">
        <v>132</v>
      </c>
      <c r="S208" s="10">
        <v>250</v>
      </c>
      <c r="T208" s="10"/>
      <c r="U208" s="10"/>
      <c r="V208" s="10"/>
      <c r="W208" s="10"/>
      <c r="X208" s="10"/>
      <c r="Y208" s="10"/>
      <c r="Z208" s="10"/>
      <c r="AA208" s="10"/>
      <c r="AB208" s="10"/>
      <c r="AC208" s="10"/>
    </row>
    <row r="209" spans="1:29">
      <c r="A209" s="2" t="s">
        <v>930</v>
      </c>
      <c r="B209" s="2" t="s">
        <v>2264</v>
      </c>
      <c r="C209" s="2" t="s">
        <v>2265</v>
      </c>
      <c r="F209" t="s">
        <v>19</v>
      </c>
      <c r="G209" s="10" t="s">
        <v>25</v>
      </c>
      <c r="H209" s="10"/>
      <c r="I209" s="10">
        <v>1</v>
      </c>
      <c r="J209" s="10">
        <v>2</v>
      </c>
      <c r="K209" s="10" t="s">
        <v>2646</v>
      </c>
      <c r="L209" s="10" t="s">
        <v>2687</v>
      </c>
      <c r="M209" s="10"/>
      <c r="N209" s="11"/>
      <c r="O209" s="10"/>
      <c r="P209" s="10">
        <v>2475</v>
      </c>
      <c r="Q209" s="10"/>
      <c r="R209" s="10" t="s">
        <v>2834</v>
      </c>
      <c r="S209" s="10" t="s">
        <v>2834</v>
      </c>
      <c r="T209" s="10"/>
      <c r="U209" s="10"/>
      <c r="V209" s="10"/>
      <c r="W209" s="10"/>
      <c r="X209" s="10"/>
      <c r="Y209" s="10"/>
      <c r="Z209" s="10"/>
      <c r="AA209" s="10"/>
      <c r="AB209" s="10"/>
      <c r="AC209" s="10"/>
    </row>
    <row r="210" spans="1:29" ht="29">
      <c r="A210" s="2" t="s">
        <v>930</v>
      </c>
      <c r="B210" s="2" t="s">
        <v>2269</v>
      </c>
      <c r="C210" s="2" t="s">
        <v>2268</v>
      </c>
      <c r="F210" t="s">
        <v>19</v>
      </c>
      <c r="G210" s="10" t="s">
        <v>2686</v>
      </c>
      <c r="H210" s="10"/>
      <c r="I210" s="10"/>
      <c r="J210" s="10"/>
      <c r="K210" s="10"/>
      <c r="L210" s="10"/>
      <c r="M210" s="10"/>
      <c r="N210" s="11"/>
      <c r="O210" s="10"/>
      <c r="P210" s="10"/>
      <c r="Q210" s="10">
        <v>-431</v>
      </c>
      <c r="R210" s="10">
        <v>743</v>
      </c>
      <c r="S210" s="10">
        <v>312</v>
      </c>
      <c r="T210" s="10"/>
      <c r="U210" s="10"/>
      <c r="V210" s="10"/>
      <c r="W210" s="10"/>
      <c r="X210" s="10"/>
      <c r="Y210" s="10"/>
      <c r="Z210" s="10"/>
      <c r="AA210" s="10"/>
      <c r="AB210" s="10"/>
      <c r="AC210" s="10"/>
    </row>
    <row r="211" spans="1:29" ht="29">
      <c r="A211" s="2" t="s">
        <v>935</v>
      </c>
      <c r="B211" s="2" t="s">
        <v>2276</v>
      </c>
      <c r="C211" s="2" t="s">
        <v>2277</v>
      </c>
      <c r="F211" t="s">
        <v>19</v>
      </c>
      <c r="G211" s="10" t="s">
        <v>24</v>
      </c>
      <c r="H211" s="10"/>
      <c r="I211" s="10">
        <v>1</v>
      </c>
      <c r="J211" s="10">
        <v>6</v>
      </c>
      <c r="K211" s="10" t="s">
        <v>2640</v>
      </c>
      <c r="L211" s="10" t="s">
        <v>2641</v>
      </c>
      <c r="M211" s="10" t="s">
        <v>2704</v>
      </c>
      <c r="N211" s="11" t="s">
        <v>2763</v>
      </c>
      <c r="O211" s="10" t="s">
        <v>2642</v>
      </c>
      <c r="P211" s="10">
        <v>43</v>
      </c>
      <c r="Q211" s="10"/>
      <c r="R211" s="10" t="s">
        <v>2834</v>
      </c>
      <c r="S211" s="10" t="s">
        <v>2834</v>
      </c>
      <c r="T211" s="10"/>
      <c r="U211" s="10"/>
      <c r="V211" s="10"/>
      <c r="W211" s="10"/>
      <c r="X211" s="10"/>
      <c r="Y211" s="10"/>
      <c r="Z211" s="10"/>
      <c r="AA211" s="10"/>
      <c r="AB211" s="10"/>
      <c r="AC211" s="10"/>
    </row>
    <row r="212" spans="1:29">
      <c r="A212" s="2" t="s">
        <v>939</v>
      </c>
      <c r="B212" s="2" t="s">
        <v>942</v>
      </c>
      <c r="C212" s="2" t="s">
        <v>2278</v>
      </c>
      <c r="G212" s="10" t="s">
        <v>2686</v>
      </c>
      <c r="H212" s="10"/>
      <c r="I212" s="10"/>
      <c r="J212" s="10"/>
      <c r="K212" s="10"/>
      <c r="L212" s="10"/>
      <c r="M212" s="10"/>
      <c r="N212" s="11"/>
      <c r="O212" s="10"/>
      <c r="P212" s="10"/>
      <c r="Q212" s="10">
        <v>14</v>
      </c>
      <c r="R212" s="10">
        <v>12</v>
      </c>
      <c r="S212" s="10">
        <v>26</v>
      </c>
      <c r="T212" s="10" t="s">
        <v>2685</v>
      </c>
      <c r="U212" s="10"/>
      <c r="V212" s="10"/>
      <c r="W212" s="10"/>
      <c r="X212" s="10"/>
      <c r="Y212" s="10"/>
      <c r="Z212" s="10"/>
      <c r="AA212" s="10"/>
      <c r="AB212" s="10"/>
      <c r="AC212" s="10"/>
    </row>
    <row r="213" spans="1:29" ht="43.5">
      <c r="A213" s="2" t="s">
        <v>943</v>
      </c>
      <c r="B213" s="2" t="s">
        <v>2282</v>
      </c>
      <c r="C213" s="2" t="s">
        <v>2279</v>
      </c>
      <c r="F213" t="s">
        <v>19</v>
      </c>
      <c r="G213" s="10" t="s">
        <v>2688</v>
      </c>
      <c r="H213" s="10"/>
      <c r="I213" s="10"/>
      <c r="J213" s="10"/>
      <c r="K213" s="10"/>
      <c r="L213" s="10"/>
      <c r="M213" s="10"/>
      <c r="N213" s="11"/>
      <c r="O213" s="10"/>
      <c r="P213" s="10"/>
      <c r="Q213" s="10"/>
      <c r="R213" s="10" t="s">
        <v>2834</v>
      </c>
      <c r="S213" s="10" t="s">
        <v>2834</v>
      </c>
      <c r="T213" s="10" t="s">
        <v>4</v>
      </c>
      <c r="U213" s="10"/>
      <c r="V213" s="10"/>
      <c r="W213" s="10"/>
      <c r="X213" s="10"/>
      <c r="Y213" s="10"/>
      <c r="Z213" s="10"/>
      <c r="AA213" s="10"/>
      <c r="AB213" s="10"/>
      <c r="AC213" s="10"/>
    </row>
    <row r="214" spans="1:29" ht="29">
      <c r="A214" s="2" t="s">
        <v>946</v>
      </c>
      <c r="B214" s="2" t="s">
        <v>2289</v>
      </c>
      <c r="C214" s="2" t="s">
        <v>2290</v>
      </c>
      <c r="G214" s="10" t="s">
        <v>2686</v>
      </c>
      <c r="H214" s="10"/>
      <c r="I214" s="10"/>
      <c r="J214" s="10"/>
      <c r="K214" s="10"/>
      <c r="L214" s="10"/>
      <c r="M214" s="10"/>
      <c r="N214" s="11"/>
      <c r="O214" s="10"/>
      <c r="P214" s="10"/>
      <c r="Q214" s="10">
        <v>19</v>
      </c>
      <c r="R214" s="10">
        <v>3</v>
      </c>
      <c r="S214" s="10">
        <v>22</v>
      </c>
      <c r="T214" s="10"/>
      <c r="U214" s="10"/>
      <c r="V214" s="10"/>
      <c r="W214" s="10"/>
      <c r="X214" s="10"/>
      <c r="Y214" s="10"/>
      <c r="Z214" s="10"/>
      <c r="AA214" s="10"/>
      <c r="AB214" s="10"/>
      <c r="AC214" s="10"/>
    </row>
    <row r="215" spans="1:29">
      <c r="A215" s="2" t="s">
        <v>954</v>
      </c>
      <c r="B215" s="2" t="s">
        <v>834</v>
      </c>
      <c r="C215" s="2" t="s">
        <v>955</v>
      </c>
      <c r="G215" s="10" t="s">
        <v>2686</v>
      </c>
      <c r="H215" s="10"/>
      <c r="I215" s="10"/>
      <c r="J215" s="10"/>
      <c r="K215" s="10"/>
      <c r="L215" s="10"/>
      <c r="M215" s="10"/>
      <c r="N215" s="11"/>
      <c r="O215" s="10"/>
      <c r="P215" s="10"/>
      <c r="Q215" s="10">
        <v>-11</v>
      </c>
      <c r="R215" s="10">
        <v>11</v>
      </c>
      <c r="S215" s="10">
        <v>0</v>
      </c>
      <c r="T215" s="10"/>
      <c r="U215" s="10"/>
      <c r="V215" s="10"/>
      <c r="W215" s="10"/>
      <c r="X215" s="10"/>
      <c r="Y215" s="10"/>
      <c r="Z215" s="10"/>
      <c r="AA215" s="10"/>
      <c r="AB215" s="10"/>
      <c r="AC215" s="10"/>
    </row>
    <row r="216" spans="1:29">
      <c r="A216" s="2" t="s">
        <v>959</v>
      </c>
      <c r="B216" s="2" t="s">
        <v>2305</v>
      </c>
      <c r="C216" s="2" t="s">
        <v>2304</v>
      </c>
      <c r="G216" s="10" t="s">
        <v>2689</v>
      </c>
      <c r="H216" s="10"/>
      <c r="I216" s="10"/>
      <c r="J216" s="10"/>
      <c r="K216" s="10"/>
      <c r="L216" s="10"/>
      <c r="M216" s="10"/>
      <c r="N216" s="11"/>
      <c r="O216" s="10"/>
      <c r="P216" s="10"/>
      <c r="Q216" s="10">
        <v>825</v>
      </c>
      <c r="R216" s="10">
        <v>5</v>
      </c>
      <c r="S216" s="10">
        <v>830</v>
      </c>
      <c r="T216" s="10"/>
      <c r="U216" s="10"/>
      <c r="V216" s="10"/>
      <c r="W216" s="10"/>
      <c r="X216" s="10"/>
      <c r="Y216" s="10"/>
      <c r="Z216" s="10"/>
      <c r="AA216" s="10"/>
      <c r="AB216" s="10"/>
      <c r="AC216" s="10"/>
    </row>
    <row r="217" spans="1:29">
      <c r="A217" s="2" t="s">
        <v>959</v>
      </c>
      <c r="B217" s="2" t="s">
        <v>834</v>
      </c>
      <c r="C217" s="2" t="s">
        <v>955</v>
      </c>
      <c r="G217" s="10" t="s">
        <v>2686</v>
      </c>
      <c r="H217" s="10"/>
      <c r="I217" s="10"/>
      <c r="J217" s="10"/>
      <c r="K217" s="10"/>
      <c r="L217" s="10"/>
      <c r="M217" s="10"/>
      <c r="N217" s="11"/>
      <c r="O217" s="10"/>
      <c r="P217" s="10"/>
      <c r="Q217" s="10">
        <v>-11</v>
      </c>
      <c r="R217" s="10">
        <v>11</v>
      </c>
      <c r="S217" s="10">
        <v>0</v>
      </c>
      <c r="T217" s="10"/>
      <c r="U217" s="10"/>
      <c r="V217" s="10"/>
      <c r="W217" s="10"/>
      <c r="X217" s="10"/>
      <c r="Y217" s="10"/>
      <c r="Z217" s="10"/>
      <c r="AA217" s="10"/>
      <c r="AB217" s="10"/>
      <c r="AC217" s="10"/>
    </row>
    <row r="218" spans="1:29" ht="29">
      <c r="A218" s="2" t="s">
        <v>964</v>
      </c>
      <c r="B218" s="2" t="s">
        <v>2306</v>
      </c>
      <c r="C218" s="2" t="s">
        <v>2307</v>
      </c>
      <c r="F218" t="s">
        <v>19</v>
      </c>
      <c r="G218" s="10" t="s">
        <v>2686</v>
      </c>
      <c r="H218" s="10"/>
      <c r="I218" s="10"/>
      <c r="J218" s="10"/>
      <c r="K218" s="10"/>
      <c r="L218" s="10"/>
      <c r="M218" s="10"/>
      <c r="N218" s="11"/>
      <c r="O218" s="10"/>
      <c r="P218" s="10"/>
      <c r="Q218" s="10">
        <v>-19</v>
      </c>
      <c r="R218" s="10">
        <v>19</v>
      </c>
      <c r="S218" s="10">
        <v>0</v>
      </c>
      <c r="T218" s="10"/>
      <c r="U218" s="10"/>
      <c r="V218" s="10"/>
      <c r="W218" s="10"/>
      <c r="X218" s="10"/>
      <c r="Y218" s="10"/>
      <c r="Z218" s="10"/>
      <c r="AA218" s="10"/>
      <c r="AB218" s="10"/>
      <c r="AC218" s="10"/>
    </row>
    <row r="219" spans="1:29">
      <c r="A219" s="2" t="s">
        <v>967</v>
      </c>
      <c r="B219" s="13" t="s">
        <v>2319</v>
      </c>
      <c r="C219" s="2" t="s">
        <v>2320</v>
      </c>
      <c r="F219" t="s">
        <v>19</v>
      </c>
      <c r="G219" s="10" t="s">
        <v>2688</v>
      </c>
      <c r="H219" s="10"/>
      <c r="I219" s="10"/>
      <c r="J219" s="10"/>
      <c r="K219" s="10"/>
      <c r="L219" s="10"/>
      <c r="M219" s="10"/>
      <c r="N219" s="11"/>
      <c r="O219" s="10"/>
      <c r="P219" s="10"/>
      <c r="Q219" s="10"/>
      <c r="R219" s="10" t="s">
        <v>2834</v>
      </c>
      <c r="S219" s="10" t="s">
        <v>2834</v>
      </c>
      <c r="T219" s="10"/>
      <c r="U219" s="10"/>
      <c r="V219" s="10"/>
      <c r="W219" s="10"/>
      <c r="X219" s="10"/>
      <c r="Y219" s="10"/>
      <c r="Z219" s="10"/>
      <c r="AA219" s="10"/>
      <c r="AB219" s="10"/>
      <c r="AC219" s="10"/>
    </row>
    <row r="220" spans="1:29">
      <c r="A220" s="2" t="s">
        <v>970</v>
      </c>
      <c r="B220" s="2" t="s">
        <v>2323</v>
      </c>
      <c r="C220" s="2" t="s">
        <v>972</v>
      </c>
      <c r="F220" t="s">
        <v>19</v>
      </c>
      <c r="G220" s="10" t="s">
        <v>2688</v>
      </c>
      <c r="H220" s="10"/>
      <c r="I220" s="10"/>
      <c r="J220" s="10"/>
      <c r="K220" s="10"/>
      <c r="L220" s="10"/>
      <c r="M220" s="10"/>
      <c r="N220" s="11"/>
      <c r="O220" s="10"/>
      <c r="P220" s="10"/>
      <c r="Q220" s="10"/>
      <c r="R220" s="10" t="s">
        <v>2834</v>
      </c>
      <c r="S220" s="10" t="s">
        <v>2834</v>
      </c>
      <c r="T220" s="10"/>
      <c r="U220" s="10"/>
      <c r="V220" s="10"/>
      <c r="W220" s="10"/>
      <c r="X220" s="10"/>
      <c r="Y220" s="10"/>
      <c r="Z220" s="10"/>
      <c r="AA220" s="10"/>
      <c r="AB220" s="10"/>
      <c r="AC220" s="10"/>
    </row>
    <row r="221" spans="1:29">
      <c r="A221" s="2" t="s">
        <v>988</v>
      </c>
      <c r="B221" s="2" t="s">
        <v>2335</v>
      </c>
      <c r="C221" s="2" t="s">
        <v>2336</v>
      </c>
      <c r="F221" t="s">
        <v>19</v>
      </c>
      <c r="G221" s="10" t="s">
        <v>25</v>
      </c>
      <c r="H221" s="10"/>
      <c r="I221" s="10">
        <v>1</v>
      </c>
      <c r="J221" s="10">
        <v>3</v>
      </c>
      <c r="K221" s="10" t="s">
        <v>2646</v>
      </c>
      <c r="L221" s="10" t="s">
        <v>2647</v>
      </c>
      <c r="M221" s="10"/>
      <c r="N221" s="11"/>
      <c r="O221" s="10"/>
      <c r="P221" s="10">
        <v>2475</v>
      </c>
      <c r="Q221" s="10"/>
      <c r="R221" s="10" t="s">
        <v>2834</v>
      </c>
      <c r="S221" s="10" t="s">
        <v>2834</v>
      </c>
      <c r="T221" s="10"/>
      <c r="U221" s="10"/>
      <c r="V221" s="10"/>
      <c r="W221" s="10"/>
      <c r="X221" s="10"/>
      <c r="Y221" s="10"/>
      <c r="Z221" s="10"/>
      <c r="AA221" s="10"/>
      <c r="AB221" s="10"/>
      <c r="AC221" s="10"/>
    </row>
    <row r="222" spans="1:29">
      <c r="A222" s="2" t="s">
        <v>988</v>
      </c>
      <c r="B222" s="2" t="s">
        <v>1268</v>
      </c>
      <c r="C222" s="2" t="s">
        <v>2026</v>
      </c>
      <c r="G222" s="10" t="s">
        <v>2686</v>
      </c>
      <c r="H222" s="10"/>
      <c r="I222" s="10"/>
      <c r="J222" s="10"/>
      <c r="K222" s="10"/>
      <c r="L222" s="10"/>
      <c r="M222" s="10"/>
      <c r="N222" s="11"/>
      <c r="O222" s="10"/>
      <c r="P222" s="10"/>
      <c r="Q222" s="10">
        <v>-431</v>
      </c>
      <c r="R222" s="10">
        <v>743</v>
      </c>
      <c r="S222" s="10">
        <v>312</v>
      </c>
      <c r="T222" s="10"/>
      <c r="U222" s="10"/>
      <c r="V222" s="10"/>
      <c r="W222" s="10"/>
      <c r="X222" s="10"/>
      <c r="Y222" s="10"/>
      <c r="Z222" s="10"/>
      <c r="AA222" s="10"/>
      <c r="AB222" s="10"/>
      <c r="AC222" s="10"/>
    </row>
    <row r="223" spans="1:29">
      <c r="A223" s="2" t="s">
        <v>989</v>
      </c>
      <c r="B223" s="2" t="s">
        <v>2337</v>
      </c>
      <c r="C223" s="2" t="s">
        <v>2338</v>
      </c>
      <c r="F223" t="s">
        <v>19</v>
      </c>
      <c r="G223" s="10" t="s">
        <v>25</v>
      </c>
      <c r="H223" s="10"/>
      <c r="I223" s="10">
        <v>1</v>
      </c>
      <c r="J223" s="10">
        <v>2</v>
      </c>
      <c r="K223" s="10" t="s">
        <v>2662</v>
      </c>
      <c r="L223" s="10" t="s">
        <v>2687</v>
      </c>
      <c r="M223" s="10"/>
      <c r="N223" s="11"/>
      <c r="O223" s="10"/>
      <c r="P223" s="10">
        <v>743</v>
      </c>
      <c r="Q223" s="10"/>
      <c r="R223" s="10" t="s">
        <v>2834</v>
      </c>
      <c r="S223" s="10" t="s">
        <v>2834</v>
      </c>
      <c r="T223" s="10"/>
      <c r="U223" s="10"/>
      <c r="V223" s="10"/>
      <c r="W223" s="10"/>
      <c r="X223" s="10"/>
      <c r="Y223" s="10"/>
      <c r="Z223" s="10"/>
      <c r="AA223" s="10"/>
      <c r="AB223" s="10"/>
      <c r="AC223" s="10"/>
    </row>
    <row r="224" spans="1:29">
      <c r="A224" s="2" t="s">
        <v>989</v>
      </c>
      <c r="B224" s="2" t="s">
        <v>2339</v>
      </c>
      <c r="C224" s="2" t="s">
        <v>2340</v>
      </c>
      <c r="F224" t="s">
        <v>19</v>
      </c>
      <c r="G224" s="10" t="s">
        <v>2686</v>
      </c>
      <c r="H224" s="10"/>
      <c r="I224" s="10"/>
      <c r="J224" s="10"/>
      <c r="K224" s="10"/>
      <c r="L224" s="10"/>
      <c r="M224" s="10"/>
      <c r="N224" s="10"/>
      <c r="O224" s="10"/>
      <c r="P224" s="10"/>
      <c r="Q224" s="10">
        <v>11</v>
      </c>
      <c r="R224" s="10">
        <v>1</v>
      </c>
      <c r="S224" s="10">
        <v>12</v>
      </c>
      <c r="T224" s="10"/>
      <c r="U224" s="10"/>
      <c r="V224" s="10"/>
      <c r="W224" s="10"/>
      <c r="X224" s="10"/>
      <c r="Y224" s="10"/>
      <c r="Z224" s="10"/>
      <c r="AA224" s="10"/>
      <c r="AB224" s="10"/>
      <c r="AC224" s="10"/>
    </row>
    <row r="225" spans="1:29">
      <c r="A225" s="2" t="s">
        <v>991</v>
      </c>
      <c r="B225" s="2" t="s">
        <v>993</v>
      </c>
      <c r="C225" s="2" t="s">
        <v>992</v>
      </c>
      <c r="G225" s="10" t="s">
        <v>2688</v>
      </c>
      <c r="H225" s="10"/>
      <c r="I225" s="10"/>
      <c r="J225" s="10"/>
      <c r="K225" s="10"/>
      <c r="L225" s="10"/>
      <c r="M225" s="10"/>
      <c r="N225" s="11"/>
      <c r="O225" s="10"/>
      <c r="P225" s="10"/>
      <c r="Q225" s="10"/>
      <c r="R225" s="10" t="s">
        <v>2834</v>
      </c>
      <c r="S225" s="10" t="s">
        <v>2834</v>
      </c>
      <c r="T225" s="10"/>
      <c r="U225" s="10"/>
      <c r="V225" s="10"/>
      <c r="W225" s="10"/>
      <c r="X225" s="10"/>
      <c r="Y225" s="10"/>
      <c r="Z225" s="10"/>
      <c r="AA225" s="10"/>
      <c r="AB225" s="10"/>
      <c r="AC225" s="10"/>
    </row>
    <row r="226" spans="1:29" ht="29">
      <c r="A226" s="2" t="s">
        <v>994</v>
      </c>
      <c r="B226" s="2" t="s">
        <v>2351</v>
      </c>
      <c r="C226" s="2" t="s">
        <v>2352</v>
      </c>
      <c r="F226" t="s">
        <v>19</v>
      </c>
      <c r="G226" s="10" t="s">
        <v>2688</v>
      </c>
      <c r="H226" s="10"/>
      <c r="I226" s="10"/>
      <c r="J226" s="10"/>
      <c r="K226" s="10"/>
      <c r="L226" s="10"/>
      <c r="M226" s="10"/>
      <c r="N226" s="11"/>
      <c r="O226" s="10"/>
      <c r="P226" s="10"/>
      <c r="Q226" s="10"/>
      <c r="R226" s="10" t="s">
        <v>2834</v>
      </c>
      <c r="S226" s="10" t="s">
        <v>2834</v>
      </c>
      <c r="T226" s="10"/>
      <c r="U226" s="10"/>
      <c r="V226" s="10"/>
      <c r="W226" s="10"/>
      <c r="X226" s="10"/>
      <c r="Y226" s="10"/>
      <c r="Z226" s="10"/>
      <c r="AA226" s="10"/>
      <c r="AB226" s="10"/>
      <c r="AC226" s="10"/>
    </row>
    <row r="227" spans="1:29">
      <c r="A227" s="2" t="s">
        <v>1005</v>
      </c>
      <c r="B227" s="2" t="s">
        <v>2367</v>
      </c>
      <c r="C227" s="2" t="s">
        <v>2368</v>
      </c>
      <c r="G227" s="10" t="s">
        <v>2686</v>
      </c>
      <c r="H227" s="10"/>
      <c r="I227" s="10"/>
      <c r="J227" s="10"/>
      <c r="K227" s="10"/>
      <c r="L227" s="10"/>
      <c r="M227" s="10"/>
      <c r="N227" s="11"/>
      <c r="O227" s="10"/>
      <c r="P227" s="10"/>
      <c r="Q227" s="10">
        <v>61</v>
      </c>
      <c r="R227" s="10">
        <v>5</v>
      </c>
      <c r="S227" s="10">
        <v>66</v>
      </c>
      <c r="T227" s="10"/>
      <c r="U227" s="10"/>
      <c r="V227" s="10"/>
      <c r="W227" s="10"/>
      <c r="X227" s="10"/>
      <c r="Y227" s="10"/>
      <c r="Z227" s="10"/>
      <c r="AA227" s="10"/>
      <c r="AB227" s="10"/>
      <c r="AC227" s="10"/>
    </row>
    <row r="228" spans="1:29">
      <c r="A228" s="2" t="s">
        <v>1006</v>
      </c>
      <c r="B228" s="2" t="s">
        <v>2369</v>
      </c>
      <c r="C228" s="2" t="s">
        <v>2370</v>
      </c>
      <c r="F228" t="s">
        <v>19</v>
      </c>
      <c r="G228" s="10" t="s">
        <v>2686</v>
      </c>
      <c r="H228" s="10"/>
      <c r="I228" s="10"/>
      <c r="J228" s="10"/>
      <c r="K228" s="10"/>
      <c r="L228" s="10"/>
      <c r="M228" s="10"/>
      <c r="N228" s="11"/>
      <c r="O228" s="10"/>
      <c r="P228" s="10"/>
      <c r="Q228" s="10">
        <v>35</v>
      </c>
      <c r="R228" s="10">
        <v>5</v>
      </c>
      <c r="S228" s="10">
        <v>40</v>
      </c>
      <c r="T228" s="10"/>
      <c r="U228" s="10"/>
      <c r="V228" s="10"/>
      <c r="W228" s="10"/>
      <c r="X228" s="10"/>
      <c r="Y228" s="10"/>
      <c r="Z228" s="10"/>
      <c r="AA228" s="10"/>
      <c r="AB228" s="10"/>
      <c r="AC228" s="10"/>
    </row>
    <row r="229" spans="1:29">
      <c r="A229" s="2" t="s">
        <v>1007</v>
      </c>
      <c r="B229" s="2" t="s">
        <v>2371</v>
      </c>
      <c r="C229" s="2" t="s">
        <v>2947</v>
      </c>
      <c r="F229" t="s">
        <v>19</v>
      </c>
      <c r="G229" s="10" t="s">
        <v>2686</v>
      </c>
      <c r="H229" s="10"/>
      <c r="I229" s="10"/>
      <c r="J229" s="10"/>
      <c r="K229" s="10"/>
      <c r="L229" s="10"/>
      <c r="M229" s="10"/>
      <c r="N229" s="11"/>
      <c r="O229" s="10"/>
      <c r="P229" s="10"/>
      <c r="Q229" s="10">
        <v>-2446</v>
      </c>
      <c r="R229" s="10">
        <v>2475</v>
      </c>
      <c r="S229" s="10">
        <v>29</v>
      </c>
      <c r="T229" s="10"/>
      <c r="U229" s="10"/>
      <c r="V229" s="10"/>
      <c r="W229" s="10"/>
      <c r="X229" s="10"/>
      <c r="Y229" s="10"/>
      <c r="Z229" s="10"/>
      <c r="AA229" s="10"/>
      <c r="AB229" s="10"/>
      <c r="AC229" s="10"/>
    </row>
    <row r="230" spans="1:29">
      <c r="A230" s="2" t="s">
        <v>1007</v>
      </c>
      <c r="B230" s="2" t="s">
        <v>2372</v>
      </c>
      <c r="C230" s="2" t="s">
        <v>1008</v>
      </c>
      <c r="F230" t="s">
        <v>19</v>
      </c>
      <c r="G230" s="10" t="s">
        <v>2688</v>
      </c>
      <c r="H230" s="10"/>
      <c r="I230" s="10"/>
      <c r="J230" s="10"/>
      <c r="K230" s="10"/>
      <c r="L230" s="10"/>
      <c r="M230" s="10"/>
      <c r="N230" s="11"/>
      <c r="O230" s="10"/>
      <c r="P230" s="10"/>
      <c r="Q230" s="10"/>
      <c r="R230" s="10" t="s">
        <v>2834</v>
      </c>
      <c r="S230" s="10" t="s">
        <v>2834</v>
      </c>
      <c r="T230" s="10"/>
      <c r="U230" s="10"/>
      <c r="V230" s="10"/>
      <c r="W230" s="10"/>
      <c r="X230" s="10"/>
      <c r="Y230" s="10"/>
      <c r="Z230" s="10" t="s">
        <v>2699</v>
      </c>
      <c r="AA230" s="10" t="s">
        <v>20</v>
      </c>
      <c r="AB230" s="10"/>
      <c r="AC230" s="10"/>
    </row>
    <row r="231" spans="1:29">
      <c r="A231" s="2" t="s">
        <v>1018</v>
      </c>
      <c r="B231" s="2" t="s">
        <v>2379</v>
      </c>
      <c r="C231" s="2" t="s">
        <v>2378</v>
      </c>
      <c r="G231" s="10" t="s">
        <v>24</v>
      </c>
      <c r="H231" s="10"/>
      <c r="I231" s="10">
        <v>1</v>
      </c>
      <c r="J231" s="10">
        <v>3</v>
      </c>
      <c r="K231" s="10" t="s">
        <v>2655</v>
      </c>
      <c r="L231" s="10" t="s">
        <v>2647</v>
      </c>
      <c r="M231" s="10"/>
      <c r="N231" s="11"/>
      <c r="O231" s="10"/>
      <c r="P231" s="10">
        <v>1701</v>
      </c>
      <c r="Q231" s="10"/>
      <c r="R231" s="10" t="s">
        <v>2834</v>
      </c>
      <c r="S231" s="10" t="s">
        <v>2834</v>
      </c>
      <c r="T231" s="10"/>
      <c r="U231" s="10"/>
      <c r="V231" s="10"/>
      <c r="W231" s="10"/>
      <c r="X231" s="10"/>
      <c r="Y231" s="10"/>
      <c r="Z231" s="10"/>
      <c r="AA231" s="10"/>
      <c r="AB231" s="10"/>
      <c r="AC231" s="10"/>
    </row>
    <row r="232" spans="1:29">
      <c r="A232" s="2" t="s">
        <v>1027</v>
      </c>
      <c r="B232" s="13" t="s">
        <v>2386</v>
      </c>
      <c r="C232" t="s">
        <v>2387</v>
      </c>
      <c r="F232" t="s">
        <v>19</v>
      </c>
      <c r="G232" s="10" t="s">
        <v>2688</v>
      </c>
      <c r="H232" s="10"/>
      <c r="I232" s="10"/>
      <c r="J232" s="10"/>
      <c r="K232" s="10"/>
      <c r="L232" s="10"/>
      <c r="M232" s="10"/>
      <c r="N232" s="11"/>
      <c r="O232" s="10"/>
      <c r="P232" s="10"/>
      <c r="Q232" s="10"/>
      <c r="R232" s="10" t="s">
        <v>2834</v>
      </c>
      <c r="S232" s="10" t="s">
        <v>2834</v>
      </c>
      <c r="T232" s="10"/>
      <c r="U232" s="10"/>
      <c r="V232" s="10"/>
      <c r="W232" s="10"/>
      <c r="X232" s="10"/>
      <c r="Y232" s="10"/>
      <c r="Z232" s="10"/>
      <c r="AA232" s="10"/>
      <c r="AB232" s="10"/>
      <c r="AC232" s="10"/>
    </row>
    <row r="233" spans="1:29" ht="43.5">
      <c r="A233" s="2" t="s">
        <v>1046</v>
      </c>
      <c r="B233" s="2" t="s">
        <v>2406</v>
      </c>
      <c r="C233" s="2" t="s">
        <v>2405</v>
      </c>
      <c r="F233" t="s">
        <v>19</v>
      </c>
      <c r="G233" s="10" t="s">
        <v>25</v>
      </c>
      <c r="H233" s="10"/>
      <c r="I233" s="10">
        <v>3</v>
      </c>
      <c r="J233" s="10">
        <v>13</v>
      </c>
      <c r="K233" s="10"/>
      <c r="L233" s="10" t="s">
        <v>2641</v>
      </c>
      <c r="M233" s="10" t="s">
        <v>2712</v>
      </c>
      <c r="N233" s="11" t="s">
        <v>2713</v>
      </c>
      <c r="O233" s="10"/>
      <c r="P233" s="10">
        <v>1</v>
      </c>
      <c r="Q233" s="10"/>
      <c r="R233" s="10" t="s">
        <v>2834</v>
      </c>
      <c r="S233" s="10" t="s">
        <v>2834</v>
      </c>
      <c r="T233" s="10"/>
      <c r="U233" s="10"/>
      <c r="V233" s="10"/>
      <c r="W233" s="10"/>
      <c r="X233" s="10"/>
      <c r="Y233" s="10"/>
      <c r="Z233" s="10"/>
      <c r="AA233" s="10"/>
      <c r="AB233" s="10"/>
      <c r="AC233" s="10"/>
    </row>
    <row r="234" spans="1:29">
      <c r="A234" s="2" t="s">
        <v>1048</v>
      </c>
      <c r="B234" s="13" t="s">
        <v>2411</v>
      </c>
      <c r="C234" t="s">
        <v>2412</v>
      </c>
      <c r="G234" s="10" t="s">
        <v>2686</v>
      </c>
      <c r="H234" s="10"/>
      <c r="I234" s="10"/>
      <c r="J234" s="10"/>
      <c r="K234" s="10"/>
      <c r="L234" s="10"/>
      <c r="M234" s="10"/>
      <c r="N234" s="11"/>
      <c r="O234" s="10"/>
      <c r="P234" s="10"/>
      <c r="Q234" s="10">
        <v>249</v>
      </c>
      <c r="R234" s="10">
        <v>31</v>
      </c>
      <c r="S234" s="10">
        <v>280</v>
      </c>
      <c r="T234" s="10"/>
      <c r="U234" s="10"/>
      <c r="V234" s="10"/>
      <c r="W234" s="10"/>
      <c r="X234" s="10"/>
      <c r="Y234" s="10"/>
      <c r="Z234" s="10"/>
      <c r="AA234" s="10"/>
      <c r="AB234" s="10"/>
      <c r="AC234" s="10"/>
    </row>
    <row r="235" spans="1:29" ht="29">
      <c r="A235" s="2" t="s">
        <v>1051</v>
      </c>
      <c r="B235" s="2" t="s">
        <v>2418</v>
      </c>
      <c r="C235" s="2" t="s">
        <v>2416</v>
      </c>
      <c r="D235" t="s">
        <v>12</v>
      </c>
      <c r="G235" s="10" t="s">
        <v>25</v>
      </c>
      <c r="H235" s="10"/>
      <c r="I235" s="10">
        <v>2</v>
      </c>
      <c r="J235" s="10">
        <v>12</v>
      </c>
      <c r="K235" s="10"/>
      <c r="L235" s="10" t="s">
        <v>2647</v>
      </c>
      <c r="M235" s="10"/>
      <c r="N235" s="11"/>
      <c r="O235" s="10"/>
      <c r="P235" s="10">
        <v>3</v>
      </c>
      <c r="Q235" s="10"/>
      <c r="R235" s="10" t="s">
        <v>2834</v>
      </c>
      <c r="S235" s="10" t="s">
        <v>2834</v>
      </c>
      <c r="T235" s="10"/>
      <c r="U235" s="10"/>
      <c r="V235" s="10"/>
      <c r="W235" s="10"/>
      <c r="X235" s="10"/>
      <c r="Y235" s="10"/>
      <c r="Z235" s="10"/>
      <c r="AA235" s="10"/>
      <c r="AB235" s="10"/>
      <c r="AC235" s="10"/>
    </row>
    <row r="236" spans="1:29">
      <c r="A236" s="2" t="s">
        <v>1064</v>
      </c>
      <c r="B236" s="2" t="s">
        <v>2434</v>
      </c>
      <c r="C236" s="2" t="s">
        <v>2433</v>
      </c>
      <c r="G236" s="10" t="s">
        <v>2686</v>
      </c>
      <c r="H236" s="10"/>
      <c r="I236" s="10"/>
      <c r="J236" s="10"/>
      <c r="K236" s="10"/>
      <c r="L236" s="10"/>
      <c r="M236" s="10"/>
      <c r="N236" s="11"/>
      <c r="O236" s="10"/>
      <c r="P236" s="10"/>
      <c r="Q236" s="10">
        <v>-31</v>
      </c>
      <c r="R236" s="10">
        <v>35</v>
      </c>
      <c r="S236" s="10">
        <v>4</v>
      </c>
      <c r="T236" s="10"/>
      <c r="U236" s="10"/>
      <c r="V236" s="10"/>
      <c r="W236" s="10"/>
      <c r="X236" s="10"/>
      <c r="Y236" s="10"/>
      <c r="Z236" s="10"/>
      <c r="AA236" s="10"/>
      <c r="AB236" s="10"/>
      <c r="AC236" s="10"/>
    </row>
    <row r="237" spans="1:29">
      <c r="A237" s="2" t="s">
        <v>1064</v>
      </c>
      <c r="B237" s="2" t="s">
        <v>2435</v>
      </c>
      <c r="C237" s="2" t="s">
        <v>2436</v>
      </c>
      <c r="F237" t="s">
        <v>19</v>
      </c>
      <c r="G237" s="10" t="s">
        <v>2686</v>
      </c>
      <c r="H237" s="10"/>
      <c r="I237" s="10"/>
      <c r="J237" s="10"/>
      <c r="K237" s="10"/>
      <c r="L237" s="10"/>
      <c r="M237" s="10"/>
      <c r="N237" s="11"/>
      <c r="O237" s="10"/>
      <c r="P237" s="10"/>
      <c r="Q237" s="10">
        <v>789</v>
      </c>
      <c r="R237" s="10">
        <v>41</v>
      </c>
      <c r="S237" s="10">
        <v>830</v>
      </c>
      <c r="T237" s="10"/>
      <c r="U237" s="10"/>
      <c r="V237" s="10"/>
      <c r="W237" s="10"/>
      <c r="X237" s="10"/>
      <c r="Y237" s="10"/>
      <c r="Z237" s="10"/>
      <c r="AA237" s="10"/>
      <c r="AB237" s="10"/>
      <c r="AC237" s="10"/>
    </row>
    <row r="238" spans="1:29">
      <c r="A238" s="2" t="s">
        <v>1074</v>
      </c>
      <c r="B238" s="2" t="s">
        <v>2444</v>
      </c>
      <c r="C238" s="2" t="s">
        <v>2443</v>
      </c>
      <c r="G238" s="10" t="s">
        <v>2688</v>
      </c>
      <c r="H238" s="10"/>
      <c r="I238" s="10"/>
      <c r="J238" s="10"/>
      <c r="K238" s="10"/>
      <c r="L238" s="10"/>
      <c r="M238" s="10"/>
      <c r="N238" s="11"/>
      <c r="O238" s="10"/>
      <c r="P238" s="10"/>
      <c r="Q238" s="10"/>
      <c r="R238" s="10" t="s">
        <v>2834</v>
      </c>
      <c r="S238" s="10" t="s">
        <v>2834</v>
      </c>
      <c r="T238" s="10"/>
      <c r="U238" s="10"/>
      <c r="V238" s="10"/>
      <c r="W238" s="10"/>
      <c r="X238" s="10"/>
      <c r="Y238" s="10"/>
      <c r="Z238" s="10"/>
      <c r="AA238" s="10"/>
      <c r="AB238" s="10"/>
      <c r="AC238" s="10"/>
    </row>
    <row r="239" spans="1:29">
      <c r="A239" s="2" t="s">
        <v>1083</v>
      </c>
      <c r="B239" s="2" t="s">
        <v>2455</v>
      </c>
      <c r="C239" s="2" t="s">
        <v>2456</v>
      </c>
      <c r="F239" t="s">
        <v>19</v>
      </c>
      <c r="G239" s="10" t="s">
        <v>2686</v>
      </c>
      <c r="H239" s="10"/>
      <c r="I239" s="10"/>
      <c r="J239" s="10"/>
      <c r="K239" s="10"/>
      <c r="L239" s="10"/>
      <c r="M239" s="10"/>
      <c r="N239" s="11"/>
      <c r="O239" s="10"/>
      <c r="P239" s="10"/>
      <c r="Q239" s="10">
        <v>6</v>
      </c>
      <c r="R239" s="10">
        <v>1</v>
      </c>
      <c r="S239" s="10">
        <v>7</v>
      </c>
      <c r="T239" s="10"/>
      <c r="U239" s="10"/>
      <c r="V239" s="10"/>
      <c r="W239" s="10"/>
      <c r="X239" s="10"/>
      <c r="Y239" s="10"/>
      <c r="Z239" s="10"/>
      <c r="AA239" s="10"/>
      <c r="AB239" s="10"/>
      <c r="AC239" s="10"/>
    </row>
    <row r="240" spans="1:29" ht="29">
      <c r="A240" s="2" t="s">
        <v>1089</v>
      </c>
      <c r="B240" s="2" t="s">
        <v>2465</v>
      </c>
      <c r="C240" s="2" t="s">
        <v>2466</v>
      </c>
      <c r="F240" t="s">
        <v>19</v>
      </c>
      <c r="G240" s="10" t="s">
        <v>2688</v>
      </c>
      <c r="H240" s="10"/>
      <c r="I240" s="10"/>
      <c r="J240" s="10"/>
      <c r="K240" s="10"/>
      <c r="L240" s="10"/>
      <c r="M240" s="10"/>
      <c r="N240" s="11"/>
      <c r="O240" s="10"/>
      <c r="P240" s="10"/>
      <c r="Q240" s="10"/>
      <c r="R240" s="10" t="s">
        <v>2834</v>
      </c>
      <c r="S240" s="10" t="s">
        <v>2834</v>
      </c>
      <c r="T240" s="10"/>
      <c r="U240" s="10"/>
      <c r="V240" s="10"/>
      <c r="W240" s="10"/>
      <c r="X240" s="10"/>
      <c r="Y240" s="10"/>
      <c r="Z240" s="10"/>
      <c r="AA240" s="10"/>
      <c r="AB240" s="10"/>
      <c r="AC240" s="10"/>
    </row>
    <row r="241" spans="1:29">
      <c r="A241" s="2" t="s">
        <v>1089</v>
      </c>
      <c r="B241" s="2" t="s">
        <v>2469</v>
      </c>
      <c r="C241" s="2" t="s">
        <v>1090</v>
      </c>
      <c r="F241" t="s">
        <v>19</v>
      </c>
      <c r="G241" s="10" t="s">
        <v>2688</v>
      </c>
      <c r="H241" s="10"/>
      <c r="I241" s="10"/>
      <c r="J241" s="10"/>
      <c r="K241" s="10"/>
      <c r="L241" s="10"/>
      <c r="M241" s="10"/>
      <c r="N241" s="11"/>
      <c r="O241" s="10"/>
      <c r="P241" s="10"/>
      <c r="Q241" s="10"/>
      <c r="R241" s="10" t="s">
        <v>2834</v>
      </c>
      <c r="S241" s="10" t="s">
        <v>2834</v>
      </c>
      <c r="T241" s="10"/>
      <c r="U241" s="10"/>
      <c r="V241" s="10"/>
      <c r="W241" s="10"/>
      <c r="X241" s="10"/>
      <c r="Y241" s="10"/>
      <c r="Z241" s="10"/>
      <c r="AA241" s="10"/>
      <c r="AB241" s="10"/>
      <c r="AC241" s="10"/>
    </row>
    <row r="242" spans="1:29">
      <c r="A242" s="2" t="s">
        <v>1091</v>
      </c>
      <c r="B242" s="2" t="s">
        <v>2473</v>
      </c>
      <c r="C242" s="2" t="s">
        <v>2472</v>
      </c>
      <c r="G242" s="10" t="s">
        <v>25</v>
      </c>
      <c r="H242" s="10"/>
      <c r="I242" s="10">
        <v>1</v>
      </c>
      <c r="J242" s="10">
        <v>3</v>
      </c>
      <c r="K242" s="10" t="s">
        <v>2655</v>
      </c>
      <c r="L242" s="10" t="s">
        <v>2647</v>
      </c>
      <c r="M242" s="10"/>
      <c r="N242" s="11"/>
      <c r="O242" s="10"/>
      <c r="P242" s="10">
        <v>1701</v>
      </c>
      <c r="Q242" s="10"/>
      <c r="R242" s="10" t="s">
        <v>2834</v>
      </c>
      <c r="S242" s="10" t="s">
        <v>2834</v>
      </c>
      <c r="T242" s="10"/>
      <c r="U242" s="10"/>
      <c r="V242" s="10"/>
      <c r="W242" s="10"/>
      <c r="X242" s="10"/>
      <c r="Y242" s="10"/>
      <c r="Z242" s="10"/>
      <c r="AA242" s="10"/>
      <c r="AB242" s="10"/>
      <c r="AC242" s="10"/>
    </row>
    <row r="243" spans="1:29">
      <c r="A243" s="2" t="s">
        <v>1094</v>
      </c>
      <c r="B243" s="2" t="s">
        <v>2475</v>
      </c>
      <c r="C243" s="2" t="s">
        <v>2474</v>
      </c>
      <c r="G243" s="10" t="s">
        <v>25</v>
      </c>
      <c r="H243" s="10"/>
      <c r="I243" s="10">
        <v>1</v>
      </c>
      <c r="J243" s="10">
        <v>1</v>
      </c>
      <c r="K243" s="10" t="s">
        <v>2646</v>
      </c>
      <c r="L243" s="10" t="s">
        <v>2687</v>
      </c>
      <c r="M243" s="10"/>
      <c r="N243" s="11"/>
      <c r="O243" s="10"/>
      <c r="P243" s="10">
        <v>2475</v>
      </c>
      <c r="Q243" s="10"/>
      <c r="R243" s="10" t="s">
        <v>2834</v>
      </c>
      <c r="S243" s="10" t="s">
        <v>2834</v>
      </c>
      <c r="T243" s="10"/>
      <c r="U243" s="10"/>
      <c r="V243" s="10"/>
      <c r="W243" s="10"/>
      <c r="X243" s="10"/>
      <c r="Y243" s="10"/>
      <c r="Z243" s="10"/>
      <c r="AA243" s="10"/>
      <c r="AB243" s="10"/>
      <c r="AC243" s="10"/>
    </row>
    <row r="244" spans="1:29">
      <c r="A244" s="2" t="s">
        <v>1099</v>
      </c>
      <c r="B244" s="2" t="s">
        <v>2479</v>
      </c>
      <c r="C244" s="2" t="s">
        <v>2480</v>
      </c>
      <c r="G244" s="10" t="s">
        <v>2686</v>
      </c>
      <c r="H244" s="10"/>
      <c r="I244" s="10"/>
      <c r="J244" s="10"/>
      <c r="K244" s="10"/>
      <c r="L244" s="10"/>
      <c r="M244" s="10"/>
      <c r="N244" s="11"/>
      <c r="O244" s="10"/>
      <c r="P244" s="10"/>
      <c r="Q244" s="10">
        <v>18</v>
      </c>
      <c r="R244" s="10">
        <v>4</v>
      </c>
      <c r="S244" s="10">
        <v>22</v>
      </c>
      <c r="T244" s="10"/>
      <c r="U244" s="10"/>
      <c r="V244" s="10"/>
      <c r="W244" s="10"/>
      <c r="X244" s="10"/>
      <c r="Y244" s="10"/>
      <c r="Z244" s="10"/>
      <c r="AA244" s="10"/>
      <c r="AB244" s="10"/>
      <c r="AC244" s="10"/>
    </row>
    <row r="245" spans="1:29">
      <c r="A245" s="2" t="s">
        <v>1100</v>
      </c>
      <c r="B245" s="2" t="s">
        <v>2484</v>
      </c>
      <c r="C245" s="2" t="s">
        <v>2481</v>
      </c>
      <c r="F245" t="s">
        <v>19</v>
      </c>
      <c r="G245" s="10" t="s">
        <v>25</v>
      </c>
      <c r="H245" s="10"/>
      <c r="I245" s="10">
        <v>1</v>
      </c>
      <c r="J245" s="10">
        <v>3</v>
      </c>
      <c r="K245" s="10" t="s">
        <v>2655</v>
      </c>
      <c r="L245" s="10" t="s">
        <v>2647</v>
      </c>
      <c r="M245" s="10"/>
      <c r="N245" s="11"/>
      <c r="O245" s="10"/>
      <c r="P245" s="10">
        <v>86</v>
      </c>
      <c r="Q245" s="10"/>
      <c r="R245" s="10" t="s">
        <v>2834</v>
      </c>
      <c r="S245" s="10" t="s">
        <v>2834</v>
      </c>
      <c r="T245" s="10"/>
      <c r="U245" s="10"/>
      <c r="V245" s="10"/>
      <c r="W245" s="10"/>
      <c r="X245" s="10"/>
      <c r="Y245" s="10"/>
      <c r="Z245" s="10"/>
      <c r="AA245" s="10"/>
      <c r="AB245" s="10"/>
      <c r="AC245" s="10"/>
    </row>
    <row r="246" spans="1:29" ht="29">
      <c r="A246" s="2" t="s">
        <v>1107</v>
      </c>
      <c r="B246" s="2" t="s">
        <v>2493</v>
      </c>
      <c r="C246" s="2" t="s">
        <v>2494</v>
      </c>
      <c r="F246" t="s">
        <v>19</v>
      </c>
      <c r="G246" s="10" t="s">
        <v>25</v>
      </c>
      <c r="H246" s="10"/>
      <c r="I246" s="10">
        <v>1</v>
      </c>
      <c r="J246" s="10">
        <v>5</v>
      </c>
      <c r="K246" s="10" t="s">
        <v>2660</v>
      </c>
      <c r="L246" s="10" t="s">
        <v>2641</v>
      </c>
      <c r="M246" s="10" t="s">
        <v>2761</v>
      </c>
      <c r="N246" s="11" t="s">
        <v>2769</v>
      </c>
      <c r="O246" s="10"/>
      <c r="P246" s="10">
        <v>4</v>
      </c>
      <c r="Q246" s="10"/>
      <c r="R246" s="10" t="s">
        <v>2834</v>
      </c>
      <c r="S246" s="10" t="s">
        <v>2834</v>
      </c>
      <c r="T246" s="10"/>
      <c r="U246" s="10"/>
      <c r="V246" s="10"/>
      <c r="W246" s="10"/>
      <c r="X246" s="10"/>
      <c r="Y246" s="10"/>
      <c r="Z246" s="10"/>
      <c r="AA246" s="10"/>
      <c r="AB246" s="10"/>
      <c r="AC246" s="10"/>
    </row>
    <row r="247" spans="1:29" ht="29">
      <c r="A247" s="2" t="s">
        <v>1114</v>
      </c>
      <c r="B247" s="2" t="s">
        <v>2503</v>
      </c>
      <c r="C247" s="2" t="s">
        <v>2948</v>
      </c>
      <c r="F247" t="s">
        <v>19</v>
      </c>
      <c r="G247" s="10" t="s">
        <v>2688</v>
      </c>
      <c r="H247" s="10"/>
      <c r="I247" s="10"/>
      <c r="J247" s="10"/>
      <c r="K247" s="10"/>
      <c r="L247" s="10"/>
      <c r="M247" s="10"/>
      <c r="N247" s="11"/>
      <c r="O247" s="10"/>
      <c r="P247" s="10"/>
      <c r="Q247" s="10"/>
      <c r="R247" s="10" t="s">
        <v>2834</v>
      </c>
      <c r="S247" s="10" t="s">
        <v>2834</v>
      </c>
      <c r="T247" s="10"/>
      <c r="U247" s="10"/>
      <c r="V247" s="10"/>
      <c r="W247" s="10"/>
      <c r="X247" s="10"/>
      <c r="Y247" s="10"/>
      <c r="Z247" s="10"/>
      <c r="AA247" s="10"/>
      <c r="AB247" s="10"/>
      <c r="AC247" s="10"/>
    </row>
    <row r="248" spans="1:29">
      <c r="A248" s="2" t="s">
        <v>1118</v>
      </c>
      <c r="B248" s="2" t="s">
        <v>2506</v>
      </c>
      <c r="C248" s="2" t="s">
        <v>2507</v>
      </c>
      <c r="F248" t="s">
        <v>19</v>
      </c>
      <c r="G248" s="10" t="s">
        <v>2686</v>
      </c>
      <c r="H248" s="10"/>
      <c r="I248" s="10"/>
      <c r="J248" s="10"/>
      <c r="K248" s="10"/>
      <c r="L248" s="10"/>
      <c r="M248" s="10"/>
      <c r="N248" s="11"/>
      <c r="O248" s="10"/>
      <c r="P248" s="10"/>
      <c r="Q248" s="10">
        <v>16</v>
      </c>
      <c r="R248" s="10">
        <v>25</v>
      </c>
      <c r="S248" s="10">
        <v>41</v>
      </c>
      <c r="T248" s="10"/>
      <c r="U248" s="10"/>
      <c r="V248" s="10"/>
      <c r="W248" s="10"/>
      <c r="X248" s="10"/>
      <c r="Y248" s="10"/>
      <c r="Z248" s="10"/>
      <c r="AA248" s="10"/>
      <c r="AB248" s="10"/>
      <c r="AC248" s="10"/>
    </row>
    <row r="249" spans="1:29" ht="29">
      <c r="A249" s="2" t="s">
        <v>1124</v>
      </c>
      <c r="B249" s="2" t="s">
        <v>2514</v>
      </c>
      <c r="C249" s="2" t="s">
        <v>2515</v>
      </c>
      <c r="F249" t="s">
        <v>19</v>
      </c>
      <c r="G249" s="10" t="s">
        <v>2686</v>
      </c>
      <c r="H249" s="10"/>
      <c r="I249" s="10"/>
      <c r="J249" s="10"/>
      <c r="K249" s="10"/>
      <c r="L249" s="10"/>
      <c r="M249" s="10"/>
      <c r="N249" s="11"/>
      <c r="O249" s="10"/>
      <c r="P249" s="10"/>
      <c r="Q249" s="10">
        <v>249</v>
      </c>
      <c r="R249" s="10">
        <v>31</v>
      </c>
      <c r="S249" s="10">
        <v>280</v>
      </c>
      <c r="T249" s="10"/>
      <c r="U249" s="10"/>
      <c r="V249" s="10"/>
      <c r="W249" s="10"/>
      <c r="X249" s="10"/>
      <c r="Y249" s="10"/>
      <c r="Z249" s="10"/>
      <c r="AA249" s="10"/>
      <c r="AB249" s="10"/>
      <c r="AC249" s="10"/>
    </row>
    <row r="250" spans="1:29">
      <c r="A250" s="2" t="s">
        <v>1125</v>
      </c>
      <c r="B250" s="2" t="s">
        <v>2516</v>
      </c>
      <c r="C250" s="2" t="s">
        <v>2517</v>
      </c>
      <c r="G250" s="10" t="s">
        <v>2686</v>
      </c>
      <c r="H250" s="10"/>
      <c r="I250" s="10"/>
      <c r="J250" s="10"/>
      <c r="K250" s="10"/>
      <c r="L250" s="10"/>
      <c r="M250" s="10"/>
      <c r="N250" s="11"/>
      <c r="O250" s="10"/>
      <c r="P250" s="10"/>
      <c r="Q250" s="10">
        <v>-249</v>
      </c>
      <c r="R250" s="10">
        <v>280</v>
      </c>
      <c r="S250" s="10">
        <v>31</v>
      </c>
      <c r="T250" s="10"/>
      <c r="U250" s="10"/>
      <c r="V250" s="10"/>
      <c r="W250" s="10"/>
      <c r="X250" s="10"/>
      <c r="Y250" s="10"/>
      <c r="Z250" s="10"/>
      <c r="AA250" s="10"/>
      <c r="AB250" s="10"/>
      <c r="AC250" s="10"/>
    </row>
    <row r="251" spans="1:29">
      <c r="A251" s="2" t="s">
        <v>1125</v>
      </c>
      <c r="B251" s="2" t="s">
        <v>2518</v>
      </c>
      <c r="C251" s="2" t="s">
        <v>2519</v>
      </c>
      <c r="F251" t="s">
        <v>19</v>
      </c>
      <c r="G251" s="10" t="s">
        <v>2686</v>
      </c>
      <c r="H251" s="10"/>
      <c r="I251" s="10"/>
      <c r="J251" s="10"/>
      <c r="K251" s="10"/>
      <c r="L251" s="10"/>
      <c r="M251" s="10"/>
      <c r="N251" s="11"/>
      <c r="O251" s="10"/>
      <c r="P251" s="10"/>
      <c r="Q251" s="10">
        <v>1672</v>
      </c>
      <c r="R251" s="10">
        <v>29</v>
      </c>
      <c r="S251" s="10">
        <v>1701</v>
      </c>
      <c r="T251" s="10"/>
      <c r="U251" s="10"/>
      <c r="V251" s="10"/>
      <c r="W251" s="10"/>
      <c r="X251" s="10"/>
      <c r="Y251" s="10"/>
      <c r="Z251" s="10"/>
      <c r="AA251" s="10"/>
      <c r="AB251" s="10"/>
      <c r="AC251" s="10"/>
    </row>
    <row r="252" spans="1:29">
      <c r="A252" s="2" t="s">
        <v>1129</v>
      </c>
      <c r="B252" s="2" t="s">
        <v>2528</v>
      </c>
      <c r="C252" s="2" t="s">
        <v>2529</v>
      </c>
      <c r="F252" t="s">
        <v>19</v>
      </c>
      <c r="G252" s="10" t="s">
        <v>25</v>
      </c>
      <c r="H252" s="10"/>
      <c r="I252" s="10">
        <v>1</v>
      </c>
      <c r="J252" s="10">
        <v>2</v>
      </c>
      <c r="K252" s="10" t="s">
        <v>2646</v>
      </c>
      <c r="L252" s="10" t="s">
        <v>2687</v>
      </c>
      <c r="M252" s="10"/>
      <c r="N252" s="11"/>
      <c r="O252" s="10"/>
      <c r="P252" s="10">
        <v>2475</v>
      </c>
      <c r="Q252" s="10"/>
      <c r="R252" s="10" t="s">
        <v>2834</v>
      </c>
      <c r="S252" s="10" t="s">
        <v>2834</v>
      </c>
      <c r="T252" s="10"/>
      <c r="U252" s="10"/>
      <c r="V252" s="10"/>
      <c r="W252" s="10"/>
      <c r="X252" s="10"/>
      <c r="Y252" s="10"/>
      <c r="Z252" s="10"/>
      <c r="AA252" s="10"/>
      <c r="AB252" s="10"/>
      <c r="AC252" s="10"/>
    </row>
    <row r="253" spans="1:29">
      <c r="A253" s="2" t="s">
        <v>1130</v>
      </c>
      <c r="B253" s="2" t="s">
        <v>2535</v>
      </c>
      <c r="C253" s="2" t="s">
        <v>2536</v>
      </c>
      <c r="G253" s="10" t="s">
        <v>2686</v>
      </c>
      <c r="H253" s="10"/>
      <c r="I253" s="10"/>
      <c r="J253" s="10"/>
      <c r="K253" s="10"/>
      <c r="L253" s="10"/>
      <c r="M253" s="10"/>
      <c r="N253" s="11"/>
      <c r="O253" s="10"/>
      <c r="P253" s="10"/>
      <c r="Q253" s="10">
        <v>1497</v>
      </c>
      <c r="R253" s="10">
        <v>204</v>
      </c>
      <c r="S253" s="10">
        <v>1701</v>
      </c>
      <c r="T253" s="10"/>
      <c r="U253" s="10"/>
      <c r="V253" s="10"/>
      <c r="W253" s="10"/>
      <c r="X253" s="10"/>
      <c r="Y253" s="10"/>
      <c r="Z253" s="10"/>
      <c r="AA253" s="10"/>
      <c r="AB253" s="10"/>
      <c r="AC253" s="10"/>
    </row>
    <row r="254" spans="1:29" ht="29">
      <c r="A254" s="2" t="s">
        <v>1135</v>
      </c>
      <c r="B254" s="2" t="s">
        <v>2543</v>
      </c>
      <c r="C254" s="2" t="s">
        <v>2544</v>
      </c>
      <c r="G254" s="10" t="s">
        <v>24</v>
      </c>
      <c r="H254" s="10"/>
      <c r="I254" s="10">
        <v>1</v>
      </c>
      <c r="J254" s="10">
        <v>6</v>
      </c>
      <c r="K254" s="10" t="s">
        <v>2660</v>
      </c>
      <c r="L254" s="10" t="s">
        <v>2641</v>
      </c>
      <c r="M254" s="10" t="s">
        <v>2761</v>
      </c>
      <c r="N254" s="11" t="s">
        <v>2705</v>
      </c>
      <c r="O254" s="10"/>
      <c r="P254" s="10">
        <v>250</v>
      </c>
      <c r="Q254" s="10"/>
      <c r="R254" s="10" t="s">
        <v>2834</v>
      </c>
      <c r="S254" s="10" t="s">
        <v>2834</v>
      </c>
      <c r="T254" s="10"/>
      <c r="U254" s="10"/>
      <c r="V254" s="10"/>
      <c r="W254" s="10"/>
      <c r="X254" s="10"/>
      <c r="Y254" s="10"/>
      <c r="Z254" s="10"/>
      <c r="AA254" s="10"/>
      <c r="AB254" s="10"/>
      <c r="AC254" s="10"/>
    </row>
    <row r="255" spans="1:29">
      <c r="A255" s="2" t="s">
        <v>1136</v>
      </c>
      <c r="B255" s="2" t="s">
        <v>2545</v>
      </c>
      <c r="C255" s="2" t="s">
        <v>2950</v>
      </c>
      <c r="F255" t="s">
        <v>19</v>
      </c>
      <c r="G255" s="10" t="s">
        <v>2686</v>
      </c>
      <c r="H255" s="10"/>
      <c r="I255" s="10"/>
      <c r="J255" s="10"/>
      <c r="K255" s="10"/>
      <c r="L255" s="10"/>
      <c r="M255" s="10"/>
      <c r="N255" s="11"/>
      <c r="O255" s="10"/>
      <c r="P255" s="10"/>
      <c r="Q255" s="10">
        <v>431</v>
      </c>
      <c r="R255" s="10">
        <v>312</v>
      </c>
      <c r="S255" s="10">
        <v>743</v>
      </c>
      <c r="T255" s="10"/>
      <c r="U255" s="10"/>
      <c r="V255" s="10"/>
      <c r="W255" s="10"/>
      <c r="X255" s="10"/>
      <c r="Y255" s="10"/>
      <c r="Z255" s="10"/>
      <c r="AA255" s="10"/>
      <c r="AB255" s="10"/>
      <c r="AC255" s="10"/>
    </row>
    <row r="256" spans="1:29" ht="29">
      <c r="A256" s="2" t="s">
        <v>1140</v>
      </c>
      <c r="B256" s="2" t="s">
        <v>2548</v>
      </c>
      <c r="C256" s="2" t="s">
        <v>2549</v>
      </c>
      <c r="F256" t="s">
        <v>19</v>
      </c>
      <c r="G256" s="10" t="s">
        <v>25</v>
      </c>
      <c r="H256" s="10"/>
      <c r="I256" s="10">
        <v>1</v>
      </c>
      <c r="J256" s="10">
        <v>1</v>
      </c>
      <c r="K256" s="10" t="s">
        <v>2646</v>
      </c>
      <c r="L256" s="10" t="s">
        <v>2687</v>
      </c>
      <c r="M256" s="10"/>
      <c r="N256" s="11"/>
      <c r="O256" s="10"/>
      <c r="P256" s="10">
        <v>2475</v>
      </c>
      <c r="Q256" s="10"/>
      <c r="R256" s="10" t="s">
        <v>2834</v>
      </c>
      <c r="S256" s="10" t="s">
        <v>2834</v>
      </c>
      <c r="T256" s="10"/>
      <c r="U256" s="10"/>
      <c r="V256" s="10"/>
      <c r="W256" s="10"/>
      <c r="X256" s="10"/>
      <c r="Y256" s="10"/>
      <c r="Z256" s="10"/>
      <c r="AA256" s="10"/>
      <c r="AB256" s="10"/>
      <c r="AC256" s="10"/>
    </row>
    <row r="257" spans="1:29">
      <c r="A257" s="2" t="s">
        <v>1141</v>
      </c>
      <c r="B257" s="2" t="s">
        <v>2550</v>
      </c>
      <c r="C257" s="2" t="s">
        <v>2551</v>
      </c>
      <c r="F257" t="s">
        <v>19</v>
      </c>
      <c r="G257" s="10" t="s">
        <v>2688</v>
      </c>
      <c r="H257" s="10"/>
      <c r="I257" s="10"/>
      <c r="J257" s="10"/>
      <c r="K257" s="10"/>
      <c r="L257" s="10"/>
      <c r="M257" s="10"/>
      <c r="N257" s="11"/>
      <c r="O257" s="10"/>
      <c r="P257" s="10"/>
      <c r="Q257" s="10"/>
      <c r="R257" s="10" t="s">
        <v>2834</v>
      </c>
      <c r="S257" s="10" t="s">
        <v>2834</v>
      </c>
      <c r="T257" s="10"/>
      <c r="U257" s="10"/>
      <c r="V257" s="10"/>
      <c r="W257" s="10"/>
      <c r="X257" s="10"/>
      <c r="Y257" s="10"/>
      <c r="Z257" s="10"/>
      <c r="AA257" s="10"/>
      <c r="AB257" s="10"/>
      <c r="AC257" s="10"/>
    </row>
    <row r="258" spans="1:29">
      <c r="A258" s="2" t="s">
        <v>1141</v>
      </c>
      <c r="B258" s="2" t="s">
        <v>1143</v>
      </c>
      <c r="C258" s="3" t="s">
        <v>1142</v>
      </c>
      <c r="D258" t="s">
        <v>32</v>
      </c>
      <c r="G258" s="10" t="s">
        <v>2688</v>
      </c>
      <c r="H258" s="10"/>
      <c r="I258" s="10"/>
      <c r="J258" s="10"/>
      <c r="K258" s="10"/>
      <c r="L258" s="10"/>
      <c r="M258" s="10"/>
      <c r="N258" s="11"/>
      <c r="O258" s="10"/>
      <c r="P258" s="10"/>
      <c r="Q258" s="10"/>
      <c r="R258" s="10" t="s">
        <v>2834</v>
      </c>
      <c r="S258" s="10" t="s">
        <v>2834</v>
      </c>
      <c r="T258" s="10"/>
      <c r="U258" s="10"/>
      <c r="V258" s="10"/>
      <c r="W258" s="10"/>
      <c r="X258" s="10"/>
      <c r="Y258" s="10"/>
      <c r="Z258" s="10"/>
      <c r="AA258" s="10"/>
      <c r="AB258" s="10"/>
      <c r="AC258" s="10"/>
    </row>
    <row r="259" spans="1:29">
      <c r="A259" s="2" t="s">
        <v>1145</v>
      </c>
      <c r="B259" s="2" t="s">
        <v>2555</v>
      </c>
      <c r="C259" s="2" t="s">
        <v>2556</v>
      </c>
      <c r="G259" s="10" t="s">
        <v>2688</v>
      </c>
      <c r="H259" s="10"/>
      <c r="I259" s="10"/>
      <c r="J259" s="10"/>
      <c r="K259" s="10"/>
      <c r="L259" s="10"/>
      <c r="M259" s="10"/>
      <c r="N259" s="11"/>
      <c r="O259" s="10"/>
      <c r="P259" s="10"/>
      <c r="Q259" s="10"/>
      <c r="R259" s="10" t="s">
        <v>2834</v>
      </c>
      <c r="S259" s="10" t="s">
        <v>2834</v>
      </c>
      <c r="T259" s="10"/>
      <c r="U259" s="10"/>
      <c r="V259" s="10"/>
      <c r="W259" s="10"/>
      <c r="X259" s="10"/>
      <c r="Y259" s="10"/>
      <c r="Z259" s="10"/>
      <c r="AA259" s="10"/>
      <c r="AB259" s="10"/>
      <c r="AC259" s="10"/>
    </row>
    <row r="260" spans="1:29">
      <c r="A260" s="2" t="s">
        <v>1151</v>
      </c>
      <c r="B260" s="2" t="s">
        <v>839</v>
      </c>
      <c r="C260" s="2" t="s">
        <v>1152</v>
      </c>
      <c r="G260" s="10" t="s">
        <v>2688</v>
      </c>
      <c r="H260" s="10"/>
      <c r="I260" s="10"/>
      <c r="J260" s="10"/>
      <c r="K260" s="10"/>
      <c r="L260" s="10"/>
      <c r="M260" s="10"/>
      <c r="N260" s="11"/>
      <c r="O260" s="10"/>
      <c r="P260" s="10"/>
      <c r="Q260" s="10"/>
      <c r="R260" s="10" t="s">
        <v>2834</v>
      </c>
      <c r="S260" s="10" t="s">
        <v>2834</v>
      </c>
      <c r="T260" s="10"/>
      <c r="U260" s="10"/>
      <c r="V260" s="10"/>
      <c r="W260" s="10"/>
      <c r="X260" s="10"/>
      <c r="Y260" s="10"/>
      <c r="Z260" s="10"/>
      <c r="AA260" s="10"/>
      <c r="AB260" s="10"/>
      <c r="AC260" s="10"/>
    </row>
    <row r="261" spans="1:29">
      <c r="A261" s="2" t="s">
        <v>1163</v>
      </c>
      <c r="B261" s="2" t="s">
        <v>2573</v>
      </c>
      <c r="C261" s="2" t="s">
        <v>2574</v>
      </c>
      <c r="G261" s="10" t="s">
        <v>2686</v>
      </c>
      <c r="H261" s="10"/>
      <c r="I261" s="10"/>
      <c r="J261" s="10"/>
      <c r="K261" s="10"/>
      <c r="L261" s="10"/>
      <c r="M261" s="10"/>
      <c r="N261" s="11"/>
      <c r="O261" s="10"/>
      <c r="P261" s="10"/>
      <c r="Q261" s="10">
        <v>249</v>
      </c>
      <c r="R261" s="10">
        <v>31</v>
      </c>
      <c r="S261" s="10">
        <v>280</v>
      </c>
      <c r="T261" s="10"/>
      <c r="U261" s="10"/>
      <c r="V261" s="10"/>
      <c r="W261" s="10"/>
      <c r="X261" s="10"/>
      <c r="Y261" s="10"/>
      <c r="Z261" s="10"/>
      <c r="AA261" s="10"/>
      <c r="AB261" s="10"/>
      <c r="AC261" s="10"/>
    </row>
    <row r="262" spans="1:29" ht="29">
      <c r="A262" s="2" t="s">
        <v>1166</v>
      </c>
      <c r="B262" s="2" t="s">
        <v>2794</v>
      </c>
      <c r="C262" s="2" t="s">
        <v>2795</v>
      </c>
      <c r="G262" s="10" t="s">
        <v>2688</v>
      </c>
      <c r="H262" s="10"/>
      <c r="I262" s="10"/>
      <c r="J262" s="10"/>
      <c r="K262" s="10"/>
      <c r="L262" s="10"/>
      <c r="M262" s="10"/>
      <c r="N262" s="11"/>
      <c r="O262" s="10"/>
      <c r="P262" s="10"/>
      <c r="Q262" s="10"/>
      <c r="R262" s="10" t="s">
        <v>2834</v>
      </c>
      <c r="S262" s="10" t="s">
        <v>2834</v>
      </c>
      <c r="T262" s="10" t="s">
        <v>4</v>
      </c>
      <c r="U262" s="10"/>
      <c r="V262" s="10"/>
      <c r="W262" s="10"/>
      <c r="X262" s="10"/>
      <c r="Y262" s="10"/>
      <c r="Z262" s="10"/>
      <c r="AA262" s="10"/>
      <c r="AB262" s="10"/>
      <c r="AC262" s="10"/>
    </row>
    <row r="263" spans="1:29">
      <c r="A263" s="2" t="s">
        <v>1171</v>
      </c>
      <c r="B263" s="2" t="s">
        <v>2583</v>
      </c>
      <c r="C263" s="2" t="s">
        <v>2584</v>
      </c>
      <c r="G263" s="10" t="s">
        <v>2688</v>
      </c>
      <c r="H263" s="10"/>
      <c r="I263" s="10"/>
      <c r="J263" s="10"/>
      <c r="K263" s="10"/>
      <c r="L263" s="10"/>
      <c r="M263" s="10"/>
      <c r="N263" s="11"/>
      <c r="O263" s="10"/>
      <c r="P263" s="10"/>
      <c r="Q263" s="10"/>
      <c r="R263" s="10" t="s">
        <v>2834</v>
      </c>
      <c r="S263" s="10" t="s">
        <v>2834</v>
      </c>
      <c r="T263" s="10"/>
      <c r="U263" s="10"/>
      <c r="V263" s="10"/>
      <c r="W263" s="10"/>
      <c r="X263" s="10"/>
      <c r="Y263" s="10"/>
      <c r="Z263" s="10"/>
      <c r="AA263" s="10"/>
      <c r="AB263" s="10"/>
      <c r="AC263" s="10"/>
    </row>
    <row r="264" spans="1:29" ht="58">
      <c r="A264" s="2" t="s">
        <v>1179</v>
      </c>
      <c r="B264" s="2" t="s">
        <v>2593</v>
      </c>
      <c r="C264" s="2" t="s">
        <v>2594</v>
      </c>
      <c r="F264" t="s">
        <v>19</v>
      </c>
      <c r="G264" s="10" t="s">
        <v>25</v>
      </c>
      <c r="H264" s="10"/>
      <c r="I264" s="10">
        <v>13</v>
      </c>
      <c r="J264" s="10">
        <v>53</v>
      </c>
      <c r="K264" s="10"/>
      <c r="L264" s="10" t="s">
        <v>2641</v>
      </c>
      <c r="M264" s="10" t="s">
        <v>2712</v>
      </c>
      <c r="N264" s="11" t="s">
        <v>2754</v>
      </c>
      <c r="O264" s="10"/>
      <c r="P264" s="10">
        <v>3</v>
      </c>
      <c r="Q264" s="10"/>
      <c r="R264" s="10" t="s">
        <v>2834</v>
      </c>
      <c r="S264" s="10" t="s">
        <v>2834</v>
      </c>
      <c r="T264" s="10"/>
      <c r="U264" s="10"/>
      <c r="V264" s="10"/>
      <c r="W264" s="10"/>
      <c r="X264" s="10"/>
      <c r="Y264" s="10"/>
      <c r="Z264" s="10"/>
      <c r="AA264" s="10"/>
      <c r="AB264" s="10"/>
      <c r="AC264" s="10"/>
    </row>
    <row r="265" spans="1:29" ht="29">
      <c r="A265" s="2" t="s">
        <v>1180</v>
      </c>
      <c r="B265" s="2" t="s">
        <v>2930</v>
      </c>
      <c r="C265" s="2" t="s">
        <v>2951</v>
      </c>
      <c r="G265" s="10" t="s">
        <v>2688</v>
      </c>
      <c r="H265" s="10"/>
      <c r="I265" s="10"/>
      <c r="J265" s="10"/>
      <c r="K265" s="10"/>
      <c r="L265" s="10"/>
      <c r="M265" s="10"/>
      <c r="N265" s="11"/>
      <c r="O265" s="10"/>
      <c r="P265" s="10"/>
      <c r="Q265" s="10"/>
      <c r="R265" s="10" t="s">
        <v>2834</v>
      </c>
      <c r="S265" s="10" t="s">
        <v>2834</v>
      </c>
      <c r="T265" s="10"/>
      <c r="U265" s="10"/>
      <c r="V265" s="10"/>
      <c r="W265" s="10"/>
      <c r="X265" s="10"/>
      <c r="Y265" s="10"/>
      <c r="Z265" s="10"/>
      <c r="AA265" s="10"/>
      <c r="AB265" s="10"/>
      <c r="AC265" s="10"/>
    </row>
    <row r="266" spans="1:29" ht="29">
      <c r="A266" s="2" t="s">
        <v>1180</v>
      </c>
      <c r="B266" s="2" t="s">
        <v>2595</v>
      </c>
      <c r="C266" s="2" t="s">
        <v>2596</v>
      </c>
      <c r="F266" t="s">
        <v>19</v>
      </c>
      <c r="G266" s="10" t="s">
        <v>2686</v>
      </c>
      <c r="H266" s="10"/>
      <c r="I266" s="10"/>
      <c r="J266" s="10"/>
      <c r="K266" s="10"/>
      <c r="L266" s="10"/>
      <c r="M266" s="10"/>
      <c r="N266" s="11"/>
      <c r="O266" s="10"/>
      <c r="P266" s="10"/>
      <c r="Q266" s="10">
        <v>-2475</v>
      </c>
      <c r="R266" s="10">
        <v>2475</v>
      </c>
      <c r="S266" s="10">
        <v>0</v>
      </c>
      <c r="T266" s="10"/>
      <c r="U266" s="10"/>
      <c r="V266" s="10"/>
      <c r="W266" s="10"/>
      <c r="X266" s="10"/>
      <c r="Y266" s="10"/>
      <c r="Z266" s="10"/>
      <c r="AA266" s="10"/>
      <c r="AB266" s="10"/>
      <c r="AC266" s="10"/>
    </row>
    <row r="267" spans="1:29" ht="29">
      <c r="A267" s="2" t="s">
        <v>1185</v>
      </c>
      <c r="B267" s="2" t="s">
        <v>2600</v>
      </c>
      <c r="C267" s="2" t="s">
        <v>2601</v>
      </c>
      <c r="F267" t="s">
        <v>19</v>
      </c>
      <c r="G267" s="10" t="s">
        <v>2686</v>
      </c>
      <c r="H267" s="10"/>
      <c r="I267" s="10"/>
      <c r="J267" s="10"/>
      <c r="K267" s="10"/>
      <c r="L267" s="10"/>
      <c r="M267" s="10"/>
      <c r="N267" s="11"/>
      <c r="O267" s="10"/>
      <c r="P267" s="10"/>
      <c r="Q267" s="10">
        <v>-431</v>
      </c>
      <c r="R267" s="10">
        <v>743</v>
      </c>
      <c r="S267" s="10">
        <v>312</v>
      </c>
      <c r="T267" s="10"/>
      <c r="U267" s="10"/>
      <c r="V267" s="10"/>
      <c r="W267" s="10"/>
      <c r="X267" s="10"/>
      <c r="Y267" s="10"/>
      <c r="Z267" s="10"/>
      <c r="AA267" s="10"/>
      <c r="AB267" s="10"/>
      <c r="AC267" s="10"/>
    </row>
    <row r="268" spans="1:29" ht="29">
      <c r="A268" s="2" t="s">
        <v>1186</v>
      </c>
      <c r="B268" s="2" t="s">
        <v>2604</v>
      </c>
      <c r="C268" s="2" t="s">
        <v>1187</v>
      </c>
      <c r="F268" t="s">
        <v>19</v>
      </c>
      <c r="G268" s="10" t="s">
        <v>2686</v>
      </c>
      <c r="H268" s="10"/>
      <c r="I268" s="10"/>
      <c r="J268" s="10"/>
      <c r="K268" s="10"/>
      <c r="L268" s="10"/>
      <c r="M268" s="10"/>
      <c r="N268" s="11"/>
      <c r="O268" s="10"/>
      <c r="P268" s="10"/>
      <c r="Q268" s="10">
        <v>-21</v>
      </c>
      <c r="R268" s="10">
        <v>21</v>
      </c>
      <c r="S268" s="10">
        <v>0</v>
      </c>
      <c r="T268" s="10"/>
      <c r="U268" s="10"/>
      <c r="V268" s="10"/>
      <c r="W268" s="10"/>
      <c r="X268" s="10"/>
      <c r="Y268" s="10"/>
      <c r="Z268" s="10"/>
      <c r="AA268" s="10"/>
      <c r="AB268" s="10"/>
      <c r="AC268" s="10"/>
    </row>
    <row r="269" spans="1:29" ht="29">
      <c r="A269" s="2" t="s">
        <v>1188</v>
      </c>
      <c r="B269" s="2" t="s">
        <v>2605</v>
      </c>
      <c r="C269" s="2" t="s">
        <v>2606</v>
      </c>
      <c r="F269" t="s">
        <v>23</v>
      </c>
      <c r="G269" s="10" t="s">
        <v>2688</v>
      </c>
      <c r="H269" s="10"/>
      <c r="I269" s="10"/>
      <c r="J269" s="10"/>
      <c r="K269" s="10"/>
      <c r="L269" s="10"/>
      <c r="M269" s="10"/>
      <c r="N269" s="11"/>
      <c r="O269" s="10"/>
      <c r="P269" s="10"/>
      <c r="Q269" s="10"/>
      <c r="R269" s="10" t="s">
        <v>2834</v>
      </c>
      <c r="S269" s="10" t="s">
        <v>2834</v>
      </c>
      <c r="T269" s="10" t="s">
        <v>2685</v>
      </c>
      <c r="U269" s="10"/>
      <c r="V269" s="10"/>
      <c r="W269" s="10"/>
      <c r="X269" s="10"/>
      <c r="Y269" s="10"/>
      <c r="Z269" s="10"/>
      <c r="AA269" s="10"/>
      <c r="AB269" s="10"/>
      <c r="AC269" s="10"/>
    </row>
    <row r="270" spans="1:29" ht="29">
      <c r="A270" s="2" t="s">
        <v>1188</v>
      </c>
      <c r="B270" s="2" t="s">
        <v>2776</v>
      </c>
      <c r="C270" s="2" t="s">
        <v>2777</v>
      </c>
      <c r="F270" t="s">
        <v>19</v>
      </c>
      <c r="G270" s="10" t="s">
        <v>2688</v>
      </c>
      <c r="H270" s="10"/>
      <c r="I270" s="10"/>
      <c r="J270" s="10"/>
      <c r="K270" s="10"/>
      <c r="L270" s="10"/>
      <c r="M270" s="10"/>
      <c r="N270" s="11"/>
      <c r="O270" s="10"/>
      <c r="P270" s="10"/>
      <c r="Q270" s="10"/>
      <c r="R270" s="10" t="s">
        <v>2834</v>
      </c>
      <c r="S270" s="10" t="s">
        <v>2834</v>
      </c>
      <c r="T270" s="10"/>
      <c r="U270" s="10"/>
      <c r="V270" s="10"/>
      <c r="W270" s="10"/>
      <c r="X270" s="10"/>
      <c r="Y270" s="10"/>
      <c r="Z270" s="10"/>
      <c r="AA270" s="10"/>
      <c r="AB270" s="10"/>
      <c r="AC270" s="10"/>
    </row>
    <row r="271" spans="1:29" ht="29">
      <c r="A271" s="2" t="s">
        <v>1194</v>
      </c>
      <c r="B271" s="2" t="s">
        <v>2613</v>
      </c>
      <c r="C271" s="2" t="s">
        <v>2614</v>
      </c>
      <c r="F271" t="s">
        <v>19</v>
      </c>
      <c r="G271" s="10" t="s">
        <v>2688</v>
      </c>
      <c r="H271" s="10"/>
      <c r="I271" s="10"/>
      <c r="J271" s="10"/>
      <c r="K271" s="10"/>
      <c r="L271" s="10"/>
      <c r="M271" s="10"/>
      <c r="N271" s="11"/>
      <c r="O271" s="10"/>
      <c r="P271" s="10"/>
      <c r="Q271" s="10"/>
      <c r="R271" s="10" t="s">
        <v>2834</v>
      </c>
      <c r="S271" s="10" t="s">
        <v>2834</v>
      </c>
      <c r="T271" s="10"/>
      <c r="U271" s="10"/>
      <c r="V271" s="10"/>
      <c r="W271" s="10"/>
      <c r="X271" s="10"/>
      <c r="Y271" s="10"/>
      <c r="Z271" s="10"/>
      <c r="AA271" s="10"/>
      <c r="AB271" s="10"/>
      <c r="AC271" s="10"/>
    </row>
    <row r="272" spans="1:29" ht="29">
      <c r="A272" s="2" t="s">
        <v>1194</v>
      </c>
      <c r="B272" s="2" t="s">
        <v>2616</v>
      </c>
      <c r="C272" s="2" t="s">
        <v>2615</v>
      </c>
      <c r="F272" t="s">
        <v>19</v>
      </c>
      <c r="G272" s="10" t="s">
        <v>2686</v>
      </c>
      <c r="H272" s="10"/>
      <c r="I272" s="10"/>
      <c r="J272" s="10"/>
      <c r="K272" s="10"/>
      <c r="L272" s="10"/>
      <c r="M272" s="10"/>
      <c r="N272" s="11"/>
      <c r="O272" s="10"/>
      <c r="P272" s="10"/>
      <c r="Q272" s="10">
        <v>447</v>
      </c>
      <c r="R272" s="10">
        <v>166</v>
      </c>
      <c r="S272" s="10">
        <v>613</v>
      </c>
      <c r="T272" s="10"/>
      <c r="U272" s="10"/>
      <c r="V272" s="10"/>
      <c r="W272" s="10"/>
      <c r="X272" s="10"/>
      <c r="Y272" s="10"/>
      <c r="Z272" s="10"/>
      <c r="AA272" s="10"/>
      <c r="AB272" s="10"/>
      <c r="AC272" s="10"/>
    </row>
    <row r="273" spans="1:29" ht="29">
      <c r="A273" s="2" t="s">
        <v>1204</v>
      </c>
      <c r="B273" s="2" t="s">
        <v>2627</v>
      </c>
      <c r="C273" s="2" t="s">
        <v>2628</v>
      </c>
      <c r="G273" s="10" t="s">
        <v>2688</v>
      </c>
      <c r="H273" s="10"/>
      <c r="I273" s="10"/>
      <c r="J273" s="10"/>
      <c r="K273" s="10"/>
      <c r="L273" s="10"/>
      <c r="M273" s="10"/>
      <c r="N273" s="11"/>
      <c r="O273" s="10"/>
      <c r="P273" s="10"/>
      <c r="Q273" s="10"/>
      <c r="R273" s="10" t="s">
        <v>2834</v>
      </c>
      <c r="S273" s="10" t="s">
        <v>2834</v>
      </c>
      <c r="T273" s="10"/>
      <c r="U273" s="10"/>
      <c r="V273" s="10"/>
      <c r="W273" s="10"/>
      <c r="X273" s="10"/>
      <c r="Y273" s="10"/>
      <c r="Z273" s="10"/>
      <c r="AA273" s="10"/>
      <c r="AB273" s="10"/>
      <c r="AC273" s="10"/>
    </row>
    <row r="274" spans="1:29" ht="29">
      <c r="A274" s="2" t="s">
        <v>1205</v>
      </c>
      <c r="B274" s="2" t="s">
        <v>2631</v>
      </c>
      <c r="C274" s="2" t="s">
        <v>2632</v>
      </c>
      <c r="G274" s="10" t="s">
        <v>2686</v>
      </c>
      <c r="H274" s="10"/>
      <c r="I274" s="10"/>
      <c r="J274" s="10"/>
      <c r="K274" s="10"/>
      <c r="L274" s="10"/>
      <c r="M274" s="10"/>
      <c r="N274" s="11"/>
      <c r="O274" s="10"/>
      <c r="P274" s="10"/>
      <c r="Q274" s="10">
        <v>2400</v>
      </c>
      <c r="R274" s="10">
        <v>75</v>
      </c>
      <c r="S274" s="10">
        <v>2475</v>
      </c>
      <c r="T274" s="10"/>
      <c r="U274" s="10"/>
      <c r="V274" s="10"/>
      <c r="W274" s="10"/>
      <c r="X274" s="10"/>
      <c r="Y274" s="10"/>
      <c r="Z274" s="10"/>
      <c r="AA274" s="10"/>
      <c r="AB274" s="10"/>
      <c r="AC274" s="10"/>
    </row>
  </sheetData>
  <conditionalFormatting sqref="G2:G274">
    <cfRule type="expression" dxfId="152" priority="4">
      <formula>$I2&lt;&gt;""</formula>
    </cfRule>
    <cfRule type="expression" dxfId="151" priority="5">
      <formula>$I2=""</formula>
    </cfRule>
  </conditionalFormatting>
  <conditionalFormatting sqref="H2:L274 O2:P274">
    <cfRule type="expression" dxfId="150" priority="22">
      <formula>AND(OR($I2="Addition",$I2="Omission"), H2="")</formula>
    </cfRule>
    <cfRule type="expression" dxfId="149" priority="23">
      <formula>AND($I2&lt;&gt;"Addition",$I2&lt;&gt;"Omission",$I2&lt;&gt;"Substitution - Word")</formula>
    </cfRule>
  </conditionalFormatting>
  <conditionalFormatting sqref="H2:P274">
    <cfRule type="expression" dxfId="148" priority="21">
      <formula>AND(OR($I2="Addition",$I2="Omission"), H2&lt;&gt;"")</formula>
    </cfRule>
  </conditionalFormatting>
  <conditionalFormatting sqref="K2:K274">
    <cfRule type="expression" dxfId="147" priority="16">
      <formula>AND($K2&lt;&gt;"",$K2&gt;1)</formula>
    </cfRule>
  </conditionalFormatting>
  <conditionalFormatting sqref="M2:N274">
    <cfRule type="expression" dxfId="146" priority="12">
      <formula>$N2="Absent"</formula>
    </cfRule>
    <cfRule type="expression" dxfId="145" priority="13">
      <formula>$N2="NA"</formula>
    </cfRule>
    <cfRule type="expression" dxfId="144" priority="14">
      <formula>AND(OR($I2="Addition",$I2="Omission"), M2="")</formula>
    </cfRule>
    <cfRule type="expression" dxfId="143" priority="15">
      <formula>AND($I2&lt;&gt;"Addition",$I2&lt;&gt;"Omission")</formula>
    </cfRule>
  </conditionalFormatting>
  <conditionalFormatting sqref="O2:O274">
    <cfRule type="expression" dxfId="142" priority="17">
      <formula>OR($I2="Addition",$I2="Omission",$I2 = "Substitution - Word")</formula>
    </cfRule>
  </conditionalFormatting>
  <conditionalFormatting sqref="Q2:S274">
    <cfRule type="expression" dxfId="141" priority="18">
      <formula>AND(AND(LEFT($I2,3)="Sub", RIGHT($I2,4)&lt;&gt;"Form"),$S2&lt;&gt;"")</formula>
    </cfRule>
    <cfRule type="expression" dxfId="140" priority="19">
      <formula>AND(AND(LEFT($I2,3)="Sub", RIGHT($I2,4)&lt;&gt;"Form"),$S2="")</formula>
    </cfRule>
    <cfRule type="expression" dxfId="139" priority="20">
      <formula>"&lt;&gt;AND(LEFT($J2,3)=""Sub"", RIGHT($J2,4)&lt;&gt;""Form"")"</formula>
    </cfRule>
  </conditionalFormatting>
  <conditionalFormatting sqref="R2:S274">
    <cfRule type="expression" dxfId="138" priority="1">
      <formula>AND(AND(LEFT($I2,3)="Sub", RIGHT($I2,4)&lt;&gt;"Form"),$S2&lt;&gt;"")</formula>
    </cfRule>
    <cfRule type="expression" dxfId="137" priority="2">
      <formula>AND(AND(LEFT($I2,3)="Sub", RIGHT($I2,4)&lt;&gt;"Form"),$S2="")</formula>
    </cfRule>
    <cfRule type="expression" dxfId="136" priority="3">
      <formula>"&lt;&gt;AND(LEFT($J2,3)=""Sub"", RIGHT($J2,4)&lt;&gt;""Form"")"</formula>
    </cfRule>
  </conditionalFormatting>
  <conditionalFormatting sqref="T2:T274">
    <cfRule type="expression" dxfId="135" priority="7">
      <formula>AND($V2&lt;&gt;"",OR($AC2="Yes",$AD2&lt;&gt;""))</formula>
    </cfRule>
    <cfRule type="expression" dxfId="134" priority="8">
      <formula>OR($AC2="Yes",$AD2&lt;&gt;"")</formula>
    </cfRule>
    <cfRule type="expression" dxfId="133" priority="26">
      <formula>AND($AC2&lt;&gt;"Yes",$AD2="")</formula>
    </cfRule>
  </conditionalFormatting>
  <conditionalFormatting sqref="T2:AC274">
    <cfRule type="expression" dxfId="132" priority="24">
      <formula>AND($I2&lt;&gt;"",$I2&lt;&gt;"Unclear due to correction")</formula>
    </cfRule>
    <cfRule type="expression" dxfId="131" priority="25">
      <formula>OR($I2="",$I2="Unclear due to correction")</formula>
    </cfRule>
  </conditionalFormatting>
  <conditionalFormatting sqref="U2:U274">
    <cfRule type="expression" dxfId="130" priority="6">
      <formula>AND($I2&lt;&gt;"",$I2&lt;&gt;"Unclear due to correction",$W2="")</formula>
    </cfRule>
  </conditionalFormatting>
  <conditionalFormatting sqref="V2:V274">
    <cfRule type="expression" dxfId="129" priority="9">
      <formula>AND($W2="Yes",$X2="")</formula>
    </cfRule>
    <cfRule type="expression" dxfId="128" priority="10">
      <formula>$W2=""</formula>
    </cfRule>
  </conditionalFormatting>
  <conditionalFormatting sqref="AA2:AA274">
    <cfRule type="expression" dxfId="127" priority="11">
      <formula>AND(OR($AA2&lt;&gt;"",$AB2&lt;&gt;""),$AC2="")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E6BBFBA-356F-4B07-9FB8-6207428B4CA5}">
          <x14:formula1>
            <xm:f>'Data Regularization'!$D$2:$D$1048576</xm:f>
          </x14:formula1>
          <xm:sqref>G2:G274</xm:sqref>
        </x14:dataValidation>
        <x14:dataValidation type="list" allowBlank="1" showInputMessage="1" showErrorMessage="1" xr:uid="{C9BBA21D-77FE-447A-A8EA-923517C80EF7}">
          <x14:formula1>
            <xm:f>'Data Regularization'!$C$2:$C$50</xm:f>
          </x14:formula1>
          <xm:sqref>F2:F274</xm:sqref>
        </x14:dataValidation>
        <x14:dataValidation type="list" allowBlank="1" showInputMessage="1" showErrorMessage="1" xr:uid="{029C474A-D813-4632-9D06-3A254A9E834B}">
          <x14:formula1>
            <xm:f>'Data Regularization'!$A$2:$A$1048576</xm:f>
          </x14:formula1>
          <xm:sqref>D2:D274</xm:sqref>
        </x14:dataValidation>
        <x14:dataValidation type="list" allowBlank="1" showInputMessage="1" showErrorMessage="1" xr:uid="{8A1D8AF1-F2CD-4C6E-8B15-2843778B4081}">
          <x14:formula1>
            <xm:f>'Data Regularization'!$B$2:$B$1048576</xm:f>
          </x14:formula1>
          <xm:sqref>E2:E274</xm:sqref>
        </x14:dataValidation>
        <x14:dataValidation type="list" allowBlank="1" showInputMessage="1" showErrorMessage="1" xr:uid="{A9C4A0DE-37E6-4893-8469-4C0681BF619A}">
          <x14:formula1>
            <xm:f>'Data Regularization'!$E$2:$E$1048576</xm:f>
          </x14:formula1>
          <xm:sqref>K2:K274</xm:sqref>
        </x14:dataValidation>
        <x14:dataValidation type="list" allowBlank="1" showInputMessage="1" showErrorMessage="1" xr:uid="{1CD9B7F3-AE3A-490F-8076-7ABB480EAF51}">
          <x14:formula1>
            <xm:f>'Data Regularization'!$F$2:$F$1048576</xm:f>
          </x14:formula1>
          <xm:sqref>L2:L274</xm:sqref>
        </x14:dataValidation>
        <x14:dataValidation type="list" allowBlank="1" showInputMessage="1" showErrorMessage="1" xr:uid="{77F79DD5-2D8B-4D3A-9E59-FD22831F31B0}">
          <x14:formula1>
            <xm:f>'Data Regularization'!$G$2:$G$1048576</xm:f>
          </x14:formula1>
          <xm:sqref>O2:O274</xm:sqref>
        </x14:dataValidation>
        <x14:dataValidation type="list" allowBlank="1" showInputMessage="1" showErrorMessage="1" xr:uid="{6F37793B-62D4-4B77-BC57-68977A15AF0A}">
          <x14:formula1>
            <xm:f>'Data Regularization'!$J$2:$J$1048576</xm:f>
          </x14:formula1>
          <xm:sqref>V2:V274</xm:sqref>
        </x14:dataValidation>
        <x14:dataValidation type="list" allowBlank="1" showInputMessage="1" showErrorMessage="1" xr:uid="{93C4FA22-E350-4ED7-98C4-546681E0CCE2}">
          <x14:formula1>
            <xm:f>'Data Regularization'!$K$2:$K$1048576</xm:f>
          </x14:formula1>
          <xm:sqref>W2:W274</xm:sqref>
        </x14:dataValidation>
        <x14:dataValidation type="list" allowBlank="1" showInputMessage="1" showErrorMessage="1" xr:uid="{FC55F5B8-689C-410E-9044-C991C5D2364A}">
          <x14:formula1>
            <xm:f>'Data Regularization'!$L$2:$L$1048576</xm:f>
          </x14:formula1>
          <xm:sqref>X2:X274</xm:sqref>
        </x14:dataValidation>
        <x14:dataValidation type="list" allowBlank="1" showInputMessage="1" showErrorMessage="1" xr:uid="{C4072E0E-CCE1-4118-B2EE-7545C42A195F}">
          <x14:formula1>
            <xm:f>'Data Regularization'!$M$2:$M$1048576</xm:f>
          </x14:formula1>
          <xm:sqref>Y2:Y274</xm:sqref>
        </x14:dataValidation>
        <x14:dataValidation type="list" allowBlank="1" showInputMessage="1" showErrorMessage="1" xr:uid="{5FEF729B-1937-4F0C-A684-8689C23F041C}">
          <x14:formula1>
            <xm:f>'Data Regularization'!$N$2:$N$1048576</xm:f>
          </x14:formula1>
          <xm:sqref>AA2:AA274</xm:sqref>
        </x14:dataValidation>
        <x14:dataValidation type="list" allowBlank="1" showInputMessage="1" showErrorMessage="1" xr:uid="{90CA6010-1A30-4BAF-8614-74DD15EE1096}">
          <x14:formula1>
            <xm:f>'Data Regularization'!$O$2:$O$1048576</xm:f>
          </x14:formula1>
          <xm:sqref>AB2:AB274</xm:sqref>
        </x14:dataValidation>
        <x14:dataValidation type="list" allowBlank="1" showInputMessage="1" showErrorMessage="1" xr:uid="{7B92B535-8830-4A4E-9ADF-305EC15297FA}">
          <x14:formula1>
            <xm:f>'Data Regularization'!$H$2:$H$1048576</xm:f>
          </x14:formula1>
          <xm:sqref>T2:T274</xm:sqref>
        </x14:dataValidation>
        <x14:dataValidation type="list" allowBlank="1" showInputMessage="1" xr:uid="{7E2F52F7-CDD3-48CD-9D4B-069AC53BA108}">
          <x14:formula1>
            <xm:f>'Data Regularization'!$I$2:$I$1048576</xm:f>
          </x14:formula1>
          <xm:sqref>U2:U274</xm:sqref>
        </x14:dataValidation>
        <x14:dataValidation type="list" allowBlank="1" showInputMessage="1" showErrorMessage="1" xr:uid="{E7025C08-A06B-4C42-927B-7C34DFA628C6}">
          <x14:formula1>
            <xm:f>'Data Regularization'!$P$2:$P$1048576</xm:f>
          </x14:formula1>
          <xm:sqref>AC2:AC274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CF2F-CD3A-4855-988F-A16834EB1DE1}">
  <dimension ref="A1:AD13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ht="29">
      <c r="A1" s="1" t="s">
        <v>0</v>
      </c>
      <c r="B1" s="12" t="s">
        <v>5</v>
      </c>
      <c r="C1" s="1" t="s">
        <v>6</v>
      </c>
      <c r="D1" s="1" t="s">
        <v>2668</v>
      </c>
      <c r="E1" s="1" t="s">
        <v>2669</v>
      </c>
      <c r="F1" s="1" t="s">
        <v>2670</v>
      </c>
      <c r="G1" s="1" t="s">
        <v>3</v>
      </c>
      <c r="H1" s="1" t="s">
        <v>2671</v>
      </c>
      <c r="I1" s="1" t="s">
        <v>2672</v>
      </c>
      <c r="J1" s="1" t="s">
        <v>2673</v>
      </c>
      <c r="K1" s="1" t="s">
        <v>2674</v>
      </c>
      <c r="L1" s="1" t="s">
        <v>2634</v>
      </c>
      <c r="M1" s="1" t="s">
        <v>2675</v>
      </c>
      <c r="N1" s="9" t="s">
        <v>2676</v>
      </c>
      <c r="O1" s="1" t="s">
        <v>2635</v>
      </c>
      <c r="P1" s="1" t="s">
        <v>2677</v>
      </c>
      <c r="Q1" s="1" t="s">
        <v>2835</v>
      </c>
      <c r="R1" s="1" t="s">
        <v>2678</v>
      </c>
      <c r="S1" s="1" t="s">
        <v>2832</v>
      </c>
      <c r="T1" s="1" t="s">
        <v>2833</v>
      </c>
      <c r="U1" s="1" t="s">
        <v>2680</v>
      </c>
      <c r="V1" s="1" t="s">
        <v>2681</v>
      </c>
      <c r="W1" s="1" t="s">
        <v>2682</v>
      </c>
      <c r="X1" s="1" t="s">
        <v>2636</v>
      </c>
      <c r="Y1" s="1" t="s">
        <v>2637</v>
      </c>
      <c r="Z1" s="1" t="s">
        <v>2638</v>
      </c>
      <c r="AA1" s="1" t="s">
        <v>2679</v>
      </c>
      <c r="AB1" s="1" t="s">
        <v>2683</v>
      </c>
      <c r="AC1" s="1" t="s">
        <v>2639</v>
      </c>
      <c r="AD1" s="1" t="s">
        <v>2684</v>
      </c>
    </row>
    <row r="2" spans="1:30" ht="43.5">
      <c r="A2" s="2" t="s">
        <v>46</v>
      </c>
      <c r="B2" s="2" t="s">
        <v>2779</v>
      </c>
      <c r="C2" s="2" t="s">
        <v>2780</v>
      </c>
      <c r="F2" t="s">
        <v>19</v>
      </c>
      <c r="G2" s="10" t="s">
        <v>25</v>
      </c>
      <c r="H2" s="10"/>
      <c r="I2" s="10">
        <v>1</v>
      </c>
      <c r="J2" s="10">
        <v>2</v>
      </c>
      <c r="K2" s="10" t="s">
        <v>2646</v>
      </c>
      <c r="L2" s="10" t="s">
        <v>2687</v>
      </c>
      <c r="M2" s="10"/>
      <c r="N2" s="11"/>
      <c r="O2" s="10"/>
      <c r="P2" s="10">
        <v>2475</v>
      </c>
      <c r="Q2" s="10">
        <f>IF(ISNUMBER(P2), (P2/$F$132)*10000, "")</f>
        <v>1216.9338184678927</v>
      </c>
      <c r="R2" s="10"/>
      <c r="S2" s="10" t="s">
        <v>2834</v>
      </c>
      <c r="T2" s="10" t="s">
        <v>2834</v>
      </c>
      <c r="U2" s="10"/>
      <c r="V2" s="10"/>
      <c r="W2" s="10"/>
      <c r="X2" s="10"/>
      <c r="Y2" s="10"/>
      <c r="Z2" s="10"/>
      <c r="AA2" s="10"/>
      <c r="AB2" s="10"/>
      <c r="AC2" s="10"/>
      <c r="AD2" s="10"/>
    </row>
    <row r="3" spans="1:30" ht="29">
      <c r="A3" s="2" t="s">
        <v>72</v>
      </c>
      <c r="B3" s="2" t="s">
        <v>1251</v>
      </c>
      <c r="C3" s="2" t="s">
        <v>1252</v>
      </c>
      <c r="F3" t="s">
        <v>19</v>
      </c>
      <c r="G3" s="10" t="s">
        <v>25</v>
      </c>
      <c r="H3" s="10"/>
      <c r="I3" s="10">
        <v>1</v>
      </c>
      <c r="J3" s="10">
        <v>1</v>
      </c>
      <c r="K3" s="10" t="s">
        <v>2646</v>
      </c>
      <c r="L3" s="10" t="s">
        <v>2687</v>
      </c>
      <c r="M3" s="10"/>
      <c r="N3" s="11"/>
      <c r="O3" s="10"/>
      <c r="P3" s="10">
        <v>2475</v>
      </c>
      <c r="Q3" s="10">
        <f t="shared" ref="Q3:Q66" si="0">IF(ISNUMBER(P3), (P3/$F$132)*10000, "")</f>
        <v>1216.9338184678927</v>
      </c>
      <c r="R3" s="10"/>
      <c r="S3" s="10" t="s">
        <v>2834</v>
      </c>
      <c r="T3" s="10" t="s">
        <v>2834</v>
      </c>
      <c r="U3" s="10"/>
      <c r="V3" s="10"/>
      <c r="W3" s="10"/>
      <c r="X3" s="10"/>
      <c r="Y3" s="10"/>
      <c r="Z3" s="10"/>
      <c r="AA3" s="10"/>
      <c r="AB3" s="10"/>
      <c r="AC3" s="10"/>
      <c r="AD3" s="10"/>
    </row>
    <row r="4" spans="1:30" ht="58">
      <c r="A4" s="2" t="s">
        <v>92</v>
      </c>
      <c r="B4" s="2" t="s">
        <v>1288</v>
      </c>
      <c r="C4" s="2" t="s">
        <v>1289</v>
      </c>
      <c r="F4" t="s">
        <v>19</v>
      </c>
      <c r="G4" s="10" t="s">
        <v>24</v>
      </c>
      <c r="H4" s="10"/>
      <c r="I4" s="10">
        <v>1</v>
      </c>
      <c r="J4" s="10">
        <v>6</v>
      </c>
      <c r="K4" s="10" t="s">
        <v>2660</v>
      </c>
      <c r="L4" s="10" t="s">
        <v>2647</v>
      </c>
      <c r="M4" s="10"/>
      <c r="N4" s="11"/>
      <c r="O4" s="10"/>
      <c r="P4" s="10">
        <v>250</v>
      </c>
      <c r="Q4" s="10">
        <f t="shared" si="0"/>
        <v>122.92260792604976</v>
      </c>
      <c r="R4" s="10"/>
      <c r="S4" s="10" t="s">
        <v>2834</v>
      </c>
      <c r="T4" s="10" t="s">
        <v>2834</v>
      </c>
      <c r="U4" s="10"/>
      <c r="V4" s="10"/>
      <c r="W4" s="10"/>
      <c r="X4" s="10"/>
      <c r="Y4" s="10"/>
      <c r="Z4" s="10"/>
      <c r="AA4" s="10"/>
      <c r="AB4" s="10"/>
      <c r="AC4" s="10"/>
      <c r="AD4" s="10"/>
    </row>
    <row r="5" spans="1:30" ht="43.5">
      <c r="A5" s="2" t="s">
        <v>109</v>
      </c>
      <c r="B5" s="2" t="s">
        <v>1314</v>
      </c>
      <c r="C5" s="2" t="s">
        <v>1313</v>
      </c>
      <c r="F5" t="s">
        <v>19</v>
      </c>
      <c r="G5" s="10" t="s">
        <v>25</v>
      </c>
      <c r="H5" s="10"/>
      <c r="I5" s="10">
        <v>1</v>
      </c>
      <c r="J5" s="10">
        <v>5</v>
      </c>
      <c r="K5" s="10" t="s">
        <v>2662</v>
      </c>
      <c r="L5" s="10" t="s">
        <v>2647</v>
      </c>
      <c r="M5" s="10"/>
      <c r="N5" s="11"/>
      <c r="O5" s="10"/>
      <c r="P5" s="10">
        <v>830</v>
      </c>
      <c r="Q5" s="10">
        <f t="shared" si="0"/>
        <v>408.10305831448517</v>
      </c>
      <c r="R5" s="10"/>
      <c r="S5" s="10" t="s">
        <v>2834</v>
      </c>
      <c r="T5" s="10" t="s">
        <v>2834</v>
      </c>
      <c r="U5" s="10"/>
      <c r="V5" s="10"/>
      <c r="W5" s="10"/>
      <c r="X5" s="10"/>
      <c r="Y5" s="10"/>
      <c r="Z5" s="10"/>
      <c r="AA5" s="10"/>
      <c r="AB5" s="10"/>
      <c r="AC5" s="10"/>
      <c r="AD5" s="10"/>
    </row>
    <row r="6" spans="1:30" ht="43.5">
      <c r="A6" s="2" t="s">
        <v>118</v>
      </c>
      <c r="B6" s="2" t="s">
        <v>1325</v>
      </c>
      <c r="C6" s="2" t="s">
        <v>1326</v>
      </c>
      <c r="F6" t="s">
        <v>19</v>
      </c>
      <c r="G6" s="10" t="s">
        <v>25</v>
      </c>
      <c r="H6" s="10"/>
      <c r="I6" s="10">
        <v>2</v>
      </c>
      <c r="J6" s="10">
        <v>8</v>
      </c>
      <c r="K6" s="10"/>
      <c r="L6" s="10" t="s">
        <v>2647</v>
      </c>
      <c r="M6" s="10"/>
      <c r="N6" s="11"/>
      <c r="O6" s="10"/>
      <c r="P6" s="10">
        <v>295</v>
      </c>
      <c r="Q6" s="10">
        <f t="shared" si="0"/>
        <v>145.04867735273871</v>
      </c>
      <c r="R6" s="10"/>
      <c r="S6" s="10" t="s">
        <v>2834</v>
      </c>
      <c r="T6" s="10" t="s">
        <v>2834</v>
      </c>
      <c r="U6" s="10"/>
      <c r="V6" s="10"/>
      <c r="W6" s="10"/>
      <c r="X6" s="10"/>
      <c r="Y6" s="10"/>
      <c r="Z6" s="10"/>
      <c r="AA6" s="10"/>
      <c r="AB6" s="10"/>
      <c r="AC6" s="10"/>
      <c r="AD6" s="10"/>
    </row>
    <row r="7" spans="1:30" ht="43.5">
      <c r="A7" s="2" t="s">
        <v>134</v>
      </c>
      <c r="B7" s="2" t="s">
        <v>1353</v>
      </c>
      <c r="C7" s="2" t="s">
        <v>1354</v>
      </c>
      <c r="F7" t="s">
        <v>19</v>
      </c>
      <c r="G7" s="10" t="s">
        <v>25</v>
      </c>
      <c r="H7" s="10"/>
      <c r="I7" s="10">
        <v>1</v>
      </c>
      <c r="J7" s="10">
        <v>5</v>
      </c>
      <c r="K7" s="10" t="s">
        <v>2640</v>
      </c>
      <c r="L7" s="10" t="s">
        <v>2647</v>
      </c>
      <c r="M7" s="10"/>
      <c r="N7" s="11"/>
      <c r="O7" s="10"/>
      <c r="P7" s="10">
        <v>2</v>
      </c>
      <c r="Q7" s="10">
        <f t="shared" si="0"/>
        <v>0.98338086340839814</v>
      </c>
      <c r="R7" s="10"/>
      <c r="S7" s="10" t="s">
        <v>2834</v>
      </c>
      <c r="T7" s="10" t="s">
        <v>2834</v>
      </c>
      <c r="U7" s="10"/>
      <c r="V7" s="10"/>
      <c r="W7" s="10"/>
      <c r="X7" s="10"/>
      <c r="Y7" s="10"/>
      <c r="Z7" s="10"/>
      <c r="AA7" s="10"/>
      <c r="AB7" s="10"/>
      <c r="AC7" s="10"/>
      <c r="AD7" s="10"/>
    </row>
    <row r="8" spans="1:30" ht="58">
      <c r="A8" s="2" t="s">
        <v>168</v>
      </c>
      <c r="B8" s="2" t="s">
        <v>1405</v>
      </c>
      <c r="C8" s="2" t="s">
        <v>1406</v>
      </c>
      <c r="F8" t="s">
        <v>19</v>
      </c>
      <c r="G8" s="10" t="s">
        <v>24</v>
      </c>
      <c r="H8" s="10"/>
      <c r="I8" s="10">
        <v>1</v>
      </c>
      <c r="J8" s="10">
        <v>5</v>
      </c>
      <c r="K8" s="10" t="s">
        <v>2660</v>
      </c>
      <c r="L8" s="10" t="s">
        <v>2647</v>
      </c>
      <c r="M8" s="10"/>
      <c r="N8" s="11"/>
      <c r="O8" s="10"/>
      <c r="P8" s="10">
        <v>65</v>
      </c>
      <c r="Q8" s="10">
        <f t="shared" si="0"/>
        <v>31.95987806077294</v>
      </c>
      <c r="R8" s="10"/>
      <c r="S8" s="10" t="s">
        <v>2834</v>
      </c>
      <c r="T8" s="10" t="s">
        <v>2834</v>
      </c>
      <c r="U8" s="10"/>
      <c r="V8" s="10"/>
      <c r="W8" s="10"/>
      <c r="X8" s="10"/>
      <c r="Y8" s="10"/>
      <c r="Z8" s="10"/>
      <c r="AA8" s="10"/>
      <c r="AB8" s="10"/>
      <c r="AC8" s="10"/>
      <c r="AD8" s="10"/>
    </row>
    <row r="9" spans="1:30" ht="43.5">
      <c r="A9" s="2" t="s">
        <v>174</v>
      </c>
      <c r="B9" s="13" t="s">
        <v>1408</v>
      </c>
      <c r="C9" t="s">
        <v>1409</v>
      </c>
      <c r="F9" t="s">
        <v>19</v>
      </c>
      <c r="G9" s="10" t="s">
        <v>25</v>
      </c>
      <c r="H9" s="10"/>
      <c r="I9" s="10">
        <v>1</v>
      </c>
      <c r="J9" s="10">
        <v>3</v>
      </c>
      <c r="K9" s="10" t="s">
        <v>2646</v>
      </c>
      <c r="L9" s="10" t="s">
        <v>2641</v>
      </c>
      <c r="M9" s="10" t="s">
        <v>2704</v>
      </c>
      <c r="N9" s="11" t="s">
        <v>2705</v>
      </c>
      <c r="O9" s="10" t="s">
        <v>2642</v>
      </c>
      <c r="P9" s="10">
        <v>2475</v>
      </c>
      <c r="Q9" s="10">
        <f t="shared" si="0"/>
        <v>1216.9338184678927</v>
      </c>
      <c r="R9" s="10"/>
      <c r="S9" s="10" t="s">
        <v>2834</v>
      </c>
      <c r="T9" s="10" t="s">
        <v>2834</v>
      </c>
      <c r="U9" s="10"/>
      <c r="V9" s="10"/>
      <c r="W9" s="10"/>
      <c r="X9" s="10"/>
      <c r="Y9" s="10"/>
      <c r="Z9" s="10"/>
      <c r="AA9" s="10"/>
      <c r="AB9" s="10"/>
      <c r="AC9" s="10"/>
      <c r="AD9" s="10"/>
    </row>
    <row r="10" spans="1:30" ht="43.5">
      <c r="A10" s="2" t="s">
        <v>182</v>
      </c>
      <c r="B10" s="2" t="s">
        <v>1421</v>
      </c>
      <c r="C10" s="2" t="s">
        <v>1420</v>
      </c>
      <c r="F10" t="s">
        <v>19</v>
      </c>
      <c r="G10" s="10" t="s">
        <v>24</v>
      </c>
      <c r="H10" s="10"/>
      <c r="I10" s="10">
        <v>1</v>
      </c>
      <c r="J10" s="10">
        <v>6</v>
      </c>
      <c r="K10" s="10" t="s">
        <v>2660</v>
      </c>
      <c r="L10" s="10" t="s">
        <v>2647</v>
      </c>
      <c r="M10" s="10"/>
      <c r="N10" s="11"/>
      <c r="O10" s="10"/>
      <c r="P10" s="10">
        <v>250</v>
      </c>
      <c r="Q10" s="10">
        <f t="shared" si="0"/>
        <v>122.92260792604976</v>
      </c>
      <c r="R10" s="10"/>
      <c r="S10" s="10" t="s">
        <v>2834</v>
      </c>
      <c r="T10" s="10" t="s">
        <v>2834</v>
      </c>
      <c r="U10" s="10"/>
      <c r="V10" s="10"/>
      <c r="W10" s="10"/>
      <c r="X10" s="10"/>
      <c r="Y10" s="10"/>
      <c r="Z10" s="10"/>
      <c r="AA10" s="10"/>
      <c r="AB10" s="10"/>
      <c r="AC10" s="10"/>
      <c r="AD10" s="10"/>
    </row>
    <row r="11" spans="1:30" ht="43.5">
      <c r="A11" s="2" t="s">
        <v>187</v>
      </c>
      <c r="B11" s="13" t="s">
        <v>1422</v>
      </c>
      <c r="C11" t="s">
        <v>1423</v>
      </c>
      <c r="F11" t="s">
        <v>19</v>
      </c>
      <c r="G11" s="10" t="s">
        <v>25</v>
      </c>
      <c r="H11" s="10"/>
      <c r="I11" s="10">
        <v>1</v>
      </c>
      <c r="J11" s="10">
        <v>3</v>
      </c>
      <c r="K11" s="10" t="s">
        <v>2646</v>
      </c>
      <c r="L11" s="10" t="s">
        <v>2647</v>
      </c>
      <c r="M11" s="10"/>
      <c r="N11" s="11"/>
      <c r="O11" s="10"/>
      <c r="P11" s="10">
        <v>2475</v>
      </c>
      <c r="Q11" s="10">
        <f t="shared" si="0"/>
        <v>1216.9338184678927</v>
      </c>
      <c r="R11" s="10"/>
      <c r="S11" s="10" t="s">
        <v>2834</v>
      </c>
      <c r="T11" s="10" t="s">
        <v>2834</v>
      </c>
      <c r="U11" s="10"/>
      <c r="V11" s="10"/>
      <c r="W11" s="10"/>
      <c r="X11" s="10"/>
      <c r="Y11" s="10"/>
      <c r="Z11" s="10"/>
      <c r="AA11" s="10"/>
      <c r="AB11" s="10"/>
      <c r="AC11" s="10"/>
      <c r="AD11" s="10"/>
    </row>
    <row r="12" spans="1:30" ht="72.5">
      <c r="A12" s="2" t="s">
        <v>193</v>
      </c>
      <c r="B12" s="2" t="s">
        <v>1429</v>
      </c>
      <c r="C12" s="2" t="s">
        <v>1430</v>
      </c>
      <c r="G12" s="10" t="s">
        <v>25</v>
      </c>
      <c r="H12" s="10"/>
      <c r="I12" s="10">
        <v>1</v>
      </c>
      <c r="J12" s="10">
        <v>3</v>
      </c>
      <c r="K12" s="10" t="s">
        <v>2655</v>
      </c>
      <c r="L12" s="10" t="s">
        <v>2647</v>
      </c>
      <c r="M12" s="10"/>
      <c r="N12" s="11"/>
      <c r="O12" s="10"/>
      <c r="P12" s="10">
        <v>1701</v>
      </c>
      <c r="Q12" s="10">
        <f t="shared" si="0"/>
        <v>836.36542432884255</v>
      </c>
      <c r="R12" s="10"/>
      <c r="S12" s="10" t="s">
        <v>2834</v>
      </c>
      <c r="T12" s="10" t="s">
        <v>2834</v>
      </c>
      <c r="U12" s="10"/>
      <c r="V12" s="10"/>
      <c r="W12" s="10"/>
      <c r="X12" s="10"/>
      <c r="Y12" s="10"/>
      <c r="Z12" s="10"/>
      <c r="AA12" s="10"/>
      <c r="AB12" s="10"/>
      <c r="AC12" s="10"/>
      <c r="AD12" s="10"/>
    </row>
    <row r="13" spans="1:30" ht="58">
      <c r="A13" s="2" t="s">
        <v>222</v>
      </c>
      <c r="B13" s="2" t="s">
        <v>1478</v>
      </c>
      <c r="C13" s="2" t="s">
        <v>1481</v>
      </c>
      <c r="F13" t="s">
        <v>19</v>
      </c>
      <c r="G13" s="10" t="s">
        <v>24</v>
      </c>
      <c r="H13" s="10"/>
      <c r="I13" s="10">
        <v>1</v>
      </c>
      <c r="J13" s="10">
        <v>2</v>
      </c>
      <c r="K13" s="10" t="s">
        <v>2646</v>
      </c>
      <c r="L13" s="10" t="s">
        <v>2687</v>
      </c>
      <c r="M13" s="10"/>
      <c r="N13" s="11"/>
      <c r="O13" s="10"/>
      <c r="P13" s="10">
        <v>2475</v>
      </c>
      <c r="Q13" s="10">
        <f t="shared" si="0"/>
        <v>1216.9338184678927</v>
      </c>
      <c r="R13" s="10"/>
      <c r="S13" s="10" t="s">
        <v>2834</v>
      </c>
      <c r="T13" s="10" t="s">
        <v>2834</v>
      </c>
      <c r="U13" s="10"/>
      <c r="V13" s="10"/>
      <c r="W13" s="10"/>
      <c r="X13" s="10"/>
      <c r="Y13" s="10"/>
      <c r="Z13" s="10"/>
      <c r="AA13" s="10"/>
      <c r="AB13" s="10"/>
      <c r="AC13" s="10"/>
      <c r="AD13" s="10"/>
    </row>
    <row r="14" spans="1:30" ht="188.5">
      <c r="A14" s="2" t="s">
        <v>239</v>
      </c>
      <c r="B14" s="2" t="s">
        <v>1501</v>
      </c>
      <c r="C14" s="2" t="s">
        <v>1502</v>
      </c>
      <c r="G14" s="10" t="s">
        <v>25</v>
      </c>
      <c r="H14" s="10"/>
      <c r="I14" s="10">
        <v>13</v>
      </c>
      <c r="J14" s="10">
        <v>53</v>
      </c>
      <c r="K14" s="10"/>
      <c r="L14" s="10" t="s">
        <v>2641</v>
      </c>
      <c r="M14" s="10" t="s">
        <v>2712</v>
      </c>
      <c r="N14" s="11" t="s">
        <v>2713</v>
      </c>
      <c r="O14" s="10"/>
      <c r="P14" s="10">
        <v>3</v>
      </c>
      <c r="Q14" s="10">
        <f t="shared" si="0"/>
        <v>1.4750712951125973</v>
      </c>
      <c r="R14" s="10"/>
      <c r="S14" s="10" t="s">
        <v>2834</v>
      </c>
      <c r="T14" s="10" t="s">
        <v>2834</v>
      </c>
      <c r="U14" s="10"/>
      <c r="V14" s="10"/>
      <c r="W14" s="10"/>
      <c r="X14" s="10"/>
      <c r="Y14" s="10"/>
      <c r="Z14" s="10"/>
      <c r="AA14" s="10"/>
      <c r="AB14" s="10"/>
      <c r="AC14" s="10"/>
      <c r="AD14" s="10"/>
    </row>
    <row r="15" spans="1:30" ht="43.5">
      <c r="A15" s="2" t="s">
        <v>262</v>
      </c>
      <c r="B15" s="2" t="s">
        <v>2911</v>
      </c>
      <c r="C15" s="2" t="s">
        <v>1526</v>
      </c>
      <c r="G15" s="10" t="s">
        <v>25</v>
      </c>
      <c r="H15" s="10"/>
      <c r="I15" s="10">
        <v>1</v>
      </c>
      <c r="J15" s="10">
        <v>2</v>
      </c>
      <c r="K15" s="10" t="s">
        <v>2662</v>
      </c>
      <c r="L15" s="10" t="s">
        <v>2687</v>
      </c>
      <c r="M15" s="10"/>
      <c r="N15" s="11"/>
      <c r="O15" s="10"/>
      <c r="P15" s="10">
        <v>743</v>
      </c>
      <c r="Q15" s="10">
        <f t="shared" si="0"/>
        <v>365.32599075621988</v>
      </c>
      <c r="R15" s="10"/>
      <c r="S15" s="10" t="s">
        <v>2834</v>
      </c>
      <c r="T15" s="10" t="s">
        <v>2834</v>
      </c>
      <c r="U15" s="10"/>
      <c r="V15" s="10"/>
      <c r="W15" s="10"/>
      <c r="X15" s="10"/>
      <c r="Y15" s="10"/>
      <c r="Z15" s="10"/>
      <c r="AA15" s="10"/>
      <c r="AB15" s="10"/>
      <c r="AC15" s="10"/>
      <c r="AD15" s="10"/>
    </row>
    <row r="16" spans="1:30" ht="43.5">
      <c r="A16" s="2" t="s">
        <v>266</v>
      </c>
      <c r="B16" s="2" t="s">
        <v>1534</v>
      </c>
      <c r="C16" s="2" t="s">
        <v>1531</v>
      </c>
      <c r="G16" s="10" t="s">
        <v>25</v>
      </c>
      <c r="H16" s="10"/>
      <c r="I16" s="10">
        <v>1</v>
      </c>
      <c r="J16" s="10">
        <v>2</v>
      </c>
      <c r="K16" s="10" t="s">
        <v>2662</v>
      </c>
      <c r="L16" s="10" t="s">
        <v>2687</v>
      </c>
      <c r="M16" s="10"/>
      <c r="N16" s="11"/>
      <c r="O16" s="10"/>
      <c r="P16" s="10">
        <v>743</v>
      </c>
      <c r="Q16" s="10">
        <f t="shared" si="0"/>
        <v>365.32599075621988</v>
      </c>
      <c r="R16" s="10"/>
      <c r="S16" s="10" t="s">
        <v>2834</v>
      </c>
      <c r="T16" s="10" t="s">
        <v>2834</v>
      </c>
      <c r="U16" s="10"/>
      <c r="V16" s="10"/>
      <c r="W16" s="10"/>
      <c r="X16" s="10"/>
      <c r="Y16" s="10"/>
      <c r="Z16" s="10"/>
      <c r="AA16" s="10"/>
      <c r="AB16" s="10"/>
      <c r="AC16" s="10"/>
      <c r="AD16" s="10"/>
    </row>
    <row r="17" spans="1:30" ht="43.5">
      <c r="A17" s="2" t="s">
        <v>305</v>
      </c>
      <c r="B17" s="2" t="s">
        <v>1561</v>
      </c>
      <c r="C17" s="2" t="s">
        <v>1562</v>
      </c>
      <c r="F17" t="s">
        <v>19</v>
      </c>
      <c r="G17" s="10" t="s">
        <v>25</v>
      </c>
      <c r="H17" s="10"/>
      <c r="I17" s="10">
        <v>1</v>
      </c>
      <c r="J17" s="10">
        <v>4</v>
      </c>
      <c r="K17" s="10" t="s">
        <v>2660</v>
      </c>
      <c r="L17" s="10" t="s">
        <v>2647</v>
      </c>
      <c r="M17" s="10"/>
      <c r="N17" s="11"/>
      <c r="O17" s="10"/>
      <c r="P17" s="10">
        <v>52</v>
      </c>
      <c r="Q17" s="10">
        <f t="shared" si="0"/>
        <v>25.567902448618351</v>
      </c>
      <c r="R17" s="10"/>
      <c r="S17" s="10" t="s">
        <v>2834</v>
      </c>
      <c r="T17" s="10" t="s">
        <v>2834</v>
      </c>
      <c r="U17" s="10"/>
      <c r="V17" s="10"/>
      <c r="W17" s="10"/>
      <c r="X17" s="10"/>
      <c r="Y17" s="10"/>
      <c r="Z17" s="10"/>
      <c r="AA17" s="10"/>
      <c r="AB17" s="10"/>
      <c r="AC17" s="10"/>
      <c r="AD17" s="10"/>
    </row>
    <row r="18" spans="1:30" ht="58">
      <c r="A18" s="2" t="s">
        <v>382</v>
      </c>
      <c r="B18" s="2" t="s">
        <v>1636</v>
      </c>
      <c r="C18" s="2" t="s">
        <v>1637</v>
      </c>
      <c r="F18" t="s">
        <v>19</v>
      </c>
      <c r="G18" s="10" t="s">
        <v>25</v>
      </c>
      <c r="H18" s="10"/>
      <c r="I18" s="10">
        <v>1</v>
      </c>
      <c r="J18" s="10">
        <v>3</v>
      </c>
      <c r="K18" s="10" t="s">
        <v>2655</v>
      </c>
      <c r="L18" s="10" t="s">
        <v>2647</v>
      </c>
      <c r="M18" s="10"/>
      <c r="N18" s="11"/>
      <c r="O18" s="10"/>
      <c r="P18" s="10">
        <v>1701</v>
      </c>
      <c r="Q18" s="10">
        <f t="shared" si="0"/>
        <v>836.36542432884255</v>
      </c>
      <c r="R18" s="10"/>
      <c r="S18" s="10" t="s">
        <v>2834</v>
      </c>
      <c r="T18" s="10" t="s">
        <v>2834</v>
      </c>
      <c r="U18" s="10"/>
      <c r="V18" s="10"/>
      <c r="W18" s="10"/>
      <c r="X18" s="10"/>
      <c r="Y18" s="10"/>
      <c r="Z18" s="10"/>
      <c r="AA18" s="10"/>
      <c r="AB18" s="10"/>
      <c r="AC18" s="10"/>
      <c r="AD18" s="10"/>
    </row>
    <row r="19" spans="1:30" ht="29">
      <c r="A19" s="2" t="s">
        <v>383</v>
      </c>
      <c r="B19" s="2" t="s">
        <v>1645</v>
      </c>
      <c r="C19" s="2" t="s">
        <v>1646</v>
      </c>
      <c r="F19" t="s">
        <v>19</v>
      </c>
      <c r="G19" s="10" t="s">
        <v>25</v>
      </c>
      <c r="H19" s="10"/>
      <c r="I19" s="10">
        <v>1</v>
      </c>
      <c r="J19" s="10">
        <v>1</v>
      </c>
      <c r="K19" s="10" t="s">
        <v>2646</v>
      </c>
      <c r="L19" s="10" t="s">
        <v>2687</v>
      </c>
      <c r="M19" s="10"/>
      <c r="N19" s="11"/>
      <c r="O19" s="10"/>
      <c r="P19" s="10">
        <v>2475</v>
      </c>
      <c r="Q19" s="10">
        <f t="shared" si="0"/>
        <v>1216.9338184678927</v>
      </c>
      <c r="R19" s="10"/>
      <c r="S19" s="10" t="s">
        <v>2834</v>
      </c>
      <c r="T19" s="10" t="s">
        <v>2834</v>
      </c>
      <c r="U19" s="10"/>
      <c r="V19" s="10"/>
      <c r="W19" s="10"/>
      <c r="X19" s="10"/>
      <c r="Y19" s="10"/>
      <c r="Z19" s="10"/>
      <c r="AA19" s="10"/>
      <c r="AB19" s="10"/>
      <c r="AC19" s="10"/>
      <c r="AD19" s="10"/>
    </row>
    <row r="20" spans="1:30" ht="72.5">
      <c r="A20" s="2" t="s">
        <v>393</v>
      </c>
      <c r="B20" s="2" t="s">
        <v>1651</v>
      </c>
      <c r="C20" s="2" t="s">
        <v>1650</v>
      </c>
      <c r="G20" s="10" t="s">
        <v>25</v>
      </c>
      <c r="H20" s="10"/>
      <c r="I20" s="10">
        <v>1</v>
      </c>
      <c r="J20" s="10">
        <v>5</v>
      </c>
      <c r="K20" s="10" t="s">
        <v>2662</v>
      </c>
      <c r="L20" s="10" t="s">
        <v>2647</v>
      </c>
      <c r="M20" s="10"/>
      <c r="N20" s="11"/>
      <c r="O20" s="10"/>
      <c r="P20" s="10">
        <v>830</v>
      </c>
      <c r="Q20" s="10">
        <f t="shared" si="0"/>
        <v>408.10305831448517</v>
      </c>
      <c r="R20" s="10"/>
      <c r="S20" s="10" t="s">
        <v>2834</v>
      </c>
      <c r="T20" s="10" t="s">
        <v>2834</v>
      </c>
      <c r="U20" s="10"/>
      <c r="V20" s="10"/>
      <c r="W20" s="10"/>
      <c r="X20" s="10"/>
      <c r="Y20" s="10"/>
      <c r="Z20" s="10"/>
      <c r="AA20" s="10"/>
      <c r="AB20" s="10"/>
      <c r="AC20" s="10"/>
      <c r="AD20" s="10"/>
    </row>
    <row r="21" spans="1:30" ht="72.5">
      <c r="A21" s="2" t="s">
        <v>393</v>
      </c>
      <c r="B21" s="2" t="s">
        <v>1652</v>
      </c>
      <c r="C21" s="2" t="s">
        <v>1650</v>
      </c>
      <c r="G21" s="10" t="s">
        <v>25</v>
      </c>
      <c r="H21" s="10"/>
      <c r="I21" s="10">
        <v>1</v>
      </c>
      <c r="J21" s="10">
        <v>3</v>
      </c>
      <c r="K21" s="10" t="s">
        <v>2646</v>
      </c>
      <c r="L21" s="10" t="s">
        <v>2647</v>
      </c>
      <c r="M21" s="10"/>
      <c r="N21" s="11"/>
      <c r="O21" s="10"/>
      <c r="P21" s="10">
        <v>2475</v>
      </c>
      <c r="Q21" s="10">
        <f t="shared" si="0"/>
        <v>1216.9338184678927</v>
      </c>
      <c r="R21" s="10"/>
      <c r="S21" s="10" t="s">
        <v>2834</v>
      </c>
      <c r="T21" s="10" t="s">
        <v>2834</v>
      </c>
      <c r="U21" s="10"/>
      <c r="V21" s="10"/>
      <c r="W21" s="10"/>
      <c r="X21" s="10"/>
      <c r="Y21" s="10"/>
      <c r="Z21" s="10"/>
      <c r="AA21" s="10"/>
      <c r="AB21" s="10"/>
      <c r="AC21" s="10"/>
      <c r="AD21" s="10"/>
    </row>
    <row r="22" spans="1:30" ht="29">
      <c r="A22" s="2" t="s">
        <v>417</v>
      </c>
      <c r="B22" s="2" t="s">
        <v>1675</v>
      </c>
      <c r="C22" s="2" t="s">
        <v>1674</v>
      </c>
      <c r="G22" s="10" t="s">
        <v>25</v>
      </c>
      <c r="H22" s="10"/>
      <c r="I22" s="10">
        <v>1</v>
      </c>
      <c r="J22" s="10">
        <v>1</v>
      </c>
      <c r="K22" s="10" t="s">
        <v>2646</v>
      </c>
      <c r="L22" s="10" t="s">
        <v>2687</v>
      </c>
      <c r="M22" s="10"/>
      <c r="N22" s="11"/>
      <c r="O22" s="10"/>
      <c r="P22" s="10">
        <v>2475</v>
      </c>
      <c r="Q22" s="10">
        <f t="shared" si="0"/>
        <v>1216.9338184678927</v>
      </c>
      <c r="R22" s="10"/>
      <c r="S22" s="10" t="s">
        <v>2834</v>
      </c>
      <c r="T22" s="10" t="s">
        <v>2834</v>
      </c>
      <c r="U22" s="10"/>
      <c r="V22" s="10"/>
      <c r="W22" s="10"/>
      <c r="X22" s="10"/>
      <c r="Y22" s="10"/>
      <c r="Z22" s="10"/>
      <c r="AA22" s="10"/>
      <c r="AB22" s="10"/>
      <c r="AC22" s="10"/>
      <c r="AD22" s="10"/>
    </row>
    <row r="23" spans="1:30" ht="43.5">
      <c r="A23" s="2" t="s">
        <v>418</v>
      </c>
      <c r="B23" s="2" t="s">
        <v>1684</v>
      </c>
      <c r="C23" s="2" t="s">
        <v>1683</v>
      </c>
      <c r="F23" t="s">
        <v>19</v>
      </c>
      <c r="G23" s="10" t="s">
        <v>25</v>
      </c>
      <c r="H23" s="10"/>
      <c r="I23" s="10">
        <v>1</v>
      </c>
      <c r="J23" s="10">
        <v>3</v>
      </c>
      <c r="K23" s="10" t="s">
        <v>2655</v>
      </c>
      <c r="L23" s="10" t="s">
        <v>2647</v>
      </c>
      <c r="M23" s="10"/>
      <c r="N23" s="11"/>
      <c r="O23" s="10"/>
      <c r="P23" s="10">
        <v>1701</v>
      </c>
      <c r="Q23" s="10">
        <f t="shared" si="0"/>
        <v>836.36542432884255</v>
      </c>
      <c r="R23" s="10"/>
      <c r="S23" s="10" t="s">
        <v>2834</v>
      </c>
      <c r="T23" s="10" t="s">
        <v>2834</v>
      </c>
      <c r="U23" s="10"/>
      <c r="V23" s="10"/>
      <c r="W23" s="10"/>
      <c r="X23" s="10"/>
      <c r="Y23" s="10"/>
      <c r="Z23" s="10"/>
      <c r="AA23" s="10"/>
      <c r="AB23" s="10"/>
      <c r="AC23" s="10"/>
      <c r="AD23" s="10"/>
    </row>
    <row r="24" spans="1:30" ht="29">
      <c r="A24" s="2" t="s">
        <v>428</v>
      </c>
      <c r="B24" s="2" t="s">
        <v>1716</v>
      </c>
      <c r="C24" s="2" t="s">
        <v>1717</v>
      </c>
      <c r="F24" t="s">
        <v>19</v>
      </c>
      <c r="G24" s="10" t="s">
        <v>25</v>
      </c>
      <c r="H24" s="10"/>
      <c r="I24" s="10">
        <v>1</v>
      </c>
      <c r="J24" s="10">
        <v>2</v>
      </c>
      <c r="K24" s="10" t="s">
        <v>2646</v>
      </c>
      <c r="L24" s="10" t="s">
        <v>2687</v>
      </c>
      <c r="M24" s="10"/>
      <c r="N24" s="11"/>
      <c r="O24" s="10"/>
      <c r="P24" s="10">
        <v>2475</v>
      </c>
      <c r="Q24" s="10">
        <f t="shared" si="0"/>
        <v>1216.9338184678927</v>
      </c>
      <c r="R24" s="10"/>
      <c r="S24" s="10" t="s">
        <v>2834</v>
      </c>
      <c r="T24" s="10" t="s">
        <v>2834</v>
      </c>
      <c r="U24" s="10"/>
      <c r="V24" s="10"/>
      <c r="W24" s="10"/>
      <c r="X24" s="10"/>
      <c r="Y24" s="10"/>
      <c r="Z24" s="10"/>
      <c r="AA24" s="10"/>
      <c r="AB24" s="10"/>
      <c r="AC24" s="10"/>
      <c r="AD24" s="10"/>
    </row>
    <row r="25" spans="1:30" ht="43.5">
      <c r="A25" s="2" t="s">
        <v>448</v>
      </c>
      <c r="B25" s="2" t="s">
        <v>1737</v>
      </c>
      <c r="C25" s="2" t="s">
        <v>1738</v>
      </c>
      <c r="G25" s="10" t="s">
        <v>25</v>
      </c>
      <c r="H25" s="10"/>
      <c r="I25" s="10">
        <v>1</v>
      </c>
      <c r="J25" s="10">
        <v>3</v>
      </c>
      <c r="K25" s="10" t="s">
        <v>2646</v>
      </c>
      <c r="L25" s="10" t="s">
        <v>2647</v>
      </c>
      <c r="M25" s="10"/>
      <c r="N25" s="11"/>
      <c r="O25" s="10"/>
      <c r="P25" s="10">
        <v>2475</v>
      </c>
      <c r="Q25" s="10">
        <f t="shared" si="0"/>
        <v>1216.9338184678927</v>
      </c>
      <c r="R25" s="10"/>
      <c r="S25" s="10" t="s">
        <v>2834</v>
      </c>
      <c r="T25" s="10" t="s">
        <v>2834</v>
      </c>
      <c r="U25" s="10"/>
      <c r="V25" s="10"/>
      <c r="W25" s="10"/>
      <c r="X25" s="10"/>
      <c r="Y25" s="10"/>
      <c r="Z25" s="10"/>
      <c r="AA25" s="10"/>
      <c r="AB25" s="10"/>
      <c r="AC25" s="10"/>
      <c r="AD25" s="10"/>
    </row>
    <row r="26" spans="1:30" ht="72.5">
      <c r="A26" s="2" t="s">
        <v>464</v>
      </c>
      <c r="B26" s="2" t="s">
        <v>1753</v>
      </c>
      <c r="C26" s="2" t="s">
        <v>1752</v>
      </c>
      <c r="G26" s="10" t="s">
        <v>25</v>
      </c>
      <c r="H26" s="10"/>
      <c r="I26" s="10">
        <v>2</v>
      </c>
      <c r="J26" s="10">
        <v>13</v>
      </c>
      <c r="K26" s="10"/>
      <c r="L26" s="10" t="s">
        <v>2647</v>
      </c>
      <c r="M26" s="10"/>
      <c r="N26" s="11"/>
      <c r="O26" s="10"/>
      <c r="P26" s="10">
        <v>1</v>
      </c>
      <c r="Q26" s="10">
        <f t="shared" si="0"/>
        <v>0.49169043170419907</v>
      </c>
      <c r="R26" s="10"/>
      <c r="S26" s="10" t="s">
        <v>2834</v>
      </c>
      <c r="T26" s="10" t="s">
        <v>2834</v>
      </c>
      <c r="U26" s="10"/>
      <c r="V26" s="10"/>
      <c r="W26" s="10"/>
      <c r="X26" s="10"/>
      <c r="Y26" s="10"/>
      <c r="Z26" s="10"/>
      <c r="AA26" s="10"/>
      <c r="AB26" s="10"/>
      <c r="AC26" s="10"/>
      <c r="AD26" s="10"/>
    </row>
    <row r="27" spans="1:30" ht="217.5">
      <c r="A27" s="2" t="s">
        <v>468</v>
      </c>
      <c r="B27" s="2" t="s">
        <v>1763</v>
      </c>
      <c r="C27" s="2" t="s">
        <v>1758</v>
      </c>
      <c r="F27" t="s">
        <v>19</v>
      </c>
      <c r="G27" s="10" t="s">
        <v>25</v>
      </c>
      <c r="H27" s="10"/>
      <c r="I27" s="10">
        <v>9</v>
      </c>
      <c r="J27" s="10">
        <v>42</v>
      </c>
      <c r="K27" s="10"/>
      <c r="L27" s="10" t="s">
        <v>2647</v>
      </c>
      <c r="M27" s="10"/>
      <c r="N27" s="11"/>
      <c r="O27" s="10"/>
      <c r="P27" s="10">
        <v>2</v>
      </c>
      <c r="Q27" s="10">
        <f t="shared" si="0"/>
        <v>0.98338086340839814</v>
      </c>
      <c r="R27" s="10"/>
      <c r="S27" s="10" t="s">
        <v>2834</v>
      </c>
      <c r="T27" s="10" t="s">
        <v>2834</v>
      </c>
      <c r="U27" s="10"/>
      <c r="V27" s="10"/>
      <c r="W27" s="10"/>
      <c r="X27" s="10"/>
      <c r="Y27" s="10"/>
      <c r="Z27" s="10"/>
      <c r="AA27" s="10"/>
      <c r="AB27" s="10"/>
      <c r="AC27" s="10"/>
      <c r="AD27" s="10"/>
    </row>
    <row r="28" spans="1:30" ht="29">
      <c r="A28" s="2" t="s">
        <v>499</v>
      </c>
      <c r="B28" s="2" t="s">
        <v>1811</v>
      </c>
      <c r="C28" s="2" t="s">
        <v>1810</v>
      </c>
      <c r="G28" s="10" t="s">
        <v>25</v>
      </c>
      <c r="H28" s="10"/>
      <c r="I28" s="10">
        <v>1</v>
      </c>
      <c r="J28" s="10">
        <v>3</v>
      </c>
      <c r="K28" s="10" t="s">
        <v>2646</v>
      </c>
      <c r="L28" s="10" t="s">
        <v>2647</v>
      </c>
      <c r="M28" s="10"/>
      <c r="N28" s="11"/>
      <c r="O28" s="10"/>
      <c r="P28" s="10">
        <v>2475</v>
      </c>
      <c r="Q28" s="10">
        <f t="shared" si="0"/>
        <v>1216.9338184678927</v>
      </c>
      <c r="R28" s="10"/>
      <c r="S28" s="10" t="s">
        <v>2834</v>
      </c>
      <c r="T28" s="10" t="s">
        <v>2834</v>
      </c>
      <c r="U28" s="10"/>
      <c r="V28" s="10"/>
      <c r="W28" s="10"/>
      <c r="X28" s="10"/>
      <c r="Y28" s="10"/>
      <c r="Z28" s="10"/>
      <c r="AA28" s="10"/>
      <c r="AB28" s="10"/>
      <c r="AC28" s="10"/>
      <c r="AD28" s="10"/>
    </row>
    <row r="29" spans="1:30" ht="43.5">
      <c r="A29" s="2" t="s">
        <v>512</v>
      </c>
      <c r="B29" s="2" t="s">
        <v>2730</v>
      </c>
      <c r="C29" s="2" t="s">
        <v>1830</v>
      </c>
      <c r="G29" s="10" t="s">
        <v>25</v>
      </c>
      <c r="H29" s="10"/>
      <c r="I29" s="10">
        <v>1</v>
      </c>
      <c r="J29" s="10">
        <v>2</v>
      </c>
      <c r="K29" s="10" t="s">
        <v>2646</v>
      </c>
      <c r="L29" s="10" t="s">
        <v>2687</v>
      </c>
      <c r="M29" s="10"/>
      <c r="N29" s="11"/>
      <c r="O29" s="10"/>
      <c r="P29" s="10">
        <v>2475</v>
      </c>
      <c r="Q29" s="10">
        <f t="shared" si="0"/>
        <v>1216.9338184678927</v>
      </c>
      <c r="R29" s="10"/>
      <c r="S29" s="10" t="s">
        <v>2834</v>
      </c>
      <c r="T29" s="10" t="s">
        <v>2834</v>
      </c>
      <c r="U29" s="10"/>
      <c r="V29" s="10"/>
      <c r="W29" s="10"/>
      <c r="X29" s="10"/>
      <c r="Y29" s="10"/>
      <c r="Z29" s="10"/>
      <c r="AA29" s="10"/>
      <c r="AB29" s="10"/>
      <c r="AC29" s="10"/>
      <c r="AD29" s="10"/>
    </row>
    <row r="30" spans="1:30" ht="58">
      <c r="A30" s="2" t="s">
        <v>515</v>
      </c>
      <c r="B30" s="2" t="s">
        <v>1836</v>
      </c>
      <c r="C30" s="2" t="s">
        <v>1837</v>
      </c>
      <c r="F30" t="s">
        <v>19</v>
      </c>
      <c r="G30" s="10" t="s">
        <v>24</v>
      </c>
      <c r="H30" s="10"/>
      <c r="I30" s="10">
        <v>1</v>
      </c>
      <c r="J30" s="10">
        <v>2</v>
      </c>
      <c r="K30" s="10" t="s">
        <v>2646</v>
      </c>
      <c r="L30" s="10" t="s">
        <v>2687</v>
      </c>
      <c r="M30" s="10"/>
      <c r="N30" s="11"/>
      <c r="O30" s="10"/>
      <c r="P30" s="10">
        <v>2475</v>
      </c>
      <c r="Q30" s="10">
        <f t="shared" si="0"/>
        <v>1216.9338184678927</v>
      </c>
      <c r="R30" s="10"/>
      <c r="S30" s="10" t="s">
        <v>2834</v>
      </c>
      <c r="T30" s="10" t="s">
        <v>2834</v>
      </c>
      <c r="U30" s="10"/>
      <c r="V30" s="10"/>
      <c r="W30" s="10"/>
      <c r="X30" s="10"/>
      <c r="Y30" s="10"/>
      <c r="Z30" s="10"/>
      <c r="AA30" s="10"/>
      <c r="AB30" s="10"/>
      <c r="AC30" s="10"/>
      <c r="AD30" s="10"/>
    </row>
    <row r="31" spans="1:30" ht="43.5">
      <c r="A31" s="2" t="s">
        <v>584</v>
      </c>
      <c r="B31" s="2" t="s">
        <v>1900</v>
      </c>
      <c r="C31" s="2" t="s">
        <v>1899</v>
      </c>
      <c r="F31" t="s">
        <v>19</v>
      </c>
      <c r="G31" s="10" t="s">
        <v>25</v>
      </c>
      <c r="H31" s="10"/>
      <c r="I31" s="10">
        <v>1</v>
      </c>
      <c r="J31" s="10">
        <v>3</v>
      </c>
      <c r="K31" s="10" t="s">
        <v>2646</v>
      </c>
      <c r="L31" s="10" t="s">
        <v>2647</v>
      </c>
      <c r="M31" s="10"/>
      <c r="N31" s="11"/>
      <c r="O31" s="10"/>
      <c r="P31" s="10">
        <v>2475</v>
      </c>
      <c r="Q31" s="10">
        <f t="shared" si="0"/>
        <v>1216.9338184678927</v>
      </c>
      <c r="R31" s="10"/>
      <c r="S31" s="10" t="s">
        <v>2834</v>
      </c>
      <c r="T31" s="10" t="s">
        <v>2834</v>
      </c>
      <c r="U31" s="10"/>
      <c r="V31" s="10"/>
      <c r="W31" s="10"/>
      <c r="X31" s="10"/>
      <c r="Y31" s="10"/>
      <c r="Z31" s="10"/>
      <c r="AA31" s="10"/>
      <c r="AB31" s="10"/>
      <c r="AC31" s="10"/>
      <c r="AD31" s="10"/>
    </row>
    <row r="32" spans="1:30" ht="87">
      <c r="A32" s="2" t="s">
        <v>585</v>
      </c>
      <c r="B32" s="2" t="s">
        <v>1905</v>
      </c>
      <c r="C32" s="2" t="s">
        <v>1904</v>
      </c>
      <c r="F32" t="s">
        <v>19</v>
      </c>
      <c r="G32" s="10" t="s">
        <v>25</v>
      </c>
      <c r="H32" s="10"/>
      <c r="I32" s="10">
        <v>1</v>
      </c>
      <c r="J32" s="10">
        <v>3</v>
      </c>
      <c r="K32" s="10" t="s">
        <v>2662</v>
      </c>
      <c r="L32" s="10" t="s">
        <v>2647</v>
      </c>
      <c r="M32" s="10"/>
      <c r="N32" s="11"/>
      <c r="O32" s="10"/>
      <c r="P32" s="10">
        <v>743</v>
      </c>
      <c r="Q32" s="10">
        <f t="shared" si="0"/>
        <v>365.32599075621988</v>
      </c>
      <c r="R32" s="10"/>
      <c r="S32" s="10" t="s">
        <v>2834</v>
      </c>
      <c r="T32" s="10" t="s">
        <v>2834</v>
      </c>
      <c r="U32" s="10"/>
      <c r="V32" s="10"/>
      <c r="W32" s="10"/>
      <c r="X32" s="10"/>
      <c r="Y32" s="10"/>
      <c r="Z32" s="10"/>
      <c r="AA32" s="10"/>
      <c r="AB32" s="10"/>
      <c r="AC32" s="10"/>
      <c r="AD32" s="10"/>
    </row>
    <row r="33" spans="1:30" ht="87">
      <c r="A33" s="2" t="s">
        <v>585</v>
      </c>
      <c r="B33" s="2" t="s">
        <v>1903</v>
      </c>
      <c r="C33" s="2" t="s">
        <v>1906</v>
      </c>
      <c r="F33" t="s">
        <v>19</v>
      </c>
      <c r="G33" s="10" t="s">
        <v>24</v>
      </c>
      <c r="H33" s="10"/>
      <c r="I33" s="10">
        <v>1</v>
      </c>
      <c r="J33" s="10">
        <v>3</v>
      </c>
      <c r="K33" s="10" t="s">
        <v>2664</v>
      </c>
      <c r="L33" s="10" t="s">
        <v>2647</v>
      </c>
      <c r="M33" s="10"/>
      <c r="N33" s="11"/>
      <c r="O33" s="10"/>
      <c r="P33" s="10">
        <v>112</v>
      </c>
      <c r="Q33" s="10">
        <f t="shared" si="0"/>
        <v>55.069328350870293</v>
      </c>
      <c r="R33" s="10"/>
      <c r="S33" s="10" t="s">
        <v>2834</v>
      </c>
      <c r="T33" s="10" t="s">
        <v>2834</v>
      </c>
      <c r="U33" s="10"/>
      <c r="V33" s="10"/>
      <c r="W33" s="10"/>
      <c r="X33" s="10"/>
      <c r="Y33" s="10"/>
      <c r="Z33" s="10"/>
      <c r="AA33" s="10"/>
      <c r="AB33" s="10"/>
      <c r="AC33" s="10"/>
      <c r="AD33" s="10"/>
    </row>
    <row r="34" spans="1:30" ht="43.5">
      <c r="A34" s="2" t="s">
        <v>601</v>
      </c>
      <c r="B34" s="2" t="s">
        <v>1926</v>
      </c>
      <c r="C34" s="2" t="s">
        <v>1927</v>
      </c>
      <c r="F34" t="s">
        <v>19</v>
      </c>
      <c r="G34" s="10" t="s">
        <v>24</v>
      </c>
      <c r="H34" s="10"/>
      <c r="I34" s="10">
        <v>1</v>
      </c>
      <c r="J34" s="10">
        <v>4</v>
      </c>
      <c r="K34" s="10" t="s">
        <v>2660</v>
      </c>
      <c r="L34" s="10" t="s">
        <v>2647</v>
      </c>
      <c r="M34" s="10"/>
      <c r="N34" s="11"/>
      <c r="O34" s="10"/>
      <c r="P34" s="10">
        <v>132</v>
      </c>
      <c r="Q34" s="10">
        <f t="shared" si="0"/>
        <v>64.903136984954273</v>
      </c>
      <c r="R34" s="10"/>
      <c r="S34" s="10" t="s">
        <v>2834</v>
      </c>
      <c r="T34" s="10" t="s">
        <v>2834</v>
      </c>
      <c r="U34" s="10"/>
      <c r="V34" s="10"/>
      <c r="W34" s="10"/>
      <c r="X34" s="10"/>
      <c r="Y34" s="10"/>
      <c r="Z34" s="10"/>
      <c r="AA34" s="10"/>
      <c r="AB34" s="10"/>
      <c r="AC34" s="10"/>
      <c r="AD34" s="10"/>
    </row>
    <row r="35" spans="1:30" ht="72.5">
      <c r="A35" s="2" t="s">
        <v>603</v>
      </c>
      <c r="B35" s="13" t="s">
        <v>1930</v>
      </c>
      <c r="C35" s="2" t="s">
        <v>1931</v>
      </c>
      <c r="F35" t="s">
        <v>19</v>
      </c>
      <c r="G35" s="10" t="s">
        <v>24</v>
      </c>
      <c r="H35" s="10"/>
      <c r="I35" s="10">
        <v>4</v>
      </c>
      <c r="J35" s="10">
        <v>19</v>
      </c>
      <c r="K35" s="10"/>
      <c r="L35" s="10" t="s">
        <v>2647</v>
      </c>
      <c r="M35" s="10"/>
      <c r="N35" s="11"/>
      <c r="O35" s="10" t="s">
        <v>2648</v>
      </c>
      <c r="P35" s="10">
        <v>146</v>
      </c>
      <c r="Q35" s="10">
        <f t="shared" si="0"/>
        <v>71.786803028813054</v>
      </c>
      <c r="R35" s="10"/>
      <c r="S35" s="10" t="s">
        <v>2834</v>
      </c>
      <c r="T35" s="10" t="s">
        <v>2834</v>
      </c>
      <c r="U35" s="10"/>
      <c r="V35" s="10"/>
      <c r="W35" s="10"/>
      <c r="X35" s="10"/>
      <c r="Y35" s="10"/>
      <c r="Z35" s="10"/>
      <c r="AA35" s="10"/>
      <c r="AB35" s="10"/>
      <c r="AC35" s="10"/>
      <c r="AD35" s="10"/>
    </row>
    <row r="36" spans="1:30" ht="58">
      <c r="A36" s="2" t="s">
        <v>627</v>
      </c>
      <c r="B36" s="2" t="s">
        <v>1948</v>
      </c>
      <c r="C36" s="2" t="s">
        <v>1949</v>
      </c>
      <c r="D36" t="s">
        <v>12</v>
      </c>
      <c r="G36" s="10" t="s">
        <v>25</v>
      </c>
      <c r="H36" s="10"/>
      <c r="I36" s="10">
        <v>1</v>
      </c>
      <c r="J36" s="10">
        <v>1</v>
      </c>
      <c r="K36" s="10" t="s">
        <v>2655</v>
      </c>
      <c r="L36" s="10" t="s">
        <v>2687</v>
      </c>
      <c r="M36" s="10"/>
      <c r="N36" s="11"/>
      <c r="O36" s="10"/>
      <c r="P36" s="10">
        <v>1701</v>
      </c>
      <c r="Q36" s="10">
        <f t="shared" si="0"/>
        <v>836.36542432884255</v>
      </c>
      <c r="R36" s="10"/>
      <c r="S36" s="10" t="s">
        <v>2834</v>
      </c>
      <c r="T36" s="10" t="s">
        <v>2834</v>
      </c>
      <c r="U36" s="10"/>
      <c r="V36" s="10"/>
      <c r="W36" s="10"/>
      <c r="X36" s="10"/>
      <c r="Y36" s="10"/>
      <c r="Z36" s="10"/>
      <c r="AA36" s="10"/>
      <c r="AB36" s="10"/>
      <c r="AC36" s="10"/>
      <c r="AD36" s="10"/>
    </row>
    <row r="37" spans="1:30" ht="43.5">
      <c r="A37" s="2" t="s">
        <v>628</v>
      </c>
      <c r="B37" s="2" t="s">
        <v>1953</v>
      </c>
      <c r="C37" s="2" t="s">
        <v>1952</v>
      </c>
      <c r="G37" s="10" t="s">
        <v>25</v>
      </c>
      <c r="H37" s="10"/>
      <c r="I37" s="10">
        <v>1</v>
      </c>
      <c r="J37" s="10">
        <v>2</v>
      </c>
      <c r="K37" s="10" t="s">
        <v>2646</v>
      </c>
      <c r="L37" s="10" t="s">
        <v>2687</v>
      </c>
      <c r="M37" s="10"/>
      <c r="N37" s="11"/>
      <c r="O37" s="10"/>
      <c r="P37" s="10">
        <v>2475</v>
      </c>
      <c r="Q37" s="10">
        <f t="shared" si="0"/>
        <v>1216.9338184678927</v>
      </c>
      <c r="R37" s="10"/>
      <c r="S37" s="10" t="s">
        <v>2834</v>
      </c>
      <c r="T37" s="10" t="s">
        <v>2834</v>
      </c>
      <c r="U37" s="10"/>
      <c r="V37" s="10"/>
      <c r="W37" s="10"/>
      <c r="X37" s="10"/>
      <c r="Y37" s="10"/>
      <c r="Z37" s="10"/>
      <c r="AA37" s="10"/>
      <c r="AB37" s="10"/>
      <c r="AC37" s="10"/>
      <c r="AD37" s="10"/>
    </row>
    <row r="38" spans="1:30" ht="43.5">
      <c r="A38" s="2" t="s">
        <v>642</v>
      </c>
      <c r="B38" s="2" t="s">
        <v>1962</v>
      </c>
      <c r="C38" s="2" t="s">
        <v>1961</v>
      </c>
      <c r="G38" s="10" t="s">
        <v>24</v>
      </c>
      <c r="H38" s="10"/>
      <c r="I38" s="10">
        <v>1</v>
      </c>
      <c r="J38" s="10">
        <v>3</v>
      </c>
      <c r="K38" s="10" t="s">
        <v>2655</v>
      </c>
      <c r="L38" s="10" t="s">
        <v>2687</v>
      </c>
      <c r="M38" s="10"/>
      <c r="N38" s="11"/>
      <c r="O38" s="10"/>
      <c r="P38" s="10">
        <v>1701</v>
      </c>
      <c r="Q38" s="10">
        <f t="shared" si="0"/>
        <v>836.36542432884255</v>
      </c>
      <c r="R38" s="10"/>
      <c r="S38" s="10" t="s">
        <v>2834</v>
      </c>
      <c r="T38" s="10" t="s">
        <v>2834</v>
      </c>
      <c r="U38" s="10"/>
      <c r="V38" s="10"/>
      <c r="W38" s="10"/>
      <c r="X38" s="10"/>
      <c r="Y38" s="10"/>
      <c r="Z38" s="10"/>
      <c r="AA38" s="10"/>
      <c r="AB38" s="10"/>
      <c r="AC38" s="10"/>
      <c r="AD38" s="10"/>
    </row>
    <row r="39" spans="1:30" ht="29">
      <c r="A39" s="2" t="s">
        <v>681</v>
      </c>
      <c r="B39" s="2" t="s">
        <v>1990</v>
      </c>
      <c r="C39" s="2" t="s">
        <v>1991</v>
      </c>
      <c r="F39" t="s">
        <v>19</v>
      </c>
      <c r="G39" s="10" t="s">
        <v>24</v>
      </c>
      <c r="H39" s="10"/>
      <c r="I39" s="10">
        <v>1</v>
      </c>
      <c r="J39" s="10">
        <v>4</v>
      </c>
      <c r="K39" s="10" t="s">
        <v>2655</v>
      </c>
      <c r="L39" s="10" t="s">
        <v>2647</v>
      </c>
      <c r="M39" s="10"/>
      <c r="N39" s="11"/>
      <c r="O39" s="10"/>
      <c r="P39" s="10">
        <v>1</v>
      </c>
      <c r="Q39" s="10">
        <f t="shared" si="0"/>
        <v>0.49169043170419907</v>
      </c>
      <c r="R39" s="10"/>
      <c r="S39" s="10" t="s">
        <v>2834</v>
      </c>
      <c r="T39" s="10" t="s">
        <v>2834</v>
      </c>
      <c r="U39" s="10"/>
      <c r="V39" s="10"/>
      <c r="W39" s="10"/>
      <c r="X39" s="10"/>
      <c r="Y39" s="10"/>
      <c r="Z39" s="10"/>
      <c r="AA39" s="10"/>
      <c r="AB39" s="10"/>
      <c r="AC39" s="10"/>
      <c r="AD39" s="10"/>
    </row>
    <row r="40" spans="1:30" ht="43.5">
      <c r="A40" s="2" t="s">
        <v>682</v>
      </c>
      <c r="B40" s="2" t="s">
        <v>1994</v>
      </c>
      <c r="C40" s="2" t="s">
        <v>1992</v>
      </c>
      <c r="G40" s="10" t="s">
        <v>25</v>
      </c>
      <c r="H40" s="10"/>
      <c r="I40" s="10">
        <v>1</v>
      </c>
      <c r="J40" s="10">
        <v>3</v>
      </c>
      <c r="K40" s="10" t="s">
        <v>2655</v>
      </c>
      <c r="L40" s="10" t="s">
        <v>2647</v>
      </c>
      <c r="M40" s="10"/>
      <c r="N40" s="11"/>
      <c r="O40" s="10"/>
      <c r="P40" s="10">
        <v>1701</v>
      </c>
      <c r="Q40" s="10">
        <f t="shared" si="0"/>
        <v>836.36542432884255</v>
      </c>
      <c r="R40" s="10"/>
      <c r="S40" s="10" t="s">
        <v>2834</v>
      </c>
      <c r="T40" s="10" t="s">
        <v>2834</v>
      </c>
      <c r="U40" s="10"/>
      <c r="V40" s="10"/>
      <c r="W40" s="10"/>
      <c r="X40" s="10"/>
      <c r="Y40" s="10"/>
      <c r="Z40" s="10"/>
      <c r="AA40" s="10"/>
      <c r="AB40" s="10"/>
      <c r="AC40" s="10"/>
      <c r="AD40" s="10"/>
    </row>
    <row r="41" spans="1:30" ht="43.5">
      <c r="A41" s="2" t="s">
        <v>682</v>
      </c>
      <c r="B41" s="2" t="s">
        <v>1993</v>
      </c>
      <c r="C41" s="2" t="s">
        <v>1995</v>
      </c>
      <c r="G41" s="10" t="s">
        <v>24</v>
      </c>
      <c r="H41" s="10"/>
      <c r="I41" s="10">
        <v>1</v>
      </c>
      <c r="J41" s="10">
        <v>2</v>
      </c>
      <c r="K41" s="10" t="s">
        <v>2646</v>
      </c>
      <c r="L41" s="10" t="s">
        <v>2687</v>
      </c>
      <c r="M41" s="10"/>
      <c r="N41" s="11"/>
      <c r="O41" s="10"/>
      <c r="P41" s="10">
        <v>2475</v>
      </c>
      <c r="Q41" s="10">
        <f t="shared" si="0"/>
        <v>1216.9338184678927</v>
      </c>
      <c r="R41" s="10"/>
      <c r="S41" s="10" t="s">
        <v>2834</v>
      </c>
      <c r="T41" s="10" t="s">
        <v>2834</v>
      </c>
      <c r="U41" s="10"/>
      <c r="V41" s="10"/>
      <c r="W41" s="10"/>
      <c r="X41" s="10"/>
      <c r="Y41" s="10"/>
      <c r="Z41" s="10"/>
      <c r="AA41" s="10"/>
      <c r="AB41" s="10"/>
      <c r="AC41" s="10"/>
      <c r="AD41" s="10"/>
    </row>
    <row r="42" spans="1:30" ht="58">
      <c r="A42" s="2" t="s">
        <v>682</v>
      </c>
      <c r="B42" s="2" t="s">
        <v>1997</v>
      </c>
      <c r="C42" s="2" t="s">
        <v>1996</v>
      </c>
      <c r="G42" s="10" t="s">
        <v>24</v>
      </c>
      <c r="H42" s="10"/>
      <c r="I42" s="10">
        <v>2</v>
      </c>
      <c r="J42" s="10">
        <v>7</v>
      </c>
      <c r="K42" s="10"/>
      <c r="L42" s="10" t="s">
        <v>2647</v>
      </c>
      <c r="M42" s="10"/>
      <c r="N42" s="11"/>
      <c r="O42" s="10"/>
      <c r="P42" s="10">
        <v>132</v>
      </c>
      <c r="Q42" s="10">
        <f t="shared" si="0"/>
        <v>64.903136984954273</v>
      </c>
      <c r="R42" s="10"/>
      <c r="S42" s="10" t="s">
        <v>2834</v>
      </c>
      <c r="T42" s="10" t="s">
        <v>2834</v>
      </c>
      <c r="U42" s="10"/>
      <c r="V42" s="10"/>
      <c r="W42" s="10"/>
      <c r="X42" s="10"/>
      <c r="Y42" s="10"/>
      <c r="Z42" s="10"/>
      <c r="AA42" s="10"/>
      <c r="AB42" s="10"/>
      <c r="AC42" s="10"/>
      <c r="AD42" s="10"/>
    </row>
    <row r="43" spans="1:30" ht="43.5">
      <c r="A43" s="2" t="s">
        <v>693</v>
      </c>
      <c r="B43" s="2" t="s">
        <v>2002</v>
      </c>
      <c r="C43" s="2" t="s">
        <v>2001</v>
      </c>
      <c r="G43" s="10" t="s">
        <v>24</v>
      </c>
      <c r="H43" s="10"/>
      <c r="I43" s="10">
        <v>1</v>
      </c>
      <c r="J43" s="10">
        <v>3</v>
      </c>
      <c r="K43" s="10" t="s">
        <v>2646</v>
      </c>
      <c r="L43" s="10" t="s">
        <v>2647</v>
      </c>
      <c r="M43" s="10"/>
      <c r="N43" s="11"/>
      <c r="O43" s="10"/>
      <c r="P43" s="10">
        <v>2475</v>
      </c>
      <c r="Q43" s="10">
        <f t="shared" si="0"/>
        <v>1216.9338184678927</v>
      </c>
      <c r="R43" s="10"/>
      <c r="S43" s="10" t="s">
        <v>2834</v>
      </c>
      <c r="T43" s="10" t="s">
        <v>2834</v>
      </c>
      <c r="U43" s="10"/>
      <c r="V43" s="10"/>
      <c r="W43" s="10"/>
      <c r="X43" s="10"/>
      <c r="Y43" s="10"/>
      <c r="Z43" s="10"/>
      <c r="AA43" s="10"/>
      <c r="AB43" s="10"/>
      <c r="AC43" s="10"/>
      <c r="AD43" s="10"/>
    </row>
    <row r="44" spans="1:30" ht="232">
      <c r="A44" s="2" t="s">
        <v>716</v>
      </c>
      <c r="B44" s="2" t="s">
        <v>2024</v>
      </c>
      <c r="C44" s="2" t="s">
        <v>2023</v>
      </c>
      <c r="G44" s="10" t="s">
        <v>25</v>
      </c>
      <c r="H44" s="10"/>
      <c r="I44" s="10">
        <v>13</v>
      </c>
      <c r="J44" s="10">
        <v>61</v>
      </c>
      <c r="K44" s="10"/>
      <c r="L44" s="10" t="s">
        <v>2641</v>
      </c>
      <c r="M44" s="10" t="s">
        <v>2724</v>
      </c>
      <c r="N44" s="11" t="s">
        <v>2725</v>
      </c>
      <c r="O44" s="10"/>
      <c r="P44" s="10">
        <v>1</v>
      </c>
      <c r="Q44" s="10">
        <f t="shared" si="0"/>
        <v>0.49169043170419907</v>
      </c>
      <c r="R44" s="10"/>
      <c r="S44" s="10" t="s">
        <v>2834</v>
      </c>
      <c r="T44" s="10" t="s">
        <v>2834</v>
      </c>
      <c r="U44" s="10"/>
      <c r="V44" s="10"/>
      <c r="W44" s="10"/>
      <c r="X44" s="10"/>
      <c r="Y44" s="10"/>
      <c r="Z44" s="10"/>
      <c r="AA44" s="10"/>
      <c r="AB44" s="10"/>
      <c r="AC44" s="10"/>
      <c r="AD44" s="10"/>
    </row>
    <row r="45" spans="1:30" ht="43.5">
      <c r="A45" s="2" t="s">
        <v>725</v>
      </c>
      <c r="B45" s="2" t="s">
        <v>2028</v>
      </c>
      <c r="C45" s="2" t="s">
        <v>2027</v>
      </c>
      <c r="F45" t="s">
        <v>19</v>
      </c>
      <c r="G45" s="10" t="s">
        <v>24</v>
      </c>
      <c r="H45" s="10"/>
      <c r="I45" s="10">
        <v>1</v>
      </c>
      <c r="J45" s="10">
        <v>3</v>
      </c>
      <c r="K45" s="10" t="s">
        <v>2655</v>
      </c>
      <c r="L45" s="10" t="s">
        <v>2647</v>
      </c>
      <c r="M45" s="10"/>
      <c r="N45" s="11"/>
      <c r="O45" s="10"/>
      <c r="P45" s="10">
        <v>1701</v>
      </c>
      <c r="Q45" s="10">
        <f t="shared" si="0"/>
        <v>836.36542432884255</v>
      </c>
      <c r="R45" s="10"/>
      <c r="S45" s="10" t="s">
        <v>2834</v>
      </c>
      <c r="T45" s="10" t="s">
        <v>2834</v>
      </c>
      <c r="U45" s="10"/>
      <c r="V45" s="10"/>
      <c r="W45" s="10"/>
      <c r="X45" s="10"/>
      <c r="Y45" s="10"/>
      <c r="Z45" s="10"/>
      <c r="AA45" s="10"/>
      <c r="AB45" s="10"/>
      <c r="AC45" s="10"/>
      <c r="AD45" s="10"/>
    </row>
    <row r="46" spans="1:30" ht="29">
      <c r="A46" s="2" t="s">
        <v>732</v>
      </c>
      <c r="B46" s="2" t="s">
        <v>2037</v>
      </c>
      <c r="C46" s="2" t="s">
        <v>2038</v>
      </c>
      <c r="F46" t="s">
        <v>19</v>
      </c>
      <c r="G46" s="10" t="s">
        <v>25</v>
      </c>
      <c r="H46" s="10"/>
      <c r="I46" s="10">
        <v>1</v>
      </c>
      <c r="J46" s="10">
        <v>3</v>
      </c>
      <c r="K46" s="10" t="s">
        <v>2655</v>
      </c>
      <c r="L46" s="10" t="s">
        <v>2647</v>
      </c>
      <c r="M46" s="10"/>
      <c r="N46" s="11"/>
      <c r="O46" s="10"/>
      <c r="P46" s="10">
        <v>1701</v>
      </c>
      <c r="Q46" s="10">
        <f t="shared" si="0"/>
        <v>836.36542432884255</v>
      </c>
      <c r="R46" s="10"/>
      <c r="S46" s="10" t="s">
        <v>2834</v>
      </c>
      <c r="T46" s="10" t="s">
        <v>2834</v>
      </c>
      <c r="U46" s="10"/>
      <c r="V46" s="10"/>
      <c r="W46" s="10"/>
      <c r="X46" s="10"/>
      <c r="Y46" s="10"/>
      <c r="Z46" s="10"/>
      <c r="AA46" s="10"/>
      <c r="AB46" s="10"/>
      <c r="AC46" s="10"/>
      <c r="AD46" s="10"/>
    </row>
    <row r="47" spans="1:30" ht="29">
      <c r="A47" s="2" t="s">
        <v>773</v>
      </c>
      <c r="B47" s="13" t="s">
        <v>2074</v>
      </c>
      <c r="C47" t="s">
        <v>2075</v>
      </c>
      <c r="F47" t="s">
        <v>19</v>
      </c>
      <c r="G47" s="10" t="s">
        <v>24</v>
      </c>
      <c r="H47" s="10"/>
      <c r="I47" s="10">
        <v>1</v>
      </c>
      <c r="J47" s="10">
        <v>1</v>
      </c>
      <c r="K47" s="10" t="s">
        <v>2646</v>
      </c>
      <c r="L47" s="10" t="s">
        <v>2687</v>
      </c>
      <c r="M47" s="10"/>
      <c r="N47" s="11"/>
      <c r="O47" s="10"/>
      <c r="P47" s="10">
        <v>2475</v>
      </c>
      <c r="Q47" s="10">
        <f t="shared" si="0"/>
        <v>1216.9338184678927</v>
      </c>
      <c r="R47" s="10"/>
      <c r="S47" s="10" t="s">
        <v>2834</v>
      </c>
      <c r="T47" s="10" t="s">
        <v>2834</v>
      </c>
      <c r="U47" s="10"/>
      <c r="V47" s="10"/>
      <c r="W47" s="10"/>
      <c r="X47" s="10"/>
      <c r="Y47" s="10"/>
      <c r="Z47" s="10"/>
      <c r="AA47" s="10"/>
      <c r="AB47" s="10"/>
      <c r="AC47" s="10"/>
      <c r="AD47" s="10"/>
    </row>
    <row r="48" spans="1:30" ht="29">
      <c r="A48" s="2" t="s">
        <v>780</v>
      </c>
      <c r="B48" s="13" t="s">
        <v>2078</v>
      </c>
      <c r="C48" t="s">
        <v>2079</v>
      </c>
      <c r="F48" t="s">
        <v>19</v>
      </c>
      <c r="G48" s="10" t="s">
        <v>25</v>
      </c>
      <c r="H48" s="10"/>
      <c r="I48" s="10">
        <v>1</v>
      </c>
      <c r="J48" s="10">
        <v>3</v>
      </c>
      <c r="K48" s="10" t="s">
        <v>2646</v>
      </c>
      <c r="L48" s="10" t="s">
        <v>2687</v>
      </c>
      <c r="M48" s="10"/>
      <c r="N48" s="11"/>
      <c r="O48" s="10"/>
      <c r="P48" s="10">
        <v>2475</v>
      </c>
      <c r="Q48" s="10">
        <f t="shared" si="0"/>
        <v>1216.9338184678927</v>
      </c>
      <c r="R48" s="10"/>
      <c r="S48" s="10" t="s">
        <v>2834</v>
      </c>
      <c r="T48" s="10" t="s">
        <v>2834</v>
      </c>
      <c r="U48" s="10" t="s">
        <v>4</v>
      </c>
      <c r="V48" s="10"/>
      <c r="W48" s="10"/>
      <c r="X48" s="10"/>
      <c r="Y48" s="10"/>
      <c r="Z48" s="10"/>
      <c r="AA48" s="10"/>
      <c r="AB48" s="10"/>
      <c r="AC48" s="10"/>
      <c r="AD48" s="10"/>
    </row>
    <row r="49" spans="1:30" ht="72.5">
      <c r="A49" s="2" t="s">
        <v>786</v>
      </c>
      <c r="B49" s="2" t="s">
        <v>2087</v>
      </c>
      <c r="C49" s="2" t="s">
        <v>2086</v>
      </c>
      <c r="F49" t="s">
        <v>19</v>
      </c>
      <c r="G49" s="10" t="s">
        <v>25</v>
      </c>
      <c r="H49" s="10"/>
      <c r="I49" s="10">
        <v>1</v>
      </c>
      <c r="J49" s="10">
        <v>5</v>
      </c>
      <c r="K49" s="10" t="s">
        <v>2693</v>
      </c>
      <c r="L49" s="10" t="s">
        <v>2641</v>
      </c>
      <c r="M49" s="10" t="s">
        <v>2704</v>
      </c>
      <c r="N49" s="11" t="s">
        <v>2705</v>
      </c>
      <c r="O49" s="10"/>
      <c r="P49" s="10">
        <v>116</v>
      </c>
      <c r="Q49" s="10">
        <f t="shared" si="0"/>
        <v>57.036090077687085</v>
      </c>
      <c r="R49" s="10"/>
      <c r="S49" s="10" t="s">
        <v>2834</v>
      </c>
      <c r="T49" s="10" t="s">
        <v>2834</v>
      </c>
      <c r="U49" s="10"/>
      <c r="V49" s="10"/>
      <c r="W49" s="10"/>
      <c r="X49" s="10"/>
      <c r="Y49" s="10"/>
      <c r="Z49" s="10"/>
      <c r="AA49" s="10"/>
      <c r="AB49" s="10"/>
      <c r="AC49" s="10"/>
      <c r="AD49" s="10"/>
    </row>
    <row r="50" spans="1:30" ht="58">
      <c r="A50" s="2" t="s">
        <v>789</v>
      </c>
      <c r="B50" s="2" t="s">
        <v>2098</v>
      </c>
      <c r="C50" s="2" t="s">
        <v>2099</v>
      </c>
      <c r="F50" t="s">
        <v>19</v>
      </c>
      <c r="G50" s="10" t="s">
        <v>25</v>
      </c>
      <c r="H50" s="10"/>
      <c r="I50" s="10">
        <v>1</v>
      </c>
      <c r="J50" s="10">
        <v>3</v>
      </c>
      <c r="K50" s="10" t="s">
        <v>2655</v>
      </c>
      <c r="L50" s="10" t="s">
        <v>2647</v>
      </c>
      <c r="M50" s="10"/>
      <c r="N50" s="11"/>
      <c r="O50" s="10"/>
      <c r="P50" s="10">
        <v>1701</v>
      </c>
      <c r="Q50" s="10">
        <f t="shared" si="0"/>
        <v>836.36542432884255</v>
      </c>
      <c r="R50" s="10"/>
      <c r="S50" s="10" t="s">
        <v>2834</v>
      </c>
      <c r="T50" s="10" t="s">
        <v>2834</v>
      </c>
      <c r="U50" s="10"/>
      <c r="V50" s="10"/>
      <c r="W50" s="10"/>
      <c r="X50" s="10"/>
      <c r="Y50" s="10"/>
      <c r="Z50" s="10"/>
      <c r="AA50" s="10"/>
      <c r="AB50" s="10"/>
      <c r="AC50" s="10"/>
      <c r="AD50" s="10"/>
    </row>
    <row r="51" spans="1:30" ht="43.5">
      <c r="A51" s="2" t="s">
        <v>806</v>
      </c>
      <c r="B51" s="2" t="s">
        <v>2110</v>
      </c>
      <c r="C51" s="2" t="s">
        <v>2111</v>
      </c>
      <c r="F51" t="s">
        <v>19</v>
      </c>
      <c r="G51" s="10" t="s">
        <v>24</v>
      </c>
      <c r="H51" s="10"/>
      <c r="I51" s="10">
        <v>1</v>
      </c>
      <c r="J51" s="10">
        <v>3</v>
      </c>
      <c r="K51" s="10" t="s">
        <v>2655</v>
      </c>
      <c r="L51" s="10" t="s">
        <v>2647</v>
      </c>
      <c r="M51" s="10"/>
      <c r="N51" s="11"/>
      <c r="O51" s="10"/>
      <c r="P51" s="10">
        <v>1701</v>
      </c>
      <c r="Q51" s="10">
        <f t="shared" si="0"/>
        <v>836.36542432884255</v>
      </c>
      <c r="R51" s="10"/>
      <c r="S51" s="10" t="s">
        <v>2834</v>
      </c>
      <c r="T51" s="10" t="s">
        <v>2834</v>
      </c>
      <c r="U51" s="10"/>
      <c r="V51" s="10"/>
      <c r="W51" s="10"/>
      <c r="X51" s="10"/>
      <c r="Y51" s="10"/>
      <c r="Z51" s="10"/>
      <c r="AA51" s="10"/>
      <c r="AB51" s="10"/>
      <c r="AC51" s="10"/>
      <c r="AD51" s="10"/>
    </row>
    <row r="52" spans="1:30" ht="72.5">
      <c r="A52" s="2" t="s">
        <v>809</v>
      </c>
      <c r="B52" s="2" t="s">
        <v>2117</v>
      </c>
      <c r="C52" s="2" t="s">
        <v>2118</v>
      </c>
      <c r="F52" t="s">
        <v>19</v>
      </c>
      <c r="G52" s="10" t="s">
        <v>25</v>
      </c>
      <c r="H52" s="10"/>
      <c r="I52" s="10">
        <v>1</v>
      </c>
      <c r="J52" s="10">
        <v>7</v>
      </c>
      <c r="K52" s="10" t="s">
        <v>2693</v>
      </c>
      <c r="L52" s="10" t="s">
        <v>2647</v>
      </c>
      <c r="M52" s="10"/>
      <c r="N52" s="11"/>
      <c r="O52" s="10"/>
      <c r="P52" s="10">
        <v>17</v>
      </c>
      <c r="Q52" s="10">
        <f t="shared" si="0"/>
        <v>8.3587373389713839</v>
      </c>
      <c r="R52" s="10"/>
      <c r="S52" s="10" t="s">
        <v>2834</v>
      </c>
      <c r="T52" s="10" t="s">
        <v>2834</v>
      </c>
      <c r="U52" s="10"/>
      <c r="V52" s="10"/>
      <c r="W52" s="10"/>
      <c r="X52" s="10"/>
      <c r="Y52" s="10"/>
      <c r="Z52" s="10"/>
      <c r="AA52" s="10"/>
      <c r="AB52" s="10"/>
      <c r="AC52" s="10"/>
      <c r="AD52" s="10"/>
    </row>
    <row r="53" spans="1:30" ht="29">
      <c r="A53" s="2" t="s">
        <v>822</v>
      </c>
      <c r="B53" s="2" t="s">
        <v>2131</v>
      </c>
      <c r="C53" s="2" t="s">
        <v>2132</v>
      </c>
      <c r="F53" t="s">
        <v>19</v>
      </c>
      <c r="G53" s="10" t="s">
        <v>25</v>
      </c>
      <c r="H53" s="10"/>
      <c r="I53" s="10">
        <v>1</v>
      </c>
      <c r="J53" s="10">
        <v>2</v>
      </c>
      <c r="K53" s="10" t="s">
        <v>2662</v>
      </c>
      <c r="L53" s="10" t="s">
        <v>2687</v>
      </c>
      <c r="M53" s="10"/>
      <c r="N53" s="11"/>
      <c r="O53" s="10"/>
      <c r="P53" s="10">
        <v>743</v>
      </c>
      <c r="Q53" s="10">
        <f t="shared" si="0"/>
        <v>365.32599075621988</v>
      </c>
      <c r="R53" s="10"/>
      <c r="S53" s="10" t="s">
        <v>2834</v>
      </c>
      <c r="T53" s="10" t="s">
        <v>2834</v>
      </c>
      <c r="U53" s="10"/>
      <c r="V53" s="10"/>
      <c r="W53" s="10"/>
      <c r="X53" s="10"/>
      <c r="Y53" s="10"/>
      <c r="Z53" s="10"/>
      <c r="AA53" s="10"/>
      <c r="AB53" s="10"/>
      <c r="AC53" s="10"/>
      <c r="AD53" s="10"/>
    </row>
    <row r="54" spans="1:30" ht="43.5">
      <c r="A54" s="2" t="s">
        <v>823</v>
      </c>
      <c r="B54" s="2" t="s">
        <v>2135</v>
      </c>
      <c r="C54" s="2" t="s">
        <v>2136</v>
      </c>
      <c r="F54" t="s">
        <v>19</v>
      </c>
      <c r="G54" s="10" t="s">
        <v>25</v>
      </c>
      <c r="H54" s="10"/>
      <c r="I54" s="10">
        <v>1</v>
      </c>
      <c r="J54" s="10">
        <v>5</v>
      </c>
      <c r="K54" s="10" t="s">
        <v>2640</v>
      </c>
      <c r="L54" s="10" t="s">
        <v>2647</v>
      </c>
      <c r="M54" s="10"/>
      <c r="N54" s="11"/>
      <c r="O54" s="10"/>
      <c r="P54" s="10">
        <v>4</v>
      </c>
      <c r="Q54" s="10">
        <f t="shared" si="0"/>
        <v>1.9667617268167963</v>
      </c>
      <c r="R54" s="10"/>
      <c r="S54" s="10" t="s">
        <v>2834</v>
      </c>
      <c r="T54" s="10" t="s">
        <v>2834</v>
      </c>
      <c r="U54" s="10"/>
      <c r="V54" s="10"/>
      <c r="W54" s="10"/>
      <c r="X54" s="10"/>
      <c r="Y54" s="10"/>
      <c r="Z54" s="10"/>
      <c r="AA54" s="10"/>
      <c r="AB54" s="10"/>
      <c r="AC54" s="10"/>
      <c r="AD54" s="10"/>
    </row>
    <row r="55" spans="1:30" ht="43.5">
      <c r="A55" s="2" t="s">
        <v>827</v>
      </c>
      <c r="B55" s="2" t="s">
        <v>2144</v>
      </c>
      <c r="C55" s="2" t="s">
        <v>2143</v>
      </c>
      <c r="G55" s="10" t="s">
        <v>24</v>
      </c>
      <c r="H55" s="10"/>
      <c r="I55" s="10">
        <v>1</v>
      </c>
      <c r="J55" s="10">
        <v>2</v>
      </c>
      <c r="K55" s="10" t="s">
        <v>2664</v>
      </c>
      <c r="L55" s="10" t="s">
        <v>2687</v>
      </c>
      <c r="M55" s="10"/>
      <c r="N55" s="11"/>
      <c r="O55" s="10"/>
      <c r="P55" s="10">
        <v>613</v>
      </c>
      <c r="Q55" s="10">
        <f t="shared" si="0"/>
        <v>301.40623463467404</v>
      </c>
      <c r="R55" s="10"/>
      <c r="S55" s="10" t="s">
        <v>2834</v>
      </c>
      <c r="T55" s="10" t="s">
        <v>2834</v>
      </c>
      <c r="U55" s="10"/>
      <c r="V55" s="10"/>
      <c r="W55" s="10"/>
      <c r="X55" s="10"/>
      <c r="Y55" s="10"/>
      <c r="Z55" s="10"/>
      <c r="AA55" s="10"/>
      <c r="AB55" s="10"/>
      <c r="AC55" s="10"/>
      <c r="AD55" s="10"/>
    </row>
    <row r="56" spans="1:30" ht="43.5">
      <c r="A56" s="2" t="s">
        <v>827</v>
      </c>
      <c r="B56" s="2" t="s">
        <v>2146</v>
      </c>
      <c r="C56" s="2" t="s">
        <v>2145</v>
      </c>
      <c r="G56" s="10" t="s">
        <v>24</v>
      </c>
      <c r="H56" s="10"/>
      <c r="I56" s="10">
        <v>1</v>
      </c>
      <c r="J56" s="10">
        <v>1</v>
      </c>
      <c r="K56" s="10" t="s">
        <v>2655</v>
      </c>
      <c r="L56" s="10" t="s">
        <v>2687</v>
      </c>
      <c r="M56" s="10"/>
      <c r="N56" s="11"/>
      <c r="O56" s="10"/>
      <c r="P56" s="10">
        <v>171</v>
      </c>
      <c r="Q56" s="10">
        <f t="shared" si="0"/>
        <v>84.079063821418046</v>
      </c>
      <c r="R56" s="10"/>
      <c r="S56" s="10" t="s">
        <v>2834</v>
      </c>
      <c r="T56" s="10" t="s">
        <v>2834</v>
      </c>
      <c r="U56" s="10"/>
      <c r="V56" s="10"/>
      <c r="W56" s="10"/>
      <c r="X56" s="10"/>
      <c r="Y56" s="10"/>
      <c r="Z56" s="10"/>
      <c r="AA56" s="10"/>
      <c r="AB56" s="10"/>
      <c r="AC56" s="10"/>
      <c r="AD56" s="10"/>
    </row>
    <row r="57" spans="1:30" ht="58">
      <c r="A57" s="2" t="s">
        <v>832</v>
      </c>
      <c r="B57" s="2" t="s">
        <v>2155</v>
      </c>
      <c r="C57" s="2" t="s">
        <v>2154</v>
      </c>
      <c r="G57" s="10" t="s">
        <v>25</v>
      </c>
      <c r="H57" s="10"/>
      <c r="I57" s="10">
        <v>1</v>
      </c>
      <c r="J57" s="10">
        <v>3</v>
      </c>
      <c r="K57" s="10" t="s">
        <v>2646</v>
      </c>
      <c r="L57" s="10" t="s">
        <v>2647</v>
      </c>
      <c r="M57" s="10"/>
      <c r="N57" s="11"/>
      <c r="O57" s="10"/>
      <c r="P57" s="10">
        <v>2475</v>
      </c>
      <c r="Q57" s="10">
        <f t="shared" si="0"/>
        <v>1216.9338184678927</v>
      </c>
      <c r="R57" s="10"/>
      <c r="S57" s="10" t="s">
        <v>2834</v>
      </c>
      <c r="T57" s="10" t="s">
        <v>2834</v>
      </c>
      <c r="U57" s="10"/>
      <c r="V57" s="10"/>
      <c r="W57" s="10"/>
      <c r="X57" s="10"/>
      <c r="Y57" s="10"/>
      <c r="Z57" s="10"/>
      <c r="AA57" s="10"/>
      <c r="AB57" s="10"/>
      <c r="AC57" s="10"/>
      <c r="AD57" s="10"/>
    </row>
    <row r="58" spans="1:30" ht="58">
      <c r="A58" s="2" t="s">
        <v>840</v>
      </c>
      <c r="B58" s="13" t="s">
        <v>2919</v>
      </c>
      <c r="C58" t="s">
        <v>2922</v>
      </c>
      <c r="F58" t="s">
        <v>19</v>
      </c>
      <c r="G58" s="10" t="s">
        <v>24</v>
      </c>
      <c r="H58" s="10"/>
      <c r="I58" s="10">
        <v>1</v>
      </c>
      <c r="J58" s="10">
        <v>1</v>
      </c>
      <c r="K58" s="10" t="s">
        <v>2691</v>
      </c>
      <c r="L58" s="10" t="s">
        <v>2687</v>
      </c>
      <c r="M58" s="10"/>
      <c r="N58" s="11"/>
      <c r="O58" s="10"/>
      <c r="P58" s="10">
        <v>0</v>
      </c>
      <c r="Q58" s="10">
        <f t="shared" si="0"/>
        <v>0</v>
      </c>
      <c r="R58" s="10"/>
      <c r="S58" s="10" t="s">
        <v>2834</v>
      </c>
      <c r="T58" s="10" t="s">
        <v>2834</v>
      </c>
      <c r="U58" s="10"/>
      <c r="V58" s="10"/>
      <c r="W58" s="10"/>
      <c r="X58" s="10"/>
      <c r="Y58" s="10"/>
      <c r="Z58" s="10"/>
      <c r="AA58" s="10"/>
      <c r="AB58" s="10"/>
      <c r="AC58" s="10"/>
      <c r="AD58" s="10"/>
    </row>
    <row r="59" spans="1:30" ht="72.5">
      <c r="A59" s="2" t="s">
        <v>843</v>
      </c>
      <c r="B59" s="2" t="s">
        <v>2920</v>
      </c>
      <c r="C59" s="2" t="s">
        <v>2921</v>
      </c>
      <c r="F59" t="s">
        <v>19</v>
      </c>
      <c r="G59" s="10" t="s">
        <v>24</v>
      </c>
      <c r="H59" s="10"/>
      <c r="I59" s="10">
        <v>1</v>
      </c>
      <c r="J59" s="10">
        <v>7</v>
      </c>
      <c r="K59" s="10" t="s">
        <v>2660</v>
      </c>
      <c r="L59" s="10" t="s">
        <v>2647</v>
      </c>
      <c r="M59" s="10"/>
      <c r="N59" s="11"/>
      <c r="O59" s="10"/>
      <c r="P59" s="10">
        <v>1</v>
      </c>
      <c r="Q59" s="10">
        <f t="shared" si="0"/>
        <v>0.49169043170419907</v>
      </c>
      <c r="R59" s="10"/>
      <c r="S59" s="10" t="s">
        <v>2834</v>
      </c>
      <c r="T59" s="10" t="s">
        <v>2834</v>
      </c>
      <c r="U59" s="10"/>
      <c r="V59" s="10"/>
      <c r="W59" s="10"/>
      <c r="X59" s="10"/>
      <c r="Y59" s="10"/>
      <c r="Z59" s="10"/>
      <c r="AA59" s="10"/>
      <c r="AB59" s="10"/>
      <c r="AC59" s="10"/>
      <c r="AD59" s="10"/>
    </row>
    <row r="60" spans="1:30" ht="29">
      <c r="A60" s="2" t="s">
        <v>856</v>
      </c>
      <c r="B60" s="2" t="s">
        <v>2173</v>
      </c>
      <c r="C60" s="2" t="s">
        <v>2174</v>
      </c>
      <c r="G60" s="10" t="s">
        <v>25</v>
      </c>
      <c r="H60" s="10"/>
      <c r="I60" s="10">
        <v>1</v>
      </c>
      <c r="J60" s="10">
        <v>1</v>
      </c>
      <c r="K60" s="10" t="s">
        <v>2646</v>
      </c>
      <c r="L60" s="10" t="s">
        <v>2687</v>
      </c>
      <c r="M60" s="10"/>
      <c r="N60" s="11"/>
      <c r="O60" s="10"/>
      <c r="P60" s="10">
        <v>2475</v>
      </c>
      <c r="Q60" s="10">
        <f t="shared" si="0"/>
        <v>1216.9338184678927</v>
      </c>
      <c r="R60" s="10"/>
      <c r="S60" s="10" t="s">
        <v>2834</v>
      </c>
      <c r="T60" s="10" t="s">
        <v>2834</v>
      </c>
      <c r="U60" s="10"/>
      <c r="V60" s="10"/>
      <c r="W60" s="10"/>
      <c r="X60" s="10"/>
      <c r="Y60" s="10"/>
      <c r="Z60" s="10"/>
      <c r="AA60" s="10"/>
      <c r="AB60" s="10"/>
      <c r="AC60" s="10"/>
      <c r="AD60" s="10"/>
    </row>
    <row r="61" spans="1:30" ht="43.5">
      <c r="A61" s="2" t="s">
        <v>868</v>
      </c>
      <c r="B61" s="2" t="s">
        <v>2180</v>
      </c>
      <c r="C61" s="2" t="s">
        <v>2179</v>
      </c>
      <c r="F61" t="s">
        <v>19</v>
      </c>
      <c r="G61" s="10" t="s">
        <v>25</v>
      </c>
      <c r="H61" s="10"/>
      <c r="I61" s="10">
        <v>1</v>
      </c>
      <c r="J61" s="10">
        <v>3</v>
      </c>
      <c r="K61" s="10" t="s">
        <v>2655</v>
      </c>
      <c r="L61" s="10" t="s">
        <v>2647</v>
      </c>
      <c r="M61" s="10"/>
      <c r="N61" s="11"/>
      <c r="O61" s="10"/>
      <c r="P61" s="10">
        <v>1701</v>
      </c>
      <c r="Q61" s="10">
        <f t="shared" si="0"/>
        <v>836.36542432884255</v>
      </c>
      <c r="R61" s="10"/>
      <c r="S61" s="10" t="s">
        <v>2834</v>
      </c>
      <c r="T61" s="10" t="s">
        <v>2834</v>
      </c>
      <c r="U61" s="10"/>
      <c r="V61" s="10"/>
      <c r="W61" s="10"/>
      <c r="X61" s="10"/>
      <c r="Y61" s="10"/>
      <c r="Z61" s="10"/>
      <c r="AA61" s="10"/>
      <c r="AB61" s="10"/>
      <c r="AC61" s="10"/>
      <c r="AD61" s="10"/>
    </row>
    <row r="62" spans="1:30" ht="72.5">
      <c r="A62" s="2" t="s">
        <v>898</v>
      </c>
      <c r="B62" s="2" t="s">
        <v>2207</v>
      </c>
      <c r="C62" s="2" t="s">
        <v>2208</v>
      </c>
      <c r="F62" t="s">
        <v>19</v>
      </c>
      <c r="G62" s="10" t="s">
        <v>25</v>
      </c>
      <c r="H62" s="10"/>
      <c r="I62" s="10">
        <v>2</v>
      </c>
      <c r="J62" s="10">
        <v>9</v>
      </c>
      <c r="K62" s="10"/>
      <c r="L62" s="10" t="s">
        <v>2647</v>
      </c>
      <c r="M62" s="10"/>
      <c r="N62" s="11"/>
      <c r="O62" s="10"/>
      <c r="P62" s="10">
        <v>56</v>
      </c>
      <c r="Q62" s="10">
        <f t="shared" si="0"/>
        <v>27.534664175435147</v>
      </c>
      <c r="R62" s="10"/>
      <c r="S62" s="10" t="s">
        <v>2834</v>
      </c>
      <c r="T62" s="10" t="s">
        <v>2834</v>
      </c>
      <c r="U62" s="10"/>
      <c r="V62" s="10"/>
      <c r="W62" s="10"/>
      <c r="X62" s="10"/>
      <c r="Y62" s="10"/>
      <c r="Z62" s="10"/>
      <c r="AA62" s="10"/>
      <c r="AB62" s="10"/>
      <c r="AC62" s="10"/>
      <c r="AD62" s="10"/>
    </row>
    <row r="63" spans="1:30" ht="203">
      <c r="A63" s="2" t="s">
        <v>1210</v>
      </c>
      <c r="B63" s="2" t="s">
        <v>2220</v>
      </c>
      <c r="C63" s="2" t="s">
        <v>2217</v>
      </c>
      <c r="F63" t="s">
        <v>19</v>
      </c>
      <c r="G63" s="10" t="s">
        <v>25</v>
      </c>
      <c r="H63" s="10"/>
      <c r="I63" s="10">
        <v>14</v>
      </c>
      <c r="J63" s="10">
        <v>64</v>
      </c>
      <c r="K63" s="10"/>
      <c r="L63" s="10" t="s">
        <v>2641</v>
      </c>
      <c r="M63" s="10" t="s">
        <v>2753</v>
      </c>
      <c r="N63" s="11" t="s">
        <v>2754</v>
      </c>
      <c r="O63" s="10"/>
      <c r="P63" s="10">
        <v>1</v>
      </c>
      <c r="Q63" s="10">
        <f t="shared" si="0"/>
        <v>0.49169043170419907</v>
      </c>
      <c r="R63" s="10"/>
      <c r="S63" s="10" t="s">
        <v>2834</v>
      </c>
      <c r="T63" s="10" t="s">
        <v>2834</v>
      </c>
      <c r="U63" s="10"/>
      <c r="V63" s="10"/>
      <c r="W63" s="10"/>
      <c r="X63" s="10"/>
      <c r="Y63" s="10"/>
      <c r="Z63" s="10"/>
      <c r="AA63" s="10"/>
      <c r="AB63" s="10"/>
      <c r="AC63" s="10"/>
      <c r="AD63" s="10"/>
    </row>
    <row r="64" spans="1:30" ht="72.5">
      <c r="A64" s="2" t="s">
        <v>904</v>
      </c>
      <c r="B64" s="2" t="s">
        <v>2758</v>
      </c>
      <c r="C64" s="2" t="s">
        <v>2231</v>
      </c>
      <c r="G64" s="10" t="s">
        <v>25</v>
      </c>
      <c r="H64" s="10"/>
      <c r="I64" s="10">
        <v>1</v>
      </c>
      <c r="J64" s="10">
        <v>3</v>
      </c>
      <c r="K64" s="10" t="s">
        <v>2655</v>
      </c>
      <c r="L64" s="10" t="s">
        <v>2641</v>
      </c>
      <c r="M64" s="10" t="s">
        <v>2761</v>
      </c>
      <c r="N64" s="11" t="s">
        <v>2705</v>
      </c>
      <c r="O64" s="10"/>
      <c r="P64" s="10">
        <v>1701</v>
      </c>
      <c r="Q64" s="10">
        <f t="shared" si="0"/>
        <v>836.36542432884255</v>
      </c>
      <c r="R64" s="10"/>
      <c r="S64" s="10" t="s">
        <v>2834</v>
      </c>
      <c r="T64" s="10" t="s">
        <v>2834</v>
      </c>
      <c r="U64" s="10"/>
      <c r="V64" s="10"/>
      <c r="W64" s="10"/>
      <c r="X64" s="10"/>
      <c r="Y64" s="10"/>
      <c r="Z64" s="10"/>
      <c r="AA64" s="10"/>
      <c r="AB64" s="10"/>
      <c r="AC64" s="10"/>
      <c r="AD64" s="10"/>
    </row>
    <row r="65" spans="1:30" ht="43.5">
      <c r="A65" s="2" t="s">
        <v>914</v>
      </c>
      <c r="B65" s="2" t="s">
        <v>2239</v>
      </c>
      <c r="C65" s="2" t="s">
        <v>2240</v>
      </c>
      <c r="G65" s="10" t="s">
        <v>24</v>
      </c>
      <c r="H65" s="10"/>
      <c r="I65" s="10">
        <v>1</v>
      </c>
      <c r="J65" s="10">
        <v>3</v>
      </c>
      <c r="K65" s="10" t="s">
        <v>2655</v>
      </c>
      <c r="L65" s="10" t="s">
        <v>2647</v>
      </c>
      <c r="M65" s="10"/>
      <c r="N65" s="11"/>
      <c r="O65" s="10"/>
      <c r="P65" s="10">
        <v>1701</v>
      </c>
      <c r="Q65" s="10">
        <f t="shared" si="0"/>
        <v>836.36542432884255</v>
      </c>
      <c r="R65" s="10"/>
      <c r="S65" s="10" t="s">
        <v>2834</v>
      </c>
      <c r="T65" s="10" t="s">
        <v>2834</v>
      </c>
      <c r="U65" s="10"/>
      <c r="V65" s="10"/>
      <c r="W65" s="10"/>
      <c r="X65" s="10"/>
      <c r="Y65" s="10"/>
      <c r="Z65" s="10"/>
      <c r="AA65" s="10"/>
      <c r="AB65" s="10"/>
      <c r="AC65" s="10"/>
      <c r="AD65" s="10"/>
    </row>
    <row r="66" spans="1:30" ht="58">
      <c r="A66" s="2" t="s">
        <v>930</v>
      </c>
      <c r="B66" s="2" t="s">
        <v>2264</v>
      </c>
      <c r="C66" s="2" t="s">
        <v>2265</v>
      </c>
      <c r="F66" t="s">
        <v>19</v>
      </c>
      <c r="G66" s="10" t="s">
        <v>25</v>
      </c>
      <c r="H66" s="10"/>
      <c r="I66" s="10">
        <v>1</v>
      </c>
      <c r="J66" s="10">
        <v>2</v>
      </c>
      <c r="K66" s="10" t="s">
        <v>2646</v>
      </c>
      <c r="L66" s="10" t="s">
        <v>2687</v>
      </c>
      <c r="M66" s="10"/>
      <c r="N66" s="11"/>
      <c r="O66" s="10"/>
      <c r="P66" s="10">
        <v>2475</v>
      </c>
      <c r="Q66" s="10">
        <f t="shared" si="0"/>
        <v>1216.9338184678927</v>
      </c>
      <c r="R66" s="10"/>
      <c r="S66" s="10" t="s">
        <v>2834</v>
      </c>
      <c r="T66" s="10" t="s">
        <v>2834</v>
      </c>
      <c r="U66" s="10"/>
      <c r="V66" s="10"/>
      <c r="W66" s="10"/>
      <c r="X66" s="10"/>
      <c r="Y66" s="10"/>
      <c r="Z66" s="10"/>
      <c r="AA66" s="10"/>
      <c r="AB66" s="10"/>
      <c r="AC66" s="10"/>
      <c r="AD66" s="10"/>
    </row>
    <row r="67" spans="1:30" ht="58">
      <c r="A67" s="2" t="s">
        <v>935</v>
      </c>
      <c r="B67" s="2" t="s">
        <v>2276</v>
      </c>
      <c r="C67" s="2" t="s">
        <v>2277</v>
      </c>
      <c r="F67" t="s">
        <v>19</v>
      </c>
      <c r="G67" s="10" t="s">
        <v>24</v>
      </c>
      <c r="H67" s="10"/>
      <c r="I67" s="10">
        <v>1</v>
      </c>
      <c r="J67" s="10">
        <v>6</v>
      </c>
      <c r="K67" s="10" t="s">
        <v>2640</v>
      </c>
      <c r="L67" s="10" t="s">
        <v>2641</v>
      </c>
      <c r="M67" s="10" t="s">
        <v>2704</v>
      </c>
      <c r="N67" s="11" t="s">
        <v>2763</v>
      </c>
      <c r="O67" s="10" t="s">
        <v>2642</v>
      </c>
      <c r="P67" s="10">
        <v>43</v>
      </c>
      <c r="Q67" s="10">
        <f t="shared" ref="Q67:Q80" si="1">IF(ISNUMBER(P67), (P67/$F$132)*10000, "")</f>
        <v>21.142688563280558</v>
      </c>
      <c r="R67" s="10"/>
      <c r="S67" s="10" t="s">
        <v>2834</v>
      </c>
      <c r="T67" s="10" t="s">
        <v>2834</v>
      </c>
      <c r="U67" s="10"/>
      <c r="V67" s="10"/>
      <c r="W67" s="10"/>
      <c r="X67" s="10"/>
      <c r="Y67" s="10"/>
      <c r="Z67" s="10"/>
      <c r="AA67" s="10"/>
      <c r="AB67" s="10"/>
      <c r="AC67" s="10"/>
      <c r="AD67" s="10"/>
    </row>
    <row r="68" spans="1:30" ht="58">
      <c r="A68" s="2" t="s">
        <v>988</v>
      </c>
      <c r="B68" s="2" t="s">
        <v>2335</v>
      </c>
      <c r="C68" s="2" t="s">
        <v>2336</v>
      </c>
      <c r="F68" t="s">
        <v>19</v>
      </c>
      <c r="G68" s="10" t="s">
        <v>25</v>
      </c>
      <c r="H68" s="10"/>
      <c r="I68" s="10">
        <v>1</v>
      </c>
      <c r="J68" s="10">
        <v>3</v>
      </c>
      <c r="K68" s="10" t="s">
        <v>2646</v>
      </c>
      <c r="L68" s="10" t="s">
        <v>2647</v>
      </c>
      <c r="M68" s="10"/>
      <c r="N68" s="11"/>
      <c r="O68" s="10"/>
      <c r="P68" s="10">
        <v>2475</v>
      </c>
      <c r="Q68" s="10">
        <f t="shared" si="1"/>
        <v>1216.9338184678927</v>
      </c>
      <c r="R68" s="10"/>
      <c r="S68" s="10" t="s">
        <v>2834</v>
      </c>
      <c r="T68" s="10" t="s">
        <v>2834</v>
      </c>
      <c r="U68" s="10"/>
      <c r="V68" s="10"/>
      <c r="W68" s="10"/>
      <c r="X68" s="10"/>
      <c r="Y68" s="10"/>
      <c r="Z68" s="10"/>
      <c r="AA68" s="10"/>
      <c r="AB68" s="10"/>
      <c r="AC68" s="10"/>
      <c r="AD68" s="10"/>
    </row>
    <row r="69" spans="1:30" ht="43.5">
      <c r="A69" s="2" t="s">
        <v>989</v>
      </c>
      <c r="B69" s="2" t="s">
        <v>2337</v>
      </c>
      <c r="C69" s="2" t="s">
        <v>2338</v>
      </c>
      <c r="F69" t="s">
        <v>19</v>
      </c>
      <c r="G69" s="10" t="s">
        <v>25</v>
      </c>
      <c r="H69" s="10"/>
      <c r="I69" s="10">
        <v>1</v>
      </c>
      <c r="J69" s="10">
        <v>2</v>
      </c>
      <c r="K69" s="10" t="s">
        <v>2662</v>
      </c>
      <c r="L69" s="10" t="s">
        <v>2687</v>
      </c>
      <c r="M69" s="10"/>
      <c r="N69" s="11"/>
      <c r="O69" s="10"/>
      <c r="P69" s="10">
        <v>743</v>
      </c>
      <c r="Q69" s="10">
        <f t="shared" si="1"/>
        <v>365.32599075621988</v>
      </c>
      <c r="R69" s="10"/>
      <c r="S69" s="10" t="s">
        <v>2834</v>
      </c>
      <c r="T69" s="10" t="s">
        <v>2834</v>
      </c>
      <c r="U69" s="10"/>
      <c r="V69" s="10"/>
      <c r="W69" s="10"/>
      <c r="X69" s="10"/>
      <c r="Y69" s="10"/>
      <c r="Z69" s="10"/>
      <c r="AA69" s="10"/>
      <c r="AB69" s="10"/>
      <c r="AC69" s="10"/>
      <c r="AD69" s="10"/>
    </row>
    <row r="70" spans="1:30" ht="58">
      <c r="A70" s="2" t="s">
        <v>1018</v>
      </c>
      <c r="B70" s="2" t="s">
        <v>2379</v>
      </c>
      <c r="C70" s="2" t="s">
        <v>2378</v>
      </c>
      <c r="G70" s="10" t="s">
        <v>24</v>
      </c>
      <c r="H70" s="10"/>
      <c r="I70" s="10">
        <v>1</v>
      </c>
      <c r="J70" s="10">
        <v>3</v>
      </c>
      <c r="K70" s="10" t="s">
        <v>2655</v>
      </c>
      <c r="L70" s="10" t="s">
        <v>2647</v>
      </c>
      <c r="M70" s="10"/>
      <c r="N70" s="11"/>
      <c r="O70" s="10"/>
      <c r="P70" s="10">
        <v>1701</v>
      </c>
      <c r="Q70" s="10">
        <f t="shared" si="1"/>
        <v>836.36542432884255</v>
      </c>
      <c r="R70" s="10"/>
      <c r="S70" s="10" t="s">
        <v>2834</v>
      </c>
      <c r="T70" s="10" t="s">
        <v>2834</v>
      </c>
      <c r="U70" s="10"/>
      <c r="V70" s="10"/>
      <c r="W70" s="10"/>
      <c r="X70" s="10"/>
      <c r="Y70" s="10"/>
      <c r="Z70" s="10"/>
      <c r="AA70" s="10"/>
      <c r="AB70" s="10"/>
      <c r="AC70" s="10"/>
      <c r="AD70" s="10"/>
    </row>
    <row r="71" spans="1:30" ht="101.5">
      <c r="A71" s="2" t="s">
        <v>1046</v>
      </c>
      <c r="B71" s="2" t="s">
        <v>2406</v>
      </c>
      <c r="C71" s="2" t="s">
        <v>2405</v>
      </c>
      <c r="F71" t="s">
        <v>19</v>
      </c>
      <c r="G71" s="10" t="s">
        <v>25</v>
      </c>
      <c r="H71" s="10"/>
      <c r="I71" s="10">
        <v>3</v>
      </c>
      <c r="J71" s="10">
        <v>13</v>
      </c>
      <c r="K71" s="10"/>
      <c r="L71" s="10" t="s">
        <v>2641</v>
      </c>
      <c r="M71" s="10" t="s">
        <v>2712</v>
      </c>
      <c r="N71" s="11" t="s">
        <v>2713</v>
      </c>
      <c r="O71" s="10"/>
      <c r="P71" s="10">
        <v>1</v>
      </c>
      <c r="Q71" s="10">
        <f t="shared" si="1"/>
        <v>0.49169043170419907</v>
      </c>
      <c r="R71" s="10"/>
      <c r="S71" s="10" t="s">
        <v>2834</v>
      </c>
      <c r="T71" s="10" t="s">
        <v>2834</v>
      </c>
      <c r="U71" s="10"/>
      <c r="V71" s="10"/>
      <c r="W71" s="10"/>
      <c r="X71" s="10"/>
      <c r="Y71" s="10"/>
      <c r="Z71" s="10"/>
      <c r="AA71" s="10"/>
      <c r="AB71" s="10"/>
      <c r="AC71" s="10"/>
      <c r="AD71" s="10"/>
    </row>
    <row r="72" spans="1:30" ht="87">
      <c r="A72" s="2" t="s">
        <v>1051</v>
      </c>
      <c r="B72" s="2" t="s">
        <v>2418</v>
      </c>
      <c r="C72" s="2" t="s">
        <v>2416</v>
      </c>
      <c r="D72" t="s">
        <v>12</v>
      </c>
      <c r="G72" s="10" t="s">
        <v>25</v>
      </c>
      <c r="H72" s="10"/>
      <c r="I72" s="10">
        <v>2</v>
      </c>
      <c r="J72" s="10">
        <v>12</v>
      </c>
      <c r="K72" s="10"/>
      <c r="L72" s="10" t="s">
        <v>2647</v>
      </c>
      <c r="M72" s="10"/>
      <c r="N72" s="11"/>
      <c r="O72" s="10"/>
      <c r="P72" s="10">
        <v>3</v>
      </c>
      <c r="Q72" s="10">
        <f t="shared" si="1"/>
        <v>1.4750712951125973</v>
      </c>
      <c r="R72" s="10"/>
      <c r="S72" s="10" t="s">
        <v>2834</v>
      </c>
      <c r="T72" s="10" t="s">
        <v>2834</v>
      </c>
      <c r="U72" s="10"/>
      <c r="V72" s="10"/>
      <c r="W72" s="10"/>
      <c r="X72" s="10"/>
      <c r="Y72" s="10"/>
      <c r="Z72" s="10"/>
      <c r="AA72" s="10"/>
      <c r="AB72" s="10"/>
      <c r="AC72" s="10"/>
      <c r="AD72" s="10"/>
    </row>
    <row r="73" spans="1:30" ht="29">
      <c r="A73" s="2" t="s">
        <v>1091</v>
      </c>
      <c r="B73" s="2" t="s">
        <v>2473</v>
      </c>
      <c r="C73" s="2" t="s">
        <v>2472</v>
      </c>
      <c r="G73" s="10" t="s">
        <v>25</v>
      </c>
      <c r="H73" s="10"/>
      <c r="I73" s="10">
        <v>1</v>
      </c>
      <c r="J73" s="10">
        <v>3</v>
      </c>
      <c r="K73" s="10" t="s">
        <v>2655</v>
      </c>
      <c r="L73" s="10" t="s">
        <v>2647</v>
      </c>
      <c r="M73" s="10"/>
      <c r="N73" s="11"/>
      <c r="O73" s="10"/>
      <c r="P73" s="10">
        <v>1701</v>
      </c>
      <c r="Q73" s="10">
        <f t="shared" si="1"/>
        <v>836.36542432884255</v>
      </c>
      <c r="R73" s="10"/>
      <c r="S73" s="10" t="s">
        <v>2834</v>
      </c>
      <c r="T73" s="10" t="s">
        <v>2834</v>
      </c>
      <c r="U73" s="10"/>
      <c r="V73" s="10"/>
      <c r="W73" s="10"/>
      <c r="X73" s="10"/>
      <c r="Y73" s="10"/>
      <c r="Z73" s="10"/>
      <c r="AA73" s="10"/>
      <c r="AB73" s="10"/>
      <c r="AC73" s="10"/>
      <c r="AD73" s="10"/>
    </row>
    <row r="74" spans="1:30" ht="43.5">
      <c r="A74" s="2" t="s">
        <v>1094</v>
      </c>
      <c r="B74" s="2" t="s">
        <v>2475</v>
      </c>
      <c r="C74" s="2" t="s">
        <v>2474</v>
      </c>
      <c r="G74" s="10" t="s">
        <v>25</v>
      </c>
      <c r="H74" s="10"/>
      <c r="I74" s="10">
        <v>1</v>
      </c>
      <c r="J74" s="10">
        <v>1</v>
      </c>
      <c r="K74" s="10" t="s">
        <v>2646</v>
      </c>
      <c r="L74" s="10" t="s">
        <v>2687</v>
      </c>
      <c r="M74" s="10"/>
      <c r="N74" s="11"/>
      <c r="O74" s="10"/>
      <c r="P74" s="10">
        <v>2475</v>
      </c>
      <c r="Q74" s="10">
        <f t="shared" si="1"/>
        <v>1216.9338184678927</v>
      </c>
      <c r="R74" s="10"/>
      <c r="S74" s="10" t="s">
        <v>2834</v>
      </c>
      <c r="T74" s="10" t="s">
        <v>2834</v>
      </c>
      <c r="U74" s="10"/>
      <c r="V74" s="10"/>
      <c r="W74" s="10"/>
      <c r="X74" s="10"/>
      <c r="Y74" s="10"/>
      <c r="Z74" s="10"/>
      <c r="AA74" s="10"/>
      <c r="AB74" s="10"/>
      <c r="AC74" s="10"/>
      <c r="AD74" s="10"/>
    </row>
    <row r="75" spans="1:30" ht="43.5">
      <c r="A75" s="2" t="s">
        <v>1100</v>
      </c>
      <c r="B75" s="2" t="s">
        <v>2484</v>
      </c>
      <c r="C75" s="2" t="s">
        <v>2481</v>
      </c>
      <c r="F75" t="s">
        <v>19</v>
      </c>
      <c r="G75" s="10" t="s">
        <v>25</v>
      </c>
      <c r="H75" s="10"/>
      <c r="I75" s="10">
        <v>1</v>
      </c>
      <c r="J75" s="10">
        <v>3</v>
      </c>
      <c r="K75" s="10" t="s">
        <v>2655</v>
      </c>
      <c r="L75" s="10" t="s">
        <v>2647</v>
      </c>
      <c r="M75" s="10"/>
      <c r="N75" s="11"/>
      <c r="O75" s="10"/>
      <c r="P75" s="10">
        <v>86</v>
      </c>
      <c r="Q75" s="10">
        <f t="shared" si="1"/>
        <v>42.285377126561116</v>
      </c>
      <c r="R75" s="10"/>
      <c r="S75" s="10" t="s">
        <v>2834</v>
      </c>
      <c r="T75" s="10" t="s">
        <v>2834</v>
      </c>
      <c r="U75" s="10"/>
      <c r="V75" s="10"/>
      <c r="W75" s="10"/>
      <c r="X75" s="10"/>
      <c r="Y75" s="10"/>
      <c r="Z75" s="10"/>
      <c r="AA75" s="10"/>
      <c r="AB75" s="10"/>
      <c r="AC75" s="10"/>
      <c r="AD75" s="10"/>
    </row>
    <row r="76" spans="1:30" ht="43.5">
      <c r="A76" s="2" t="s">
        <v>1107</v>
      </c>
      <c r="B76" s="2" t="s">
        <v>2493</v>
      </c>
      <c r="C76" s="2" t="s">
        <v>2494</v>
      </c>
      <c r="F76" t="s">
        <v>19</v>
      </c>
      <c r="G76" s="10" t="s">
        <v>25</v>
      </c>
      <c r="H76" s="10"/>
      <c r="I76" s="10">
        <v>1</v>
      </c>
      <c r="J76" s="10">
        <v>5</v>
      </c>
      <c r="K76" s="10" t="s">
        <v>2660</v>
      </c>
      <c r="L76" s="10" t="s">
        <v>2641</v>
      </c>
      <c r="M76" s="10" t="s">
        <v>2761</v>
      </c>
      <c r="N76" s="11" t="s">
        <v>2769</v>
      </c>
      <c r="O76" s="10"/>
      <c r="P76" s="10">
        <v>4</v>
      </c>
      <c r="Q76" s="10">
        <f t="shared" si="1"/>
        <v>1.9667617268167963</v>
      </c>
      <c r="R76" s="10"/>
      <c r="S76" s="10" t="s">
        <v>2834</v>
      </c>
      <c r="T76" s="10" t="s">
        <v>2834</v>
      </c>
      <c r="U76" s="10"/>
      <c r="V76" s="10"/>
      <c r="W76" s="10"/>
      <c r="X76" s="10"/>
      <c r="Y76" s="10"/>
      <c r="Z76" s="10"/>
      <c r="AA76" s="10"/>
      <c r="AB76" s="10"/>
      <c r="AC76" s="10"/>
      <c r="AD76" s="10"/>
    </row>
    <row r="77" spans="1:30" ht="29">
      <c r="A77" s="2" t="s">
        <v>1129</v>
      </c>
      <c r="B77" s="2" t="s">
        <v>2528</v>
      </c>
      <c r="C77" s="2" t="s">
        <v>2529</v>
      </c>
      <c r="F77" t="s">
        <v>19</v>
      </c>
      <c r="G77" s="10" t="s">
        <v>25</v>
      </c>
      <c r="H77" s="10"/>
      <c r="I77" s="10">
        <v>1</v>
      </c>
      <c r="J77" s="10">
        <v>2</v>
      </c>
      <c r="K77" s="10" t="s">
        <v>2646</v>
      </c>
      <c r="L77" s="10" t="s">
        <v>2687</v>
      </c>
      <c r="M77" s="10"/>
      <c r="N77" s="11"/>
      <c r="O77" s="10"/>
      <c r="P77" s="10">
        <v>2475</v>
      </c>
      <c r="Q77" s="10">
        <f t="shared" si="1"/>
        <v>1216.9338184678927</v>
      </c>
      <c r="R77" s="10"/>
      <c r="S77" s="10" t="s">
        <v>2834</v>
      </c>
      <c r="T77" s="10" t="s">
        <v>2834</v>
      </c>
      <c r="U77" s="10"/>
      <c r="V77" s="10"/>
      <c r="W77" s="10"/>
      <c r="X77" s="10"/>
      <c r="Y77" s="10"/>
      <c r="Z77" s="10"/>
      <c r="AA77" s="10"/>
      <c r="AB77" s="10"/>
      <c r="AC77" s="10"/>
      <c r="AD77" s="10"/>
    </row>
    <row r="78" spans="1:30" ht="43.5">
      <c r="A78" s="2" t="s">
        <v>1135</v>
      </c>
      <c r="B78" s="2" t="s">
        <v>2543</v>
      </c>
      <c r="C78" s="2" t="s">
        <v>2544</v>
      </c>
      <c r="G78" s="10" t="s">
        <v>24</v>
      </c>
      <c r="H78" s="10"/>
      <c r="I78" s="10">
        <v>1</v>
      </c>
      <c r="J78" s="10">
        <v>6</v>
      </c>
      <c r="K78" s="10" t="s">
        <v>2660</v>
      </c>
      <c r="L78" s="10" t="s">
        <v>2641</v>
      </c>
      <c r="M78" s="10" t="s">
        <v>2761</v>
      </c>
      <c r="N78" s="11" t="s">
        <v>2705</v>
      </c>
      <c r="O78" s="10"/>
      <c r="P78" s="10">
        <v>250</v>
      </c>
      <c r="Q78" s="10">
        <f t="shared" si="1"/>
        <v>122.92260792604976</v>
      </c>
      <c r="R78" s="10"/>
      <c r="S78" s="10" t="s">
        <v>2834</v>
      </c>
      <c r="T78" s="10" t="s">
        <v>2834</v>
      </c>
      <c r="U78" s="10"/>
      <c r="V78" s="10"/>
      <c r="W78" s="10"/>
      <c r="X78" s="10"/>
      <c r="Y78" s="10"/>
      <c r="Z78" s="10"/>
      <c r="AA78" s="10"/>
      <c r="AB78" s="10"/>
      <c r="AC78" s="10"/>
      <c r="AD78" s="10"/>
    </row>
    <row r="79" spans="1:30" ht="58">
      <c r="A79" s="2" t="s">
        <v>1140</v>
      </c>
      <c r="B79" s="2" t="s">
        <v>2548</v>
      </c>
      <c r="C79" s="2" t="s">
        <v>2549</v>
      </c>
      <c r="F79" t="s">
        <v>19</v>
      </c>
      <c r="G79" s="10" t="s">
        <v>25</v>
      </c>
      <c r="H79" s="10"/>
      <c r="I79" s="10">
        <v>1</v>
      </c>
      <c r="J79" s="10">
        <v>1</v>
      </c>
      <c r="K79" s="10" t="s">
        <v>2646</v>
      </c>
      <c r="L79" s="10" t="s">
        <v>2687</v>
      </c>
      <c r="M79" s="10"/>
      <c r="N79" s="11"/>
      <c r="O79" s="10"/>
      <c r="P79" s="10">
        <v>2475</v>
      </c>
      <c r="Q79" s="10">
        <f t="shared" si="1"/>
        <v>1216.9338184678927</v>
      </c>
      <c r="R79" s="10"/>
      <c r="S79" s="10" t="s">
        <v>2834</v>
      </c>
      <c r="T79" s="10" t="s">
        <v>2834</v>
      </c>
      <c r="U79" s="10"/>
      <c r="V79" s="10"/>
      <c r="W79" s="10"/>
      <c r="X79" s="10"/>
      <c r="Y79" s="10"/>
      <c r="Z79" s="10"/>
      <c r="AA79" s="10"/>
      <c r="AB79" s="10"/>
      <c r="AC79" s="10"/>
      <c r="AD79" s="10"/>
    </row>
    <row r="80" spans="1:30" ht="174">
      <c r="A80" s="2" t="s">
        <v>1179</v>
      </c>
      <c r="B80" s="2" t="s">
        <v>2593</v>
      </c>
      <c r="C80" s="2" t="s">
        <v>2594</v>
      </c>
      <c r="F80" t="s">
        <v>19</v>
      </c>
      <c r="G80" s="10" t="s">
        <v>25</v>
      </c>
      <c r="H80" s="10"/>
      <c r="I80" s="10">
        <v>13</v>
      </c>
      <c r="J80" s="10">
        <v>53</v>
      </c>
      <c r="K80" s="10"/>
      <c r="L80" s="10" t="s">
        <v>2641</v>
      </c>
      <c r="M80" s="10" t="s">
        <v>2712</v>
      </c>
      <c r="N80" s="11" t="s">
        <v>2754</v>
      </c>
      <c r="O80" s="10"/>
      <c r="P80" s="10">
        <v>3</v>
      </c>
      <c r="Q80" s="10">
        <f t="shared" si="1"/>
        <v>1.4750712951125973</v>
      </c>
      <c r="R80" s="10"/>
      <c r="S80" s="10" t="s">
        <v>2834</v>
      </c>
      <c r="T80" s="10" t="s">
        <v>2834</v>
      </c>
      <c r="U80" s="10"/>
      <c r="V80" s="10"/>
      <c r="W80" s="10"/>
      <c r="X80" s="10"/>
      <c r="Y80" s="10"/>
      <c r="Z80" s="10"/>
      <c r="AA80" s="10"/>
      <c r="AB80" s="10"/>
      <c r="AC80" s="10"/>
      <c r="AD80" s="10"/>
    </row>
    <row r="83" spans="2:6">
      <c r="E83" t="s">
        <v>2803</v>
      </c>
      <c r="F83">
        <f>COUNTIF(G:G,"Addition")</f>
        <v>24</v>
      </c>
    </row>
    <row r="84" spans="2:6">
      <c r="B84" t="s">
        <v>2806</v>
      </c>
      <c r="C84" t="s">
        <v>2807</v>
      </c>
      <c r="E84" t="s">
        <v>2804</v>
      </c>
      <c r="F84">
        <f>COUNTIF(G:G,"Omission")</f>
        <v>55</v>
      </c>
    </row>
    <row r="85" spans="2:6">
      <c r="B85" t="s">
        <v>2646</v>
      </c>
      <c r="C85" t="s">
        <v>2640</v>
      </c>
      <c r="E85" t="s">
        <v>2805</v>
      </c>
      <c r="F85">
        <f>F83/(F83+F84)</f>
        <v>0.30379746835443039</v>
      </c>
    </row>
    <row r="86" spans="2:6">
      <c r="B86" t="s">
        <v>2655</v>
      </c>
      <c r="C86" t="s">
        <v>2652</v>
      </c>
    </row>
    <row r="87" spans="2:6">
      <c r="B87" t="s">
        <v>2662</v>
      </c>
      <c r="C87" t="s">
        <v>2660</v>
      </c>
    </row>
    <row r="88" spans="2:6">
      <c r="B88" t="s">
        <v>2664</v>
      </c>
      <c r="C88" t="s">
        <v>2666</v>
      </c>
      <c r="E88" t="s">
        <v>2808</v>
      </c>
      <c r="F88">
        <f>COUNTIFS(G:G,"Addition", K:K,"Article")+COUNTIFS(G:G,"Addition", K:K,"Conjunction")+COUNTIFS(G:G,"Addition", K:K,"Pronoun")+COUNTIFS(G:G,"Addition", K:K,"Preposition")+COUNTIFS(G:G,"Addition", K:K,"Particle")+COUNTIFS(G:G,"Addition", K:K,"Vocative")</f>
        <v>15</v>
      </c>
    </row>
    <row r="89" spans="2:6">
      <c r="B89" t="s">
        <v>2691</v>
      </c>
      <c r="C89" t="s">
        <v>2693</v>
      </c>
      <c r="E89" t="s">
        <v>2809</v>
      </c>
      <c r="F89">
        <f>COUNTIFS(G:G,"Omission", K:K,"Article")+COUNTIFS(G:G,"Omission", K:K,"Conjunction")+COUNTIFS(G:G,"Omission", K:K,"Pronoun")+COUNTIFS(G:G,"Omission", K:K,"Preposition")+COUNTIFS(G:G,"Omission", K:K,"Particle")+COUNTIFS(G:G,"Omission", K:K,"Vocative")</f>
        <v>39</v>
      </c>
    </row>
    <row r="90" spans="2:6">
      <c r="B90" t="s">
        <v>2667</v>
      </c>
      <c r="E90" t="s">
        <v>2810</v>
      </c>
      <c r="F90">
        <f>F88/(F88+F89)</f>
        <v>0.27777777777777779</v>
      </c>
    </row>
    <row r="93" spans="2:6">
      <c r="E93" t="s">
        <v>2815</v>
      </c>
      <c r="F93">
        <f>COUNTIFS(G:G,"Addition", K:K,"Adjective")+COUNTIFS(G:G,"Addition", K:K,"Adverb")+COUNTIFS(G:G,"Addition", K:K,"Noun")+COUNTIFS(G:G,"Addition", K:K,"Participle")+COUNTIFS(G:G,"Addition", K:K,"Verb")</f>
        <v>7</v>
      </c>
    </row>
    <row r="94" spans="2:6">
      <c r="E94" t="s">
        <v>2816</v>
      </c>
      <c r="F94">
        <f>COUNTIFS(G:G,"Omission", K:K,"Adjective")+COUNTIFS(G:G,"Omission", K:K,"Adverb")+COUNTIFS(G:G,"Omission", K:K,"Noun")+COUNTIFS(G:G,"Omission", K:K,"Participle")+COUNTIFS(G:G,"Omission", K:K,"Verb")</f>
        <v>6</v>
      </c>
    </row>
    <row r="95" spans="2:6">
      <c r="E95" t="s">
        <v>2817</v>
      </c>
      <c r="F95">
        <f>F93/(F93+F94)</f>
        <v>0.53846153846153844</v>
      </c>
    </row>
    <row r="96" spans="2:6">
      <c r="E96" t="s">
        <v>2822</v>
      </c>
      <c r="F96">
        <f>F95-F90</f>
        <v>0.26068376068376065</v>
      </c>
    </row>
    <row r="99" spans="3:6">
      <c r="D99" s="17" t="s">
        <v>2818</v>
      </c>
      <c r="E99" s="17"/>
      <c r="F99" s="17"/>
    </row>
    <row r="100" spans="3:6">
      <c r="D100" t="s">
        <v>2641</v>
      </c>
      <c r="E100" t="s">
        <v>2819</v>
      </c>
      <c r="F100" t="s">
        <v>2820</v>
      </c>
    </row>
    <row r="101" spans="3:6">
      <c r="C101" t="s">
        <v>2812</v>
      </c>
      <c r="D101">
        <f>COUNTIFS(G:G,"Addition", L:L, "Present")</f>
        <v>2</v>
      </c>
      <c r="E101">
        <f>COUNTIFS(G:G,"Addition", L:L, "Absent")</f>
        <v>14</v>
      </c>
      <c r="F101">
        <f>D101/(D101+E101)</f>
        <v>0.125</v>
      </c>
    </row>
    <row r="102" spans="3:6">
      <c r="C102" t="s">
        <v>2813</v>
      </c>
      <c r="D102">
        <f>COUNTIFS(G:G,"Omission", L:L, "Present")</f>
        <v>9</v>
      </c>
      <c r="E102">
        <f>COUNTIFS(G:G,"Omission", L:L, "Absent")</f>
        <v>28</v>
      </c>
      <c r="F102">
        <f>D102/(D102+E102)</f>
        <v>0.24324324324324326</v>
      </c>
    </row>
    <row r="103" spans="3:6">
      <c r="C103" t="s">
        <v>2821</v>
      </c>
      <c r="D103">
        <f>SUM(D101+D102)</f>
        <v>11</v>
      </c>
      <c r="E103">
        <f>SUM(E101+E102)</f>
        <v>42</v>
      </c>
      <c r="F103">
        <f>D103/(D103+E103)</f>
        <v>0.20754716981132076</v>
      </c>
    </row>
    <row r="106" spans="3:6">
      <c r="D106" t="s">
        <v>2812</v>
      </c>
      <c r="E106" t="s">
        <v>2813</v>
      </c>
      <c r="F106" t="s">
        <v>2823</v>
      </c>
    </row>
    <row r="107" spans="3:6">
      <c r="C107" t="s">
        <v>2824</v>
      </c>
      <c r="D107">
        <f>COUNTIFS(G:G,"Addition", L:L, "Absent")</f>
        <v>14</v>
      </c>
      <c r="E107">
        <f>COUNTIFS(G:G,"Omission", L:L, "Absent")</f>
        <v>28</v>
      </c>
      <c r="F107">
        <f>D107/(D107+E107)</f>
        <v>0.33333333333333331</v>
      </c>
    </row>
    <row r="108" spans="3:6">
      <c r="C108" t="s">
        <v>2825</v>
      </c>
      <c r="D108">
        <f>COUNTIFS(G:G,"Addition", L:L, "Present")</f>
        <v>2</v>
      </c>
      <c r="E108">
        <f>COUNTIFS(G:G,"Omission", L:L, "Present")</f>
        <v>9</v>
      </c>
      <c r="F108">
        <f>D108/(D108+E108)</f>
        <v>0.18181818181818182</v>
      </c>
    </row>
    <row r="109" spans="3:6">
      <c r="E109" t="s">
        <v>2876</v>
      </c>
      <c r="F109">
        <f>F108-F107</f>
        <v>-0.15151515151515149</v>
      </c>
    </row>
    <row r="112" spans="3:6">
      <c r="D112" t="s">
        <v>2812</v>
      </c>
      <c r="E112" t="s">
        <v>2813</v>
      </c>
      <c r="F112" t="s">
        <v>2823</v>
      </c>
    </row>
    <row r="113" spans="3:6">
      <c r="C113" t="s">
        <v>2826</v>
      </c>
      <c r="D113">
        <f>COUNTIFS(G:G,"Addition", O:O, "")</f>
        <v>22</v>
      </c>
      <c r="E113">
        <f>COUNTIFS(G:G,"Omission", O:O, "")</f>
        <v>54</v>
      </c>
      <c r="F113">
        <f>D113/(D113+E113)</f>
        <v>0.28947368421052633</v>
      </c>
    </row>
    <row r="114" spans="3:6">
      <c r="C114" t="s">
        <v>2827</v>
      </c>
      <c r="D114">
        <f>COUNTIFS(G:G,"Addition", O:O, "Dittography")</f>
        <v>1</v>
      </c>
      <c r="E114">
        <f>COUNTIFS(G:G,"Omission", O:O, "Dittography")</f>
        <v>1</v>
      </c>
      <c r="F114">
        <f>D114/(D114+E114)</f>
        <v>0.5</v>
      </c>
    </row>
    <row r="115" spans="3:6">
      <c r="E115" t="s">
        <v>2876</v>
      </c>
      <c r="F115">
        <f>F114-F113</f>
        <v>0.21052631578947367</v>
      </c>
    </row>
    <row r="118" spans="3:6">
      <c r="C118" t="s">
        <v>2811</v>
      </c>
      <c r="D118" t="s">
        <v>2812</v>
      </c>
      <c r="E118" t="s">
        <v>2813</v>
      </c>
      <c r="F118" t="s">
        <v>2823</v>
      </c>
    </row>
    <row r="119" spans="3:6">
      <c r="C119" s="14">
        <v>1</v>
      </c>
      <c r="D119">
        <f>COUNTIFS(G:G,"Addition", I:I, 1)</f>
        <v>22</v>
      </c>
      <c r="E119">
        <f>COUNTIFS(G:G,"Omission", I:I, 1)</f>
        <v>45</v>
      </c>
      <c r="F119">
        <f>D119/(D119+E119)</f>
        <v>0.32835820895522388</v>
      </c>
    </row>
    <row r="120" spans="3:6">
      <c r="C120" s="14" t="s">
        <v>2828</v>
      </c>
      <c r="D120">
        <f>COUNTIFS(G:G,"Addition", I:I, "&gt;=2", I:I, "&lt;=3")</f>
        <v>1</v>
      </c>
      <c r="E120">
        <f>COUNTIFS(G:G,"Omission", I:I, "&gt;=2", I:I, "&lt;=3")</f>
        <v>5</v>
      </c>
      <c r="F120">
        <f t="shared" ref="F120:F121" si="2">D120/(D120+E120)</f>
        <v>0.16666666666666666</v>
      </c>
    </row>
    <row r="121" spans="3:6">
      <c r="C121" s="14" t="s">
        <v>2829</v>
      </c>
      <c r="D121">
        <f>COUNTIFS(G:G,"Addition", I:I, "&gt;=4")</f>
        <v>1</v>
      </c>
      <c r="E121">
        <f>COUNTIFS(G:G,"Omission", I:I, "&gt;=4")</f>
        <v>5</v>
      </c>
      <c r="F121">
        <f t="shared" si="2"/>
        <v>0.16666666666666666</v>
      </c>
    </row>
    <row r="124" spans="3:6">
      <c r="C124" t="s">
        <v>2811</v>
      </c>
      <c r="D124" t="s">
        <v>2812</v>
      </c>
      <c r="E124" t="s">
        <v>2813</v>
      </c>
      <c r="F124" t="s">
        <v>2814</v>
      </c>
    </row>
    <row r="125" spans="3:6">
      <c r="C125">
        <v>1</v>
      </c>
      <c r="D125" s="14">
        <f>COUNTIFS(G:G,"Addition", I:I, C125)</f>
        <v>22</v>
      </c>
      <c r="E125">
        <f>COUNTIFS(G:G,"Omission", I:I, C125)</f>
        <v>45</v>
      </c>
      <c r="F125">
        <f>D125/(D125+E125)</f>
        <v>0.32835820895522388</v>
      </c>
    </row>
    <row r="126" spans="3:6">
      <c r="C126">
        <v>2</v>
      </c>
      <c r="D126" s="14">
        <f>COUNTIFS(G:G,"Addition", I:I, C126)</f>
        <v>1</v>
      </c>
      <c r="E126">
        <f>COUNTIFS(G:G,"Omission", I:I, C126)</f>
        <v>4</v>
      </c>
      <c r="F126">
        <f t="shared" ref="F126:F129" si="3">D126/(D126+E126)</f>
        <v>0.2</v>
      </c>
    </row>
    <row r="127" spans="3:6">
      <c r="C127">
        <v>3</v>
      </c>
      <c r="D127" s="14">
        <f>COUNTIFS(G:G,"Addition", I:I, C127)</f>
        <v>0</v>
      </c>
      <c r="E127">
        <f>COUNTIFS(G:G,"Omission", I:I, C127)</f>
        <v>1</v>
      </c>
      <c r="F127">
        <f t="shared" si="3"/>
        <v>0</v>
      </c>
    </row>
    <row r="128" spans="3:6">
      <c r="C128">
        <v>4</v>
      </c>
      <c r="D128" s="14">
        <f>COUNTIFS(G:G,"Addition", I:I, C128)</f>
        <v>1</v>
      </c>
      <c r="E128">
        <f>COUNTIFS(G:G,"Omission", I:I, C128)</f>
        <v>0</v>
      </c>
      <c r="F128">
        <f t="shared" si="3"/>
        <v>1</v>
      </c>
    </row>
    <row r="129" spans="3:6">
      <c r="C129" t="s">
        <v>2830</v>
      </c>
      <c r="D129" s="14">
        <f>COUNTIFS(G:G,"Addition", I:I, C129)</f>
        <v>0</v>
      </c>
      <c r="E129">
        <f>COUNTIFS(G:G,"Omission", I:I, C129)</f>
        <v>5</v>
      </c>
      <c r="F129">
        <f t="shared" si="3"/>
        <v>0</v>
      </c>
    </row>
    <row r="130" spans="3:6">
      <c r="D130" s="14"/>
    </row>
    <row r="132" spans="3:6">
      <c r="E132" t="s">
        <v>2831</v>
      </c>
      <c r="F132">
        <v>20338</v>
      </c>
    </row>
  </sheetData>
  <mergeCells count="1">
    <mergeCell ref="D99:F99"/>
  </mergeCells>
  <conditionalFormatting sqref="G2:G80">
    <cfRule type="expression" dxfId="126" priority="4">
      <formula>$I2&lt;&gt;""</formula>
    </cfRule>
    <cfRule type="expression" dxfId="125" priority="5">
      <formula>$I2=""</formula>
    </cfRule>
  </conditionalFormatting>
  <conditionalFormatting sqref="H2:L80 O2:Q80">
    <cfRule type="expression" dxfId="124" priority="22">
      <formula>AND(OR($I2="Addition",$I2="Omission"), H2="")</formula>
    </cfRule>
    <cfRule type="expression" dxfId="123" priority="23">
      <formula>AND($I2&lt;&gt;"Addition",$I2&lt;&gt;"Omission",$I2&lt;&gt;"Substitution - Word")</formula>
    </cfRule>
  </conditionalFormatting>
  <conditionalFormatting sqref="H2:Q80">
    <cfRule type="expression" dxfId="122" priority="21">
      <formula>AND(OR($I2="Addition",$I2="Omission"), H2&lt;&gt;"")</formula>
    </cfRule>
  </conditionalFormatting>
  <conditionalFormatting sqref="K2:K80">
    <cfRule type="expression" dxfId="121" priority="16">
      <formula>AND($K2&lt;&gt;"",$K2&gt;1)</formula>
    </cfRule>
  </conditionalFormatting>
  <conditionalFormatting sqref="M2:N80">
    <cfRule type="expression" dxfId="120" priority="12">
      <formula>$N2="Absent"</formula>
    </cfRule>
    <cfRule type="expression" dxfId="119" priority="13">
      <formula>$N2="NA"</formula>
    </cfRule>
    <cfRule type="expression" dxfId="118" priority="14">
      <formula>AND(OR($I2="Addition",$I2="Omission"), M2="")</formula>
    </cfRule>
    <cfRule type="expression" dxfId="117" priority="15">
      <formula>AND($I2&lt;&gt;"Addition",$I2&lt;&gt;"Omission")</formula>
    </cfRule>
  </conditionalFormatting>
  <conditionalFormatting sqref="O2:O80">
    <cfRule type="expression" dxfId="116" priority="17">
      <formula>OR($I2="Addition",$I2="Omission",$I2 = "Substitution - Word")</formula>
    </cfRule>
  </conditionalFormatting>
  <conditionalFormatting sqref="R2:T80">
    <cfRule type="expression" dxfId="115" priority="18">
      <formula>AND(AND(LEFT($I2,3)="Sub", RIGHT($I2,4)&lt;&gt;"Form"),$T2&lt;&gt;"")</formula>
    </cfRule>
    <cfRule type="expression" dxfId="114" priority="19">
      <formula>AND(AND(LEFT($I2,3)="Sub", RIGHT($I2,4)&lt;&gt;"Form"),$T2="")</formula>
    </cfRule>
    <cfRule type="expression" dxfId="113" priority="20">
      <formula>"&lt;&gt;AND(LEFT($J2,3)=""Sub"", RIGHT($J2,4)&lt;&gt;""Form"")"</formula>
    </cfRule>
  </conditionalFormatting>
  <conditionalFormatting sqref="S2:T80">
    <cfRule type="expression" dxfId="112" priority="1">
      <formula>AND(AND(LEFT($I2,3)="Sub", RIGHT($I2,4)&lt;&gt;"Form"),$T2&lt;&gt;"")</formula>
    </cfRule>
    <cfRule type="expression" dxfId="111" priority="2">
      <formula>AND(AND(LEFT($I2,3)="Sub", RIGHT($I2,4)&lt;&gt;"Form"),$T2="")</formula>
    </cfRule>
    <cfRule type="expression" dxfId="110" priority="3">
      <formula>"&lt;&gt;AND(LEFT($J2,3)=""Sub"", RIGHT($J2,4)&lt;&gt;""Form"")"</formula>
    </cfRule>
  </conditionalFormatting>
  <conditionalFormatting sqref="U2:U80">
    <cfRule type="expression" dxfId="109" priority="7">
      <formula>AND($W2&lt;&gt;"",OR($AD2="Yes",$AE2&lt;&gt;""))</formula>
    </cfRule>
    <cfRule type="expression" dxfId="108" priority="8">
      <formula>OR($AD2="Yes",$AE2&lt;&gt;"")</formula>
    </cfRule>
    <cfRule type="expression" dxfId="107" priority="26">
      <formula>AND($AD2&lt;&gt;"Yes",$AE2="")</formula>
    </cfRule>
  </conditionalFormatting>
  <conditionalFormatting sqref="U2:AD80">
    <cfRule type="expression" dxfId="106" priority="24">
      <formula>AND($I2&lt;&gt;"",$I2&lt;&gt;"Unclear due to correction")</formula>
    </cfRule>
    <cfRule type="expression" dxfId="105" priority="25">
      <formula>OR($I2="",$I2="Unclear due to correction")</formula>
    </cfRule>
  </conditionalFormatting>
  <conditionalFormatting sqref="V2:V80">
    <cfRule type="expression" dxfId="104" priority="6">
      <formula>AND($I2&lt;&gt;"",$I2&lt;&gt;"Unclear due to correction",$X2="")</formula>
    </cfRule>
  </conditionalFormatting>
  <conditionalFormatting sqref="W2:W80">
    <cfRule type="expression" dxfId="103" priority="9">
      <formula>AND($X2="Yes",$Y2="")</formula>
    </cfRule>
    <cfRule type="expression" dxfId="102" priority="10">
      <formula>$X2=""</formula>
    </cfRule>
  </conditionalFormatting>
  <conditionalFormatting sqref="AB2:AB80">
    <cfRule type="expression" dxfId="101" priority="11">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A02E412D-C601-4660-8744-1D578E5943B7}">
          <x14:formula1>
            <xm:f>'Data Regularization'!$D$2:$D$1048576</xm:f>
          </x14:formula1>
          <xm:sqref>G2:G80</xm:sqref>
        </x14:dataValidation>
        <x14:dataValidation type="list" allowBlank="1" showInputMessage="1" showErrorMessage="1" xr:uid="{6B0707BA-3FE0-4070-B945-4B096E5A2026}">
          <x14:formula1>
            <xm:f>'Data Regularization'!$C$2:$C$50</xm:f>
          </x14:formula1>
          <xm:sqref>F2:F80</xm:sqref>
        </x14:dataValidation>
        <x14:dataValidation type="list" allowBlank="1" showInputMessage="1" showErrorMessage="1" xr:uid="{E7E47221-F2C9-4AD9-A79B-00328F288356}">
          <x14:formula1>
            <xm:f>'Data Regularization'!$A$2:$A$1048576</xm:f>
          </x14:formula1>
          <xm:sqref>D2:D80</xm:sqref>
        </x14:dataValidation>
        <x14:dataValidation type="list" allowBlank="1" showInputMessage="1" showErrorMessage="1" xr:uid="{0A4F5178-88ED-41C1-839D-D2267CB811B1}">
          <x14:formula1>
            <xm:f>'Data Regularization'!$B$2:$B$1048576</xm:f>
          </x14:formula1>
          <xm:sqref>E2:E80</xm:sqref>
        </x14:dataValidation>
        <x14:dataValidation type="list" allowBlank="1" showInputMessage="1" showErrorMessage="1" xr:uid="{0D1EE4C4-3A81-426A-B55A-6287488DB8EA}">
          <x14:formula1>
            <xm:f>'Data Regularization'!$E$2:$E$1048576</xm:f>
          </x14:formula1>
          <xm:sqref>K2:K80</xm:sqref>
        </x14:dataValidation>
        <x14:dataValidation type="list" allowBlank="1" showInputMessage="1" showErrorMessage="1" xr:uid="{580FB186-B646-4A72-9748-CDBFC0C2282F}">
          <x14:formula1>
            <xm:f>'Data Regularization'!$F$2:$F$1048576</xm:f>
          </x14:formula1>
          <xm:sqref>L2:L80</xm:sqref>
        </x14:dataValidation>
        <x14:dataValidation type="list" allowBlank="1" showInputMessage="1" showErrorMessage="1" xr:uid="{CD92EB71-398B-4E3F-B4B7-3A31957E4077}">
          <x14:formula1>
            <xm:f>'Data Regularization'!$G$2:$G$1048576</xm:f>
          </x14:formula1>
          <xm:sqref>O2:O80</xm:sqref>
        </x14:dataValidation>
        <x14:dataValidation type="list" allowBlank="1" showInputMessage="1" showErrorMessage="1" xr:uid="{8EE54DE6-A332-4F2B-A6D8-77EC2B27DB73}">
          <x14:formula1>
            <xm:f>'Data Regularization'!$J$2:$J$1048576</xm:f>
          </x14:formula1>
          <xm:sqref>W2:W80</xm:sqref>
        </x14:dataValidation>
        <x14:dataValidation type="list" allowBlank="1" showInputMessage="1" showErrorMessage="1" xr:uid="{2420C1C1-5F0C-4E3B-8849-FE1BBEBEF9FA}">
          <x14:formula1>
            <xm:f>'Data Regularization'!$K$2:$K$1048576</xm:f>
          </x14:formula1>
          <xm:sqref>X2:X80</xm:sqref>
        </x14:dataValidation>
        <x14:dataValidation type="list" allowBlank="1" showInputMessage="1" showErrorMessage="1" xr:uid="{2F4B3D91-2745-4D64-A8C0-FF939D64B077}">
          <x14:formula1>
            <xm:f>'Data Regularization'!$L$2:$L$1048576</xm:f>
          </x14:formula1>
          <xm:sqref>Y2:Y80</xm:sqref>
        </x14:dataValidation>
        <x14:dataValidation type="list" allowBlank="1" showInputMessage="1" showErrorMessage="1" xr:uid="{0FC217BB-7AFF-477A-8158-52EAE916540F}">
          <x14:formula1>
            <xm:f>'Data Regularization'!$M$2:$M$1048576</xm:f>
          </x14:formula1>
          <xm:sqref>Z2:Z80</xm:sqref>
        </x14:dataValidation>
        <x14:dataValidation type="list" allowBlank="1" showInputMessage="1" showErrorMessage="1" xr:uid="{9A0D7A54-64C4-487B-A338-683EB8C77A03}">
          <x14:formula1>
            <xm:f>'Data Regularization'!$N$2:$N$1048576</xm:f>
          </x14:formula1>
          <xm:sqref>AB2:AB80</xm:sqref>
        </x14:dataValidation>
        <x14:dataValidation type="list" allowBlank="1" showInputMessage="1" showErrorMessage="1" xr:uid="{16407F7B-5174-4401-A85F-832AED2ABD75}">
          <x14:formula1>
            <xm:f>'Data Regularization'!$O$2:$O$1048576</xm:f>
          </x14:formula1>
          <xm:sqref>AC2:AC80</xm:sqref>
        </x14:dataValidation>
        <x14:dataValidation type="list" allowBlank="1" showInputMessage="1" showErrorMessage="1" xr:uid="{E369D700-7ED3-4866-BFBC-DC2C83429702}">
          <x14:formula1>
            <xm:f>'Data Regularization'!$H$2:$H$1048576</xm:f>
          </x14:formula1>
          <xm:sqref>U2:U80</xm:sqref>
        </x14:dataValidation>
        <x14:dataValidation type="list" allowBlank="1" showInputMessage="1" xr:uid="{A738F64B-483C-4A93-A9FB-4F282E2CE20D}">
          <x14:formula1>
            <xm:f>'Data Regularization'!$I$2:$I$1048576</xm:f>
          </x14:formula1>
          <xm:sqref>V2:V80</xm:sqref>
        </x14:dataValidation>
        <x14:dataValidation type="list" allowBlank="1" showInputMessage="1" showErrorMessage="1" xr:uid="{D7FAD158-8975-439B-AAD8-3434AD143BE8}">
          <x14:formula1>
            <xm:f>'Data Regularization'!$P$2:$P$1048576</xm:f>
          </x14:formula1>
          <xm:sqref>AD2:AD80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D7DF-E255-4453-87AD-DC8578AB2571}">
  <dimension ref="A1:AD7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ht="29">
      <c r="A1" s="1" t="s">
        <v>0</v>
      </c>
      <c r="B1" s="12" t="s">
        <v>5</v>
      </c>
      <c r="C1" s="1" t="s">
        <v>6</v>
      </c>
      <c r="D1" s="1" t="s">
        <v>2668</v>
      </c>
      <c r="E1" s="1" t="s">
        <v>2669</v>
      </c>
      <c r="F1" s="1" t="s">
        <v>2670</v>
      </c>
      <c r="G1" s="1" t="s">
        <v>3</v>
      </c>
      <c r="H1" s="1" t="s">
        <v>2671</v>
      </c>
      <c r="I1" s="1" t="s">
        <v>2672</v>
      </c>
      <c r="J1" s="1" t="s">
        <v>2673</v>
      </c>
      <c r="K1" s="1" t="s">
        <v>2674</v>
      </c>
      <c r="L1" s="1" t="s">
        <v>2634</v>
      </c>
      <c r="M1" s="1" t="s">
        <v>2675</v>
      </c>
      <c r="N1" s="9" t="s">
        <v>2676</v>
      </c>
      <c r="O1" s="1" t="s">
        <v>2635</v>
      </c>
      <c r="P1" s="1" t="s">
        <v>2677</v>
      </c>
      <c r="Q1" s="1" t="s">
        <v>2835</v>
      </c>
      <c r="R1" s="1" t="s">
        <v>2678</v>
      </c>
      <c r="S1" s="1" t="s">
        <v>2832</v>
      </c>
      <c r="T1" s="1" t="s">
        <v>2833</v>
      </c>
      <c r="U1" s="1" t="s">
        <v>2680</v>
      </c>
      <c r="V1" s="1" t="s">
        <v>2681</v>
      </c>
      <c r="W1" s="1" t="s">
        <v>2682</v>
      </c>
      <c r="X1" s="1" t="s">
        <v>2636</v>
      </c>
      <c r="Y1" s="1" t="s">
        <v>2637</v>
      </c>
      <c r="Z1" s="1" t="s">
        <v>2638</v>
      </c>
      <c r="AA1" s="1" t="s">
        <v>2679</v>
      </c>
      <c r="AB1" s="1" t="s">
        <v>2683</v>
      </c>
      <c r="AC1" s="1" t="s">
        <v>2639</v>
      </c>
      <c r="AD1" s="1" t="s">
        <v>2684</v>
      </c>
    </row>
    <row r="2" spans="1:30" ht="43.5">
      <c r="A2" s="2" t="s">
        <v>46</v>
      </c>
      <c r="B2" s="2" t="s">
        <v>2779</v>
      </c>
      <c r="C2" s="2" t="s">
        <v>2780</v>
      </c>
      <c r="F2" t="s">
        <v>19</v>
      </c>
      <c r="G2" s="10" t="s">
        <v>25</v>
      </c>
      <c r="H2" s="10"/>
      <c r="I2" s="10">
        <v>1</v>
      </c>
      <c r="J2" s="10">
        <v>2</v>
      </c>
      <c r="K2" s="10" t="s">
        <v>2646</v>
      </c>
      <c r="L2" s="10" t="s">
        <v>2687</v>
      </c>
      <c r="M2" s="10"/>
      <c r="N2" s="11"/>
      <c r="O2" s="10"/>
      <c r="P2" s="10">
        <v>2475</v>
      </c>
      <c r="Q2" s="10">
        <v>1216.9338184678927</v>
      </c>
      <c r="R2" s="10"/>
      <c r="S2" s="10" t="s">
        <v>2834</v>
      </c>
      <c r="T2" s="10" t="s">
        <v>2834</v>
      </c>
      <c r="U2" s="10"/>
      <c r="V2" s="10"/>
      <c r="W2" s="10"/>
      <c r="X2" s="10"/>
      <c r="Y2" s="10"/>
      <c r="Z2" s="10"/>
      <c r="AA2" s="10"/>
      <c r="AB2" s="10"/>
      <c r="AC2" s="10"/>
      <c r="AD2" s="10"/>
    </row>
    <row r="3" spans="1:30" ht="29">
      <c r="A3" s="2" t="s">
        <v>72</v>
      </c>
      <c r="B3" s="2" t="s">
        <v>1251</v>
      </c>
      <c r="C3" s="2" t="s">
        <v>1252</v>
      </c>
      <c r="F3" t="s">
        <v>19</v>
      </c>
      <c r="G3" s="10" t="s">
        <v>25</v>
      </c>
      <c r="H3" s="10"/>
      <c r="I3" s="10">
        <v>1</v>
      </c>
      <c r="J3" s="10">
        <v>1</v>
      </c>
      <c r="K3" s="10" t="s">
        <v>2646</v>
      </c>
      <c r="L3" s="10" t="s">
        <v>2687</v>
      </c>
      <c r="M3" s="10"/>
      <c r="N3" s="11"/>
      <c r="O3" s="10"/>
      <c r="P3" s="10">
        <v>2475</v>
      </c>
      <c r="Q3" s="10">
        <v>1216.9338184678927</v>
      </c>
      <c r="R3" s="10"/>
      <c r="S3" s="10" t="s">
        <v>2834</v>
      </c>
      <c r="T3" s="10" t="s">
        <v>2834</v>
      </c>
      <c r="U3" s="10"/>
      <c r="V3" s="10"/>
      <c r="W3" s="10"/>
      <c r="X3" s="10"/>
      <c r="Y3" s="10"/>
      <c r="Z3" s="10"/>
      <c r="AA3" s="10"/>
      <c r="AB3" s="10"/>
      <c r="AC3" s="10"/>
      <c r="AD3" s="10"/>
    </row>
    <row r="4" spans="1:30" ht="43.5">
      <c r="A4" s="2" t="s">
        <v>109</v>
      </c>
      <c r="B4" s="2" t="s">
        <v>1314</v>
      </c>
      <c r="C4" s="2" t="s">
        <v>1313</v>
      </c>
      <c r="F4" t="s">
        <v>19</v>
      </c>
      <c r="G4" s="10" t="s">
        <v>25</v>
      </c>
      <c r="H4" s="10"/>
      <c r="I4" s="10">
        <v>1</v>
      </c>
      <c r="J4" s="10">
        <v>5</v>
      </c>
      <c r="K4" s="10" t="s">
        <v>2662</v>
      </c>
      <c r="L4" s="10" t="s">
        <v>2647</v>
      </c>
      <c r="M4" s="10"/>
      <c r="N4" s="11"/>
      <c r="O4" s="10"/>
      <c r="P4" s="10">
        <v>830</v>
      </c>
      <c r="Q4" s="10">
        <v>408.10305831448517</v>
      </c>
      <c r="R4" s="10"/>
      <c r="S4" s="10" t="s">
        <v>2834</v>
      </c>
      <c r="T4" s="10" t="s">
        <v>2834</v>
      </c>
      <c r="U4" s="10"/>
      <c r="V4" s="10"/>
      <c r="W4" s="10"/>
      <c r="X4" s="10"/>
      <c r="Y4" s="10"/>
      <c r="Z4" s="10"/>
      <c r="AA4" s="10"/>
      <c r="AB4" s="10"/>
      <c r="AC4" s="10"/>
      <c r="AD4" s="10"/>
    </row>
    <row r="5" spans="1:30" ht="43.5">
      <c r="A5" s="2" t="s">
        <v>174</v>
      </c>
      <c r="B5" s="13" t="s">
        <v>1408</v>
      </c>
      <c r="C5" t="s">
        <v>1409</v>
      </c>
      <c r="F5" t="s">
        <v>19</v>
      </c>
      <c r="G5" s="10" t="s">
        <v>25</v>
      </c>
      <c r="H5" s="10"/>
      <c r="I5" s="10">
        <v>1</v>
      </c>
      <c r="J5" s="10">
        <v>3</v>
      </c>
      <c r="K5" s="10" t="s">
        <v>2646</v>
      </c>
      <c r="L5" s="10" t="s">
        <v>2641</v>
      </c>
      <c r="M5" s="10" t="s">
        <v>2704</v>
      </c>
      <c r="N5" s="11" t="s">
        <v>2705</v>
      </c>
      <c r="O5" s="10" t="s">
        <v>2642</v>
      </c>
      <c r="P5" s="10">
        <v>2475</v>
      </c>
      <c r="Q5" s="10">
        <v>1216.9338184678927</v>
      </c>
      <c r="R5" s="10"/>
      <c r="S5" s="10" t="s">
        <v>2834</v>
      </c>
      <c r="T5" s="10" t="s">
        <v>2834</v>
      </c>
      <c r="U5" s="10"/>
      <c r="V5" s="10"/>
      <c r="W5" s="10"/>
      <c r="X5" s="10"/>
      <c r="Y5" s="10"/>
      <c r="Z5" s="10"/>
      <c r="AA5" s="10"/>
      <c r="AB5" s="10"/>
      <c r="AC5" s="10"/>
      <c r="AD5" s="10"/>
    </row>
    <row r="6" spans="1:30" ht="43.5">
      <c r="A6" s="2" t="s">
        <v>187</v>
      </c>
      <c r="B6" s="13" t="s">
        <v>1422</v>
      </c>
      <c r="C6" t="s">
        <v>1423</v>
      </c>
      <c r="F6" t="s">
        <v>19</v>
      </c>
      <c r="G6" s="10" t="s">
        <v>25</v>
      </c>
      <c r="H6" s="10"/>
      <c r="I6" s="10">
        <v>1</v>
      </c>
      <c r="J6" s="10">
        <v>3</v>
      </c>
      <c r="K6" s="10" t="s">
        <v>2646</v>
      </c>
      <c r="L6" s="10" t="s">
        <v>2647</v>
      </c>
      <c r="M6" s="10"/>
      <c r="N6" s="11"/>
      <c r="O6" s="10"/>
      <c r="P6" s="10">
        <v>2475</v>
      </c>
      <c r="Q6" s="10">
        <v>1216.9338184678927</v>
      </c>
      <c r="R6" s="10"/>
      <c r="S6" s="10" t="s">
        <v>2834</v>
      </c>
      <c r="T6" s="10" t="s">
        <v>2834</v>
      </c>
      <c r="U6" s="10"/>
      <c r="V6" s="10"/>
      <c r="W6" s="10"/>
      <c r="X6" s="10"/>
      <c r="Y6" s="10"/>
      <c r="Z6" s="10"/>
      <c r="AA6" s="10"/>
      <c r="AB6" s="10"/>
      <c r="AC6" s="10"/>
      <c r="AD6" s="10"/>
    </row>
    <row r="7" spans="1:30" ht="72.5">
      <c r="A7" s="2" t="s">
        <v>193</v>
      </c>
      <c r="B7" s="2" t="s">
        <v>1429</v>
      </c>
      <c r="C7" s="2" t="s">
        <v>1430</v>
      </c>
      <c r="G7" s="10" t="s">
        <v>25</v>
      </c>
      <c r="H7" s="10"/>
      <c r="I7" s="10">
        <v>1</v>
      </c>
      <c r="J7" s="10">
        <v>3</v>
      </c>
      <c r="K7" s="10" t="s">
        <v>2655</v>
      </c>
      <c r="L7" s="10" t="s">
        <v>2647</v>
      </c>
      <c r="M7" s="10"/>
      <c r="N7" s="11"/>
      <c r="O7" s="10"/>
      <c r="P7" s="10">
        <v>1701</v>
      </c>
      <c r="Q7" s="10">
        <v>836.36542432884255</v>
      </c>
      <c r="R7" s="10"/>
      <c r="S7" s="10" t="s">
        <v>2834</v>
      </c>
      <c r="T7" s="10" t="s">
        <v>2834</v>
      </c>
      <c r="U7" s="10"/>
      <c r="V7" s="10"/>
      <c r="W7" s="10"/>
      <c r="X7" s="10"/>
      <c r="Y7" s="10"/>
      <c r="Z7" s="10"/>
      <c r="AA7" s="10"/>
      <c r="AB7" s="10"/>
      <c r="AC7" s="10"/>
      <c r="AD7" s="10"/>
    </row>
    <row r="8" spans="1:30" ht="58">
      <c r="A8" s="2" t="s">
        <v>222</v>
      </c>
      <c r="B8" s="2" t="s">
        <v>1478</v>
      </c>
      <c r="C8" s="2" t="s">
        <v>1481</v>
      </c>
      <c r="F8" t="s">
        <v>19</v>
      </c>
      <c r="G8" s="10" t="s">
        <v>24</v>
      </c>
      <c r="H8" s="10"/>
      <c r="I8" s="10">
        <v>1</v>
      </c>
      <c r="J8" s="10">
        <v>2</v>
      </c>
      <c r="K8" s="10" t="s">
        <v>2646</v>
      </c>
      <c r="L8" s="10" t="s">
        <v>2687</v>
      </c>
      <c r="M8" s="10"/>
      <c r="N8" s="11"/>
      <c r="O8" s="10"/>
      <c r="P8" s="10">
        <v>2475</v>
      </c>
      <c r="Q8" s="10">
        <v>1216.9338184678927</v>
      </c>
      <c r="R8" s="10"/>
      <c r="S8" s="10" t="s">
        <v>2834</v>
      </c>
      <c r="T8" s="10" t="s">
        <v>2834</v>
      </c>
      <c r="U8" s="10"/>
      <c r="V8" s="10"/>
      <c r="W8" s="10"/>
      <c r="X8" s="10"/>
      <c r="Y8" s="10"/>
      <c r="Z8" s="10"/>
      <c r="AA8" s="10"/>
      <c r="AB8" s="10"/>
      <c r="AC8" s="10"/>
      <c r="AD8" s="10"/>
    </row>
    <row r="9" spans="1:30" ht="43.5">
      <c r="A9" s="2" t="s">
        <v>262</v>
      </c>
      <c r="B9" s="2" t="s">
        <v>2911</v>
      </c>
      <c r="C9" s="2" t="s">
        <v>1526</v>
      </c>
      <c r="G9" s="10" t="s">
        <v>25</v>
      </c>
      <c r="H9" s="10"/>
      <c r="I9" s="10">
        <v>1</v>
      </c>
      <c r="J9" s="10">
        <v>2</v>
      </c>
      <c r="K9" s="10" t="s">
        <v>2662</v>
      </c>
      <c r="L9" s="10" t="s">
        <v>2687</v>
      </c>
      <c r="M9" s="10"/>
      <c r="N9" s="11"/>
      <c r="O9" s="10"/>
      <c r="P9" s="10">
        <v>743</v>
      </c>
      <c r="Q9" s="10">
        <v>365.32599075621988</v>
      </c>
      <c r="R9" s="10"/>
      <c r="S9" s="10" t="s">
        <v>2834</v>
      </c>
      <c r="T9" s="10" t="s">
        <v>2834</v>
      </c>
      <c r="U9" s="10"/>
      <c r="V9" s="10"/>
      <c r="W9" s="10"/>
      <c r="X9" s="10"/>
      <c r="Y9" s="10"/>
      <c r="Z9" s="10"/>
      <c r="AA9" s="10"/>
      <c r="AB9" s="10"/>
      <c r="AC9" s="10"/>
      <c r="AD9" s="10"/>
    </row>
    <row r="10" spans="1:30" ht="43.5">
      <c r="A10" s="2" t="s">
        <v>266</v>
      </c>
      <c r="B10" s="2" t="s">
        <v>1534</v>
      </c>
      <c r="C10" s="2" t="s">
        <v>1531</v>
      </c>
      <c r="G10" s="10" t="s">
        <v>25</v>
      </c>
      <c r="H10" s="10"/>
      <c r="I10" s="10">
        <v>1</v>
      </c>
      <c r="J10" s="10">
        <v>2</v>
      </c>
      <c r="K10" s="10" t="s">
        <v>2662</v>
      </c>
      <c r="L10" s="10" t="s">
        <v>2687</v>
      </c>
      <c r="M10" s="10"/>
      <c r="N10" s="11"/>
      <c r="O10" s="10"/>
      <c r="P10" s="10">
        <v>743</v>
      </c>
      <c r="Q10" s="10">
        <v>365.32599075621988</v>
      </c>
      <c r="R10" s="10"/>
      <c r="S10" s="10" t="s">
        <v>2834</v>
      </c>
      <c r="T10" s="10" t="s">
        <v>2834</v>
      </c>
      <c r="U10" s="10"/>
      <c r="V10" s="10"/>
      <c r="W10" s="10"/>
      <c r="X10" s="10"/>
      <c r="Y10" s="10"/>
      <c r="Z10" s="10"/>
      <c r="AA10" s="10"/>
      <c r="AB10" s="10"/>
      <c r="AC10" s="10"/>
      <c r="AD10" s="10"/>
    </row>
    <row r="11" spans="1:30" ht="58">
      <c r="A11" s="2" t="s">
        <v>382</v>
      </c>
      <c r="B11" s="2" t="s">
        <v>1636</v>
      </c>
      <c r="C11" s="2" t="s">
        <v>1637</v>
      </c>
      <c r="F11" t="s">
        <v>19</v>
      </c>
      <c r="G11" s="10" t="s">
        <v>25</v>
      </c>
      <c r="H11" s="10"/>
      <c r="I11" s="10">
        <v>1</v>
      </c>
      <c r="J11" s="10">
        <v>3</v>
      </c>
      <c r="K11" s="10" t="s">
        <v>2655</v>
      </c>
      <c r="L11" s="10" t="s">
        <v>2647</v>
      </c>
      <c r="M11" s="10"/>
      <c r="N11" s="11"/>
      <c r="O11" s="10"/>
      <c r="P11" s="10">
        <v>1701</v>
      </c>
      <c r="Q11" s="10">
        <v>836.36542432884255</v>
      </c>
      <c r="R11" s="10"/>
      <c r="S11" s="10" t="s">
        <v>2834</v>
      </c>
      <c r="T11" s="10" t="s">
        <v>2834</v>
      </c>
      <c r="U11" s="10"/>
      <c r="V11" s="10"/>
      <c r="W11" s="10"/>
      <c r="X11" s="10"/>
      <c r="Y11" s="10"/>
      <c r="Z11" s="10"/>
      <c r="AA11" s="10"/>
      <c r="AB11" s="10"/>
      <c r="AC11" s="10"/>
      <c r="AD11" s="10"/>
    </row>
    <row r="12" spans="1:30" ht="29">
      <c r="A12" s="2" t="s">
        <v>383</v>
      </c>
      <c r="B12" s="2" t="s">
        <v>1645</v>
      </c>
      <c r="C12" s="2" t="s">
        <v>1646</v>
      </c>
      <c r="F12" t="s">
        <v>19</v>
      </c>
      <c r="G12" s="10" t="s">
        <v>25</v>
      </c>
      <c r="H12" s="10"/>
      <c r="I12" s="10">
        <v>1</v>
      </c>
      <c r="J12" s="10">
        <v>1</v>
      </c>
      <c r="K12" s="10" t="s">
        <v>2646</v>
      </c>
      <c r="L12" s="10" t="s">
        <v>2687</v>
      </c>
      <c r="M12" s="10"/>
      <c r="N12" s="11"/>
      <c r="O12" s="10"/>
      <c r="P12" s="10">
        <v>2475</v>
      </c>
      <c r="Q12" s="10">
        <v>1216.9338184678927</v>
      </c>
      <c r="R12" s="10"/>
      <c r="S12" s="10" t="s">
        <v>2834</v>
      </c>
      <c r="T12" s="10" t="s">
        <v>2834</v>
      </c>
      <c r="U12" s="10"/>
      <c r="V12" s="10"/>
      <c r="W12" s="10"/>
      <c r="X12" s="10"/>
      <c r="Y12" s="10"/>
      <c r="Z12" s="10"/>
      <c r="AA12" s="10"/>
      <c r="AB12" s="10"/>
      <c r="AC12" s="10"/>
      <c r="AD12" s="10"/>
    </row>
    <row r="13" spans="1:30" ht="72.5">
      <c r="A13" s="2" t="s">
        <v>393</v>
      </c>
      <c r="B13" s="2" t="s">
        <v>1651</v>
      </c>
      <c r="C13" s="2" t="s">
        <v>1650</v>
      </c>
      <c r="G13" s="10" t="s">
        <v>25</v>
      </c>
      <c r="H13" s="10"/>
      <c r="I13" s="10">
        <v>1</v>
      </c>
      <c r="J13" s="10">
        <v>5</v>
      </c>
      <c r="K13" s="10" t="s">
        <v>2662</v>
      </c>
      <c r="L13" s="10" t="s">
        <v>2647</v>
      </c>
      <c r="M13" s="10"/>
      <c r="N13" s="11"/>
      <c r="O13" s="10"/>
      <c r="P13" s="10">
        <v>830</v>
      </c>
      <c r="Q13" s="10">
        <v>408.10305831448517</v>
      </c>
      <c r="R13" s="10"/>
      <c r="S13" s="10" t="s">
        <v>2834</v>
      </c>
      <c r="T13" s="10" t="s">
        <v>2834</v>
      </c>
      <c r="U13" s="10"/>
      <c r="V13" s="10"/>
      <c r="W13" s="10"/>
      <c r="X13" s="10"/>
      <c r="Y13" s="10"/>
      <c r="Z13" s="10"/>
      <c r="AA13" s="10"/>
      <c r="AB13" s="10"/>
      <c r="AC13" s="10"/>
      <c r="AD13" s="10"/>
    </row>
    <row r="14" spans="1:30" ht="72.5">
      <c r="A14" s="2" t="s">
        <v>393</v>
      </c>
      <c r="B14" s="2" t="s">
        <v>1652</v>
      </c>
      <c r="C14" s="2" t="s">
        <v>1650</v>
      </c>
      <c r="G14" s="10" t="s">
        <v>25</v>
      </c>
      <c r="H14" s="10"/>
      <c r="I14" s="10">
        <v>1</v>
      </c>
      <c r="J14" s="10">
        <v>3</v>
      </c>
      <c r="K14" s="10" t="s">
        <v>2646</v>
      </c>
      <c r="L14" s="10" t="s">
        <v>2647</v>
      </c>
      <c r="M14" s="10"/>
      <c r="N14" s="11"/>
      <c r="O14" s="10"/>
      <c r="P14" s="10">
        <v>2475</v>
      </c>
      <c r="Q14" s="10">
        <v>1216.9338184678927</v>
      </c>
      <c r="R14" s="10"/>
      <c r="S14" s="10" t="s">
        <v>2834</v>
      </c>
      <c r="T14" s="10" t="s">
        <v>2834</v>
      </c>
      <c r="U14" s="10"/>
      <c r="V14" s="10"/>
      <c r="W14" s="10"/>
      <c r="X14" s="10"/>
      <c r="Y14" s="10"/>
      <c r="Z14" s="10"/>
      <c r="AA14" s="10"/>
      <c r="AB14" s="10"/>
      <c r="AC14" s="10"/>
      <c r="AD14" s="10"/>
    </row>
    <row r="15" spans="1:30" ht="29">
      <c r="A15" s="2" t="s">
        <v>417</v>
      </c>
      <c r="B15" s="2" t="s">
        <v>1675</v>
      </c>
      <c r="C15" s="2" t="s">
        <v>1674</v>
      </c>
      <c r="G15" s="10" t="s">
        <v>25</v>
      </c>
      <c r="H15" s="10"/>
      <c r="I15" s="10">
        <v>1</v>
      </c>
      <c r="J15" s="10">
        <v>1</v>
      </c>
      <c r="K15" s="10" t="s">
        <v>2646</v>
      </c>
      <c r="L15" s="10" t="s">
        <v>2687</v>
      </c>
      <c r="M15" s="10"/>
      <c r="N15" s="11"/>
      <c r="O15" s="10"/>
      <c r="P15" s="10">
        <v>2475</v>
      </c>
      <c r="Q15" s="10">
        <v>1216.9338184678927</v>
      </c>
      <c r="R15" s="10"/>
      <c r="S15" s="10" t="s">
        <v>2834</v>
      </c>
      <c r="T15" s="10" t="s">
        <v>2834</v>
      </c>
      <c r="U15" s="10"/>
      <c r="V15" s="10"/>
      <c r="W15" s="10"/>
      <c r="X15" s="10"/>
      <c r="Y15" s="10"/>
      <c r="Z15" s="10"/>
      <c r="AA15" s="10"/>
      <c r="AB15" s="10"/>
      <c r="AC15" s="10"/>
      <c r="AD15" s="10"/>
    </row>
    <row r="16" spans="1:30" ht="43.5">
      <c r="A16" s="2" t="s">
        <v>418</v>
      </c>
      <c r="B16" s="2" t="s">
        <v>1684</v>
      </c>
      <c r="C16" s="2" t="s">
        <v>1683</v>
      </c>
      <c r="F16" t="s">
        <v>19</v>
      </c>
      <c r="G16" s="10" t="s">
        <v>25</v>
      </c>
      <c r="H16" s="10"/>
      <c r="I16" s="10">
        <v>1</v>
      </c>
      <c r="J16" s="10">
        <v>3</v>
      </c>
      <c r="K16" s="10" t="s">
        <v>2655</v>
      </c>
      <c r="L16" s="10" t="s">
        <v>2647</v>
      </c>
      <c r="M16" s="10"/>
      <c r="N16" s="11"/>
      <c r="O16" s="10"/>
      <c r="P16" s="10">
        <v>1701</v>
      </c>
      <c r="Q16" s="10">
        <v>836.36542432884255</v>
      </c>
      <c r="R16" s="10"/>
      <c r="S16" s="10" t="s">
        <v>2834</v>
      </c>
      <c r="T16" s="10" t="s">
        <v>2834</v>
      </c>
      <c r="U16" s="10"/>
      <c r="V16" s="10"/>
      <c r="W16" s="10"/>
      <c r="X16" s="10"/>
      <c r="Y16" s="10"/>
      <c r="Z16" s="10"/>
      <c r="AA16" s="10"/>
      <c r="AB16" s="10"/>
      <c r="AC16" s="10"/>
      <c r="AD16" s="10"/>
    </row>
    <row r="17" spans="1:30" ht="29">
      <c r="A17" s="2" t="s">
        <v>428</v>
      </c>
      <c r="B17" s="2" t="s">
        <v>1716</v>
      </c>
      <c r="C17" s="2" t="s">
        <v>1717</v>
      </c>
      <c r="F17" t="s">
        <v>19</v>
      </c>
      <c r="G17" s="10" t="s">
        <v>25</v>
      </c>
      <c r="H17" s="10"/>
      <c r="I17" s="10">
        <v>1</v>
      </c>
      <c r="J17" s="10">
        <v>2</v>
      </c>
      <c r="K17" s="10" t="s">
        <v>2646</v>
      </c>
      <c r="L17" s="10" t="s">
        <v>2687</v>
      </c>
      <c r="M17" s="10"/>
      <c r="N17" s="11"/>
      <c r="O17" s="10"/>
      <c r="P17" s="10">
        <v>2475</v>
      </c>
      <c r="Q17" s="10">
        <v>1216.9338184678927</v>
      </c>
      <c r="R17" s="10"/>
      <c r="S17" s="10" t="s">
        <v>2834</v>
      </c>
      <c r="T17" s="10" t="s">
        <v>2834</v>
      </c>
      <c r="U17" s="10"/>
      <c r="V17" s="10"/>
      <c r="W17" s="10"/>
      <c r="X17" s="10"/>
      <c r="Y17" s="10"/>
      <c r="Z17" s="10"/>
      <c r="AA17" s="10"/>
      <c r="AB17" s="10"/>
      <c r="AC17" s="10"/>
      <c r="AD17" s="10"/>
    </row>
    <row r="18" spans="1:30" ht="43.5">
      <c r="A18" s="2" t="s">
        <v>448</v>
      </c>
      <c r="B18" s="2" t="s">
        <v>1737</v>
      </c>
      <c r="C18" s="2" t="s">
        <v>1738</v>
      </c>
      <c r="G18" s="10" t="s">
        <v>25</v>
      </c>
      <c r="H18" s="10"/>
      <c r="I18" s="10">
        <v>1</v>
      </c>
      <c r="J18" s="10">
        <v>3</v>
      </c>
      <c r="K18" s="10" t="s">
        <v>2646</v>
      </c>
      <c r="L18" s="10" t="s">
        <v>2647</v>
      </c>
      <c r="M18" s="10"/>
      <c r="N18" s="11"/>
      <c r="O18" s="10"/>
      <c r="P18" s="10">
        <v>2475</v>
      </c>
      <c r="Q18" s="10">
        <v>1216.9338184678927</v>
      </c>
      <c r="R18" s="10"/>
      <c r="S18" s="10" t="s">
        <v>2834</v>
      </c>
      <c r="T18" s="10" t="s">
        <v>2834</v>
      </c>
      <c r="U18" s="10"/>
      <c r="V18" s="10"/>
      <c r="W18" s="10"/>
      <c r="X18" s="10"/>
      <c r="Y18" s="10"/>
      <c r="Z18" s="10"/>
      <c r="AA18" s="10"/>
      <c r="AB18" s="10"/>
      <c r="AC18" s="10"/>
      <c r="AD18" s="10"/>
    </row>
    <row r="19" spans="1:30" ht="29">
      <c r="A19" s="2" t="s">
        <v>499</v>
      </c>
      <c r="B19" s="2" t="s">
        <v>1811</v>
      </c>
      <c r="C19" s="2" t="s">
        <v>1810</v>
      </c>
      <c r="G19" s="10" t="s">
        <v>25</v>
      </c>
      <c r="H19" s="10"/>
      <c r="I19" s="10">
        <v>1</v>
      </c>
      <c r="J19" s="10">
        <v>3</v>
      </c>
      <c r="K19" s="10" t="s">
        <v>2646</v>
      </c>
      <c r="L19" s="10" t="s">
        <v>2647</v>
      </c>
      <c r="M19" s="10"/>
      <c r="N19" s="11"/>
      <c r="O19" s="10"/>
      <c r="P19" s="10">
        <v>2475</v>
      </c>
      <c r="Q19" s="10">
        <v>1216.9338184678927</v>
      </c>
      <c r="R19" s="10"/>
      <c r="S19" s="10" t="s">
        <v>2834</v>
      </c>
      <c r="T19" s="10" t="s">
        <v>2834</v>
      </c>
      <c r="U19" s="10"/>
      <c r="V19" s="10"/>
      <c r="W19" s="10"/>
      <c r="X19" s="10"/>
      <c r="Y19" s="10"/>
      <c r="Z19" s="10"/>
      <c r="AA19" s="10"/>
      <c r="AB19" s="10"/>
      <c r="AC19" s="10"/>
      <c r="AD19" s="10"/>
    </row>
    <row r="20" spans="1:30" ht="43.5">
      <c r="A20" s="2" t="s">
        <v>512</v>
      </c>
      <c r="B20" s="2" t="s">
        <v>2730</v>
      </c>
      <c r="C20" s="2" t="s">
        <v>1830</v>
      </c>
      <c r="G20" s="10" t="s">
        <v>25</v>
      </c>
      <c r="H20" s="10"/>
      <c r="I20" s="10">
        <v>1</v>
      </c>
      <c r="J20" s="10">
        <v>2</v>
      </c>
      <c r="K20" s="10" t="s">
        <v>2646</v>
      </c>
      <c r="L20" s="10" t="s">
        <v>2687</v>
      </c>
      <c r="M20" s="10"/>
      <c r="N20" s="11"/>
      <c r="O20" s="10"/>
      <c r="P20" s="10">
        <v>2475</v>
      </c>
      <c r="Q20" s="10">
        <v>1216.9338184678927</v>
      </c>
      <c r="R20" s="10"/>
      <c r="S20" s="10" t="s">
        <v>2834</v>
      </c>
      <c r="T20" s="10" t="s">
        <v>2834</v>
      </c>
      <c r="U20" s="10"/>
      <c r="V20" s="10"/>
      <c r="W20" s="10"/>
      <c r="X20" s="10"/>
      <c r="Y20" s="10"/>
      <c r="Z20" s="10"/>
      <c r="AA20" s="10"/>
      <c r="AB20" s="10"/>
      <c r="AC20" s="10"/>
      <c r="AD20" s="10"/>
    </row>
    <row r="21" spans="1:30" ht="58">
      <c r="A21" s="2" t="s">
        <v>515</v>
      </c>
      <c r="B21" s="2" t="s">
        <v>1836</v>
      </c>
      <c r="C21" s="2" t="s">
        <v>1837</v>
      </c>
      <c r="F21" t="s">
        <v>19</v>
      </c>
      <c r="G21" s="10" t="s">
        <v>24</v>
      </c>
      <c r="H21" s="10"/>
      <c r="I21" s="10">
        <v>1</v>
      </c>
      <c r="J21" s="10">
        <v>2</v>
      </c>
      <c r="K21" s="10" t="s">
        <v>2646</v>
      </c>
      <c r="L21" s="10" t="s">
        <v>2687</v>
      </c>
      <c r="M21" s="10"/>
      <c r="N21" s="11"/>
      <c r="O21" s="10"/>
      <c r="P21" s="10">
        <v>2475</v>
      </c>
      <c r="Q21" s="10">
        <v>1216.9338184678927</v>
      </c>
      <c r="R21" s="10"/>
      <c r="S21" s="10" t="s">
        <v>2834</v>
      </c>
      <c r="T21" s="10" t="s">
        <v>2834</v>
      </c>
      <c r="U21" s="10"/>
      <c r="V21" s="10"/>
      <c r="W21" s="10"/>
      <c r="X21" s="10"/>
      <c r="Y21" s="10"/>
      <c r="Z21" s="10"/>
      <c r="AA21" s="10"/>
      <c r="AB21" s="10"/>
      <c r="AC21" s="10"/>
      <c r="AD21" s="10"/>
    </row>
    <row r="22" spans="1:30" ht="43.5">
      <c r="A22" s="2" t="s">
        <v>584</v>
      </c>
      <c r="B22" s="2" t="s">
        <v>1900</v>
      </c>
      <c r="C22" s="2" t="s">
        <v>1899</v>
      </c>
      <c r="F22" t="s">
        <v>19</v>
      </c>
      <c r="G22" s="10" t="s">
        <v>25</v>
      </c>
      <c r="H22" s="10"/>
      <c r="I22" s="10">
        <v>1</v>
      </c>
      <c r="J22" s="10">
        <v>3</v>
      </c>
      <c r="K22" s="10" t="s">
        <v>2646</v>
      </c>
      <c r="L22" s="10" t="s">
        <v>2647</v>
      </c>
      <c r="M22" s="10"/>
      <c r="N22" s="11"/>
      <c r="O22" s="10"/>
      <c r="P22" s="10">
        <v>2475</v>
      </c>
      <c r="Q22" s="10">
        <v>1216.9338184678927</v>
      </c>
      <c r="R22" s="10"/>
      <c r="S22" s="10" t="s">
        <v>2834</v>
      </c>
      <c r="T22" s="10" t="s">
        <v>2834</v>
      </c>
      <c r="U22" s="10"/>
      <c r="V22" s="10"/>
      <c r="W22" s="10"/>
      <c r="X22" s="10"/>
      <c r="Y22" s="10"/>
      <c r="Z22" s="10"/>
      <c r="AA22" s="10"/>
      <c r="AB22" s="10"/>
      <c r="AC22" s="10"/>
      <c r="AD22" s="10"/>
    </row>
    <row r="23" spans="1:30" ht="87">
      <c r="A23" s="2" t="s">
        <v>585</v>
      </c>
      <c r="B23" s="2" t="s">
        <v>1905</v>
      </c>
      <c r="C23" s="2" t="s">
        <v>1904</v>
      </c>
      <c r="F23" t="s">
        <v>19</v>
      </c>
      <c r="G23" s="10" t="s">
        <v>25</v>
      </c>
      <c r="H23" s="10"/>
      <c r="I23" s="10">
        <v>1</v>
      </c>
      <c r="J23" s="10">
        <v>3</v>
      </c>
      <c r="K23" s="10" t="s">
        <v>2662</v>
      </c>
      <c r="L23" s="10" t="s">
        <v>2647</v>
      </c>
      <c r="M23" s="10"/>
      <c r="N23" s="11"/>
      <c r="O23" s="10"/>
      <c r="P23" s="10">
        <v>743</v>
      </c>
      <c r="Q23" s="10">
        <v>365.32599075621988</v>
      </c>
      <c r="R23" s="10"/>
      <c r="S23" s="10" t="s">
        <v>2834</v>
      </c>
      <c r="T23" s="10" t="s">
        <v>2834</v>
      </c>
      <c r="U23" s="10"/>
      <c r="V23" s="10"/>
      <c r="W23" s="10"/>
      <c r="X23" s="10"/>
      <c r="Y23" s="10"/>
      <c r="Z23" s="10"/>
      <c r="AA23" s="10"/>
      <c r="AB23" s="10"/>
      <c r="AC23" s="10"/>
      <c r="AD23" s="10"/>
    </row>
    <row r="24" spans="1:30" ht="87">
      <c r="A24" s="2" t="s">
        <v>585</v>
      </c>
      <c r="B24" s="2" t="s">
        <v>1903</v>
      </c>
      <c r="C24" s="2" t="s">
        <v>1906</v>
      </c>
      <c r="F24" t="s">
        <v>19</v>
      </c>
      <c r="G24" s="10" t="s">
        <v>24</v>
      </c>
      <c r="H24" s="10"/>
      <c r="I24" s="10">
        <v>1</v>
      </c>
      <c r="J24" s="10">
        <v>3</v>
      </c>
      <c r="K24" s="10" t="s">
        <v>2664</v>
      </c>
      <c r="L24" s="10" t="s">
        <v>2647</v>
      </c>
      <c r="M24" s="10"/>
      <c r="N24" s="11"/>
      <c r="O24" s="10"/>
      <c r="P24" s="10">
        <v>112</v>
      </c>
      <c r="Q24" s="10">
        <v>55.069328350870293</v>
      </c>
      <c r="R24" s="10"/>
      <c r="S24" s="10" t="s">
        <v>2834</v>
      </c>
      <c r="T24" s="10" t="s">
        <v>2834</v>
      </c>
      <c r="U24" s="10"/>
      <c r="V24" s="10"/>
      <c r="W24" s="10"/>
      <c r="X24" s="10"/>
      <c r="Y24" s="10"/>
      <c r="Z24" s="10"/>
      <c r="AA24" s="10"/>
      <c r="AB24" s="10"/>
      <c r="AC24" s="10"/>
      <c r="AD24" s="10"/>
    </row>
    <row r="25" spans="1:30" ht="58">
      <c r="A25" s="2" t="s">
        <v>627</v>
      </c>
      <c r="B25" s="2" t="s">
        <v>1948</v>
      </c>
      <c r="C25" s="2" t="s">
        <v>1949</v>
      </c>
      <c r="D25" t="s">
        <v>12</v>
      </c>
      <c r="G25" s="10" t="s">
        <v>25</v>
      </c>
      <c r="H25" s="10"/>
      <c r="I25" s="10">
        <v>1</v>
      </c>
      <c r="J25" s="10">
        <v>1</v>
      </c>
      <c r="K25" s="10" t="s">
        <v>2655</v>
      </c>
      <c r="L25" s="10" t="s">
        <v>2687</v>
      </c>
      <c r="M25" s="10"/>
      <c r="N25" s="11"/>
      <c r="O25" s="10"/>
      <c r="P25" s="10">
        <v>1701</v>
      </c>
      <c r="Q25" s="10">
        <v>836.36542432884255</v>
      </c>
      <c r="R25" s="10"/>
      <c r="S25" s="10" t="s">
        <v>2834</v>
      </c>
      <c r="T25" s="10" t="s">
        <v>2834</v>
      </c>
      <c r="U25" s="10"/>
      <c r="V25" s="10"/>
      <c r="W25" s="10"/>
      <c r="X25" s="10"/>
      <c r="Y25" s="10"/>
      <c r="Z25" s="10"/>
      <c r="AA25" s="10"/>
      <c r="AB25" s="10"/>
      <c r="AC25" s="10"/>
      <c r="AD25" s="10"/>
    </row>
    <row r="26" spans="1:30" ht="43.5">
      <c r="A26" s="2" t="s">
        <v>628</v>
      </c>
      <c r="B26" s="2" t="s">
        <v>1953</v>
      </c>
      <c r="C26" s="2" t="s">
        <v>1952</v>
      </c>
      <c r="G26" s="10" t="s">
        <v>25</v>
      </c>
      <c r="H26" s="10"/>
      <c r="I26" s="10">
        <v>1</v>
      </c>
      <c r="J26" s="10">
        <v>2</v>
      </c>
      <c r="K26" s="10" t="s">
        <v>2646</v>
      </c>
      <c r="L26" s="10" t="s">
        <v>2687</v>
      </c>
      <c r="M26" s="10"/>
      <c r="N26" s="11"/>
      <c r="O26" s="10"/>
      <c r="P26" s="10">
        <v>2475</v>
      </c>
      <c r="Q26" s="10">
        <v>1216.9338184678927</v>
      </c>
      <c r="R26" s="10"/>
      <c r="S26" s="10" t="s">
        <v>2834</v>
      </c>
      <c r="T26" s="10" t="s">
        <v>2834</v>
      </c>
      <c r="U26" s="10"/>
      <c r="V26" s="10"/>
      <c r="W26" s="10"/>
      <c r="X26" s="10"/>
      <c r="Y26" s="10"/>
      <c r="Z26" s="10"/>
      <c r="AA26" s="10"/>
      <c r="AB26" s="10"/>
      <c r="AC26" s="10"/>
      <c r="AD26" s="10"/>
    </row>
    <row r="27" spans="1:30" ht="43.5">
      <c r="A27" s="2" t="s">
        <v>642</v>
      </c>
      <c r="B27" s="2" t="s">
        <v>1962</v>
      </c>
      <c r="C27" s="2" t="s">
        <v>1961</v>
      </c>
      <c r="G27" s="10" t="s">
        <v>24</v>
      </c>
      <c r="H27" s="10"/>
      <c r="I27" s="10">
        <v>1</v>
      </c>
      <c r="J27" s="10">
        <v>3</v>
      </c>
      <c r="K27" s="10" t="s">
        <v>2655</v>
      </c>
      <c r="L27" s="10" t="s">
        <v>2687</v>
      </c>
      <c r="M27" s="10"/>
      <c r="N27" s="11"/>
      <c r="O27" s="10"/>
      <c r="P27" s="10">
        <v>1701</v>
      </c>
      <c r="Q27" s="10">
        <v>836.36542432884255</v>
      </c>
      <c r="R27" s="10"/>
      <c r="S27" s="10" t="s">
        <v>2834</v>
      </c>
      <c r="T27" s="10" t="s">
        <v>2834</v>
      </c>
      <c r="U27" s="10"/>
      <c r="V27" s="10"/>
      <c r="W27" s="10"/>
      <c r="X27" s="10"/>
      <c r="Y27" s="10"/>
      <c r="Z27" s="10"/>
      <c r="AA27" s="10"/>
      <c r="AB27" s="10"/>
      <c r="AC27" s="10"/>
      <c r="AD27" s="10"/>
    </row>
    <row r="28" spans="1:30" ht="29">
      <c r="A28" s="2" t="s">
        <v>681</v>
      </c>
      <c r="B28" s="2" t="s">
        <v>1990</v>
      </c>
      <c r="C28" s="2" t="s">
        <v>1991</v>
      </c>
      <c r="F28" t="s">
        <v>19</v>
      </c>
      <c r="G28" s="10" t="s">
        <v>24</v>
      </c>
      <c r="H28" s="10"/>
      <c r="I28" s="10">
        <v>1</v>
      </c>
      <c r="J28" s="10">
        <v>4</v>
      </c>
      <c r="K28" s="10" t="s">
        <v>2655</v>
      </c>
      <c r="L28" s="10" t="s">
        <v>2647</v>
      </c>
      <c r="M28" s="10"/>
      <c r="N28" s="11"/>
      <c r="O28" s="10"/>
      <c r="P28" s="10">
        <v>1</v>
      </c>
      <c r="Q28" s="10">
        <v>0.49169043170419907</v>
      </c>
      <c r="R28" s="10"/>
      <c r="S28" s="10" t="s">
        <v>2834</v>
      </c>
      <c r="T28" s="10" t="s">
        <v>2834</v>
      </c>
      <c r="U28" s="10"/>
      <c r="V28" s="10"/>
      <c r="W28" s="10"/>
      <c r="X28" s="10"/>
      <c r="Y28" s="10"/>
      <c r="Z28" s="10"/>
      <c r="AA28" s="10"/>
      <c r="AB28" s="10"/>
      <c r="AC28" s="10"/>
      <c r="AD28" s="10"/>
    </row>
    <row r="29" spans="1:30" ht="43.5">
      <c r="A29" s="2" t="s">
        <v>682</v>
      </c>
      <c r="B29" s="2" t="s">
        <v>1994</v>
      </c>
      <c r="C29" s="2" t="s">
        <v>1992</v>
      </c>
      <c r="G29" s="10" t="s">
        <v>25</v>
      </c>
      <c r="H29" s="10"/>
      <c r="I29" s="10">
        <v>1</v>
      </c>
      <c r="J29" s="10">
        <v>3</v>
      </c>
      <c r="K29" s="10" t="s">
        <v>2655</v>
      </c>
      <c r="L29" s="10" t="s">
        <v>2647</v>
      </c>
      <c r="M29" s="10"/>
      <c r="N29" s="11"/>
      <c r="O29" s="10"/>
      <c r="P29" s="10">
        <v>1701</v>
      </c>
      <c r="Q29" s="10">
        <v>836.36542432884255</v>
      </c>
      <c r="R29" s="10"/>
      <c r="S29" s="10" t="s">
        <v>2834</v>
      </c>
      <c r="T29" s="10" t="s">
        <v>2834</v>
      </c>
      <c r="U29" s="10"/>
      <c r="V29" s="10"/>
      <c r="W29" s="10"/>
      <c r="X29" s="10"/>
      <c r="Y29" s="10"/>
      <c r="Z29" s="10"/>
      <c r="AA29" s="10"/>
      <c r="AB29" s="10"/>
      <c r="AC29" s="10"/>
      <c r="AD29" s="10"/>
    </row>
    <row r="30" spans="1:30" ht="43.5">
      <c r="A30" s="2" t="s">
        <v>682</v>
      </c>
      <c r="B30" s="2" t="s">
        <v>1993</v>
      </c>
      <c r="C30" s="2" t="s">
        <v>1995</v>
      </c>
      <c r="G30" s="10" t="s">
        <v>24</v>
      </c>
      <c r="H30" s="10"/>
      <c r="I30" s="10">
        <v>1</v>
      </c>
      <c r="J30" s="10">
        <v>2</v>
      </c>
      <c r="K30" s="10" t="s">
        <v>2646</v>
      </c>
      <c r="L30" s="10" t="s">
        <v>2687</v>
      </c>
      <c r="M30" s="10"/>
      <c r="N30" s="11"/>
      <c r="O30" s="10"/>
      <c r="P30" s="10">
        <v>2475</v>
      </c>
      <c r="Q30" s="10">
        <v>1216.9338184678927</v>
      </c>
      <c r="R30" s="10"/>
      <c r="S30" s="10" t="s">
        <v>2834</v>
      </c>
      <c r="T30" s="10" t="s">
        <v>2834</v>
      </c>
      <c r="U30" s="10"/>
      <c r="V30" s="10"/>
      <c r="W30" s="10"/>
      <c r="X30" s="10"/>
      <c r="Y30" s="10"/>
      <c r="Z30" s="10"/>
      <c r="AA30" s="10"/>
      <c r="AB30" s="10"/>
      <c r="AC30" s="10"/>
      <c r="AD30" s="10"/>
    </row>
    <row r="31" spans="1:30" ht="43.5">
      <c r="A31" s="2" t="s">
        <v>693</v>
      </c>
      <c r="B31" s="2" t="s">
        <v>2002</v>
      </c>
      <c r="C31" s="2" t="s">
        <v>2001</v>
      </c>
      <c r="G31" s="10" t="s">
        <v>24</v>
      </c>
      <c r="H31" s="10"/>
      <c r="I31" s="10">
        <v>1</v>
      </c>
      <c r="J31" s="10">
        <v>3</v>
      </c>
      <c r="K31" s="10" t="s">
        <v>2646</v>
      </c>
      <c r="L31" s="10" t="s">
        <v>2647</v>
      </c>
      <c r="M31" s="10"/>
      <c r="N31" s="11"/>
      <c r="O31" s="10"/>
      <c r="P31" s="10">
        <v>2475</v>
      </c>
      <c r="Q31" s="10">
        <v>1216.9338184678927</v>
      </c>
      <c r="R31" s="10"/>
      <c r="S31" s="10" t="s">
        <v>2834</v>
      </c>
      <c r="T31" s="10" t="s">
        <v>2834</v>
      </c>
      <c r="U31" s="10"/>
      <c r="V31" s="10"/>
      <c r="W31" s="10"/>
      <c r="X31" s="10"/>
      <c r="Y31" s="10"/>
      <c r="Z31" s="10"/>
      <c r="AA31" s="10"/>
      <c r="AB31" s="10"/>
      <c r="AC31" s="10"/>
      <c r="AD31" s="10"/>
    </row>
    <row r="32" spans="1:30" ht="43.5">
      <c r="A32" s="2" t="s">
        <v>725</v>
      </c>
      <c r="B32" s="2" t="s">
        <v>2028</v>
      </c>
      <c r="C32" s="2" t="s">
        <v>2027</v>
      </c>
      <c r="F32" t="s">
        <v>19</v>
      </c>
      <c r="G32" s="10" t="s">
        <v>24</v>
      </c>
      <c r="H32" s="10"/>
      <c r="I32" s="10">
        <v>1</v>
      </c>
      <c r="J32" s="10">
        <v>3</v>
      </c>
      <c r="K32" s="10" t="s">
        <v>2655</v>
      </c>
      <c r="L32" s="10" t="s">
        <v>2647</v>
      </c>
      <c r="M32" s="10"/>
      <c r="N32" s="11"/>
      <c r="O32" s="10"/>
      <c r="P32" s="10">
        <v>1701</v>
      </c>
      <c r="Q32" s="10">
        <v>836.36542432884255</v>
      </c>
      <c r="R32" s="10"/>
      <c r="S32" s="10" t="s">
        <v>2834</v>
      </c>
      <c r="T32" s="10" t="s">
        <v>2834</v>
      </c>
      <c r="U32" s="10"/>
      <c r="V32" s="10"/>
      <c r="W32" s="10"/>
      <c r="X32" s="10"/>
      <c r="Y32" s="10"/>
      <c r="Z32" s="10"/>
      <c r="AA32" s="10"/>
      <c r="AB32" s="10"/>
      <c r="AC32" s="10"/>
      <c r="AD32" s="10"/>
    </row>
    <row r="33" spans="1:30" ht="29">
      <c r="A33" s="2" t="s">
        <v>732</v>
      </c>
      <c r="B33" s="2" t="s">
        <v>2037</v>
      </c>
      <c r="C33" s="2" t="s">
        <v>2038</v>
      </c>
      <c r="F33" t="s">
        <v>19</v>
      </c>
      <c r="G33" s="10" t="s">
        <v>25</v>
      </c>
      <c r="H33" s="10"/>
      <c r="I33" s="10">
        <v>1</v>
      </c>
      <c r="J33" s="10">
        <v>3</v>
      </c>
      <c r="K33" s="10" t="s">
        <v>2655</v>
      </c>
      <c r="L33" s="10" t="s">
        <v>2647</v>
      </c>
      <c r="M33" s="10"/>
      <c r="N33" s="11"/>
      <c r="O33" s="10"/>
      <c r="P33" s="10">
        <v>1701</v>
      </c>
      <c r="Q33" s="10">
        <v>836.36542432884255</v>
      </c>
      <c r="R33" s="10"/>
      <c r="S33" s="10" t="s">
        <v>2834</v>
      </c>
      <c r="T33" s="10" t="s">
        <v>2834</v>
      </c>
      <c r="U33" s="10"/>
      <c r="V33" s="10"/>
      <c r="W33" s="10"/>
      <c r="X33" s="10"/>
      <c r="Y33" s="10"/>
      <c r="Z33" s="10"/>
      <c r="AA33" s="10"/>
      <c r="AB33" s="10"/>
      <c r="AC33" s="10"/>
      <c r="AD33" s="10"/>
    </row>
    <row r="34" spans="1:30" ht="29">
      <c r="A34" s="2" t="s">
        <v>773</v>
      </c>
      <c r="B34" s="13" t="s">
        <v>2074</v>
      </c>
      <c r="C34" t="s">
        <v>2075</v>
      </c>
      <c r="F34" t="s">
        <v>19</v>
      </c>
      <c r="G34" s="10" t="s">
        <v>24</v>
      </c>
      <c r="H34" s="10"/>
      <c r="I34" s="10">
        <v>1</v>
      </c>
      <c r="J34" s="10">
        <v>1</v>
      </c>
      <c r="K34" s="10" t="s">
        <v>2646</v>
      </c>
      <c r="L34" s="10" t="s">
        <v>2687</v>
      </c>
      <c r="M34" s="10"/>
      <c r="N34" s="11"/>
      <c r="O34" s="10"/>
      <c r="P34" s="10">
        <v>2475</v>
      </c>
      <c r="Q34" s="10">
        <v>1216.9338184678927</v>
      </c>
      <c r="R34" s="10"/>
      <c r="S34" s="10" t="s">
        <v>2834</v>
      </c>
      <c r="T34" s="10" t="s">
        <v>2834</v>
      </c>
      <c r="U34" s="10"/>
      <c r="V34" s="10"/>
      <c r="W34" s="10"/>
      <c r="X34" s="10"/>
      <c r="Y34" s="10"/>
      <c r="Z34" s="10"/>
      <c r="AA34" s="10"/>
      <c r="AB34" s="10"/>
      <c r="AC34" s="10"/>
      <c r="AD34" s="10"/>
    </row>
    <row r="35" spans="1:30" ht="29">
      <c r="A35" s="2" t="s">
        <v>780</v>
      </c>
      <c r="B35" s="13" t="s">
        <v>2078</v>
      </c>
      <c r="C35" t="s">
        <v>2079</v>
      </c>
      <c r="F35" t="s">
        <v>19</v>
      </c>
      <c r="G35" s="10" t="s">
        <v>25</v>
      </c>
      <c r="H35" s="10"/>
      <c r="I35" s="10">
        <v>1</v>
      </c>
      <c r="J35" s="10">
        <v>3</v>
      </c>
      <c r="K35" s="10" t="s">
        <v>2646</v>
      </c>
      <c r="L35" s="10" t="s">
        <v>2687</v>
      </c>
      <c r="M35" s="10"/>
      <c r="N35" s="11"/>
      <c r="O35" s="10"/>
      <c r="P35" s="10">
        <v>2475</v>
      </c>
      <c r="Q35" s="10">
        <v>1216.9338184678927</v>
      </c>
      <c r="R35" s="10"/>
      <c r="S35" s="10" t="s">
        <v>2834</v>
      </c>
      <c r="T35" s="10" t="s">
        <v>2834</v>
      </c>
      <c r="U35" s="10" t="s">
        <v>4</v>
      </c>
      <c r="V35" s="10"/>
      <c r="W35" s="10"/>
      <c r="X35" s="10"/>
      <c r="Y35" s="10"/>
      <c r="Z35" s="10"/>
      <c r="AA35" s="10"/>
      <c r="AB35" s="10"/>
      <c r="AC35" s="10"/>
      <c r="AD35" s="10"/>
    </row>
    <row r="36" spans="1:30" ht="58">
      <c r="A36" s="2" t="s">
        <v>789</v>
      </c>
      <c r="B36" s="2" t="s">
        <v>2098</v>
      </c>
      <c r="C36" s="2" t="s">
        <v>2099</v>
      </c>
      <c r="F36" t="s">
        <v>19</v>
      </c>
      <c r="G36" s="10" t="s">
        <v>25</v>
      </c>
      <c r="H36" s="10"/>
      <c r="I36" s="10">
        <v>1</v>
      </c>
      <c r="J36" s="10">
        <v>3</v>
      </c>
      <c r="K36" s="10" t="s">
        <v>2655</v>
      </c>
      <c r="L36" s="10" t="s">
        <v>2647</v>
      </c>
      <c r="M36" s="10"/>
      <c r="N36" s="11"/>
      <c r="O36" s="10"/>
      <c r="P36" s="10">
        <v>1701</v>
      </c>
      <c r="Q36" s="10">
        <v>836.36542432884255</v>
      </c>
      <c r="R36" s="10"/>
      <c r="S36" s="10" t="s">
        <v>2834</v>
      </c>
      <c r="T36" s="10" t="s">
        <v>2834</v>
      </c>
      <c r="U36" s="10"/>
      <c r="V36" s="10"/>
      <c r="W36" s="10"/>
      <c r="X36" s="10"/>
      <c r="Y36" s="10"/>
      <c r="Z36" s="10"/>
      <c r="AA36" s="10"/>
      <c r="AB36" s="10"/>
      <c r="AC36" s="10"/>
      <c r="AD36" s="10"/>
    </row>
    <row r="37" spans="1:30" ht="43.5">
      <c r="A37" s="2" t="s">
        <v>806</v>
      </c>
      <c r="B37" s="2" t="s">
        <v>2110</v>
      </c>
      <c r="C37" s="2" t="s">
        <v>2111</v>
      </c>
      <c r="F37" t="s">
        <v>19</v>
      </c>
      <c r="G37" s="10" t="s">
        <v>24</v>
      </c>
      <c r="H37" s="10"/>
      <c r="I37" s="10">
        <v>1</v>
      </c>
      <c r="J37" s="10">
        <v>3</v>
      </c>
      <c r="K37" s="10" t="s">
        <v>2655</v>
      </c>
      <c r="L37" s="10" t="s">
        <v>2647</v>
      </c>
      <c r="M37" s="10"/>
      <c r="N37" s="11"/>
      <c r="O37" s="10"/>
      <c r="P37" s="10">
        <v>1701</v>
      </c>
      <c r="Q37" s="10">
        <v>836.36542432884255</v>
      </c>
      <c r="R37" s="10"/>
      <c r="S37" s="10" t="s">
        <v>2834</v>
      </c>
      <c r="T37" s="10" t="s">
        <v>2834</v>
      </c>
      <c r="U37" s="10"/>
      <c r="V37" s="10"/>
      <c r="W37" s="10"/>
      <c r="X37" s="10"/>
      <c r="Y37" s="10"/>
      <c r="Z37" s="10"/>
      <c r="AA37" s="10"/>
      <c r="AB37" s="10"/>
      <c r="AC37" s="10"/>
      <c r="AD37" s="10"/>
    </row>
    <row r="38" spans="1:30" ht="29">
      <c r="A38" s="2" t="s">
        <v>822</v>
      </c>
      <c r="B38" s="2" t="s">
        <v>2131</v>
      </c>
      <c r="C38" s="2" t="s">
        <v>2132</v>
      </c>
      <c r="F38" t="s">
        <v>19</v>
      </c>
      <c r="G38" s="10" t="s">
        <v>25</v>
      </c>
      <c r="H38" s="10"/>
      <c r="I38" s="10">
        <v>1</v>
      </c>
      <c r="J38" s="10">
        <v>2</v>
      </c>
      <c r="K38" s="10" t="s">
        <v>2662</v>
      </c>
      <c r="L38" s="10" t="s">
        <v>2687</v>
      </c>
      <c r="M38" s="10"/>
      <c r="N38" s="11"/>
      <c r="O38" s="10"/>
      <c r="P38" s="10">
        <v>743</v>
      </c>
      <c r="Q38" s="10">
        <v>365.32599075621988</v>
      </c>
      <c r="R38" s="10"/>
      <c r="S38" s="10" t="s">
        <v>2834</v>
      </c>
      <c r="T38" s="10" t="s">
        <v>2834</v>
      </c>
      <c r="U38" s="10"/>
      <c r="V38" s="10"/>
      <c r="W38" s="10"/>
      <c r="X38" s="10"/>
      <c r="Y38" s="10"/>
      <c r="Z38" s="10"/>
      <c r="AA38" s="10"/>
      <c r="AB38" s="10"/>
      <c r="AC38" s="10"/>
      <c r="AD38" s="10"/>
    </row>
    <row r="39" spans="1:30" ht="43.5">
      <c r="A39" s="2" t="s">
        <v>827</v>
      </c>
      <c r="B39" s="2" t="s">
        <v>2144</v>
      </c>
      <c r="C39" s="2" t="s">
        <v>2143</v>
      </c>
      <c r="G39" s="10" t="s">
        <v>24</v>
      </c>
      <c r="H39" s="10"/>
      <c r="I39" s="10">
        <v>1</v>
      </c>
      <c r="J39" s="10">
        <v>2</v>
      </c>
      <c r="K39" s="10" t="s">
        <v>2664</v>
      </c>
      <c r="L39" s="10" t="s">
        <v>2687</v>
      </c>
      <c r="M39" s="10"/>
      <c r="N39" s="11"/>
      <c r="O39" s="10"/>
      <c r="P39" s="10">
        <v>613</v>
      </c>
      <c r="Q39" s="10">
        <v>301.40623463467404</v>
      </c>
      <c r="R39" s="10"/>
      <c r="S39" s="10" t="s">
        <v>2834</v>
      </c>
      <c r="T39" s="10" t="s">
        <v>2834</v>
      </c>
      <c r="U39" s="10"/>
      <c r="V39" s="10"/>
      <c r="W39" s="10"/>
      <c r="X39" s="10"/>
      <c r="Y39" s="10"/>
      <c r="Z39" s="10"/>
      <c r="AA39" s="10"/>
      <c r="AB39" s="10"/>
      <c r="AC39" s="10"/>
      <c r="AD39" s="10"/>
    </row>
    <row r="40" spans="1:30" ht="43.5">
      <c r="A40" s="2" t="s">
        <v>827</v>
      </c>
      <c r="B40" s="2" t="s">
        <v>2146</v>
      </c>
      <c r="C40" s="2" t="s">
        <v>2145</v>
      </c>
      <c r="G40" s="10" t="s">
        <v>24</v>
      </c>
      <c r="H40" s="10"/>
      <c r="I40" s="10">
        <v>1</v>
      </c>
      <c r="J40" s="10">
        <v>1</v>
      </c>
      <c r="K40" s="10" t="s">
        <v>2655</v>
      </c>
      <c r="L40" s="10" t="s">
        <v>2687</v>
      </c>
      <c r="M40" s="10"/>
      <c r="N40" s="11"/>
      <c r="O40" s="10"/>
      <c r="P40" s="10">
        <v>171</v>
      </c>
      <c r="Q40" s="10">
        <v>84.079063821418046</v>
      </c>
      <c r="R40" s="10"/>
      <c r="S40" s="10" t="s">
        <v>2834</v>
      </c>
      <c r="T40" s="10" t="s">
        <v>2834</v>
      </c>
      <c r="U40" s="10"/>
      <c r="V40" s="10"/>
      <c r="W40" s="10"/>
      <c r="X40" s="10"/>
      <c r="Y40" s="10"/>
      <c r="Z40" s="10"/>
      <c r="AA40" s="10"/>
      <c r="AB40" s="10"/>
      <c r="AC40" s="10"/>
      <c r="AD40" s="10"/>
    </row>
    <row r="41" spans="1:30" ht="58">
      <c r="A41" s="2" t="s">
        <v>832</v>
      </c>
      <c r="B41" s="2" t="s">
        <v>2155</v>
      </c>
      <c r="C41" s="2" t="s">
        <v>2154</v>
      </c>
      <c r="G41" s="10" t="s">
        <v>25</v>
      </c>
      <c r="H41" s="10"/>
      <c r="I41" s="10">
        <v>1</v>
      </c>
      <c r="J41" s="10">
        <v>3</v>
      </c>
      <c r="K41" s="10" t="s">
        <v>2646</v>
      </c>
      <c r="L41" s="10" t="s">
        <v>2647</v>
      </c>
      <c r="M41" s="10"/>
      <c r="N41" s="11"/>
      <c r="O41" s="10"/>
      <c r="P41" s="10">
        <v>2475</v>
      </c>
      <c r="Q41" s="10">
        <v>1216.9338184678927</v>
      </c>
      <c r="R41" s="10"/>
      <c r="S41" s="10" t="s">
        <v>2834</v>
      </c>
      <c r="T41" s="10" t="s">
        <v>2834</v>
      </c>
      <c r="U41" s="10"/>
      <c r="V41" s="10"/>
      <c r="W41" s="10"/>
      <c r="X41" s="10"/>
      <c r="Y41" s="10"/>
      <c r="Z41" s="10"/>
      <c r="AA41" s="10"/>
      <c r="AB41" s="10"/>
      <c r="AC41" s="10"/>
      <c r="AD41" s="10"/>
    </row>
    <row r="42" spans="1:30" ht="58">
      <c r="A42" s="2" t="s">
        <v>840</v>
      </c>
      <c r="B42" s="13" t="s">
        <v>2919</v>
      </c>
      <c r="C42" t="s">
        <v>2922</v>
      </c>
      <c r="F42" t="s">
        <v>19</v>
      </c>
      <c r="G42" s="10" t="s">
        <v>24</v>
      </c>
      <c r="H42" s="10"/>
      <c r="I42" s="10">
        <v>1</v>
      </c>
      <c r="J42" s="10">
        <v>1</v>
      </c>
      <c r="K42" s="10" t="s">
        <v>2691</v>
      </c>
      <c r="L42" s="10" t="s">
        <v>2687</v>
      </c>
      <c r="M42" s="10"/>
      <c r="N42" s="11"/>
      <c r="O42" s="10"/>
      <c r="P42" s="10">
        <v>0</v>
      </c>
      <c r="Q42" s="10">
        <v>0</v>
      </c>
      <c r="R42" s="10"/>
      <c r="S42" s="10" t="s">
        <v>2834</v>
      </c>
      <c r="T42" s="10" t="s">
        <v>2834</v>
      </c>
      <c r="U42" s="10"/>
      <c r="V42" s="10"/>
      <c r="W42" s="10"/>
      <c r="X42" s="10"/>
      <c r="Y42" s="10"/>
      <c r="Z42" s="10"/>
      <c r="AA42" s="10"/>
      <c r="AB42" s="10"/>
      <c r="AC42" s="10"/>
      <c r="AD42" s="10"/>
    </row>
    <row r="43" spans="1:30" ht="29">
      <c r="A43" s="2" t="s">
        <v>856</v>
      </c>
      <c r="B43" s="2" t="s">
        <v>2173</v>
      </c>
      <c r="C43" s="2" t="s">
        <v>2174</v>
      </c>
      <c r="G43" s="10" t="s">
        <v>25</v>
      </c>
      <c r="H43" s="10"/>
      <c r="I43" s="10">
        <v>1</v>
      </c>
      <c r="J43" s="10">
        <v>1</v>
      </c>
      <c r="K43" s="10" t="s">
        <v>2646</v>
      </c>
      <c r="L43" s="10" t="s">
        <v>2687</v>
      </c>
      <c r="M43" s="10"/>
      <c r="N43" s="11"/>
      <c r="O43" s="10"/>
      <c r="P43" s="10">
        <v>2475</v>
      </c>
      <c r="Q43" s="10">
        <v>1216.9338184678927</v>
      </c>
      <c r="R43" s="10"/>
      <c r="S43" s="10" t="s">
        <v>2834</v>
      </c>
      <c r="T43" s="10" t="s">
        <v>2834</v>
      </c>
      <c r="U43" s="10"/>
      <c r="V43" s="10"/>
      <c r="W43" s="10"/>
      <c r="X43" s="10"/>
      <c r="Y43" s="10"/>
      <c r="Z43" s="10"/>
      <c r="AA43" s="10"/>
      <c r="AB43" s="10"/>
      <c r="AC43" s="10"/>
      <c r="AD43" s="10"/>
    </row>
    <row r="44" spans="1:30" ht="43.5">
      <c r="A44" s="2" t="s">
        <v>868</v>
      </c>
      <c r="B44" s="2" t="s">
        <v>2180</v>
      </c>
      <c r="C44" s="2" t="s">
        <v>2179</v>
      </c>
      <c r="F44" t="s">
        <v>19</v>
      </c>
      <c r="G44" s="10" t="s">
        <v>25</v>
      </c>
      <c r="H44" s="10"/>
      <c r="I44" s="10">
        <v>1</v>
      </c>
      <c r="J44" s="10">
        <v>3</v>
      </c>
      <c r="K44" s="10" t="s">
        <v>2655</v>
      </c>
      <c r="L44" s="10" t="s">
        <v>2647</v>
      </c>
      <c r="M44" s="10"/>
      <c r="N44" s="11"/>
      <c r="O44" s="10"/>
      <c r="P44" s="10">
        <v>1701</v>
      </c>
      <c r="Q44" s="10">
        <v>836.36542432884255</v>
      </c>
      <c r="R44" s="10"/>
      <c r="S44" s="10" t="s">
        <v>2834</v>
      </c>
      <c r="T44" s="10" t="s">
        <v>2834</v>
      </c>
      <c r="U44" s="10"/>
      <c r="V44" s="10"/>
      <c r="W44" s="10"/>
      <c r="X44" s="10"/>
      <c r="Y44" s="10"/>
      <c r="Z44" s="10"/>
      <c r="AA44" s="10"/>
      <c r="AB44" s="10"/>
      <c r="AC44" s="10"/>
      <c r="AD44" s="10"/>
    </row>
    <row r="45" spans="1:30" ht="72.5">
      <c r="A45" s="2" t="s">
        <v>904</v>
      </c>
      <c r="B45" s="2" t="s">
        <v>2758</v>
      </c>
      <c r="C45" s="2" t="s">
        <v>2231</v>
      </c>
      <c r="G45" s="10" t="s">
        <v>25</v>
      </c>
      <c r="H45" s="10"/>
      <c r="I45" s="10">
        <v>1</v>
      </c>
      <c r="J45" s="10">
        <v>3</v>
      </c>
      <c r="K45" s="10" t="s">
        <v>2655</v>
      </c>
      <c r="L45" s="10" t="s">
        <v>2641</v>
      </c>
      <c r="M45" s="10" t="s">
        <v>2761</v>
      </c>
      <c r="N45" s="11" t="s">
        <v>2705</v>
      </c>
      <c r="O45" s="10"/>
      <c r="P45" s="10">
        <v>1701</v>
      </c>
      <c r="Q45" s="10">
        <v>836.36542432884255</v>
      </c>
      <c r="R45" s="10"/>
      <c r="S45" s="10" t="s">
        <v>2834</v>
      </c>
      <c r="T45" s="10" t="s">
        <v>2834</v>
      </c>
      <c r="U45" s="10"/>
      <c r="V45" s="10"/>
      <c r="W45" s="10"/>
      <c r="X45" s="10"/>
      <c r="Y45" s="10"/>
      <c r="Z45" s="10"/>
      <c r="AA45" s="10"/>
      <c r="AB45" s="10"/>
      <c r="AC45" s="10"/>
      <c r="AD45" s="10"/>
    </row>
    <row r="46" spans="1:30" ht="43.5">
      <c r="A46" s="2" t="s">
        <v>914</v>
      </c>
      <c r="B46" s="2" t="s">
        <v>2239</v>
      </c>
      <c r="C46" s="2" t="s">
        <v>2240</v>
      </c>
      <c r="G46" s="10" t="s">
        <v>24</v>
      </c>
      <c r="H46" s="10"/>
      <c r="I46" s="10">
        <v>1</v>
      </c>
      <c r="J46" s="10">
        <v>3</v>
      </c>
      <c r="K46" s="10" t="s">
        <v>2655</v>
      </c>
      <c r="L46" s="10" t="s">
        <v>2647</v>
      </c>
      <c r="M46" s="10"/>
      <c r="N46" s="11"/>
      <c r="O46" s="10"/>
      <c r="P46" s="10">
        <v>1701</v>
      </c>
      <c r="Q46" s="10">
        <v>836.36542432884255</v>
      </c>
      <c r="R46" s="10"/>
      <c r="S46" s="10" t="s">
        <v>2834</v>
      </c>
      <c r="T46" s="10" t="s">
        <v>2834</v>
      </c>
      <c r="U46" s="10"/>
      <c r="V46" s="10"/>
      <c r="W46" s="10"/>
      <c r="X46" s="10"/>
      <c r="Y46" s="10"/>
      <c r="Z46" s="10"/>
      <c r="AA46" s="10"/>
      <c r="AB46" s="10"/>
      <c r="AC46" s="10"/>
      <c r="AD46" s="10"/>
    </row>
    <row r="47" spans="1:30" ht="58">
      <c r="A47" s="2" t="s">
        <v>930</v>
      </c>
      <c r="B47" s="2" t="s">
        <v>2264</v>
      </c>
      <c r="C47" s="2" t="s">
        <v>2265</v>
      </c>
      <c r="F47" t="s">
        <v>19</v>
      </c>
      <c r="G47" s="10" t="s">
        <v>25</v>
      </c>
      <c r="H47" s="10"/>
      <c r="I47" s="10">
        <v>1</v>
      </c>
      <c r="J47" s="10">
        <v>2</v>
      </c>
      <c r="K47" s="10" t="s">
        <v>2646</v>
      </c>
      <c r="L47" s="10" t="s">
        <v>2687</v>
      </c>
      <c r="M47" s="10"/>
      <c r="N47" s="11"/>
      <c r="O47" s="10"/>
      <c r="P47" s="10">
        <v>2475</v>
      </c>
      <c r="Q47" s="10">
        <v>1216.9338184678927</v>
      </c>
      <c r="R47" s="10"/>
      <c r="S47" s="10" t="s">
        <v>2834</v>
      </c>
      <c r="T47" s="10" t="s">
        <v>2834</v>
      </c>
      <c r="U47" s="10"/>
      <c r="V47" s="10"/>
      <c r="W47" s="10"/>
      <c r="X47" s="10"/>
      <c r="Y47" s="10"/>
      <c r="Z47" s="10"/>
      <c r="AA47" s="10"/>
      <c r="AB47" s="10"/>
      <c r="AC47" s="10"/>
      <c r="AD47" s="10"/>
    </row>
    <row r="48" spans="1:30" ht="58">
      <c r="A48" s="2" t="s">
        <v>988</v>
      </c>
      <c r="B48" s="2" t="s">
        <v>2335</v>
      </c>
      <c r="C48" s="2" t="s">
        <v>2336</v>
      </c>
      <c r="F48" t="s">
        <v>19</v>
      </c>
      <c r="G48" s="10" t="s">
        <v>25</v>
      </c>
      <c r="H48" s="10"/>
      <c r="I48" s="10">
        <v>1</v>
      </c>
      <c r="J48" s="10">
        <v>3</v>
      </c>
      <c r="K48" s="10" t="s">
        <v>2646</v>
      </c>
      <c r="L48" s="10" t="s">
        <v>2647</v>
      </c>
      <c r="M48" s="10"/>
      <c r="N48" s="11"/>
      <c r="O48" s="10"/>
      <c r="P48" s="10">
        <v>2475</v>
      </c>
      <c r="Q48" s="10">
        <v>1216.9338184678927</v>
      </c>
      <c r="R48" s="10"/>
      <c r="S48" s="10" t="s">
        <v>2834</v>
      </c>
      <c r="T48" s="10" t="s">
        <v>2834</v>
      </c>
      <c r="U48" s="10"/>
      <c r="V48" s="10"/>
      <c r="W48" s="10"/>
      <c r="X48" s="10"/>
      <c r="Y48" s="10"/>
      <c r="Z48" s="10"/>
      <c r="AA48" s="10"/>
      <c r="AB48" s="10"/>
      <c r="AC48" s="10"/>
      <c r="AD48" s="10"/>
    </row>
    <row r="49" spans="1:30" ht="43.5">
      <c r="A49" s="2" t="s">
        <v>989</v>
      </c>
      <c r="B49" s="2" t="s">
        <v>2337</v>
      </c>
      <c r="C49" s="2" t="s">
        <v>2338</v>
      </c>
      <c r="F49" t="s">
        <v>19</v>
      </c>
      <c r="G49" s="10" t="s">
        <v>25</v>
      </c>
      <c r="H49" s="10"/>
      <c r="I49" s="10">
        <v>1</v>
      </c>
      <c r="J49" s="10">
        <v>2</v>
      </c>
      <c r="K49" s="10" t="s">
        <v>2662</v>
      </c>
      <c r="L49" s="10" t="s">
        <v>2687</v>
      </c>
      <c r="M49" s="10"/>
      <c r="N49" s="11"/>
      <c r="O49" s="10"/>
      <c r="P49" s="10">
        <v>743</v>
      </c>
      <c r="Q49" s="10">
        <v>365.32599075621988</v>
      </c>
      <c r="R49" s="10"/>
      <c r="S49" s="10" t="s">
        <v>2834</v>
      </c>
      <c r="T49" s="10" t="s">
        <v>2834</v>
      </c>
      <c r="U49" s="10"/>
      <c r="V49" s="10"/>
      <c r="W49" s="10"/>
      <c r="X49" s="10"/>
      <c r="Y49" s="10"/>
      <c r="Z49" s="10"/>
      <c r="AA49" s="10"/>
      <c r="AB49" s="10"/>
      <c r="AC49" s="10"/>
      <c r="AD49" s="10"/>
    </row>
    <row r="50" spans="1:30" ht="58">
      <c r="A50" s="2" t="s">
        <v>1018</v>
      </c>
      <c r="B50" s="2" t="s">
        <v>2379</v>
      </c>
      <c r="C50" s="2" t="s">
        <v>2378</v>
      </c>
      <c r="G50" s="10" t="s">
        <v>24</v>
      </c>
      <c r="H50" s="10"/>
      <c r="I50" s="10">
        <v>1</v>
      </c>
      <c r="J50" s="10">
        <v>3</v>
      </c>
      <c r="K50" s="10" t="s">
        <v>2655</v>
      </c>
      <c r="L50" s="10" t="s">
        <v>2647</v>
      </c>
      <c r="M50" s="10"/>
      <c r="N50" s="11"/>
      <c r="O50" s="10"/>
      <c r="P50" s="10">
        <v>1701</v>
      </c>
      <c r="Q50" s="10">
        <v>836.36542432884255</v>
      </c>
      <c r="R50" s="10"/>
      <c r="S50" s="10" t="s">
        <v>2834</v>
      </c>
      <c r="T50" s="10" t="s">
        <v>2834</v>
      </c>
      <c r="U50" s="10"/>
      <c r="V50" s="10"/>
      <c r="W50" s="10"/>
      <c r="X50" s="10"/>
      <c r="Y50" s="10"/>
      <c r="Z50" s="10"/>
      <c r="AA50" s="10"/>
      <c r="AB50" s="10"/>
      <c r="AC50" s="10"/>
      <c r="AD50" s="10"/>
    </row>
    <row r="51" spans="1:30" ht="29">
      <c r="A51" s="2" t="s">
        <v>1091</v>
      </c>
      <c r="B51" s="2" t="s">
        <v>2473</v>
      </c>
      <c r="C51" s="2" t="s">
        <v>2472</v>
      </c>
      <c r="G51" s="10" t="s">
        <v>25</v>
      </c>
      <c r="H51" s="10"/>
      <c r="I51" s="10">
        <v>1</v>
      </c>
      <c r="J51" s="10">
        <v>3</v>
      </c>
      <c r="K51" s="10" t="s">
        <v>2655</v>
      </c>
      <c r="L51" s="10" t="s">
        <v>2647</v>
      </c>
      <c r="M51" s="10"/>
      <c r="N51" s="11"/>
      <c r="O51" s="10"/>
      <c r="P51" s="10">
        <v>1701</v>
      </c>
      <c r="Q51" s="10">
        <v>836.36542432884255</v>
      </c>
      <c r="R51" s="10"/>
      <c r="S51" s="10" t="s">
        <v>2834</v>
      </c>
      <c r="T51" s="10" t="s">
        <v>2834</v>
      </c>
      <c r="U51" s="10"/>
      <c r="V51" s="10"/>
      <c r="W51" s="10"/>
      <c r="X51" s="10"/>
      <c r="Y51" s="10"/>
      <c r="Z51" s="10"/>
      <c r="AA51" s="10"/>
      <c r="AB51" s="10"/>
      <c r="AC51" s="10"/>
      <c r="AD51" s="10"/>
    </row>
    <row r="52" spans="1:30" ht="43.5">
      <c r="A52" s="2" t="s">
        <v>1094</v>
      </c>
      <c r="B52" s="2" t="s">
        <v>2475</v>
      </c>
      <c r="C52" s="2" t="s">
        <v>2474</v>
      </c>
      <c r="G52" s="10" t="s">
        <v>25</v>
      </c>
      <c r="H52" s="10"/>
      <c r="I52" s="10">
        <v>1</v>
      </c>
      <c r="J52" s="10">
        <v>1</v>
      </c>
      <c r="K52" s="10" t="s">
        <v>2646</v>
      </c>
      <c r="L52" s="10" t="s">
        <v>2687</v>
      </c>
      <c r="M52" s="10"/>
      <c r="N52" s="11"/>
      <c r="O52" s="10"/>
      <c r="P52" s="10">
        <v>2475</v>
      </c>
      <c r="Q52" s="10">
        <v>1216.9338184678927</v>
      </c>
      <c r="R52" s="10"/>
      <c r="S52" s="10" t="s">
        <v>2834</v>
      </c>
      <c r="T52" s="10" t="s">
        <v>2834</v>
      </c>
      <c r="U52" s="10"/>
      <c r="V52" s="10"/>
      <c r="W52" s="10"/>
      <c r="X52" s="10"/>
      <c r="Y52" s="10"/>
      <c r="Z52" s="10"/>
      <c r="AA52" s="10"/>
      <c r="AB52" s="10"/>
      <c r="AC52" s="10"/>
      <c r="AD52" s="10"/>
    </row>
    <row r="53" spans="1:30" ht="43.5">
      <c r="A53" s="2" t="s">
        <v>1100</v>
      </c>
      <c r="B53" s="2" t="s">
        <v>2484</v>
      </c>
      <c r="C53" s="2" t="s">
        <v>2481</v>
      </c>
      <c r="F53" t="s">
        <v>19</v>
      </c>
      <c r="G53" s="10" t="s">
        <v>25</v>
      </c>
      <c r="H53" s="10"/>
      <c r="I53" s="10">
        <v>1</v>
      </c>
      <c r="J53" s="10">
        <v>3</v>
      </c>
      <c r="K53" s="10" t="s">
        <v>2655</v>
      </c>
      <c r="L53" s="10" t="s">
        <v>2647</v>
      </c>
      <c r="M53" s="10"/>
      <c r="N53" s="11"/>
      <c r="O53" s="10"/>
      <c r="P53" s="10">
        <v>86</v>
      </c>
      <c r="Q53" s="10">
        <v>42.285377126561116</v>
      </c>
      <c r="R53" s="10"/>
      <c r="S53" s="10" t="s">
        <v>2834</v>
      </c>
      <c r="T53" s="10" t="s">
        <v>2834</v>
      </c>
      <c r="U53" s="10"/>
      <c r="V53" s="10"/>
      <c r="W53" s="10"/>
      <c r="X53" s="10"/>
      <c r="Y53" s="10"/>
      <c r="Z53" s="10"/>
      <c r="AA53" s="10"/>
      <c r="AB53" s="10"/>
      <c r="AC53" s="10"/>
      <c r="AD53" s="10"/>
    </row>
    <row r="54" spans="1:30" ht="29">
      <c r="A54" s="2" t="s">
        <v>1129</v>
      </c>
      <c r="B54" s="2" t="s">
        <v>2528</v>
      </c>
      <c r="C54" s="2" t="s">
        <v>2529</v>
      </c>
      <c r="F54" t="s">
        <v>19</v>
      </c>
      <c r="G54" s="10" t="s">
        <v>25</v>
      </c>
      <c r="H54" s="10"/>
      <c r="I54" s="10">
        <v>1</v>
      </c>
      <c r="J54" s="10">
        <v>2</v>
      </c>
      <c r="K54" s="10" t="s">
        <v>2646</v>
      </c>
      <c r="L54" s="10" t="s">
        <v>2687</v>
      </c>
      <c r="M54" s="10"/>
      <c r="N54" s="11"/>
      <c r="O54" s="10"/>
      <c r="P54" s="10">
        <v>2475</v>
      </c>
      <c r="Q54" s="10">
        <v>1216.9338184678927</v>
      </c>
      <c r="R54" s="10"/>
      <c r="S54" s="10" t="s">
        <v>2834</v>
      </c>
      <c r="T54" s="10" t="s">
        <v>2834</v>
      </c>
      <c r="U54" s="10"/>
      <c r="V54" s="10"/>
      <c r="W54" s="10"/>
      <c r="X54" s="10"/>
      <c r="Y54" s="10"/>
      <c r="Z54" s="10"/>
      <c r="AA54" s="10"/>
      <c r="AB54" s="10"/>
      <c r="AC54" s="10"/>
      <c r="AD54" s="10"/>
    </row>
    <row r="55" spans="1:30" ht="58">
      <c r="A55" s="2" t="s">
        <v>1140</v>
      </c>
      <c r="B55" s="2" t="s">
        <v>2548</v>
      </c>
      <c r="C55" s="2" t="s">
        <v>2549</v>
      </c>
      <c r="F55" t="s">
        <v>19</v>
      </c>
      <c r="G55" s="10" t="s">
        <v>25</v>
      </c>
      <c r="H55" s="10"/>
      <c r="I55" s="10">
        <v>1</v>
      </c>
      <c r="J55" s="10">
        <v>1</v>
      </c>
      <c r="K55" s="10" t="s">
        <v>2646</v>
      </c>
      <c r="L55" s="10" t="s">
        <v>2687</v>
      </c>
      <c r="M55" s="10"/>
      <c r="N55" s="11"/>
      <c r="O55" s="10"/>
      <c r="P55" s="10">
        <v>2475</v>
      </c>
      <c r="Q55" s="10">
        <v>1216.9338184678927</v>
      </c>
      <c r="R55" s="10"/>
      <c r="S55" s="10" t="s">
        <v>2834</v>
      </c>
      <c r="T55" s="10" t="s">
        <v>2834</v>
      </c>
      <c r="U55" s="10"/>
      <c r="V55" s="10"/>
      <c r="W55" s="10"/>
      <c r="X55" s="10"/>
      <c r="Y55" s="10"/>
      <c r="Z55" s="10"/>
      <c r="AA55" s="10"/>
      <c r="AB55" s="10"/>
      <c r="AC55" s="10"/>
      <c r="AD55" s="10"/>
    </row>
    <row r="58" spans="1:30">
      <c r="D58" t="s">
        <v>2831</v>
      </c>
      <c r="E58">
        <v>20338</v>
      </c>
    </row>
    <row r="59" spans="1:30">
      <c r="D59" t="s">
        <v>2836</v>
      </c>
      <c r="E59">
        <f>MEDIAN(Q:Q)</f>
        <v>836.36542432884255</v>
      </c>
    </row>
    <row r="62" spans="1:30">
      <c r="D62" t="s">
        <v>2837</v>
      </c>
      <c r="E62">
        <f>COUNTIFS(G:G, "Addition", Q:Q, "&gt;=" &amp; $E$59)</f>
        <v>10</v>
      </c>
    </row>
    <row r="63" spans="1:30">
      <c r="D63" t="s">
        <v>2838</v>
      </c>
      <c r="E63">
        <f>COUNTIFS(G:G, "Omission", Q:Q, "&gt;=" &amp; $E$59)</f>
        <v>31</v>
      </c>
    </row>
    <row r="64" spans="1:30">
      <c r="D64" t="s">
        <v>2839</v>
      </c>
      <c r="E64">
        <f>E62/(E62+E63)</f>
        <v>0.24390243902439024</v>
      </c>
    </row>
    <row r="65" spans="4:5">
      <c r="D65" t="s">
        <v>2840</v>
      </c>
      <c r="E65">
        <f>COUNTIFS(G:G, "Addition", Q:Q, "&lt;" &amp; $E$59)</f>
        <v>5</v>
      </c>
    </row>
    <row r="66" spans="4:5">
      <c r="D66" t="s">
        <v>2841</v>
      </c>
      <c r="E66">
        <f>COUNTIFS(G:G, "Omission", Q:Q, "&lt;" &amp; $E$59)</f>
        <v>8</v>
      </c>
    </row>
    <row r="67" spans="4:5">
      <c r="D67" t="s">
        <v>2842</v>
      </c>
      <c r="E67">
        <f>E65/(E65+E66)</f>
        <v>0.38461538461538464</v>
      </c>
    </row>
    <row r="70" spans="4:5">
      <c r="D70" t="s">
        <v>2843</v>
      </c>
      <c r="E70">
        <f>COUNTIFS(G:G, "Addition", K:K, "Article")</f>
        <v>5</v>
      </c>
    </row>
    <row r="71" spans="4:5">
      <c r="D71" t="s">
        <v>2844</v>
      </c>
      <c r="E71">
        <f>COUNTIFS(G:G, "Omission", K:K, "Article")</f>
        <v>21</v>
      </c>
    </row>
    <row r="72" spans="4:5">
      <c r="D72" t="s">
        <v>2845</v>
      </c>
      <c r="E72">
        <f>COUNTIFS(G:G, "Addition", K:K, "Article")/(COUNTIFS(G:G, "Addition", K:K, "Article") + COUNTIFS(G:G, "Omission", K:K, "Article"))</f>
        <v>0.19230769230769232</v>
      </c>
    </row>
  </sheetData>
  <conditionalFormatting sqref="G2:G55">
    <cfRule type="expression" dxfId="100" priority="4">
      <formula>$I2&lt;&gt;""</formula>
    </cfRule>
    <cfRule type="expression" dxfId="99" priority="5">
      <formula>$I2=""</formula>
    </cfRule>
  </conditionalFormatting>
  <conditionalFormatting sqref="H2:L55 O2:Q55">
    <cfRule type="expression" dxfId="98" priority="22">
      <formula>AND(OR($I2="Addition",$I2="Omission"), H2="")</formula>
    </cfRule>
    <cfRule type="expression" dxfId="97" priority="23">
      <formula>AND($I2&lt;&gt;"Addition",$I2&lt;&gt;"Omission",$I2&lt;&gt;"Substitution - Word")</formula>
    </cfRule>
  </conditionalFormatting>
  <conditionalFormatting sqref="H2:Q55">
    <cfRule type="expression" dxfId="96" priority="21">
      <formula>AND(OR($I2="Addition",$I2="Omission"), H2&lt;&gt;"")</formula>
    </cfRule>
  </conditionalFormatting>
  <conditionalFormatting sqref="K2:K55">
    <cfRule type="expression" dxfId="95" priority="16">
      <formula>AND($K2&lt;&gt;"",$K2&gt;1)</formula>
    </cfRule>
  </conditionalFormatting>
  <conditionalFormatting sqref="M2:N55">
    <cfRule type="expression" dxfId="94" priority="12">
      <formula>$N2="Absent"</formula>
    </cfRule>
    <cfRule type="expression" dxfId="93" priority="13">
      <formula>$N2="NA"</formula>
    </cfRule>
    <cfRule type="expression" dxfId="92" priority="14">
      <formula>AND(OR($I2="Addition",$I2="Omission"), M2="")</formula>
    </cfRule>
    <cfRule type="expression" dxfId="91" priority="15">
      <formula>AND($I2&lt;&gt;"Addition",$I2&lt;&gt;"Omission")</formula>
    </cfRule>
  </conditionalFormatting>
  <conditionalFormatting sqref="O2:O55">
    <cfRule type="expression" dxfId="90" priority="17">
      <formula>OR($I2="Addition",$I2="Omission",$I2 = "Substitution - Word")</formula>
    </cfRule>
  </conditionalFormatting>
  <conditionalFormatting sqref="R2:T55">
    <cfRule type="expression" dxfId="89" priority="18">
      <formula>AND(AND(LEFT($I2,3)="Sub", RIGHT($I2,4)&lt;&gt;"Form"),$T2&lt;&gt;"")</formula>
    </cfRule>
    <cfRule type="expression" dxfId="88" priority="19">
      <formula>AND(AND(LEFT($I2,3)="Sub", RIGHT($I2,4)&lt;&gt;"Form"),$T2="")</formula>
    </cfRule>
    <cfRule type="expression" dxfId="87" priority="20">
      <formula>"&lt;&gt;AND(LEFT($J2,3)=""Sub"", RIGHT($J2,4)&lt;&gt;""Form"")"</formula>
    </cfRule>
  </conditionalFormatting>
  <conditionalFormatting sqref="S2:T55">
    <cfRule type="expression" dxfId="86" priority="1">
      <formula>AND(AND(LEFT($I2,3)="Sub", RIGHT($I2,4)&lt;&gt;"Form"),$T2&lt;&gt;"")</formula>
    </cfRule>
    <cfRule type="expression" dxfId="85" priority="2">
      <formula>AND(AND(LEFT($I2,3)="Sub", RIGHT($I2,4)&lt;&gt;"Form"),$T2="")</formula>
    </cfRule>
    <cfRule type="expression" dxfId="84" priority="3">
      <formula>"&lt;&gt;AND(LEFT($J2,3)=""Sub"", RIGHT($J2,4)&lt;&gt;""Form"")"</formula>
    </cfRule>
  </conditionalFormatting>
  <conditionalFormatting sqref="U2:U55">
    <cfRule type="expression" dxfId="83" priority="7">
      <formula>AND($W2&lt;&gt;"",OR($AD2="Yes",$AE2&lt;&gt;""))</formula>
    </cfRule>
    <cfRule type="expression" dxfId="82" priority="8">
      <formula>OR($AD2="Yes",$AE2&lt;&gt;"")</formula>
    </cfRule>
    <cfRule type="expression" dxfId="81" priority="26">
      <formula>AND($AD2&lt;&gt;"Yes",$AE2="")</formula>
    </cfRule>
  </conditionalFormatting>
  <conditionalFormatting sqref="U2:AD55">
    <cfRule type="expression" dxfId="80" priority="24">
      <formula>AND($I2&lt;&gt;"",$I2&lt;&gt;"Unclear due to correction")</formula>
    </cfRule>
    <cfRule type="expression" dxfId="79" priority="25">
      <formula>OR($I2="",$I2="Unclear due to correction")</formula>
    </cfRule>
  </conditionalFormatting>
  <conditionalFormatting sqref="V2:V55">
    <cfRule type="expression" dxfId="78" priority="6">
      <formula>AND($I2&lt;&gt;"",$I2&lt;&gt;"Unclear due to correction",$X2="")</formula>
    </cfRule>
  </conditionalFormatting>
  <conditionalFormatting sqref="W2:W55">
    <cfRule type="expression" dxfId="77" priority="9">
      <formula>AND($X2="Yes",$Y2="")</formula>
    </cfRule>
    <cfRule type="expression" dxfId="76" priority="10">
      <formula>$X2=""</formula>
    </cfRule>
  </conditionalFormatting>
  <conditionalFormatting sqref="AB2:AB55">
    <cfRule type="expression" dxfId="75" priority="11">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84E5750-BD45-48B7-9C83-40AEC6015C42}">
          <x14:formula1>
            <xm:f>'Data Regularization'!$P$2:$P$1048576</xm:f>
          </x14:formula1>
          <xm:sqref>AD2:AD55</xm:sqref>
        </x14:dataValidation>
        <x14:dataValidation type="list" allowBlank="1" showInputMessage="1" xr:uid="{C295FAEB-DBFD-48A1-A730-91BD28528019}">
          <x14:formula1>
            <xm:f>'Data Regularization'!$I$2:$I$1048576</xm:f>
          </x14:formula1>
          <xm:sqref>V2:V55</xm:sqref>
        </x14:dataValidation>
        <x14:dataValidation type="list" allowBlank="1" showInputMessage="1" showErrorMessage="1" xr:uid="{523C38D9-6893-42C8-93A6-7177CA3778F8}">
          <x14:formula1>
            <xm:f>'Data Regularization'!$H$2:$H$1048576</xm:f>
          </x14:formula1>
          <xm:sqref>U2:U55</xm:sqref>
        </x14:dataValidation>
        <x14:dataValidation type="list" allowBlank="1" showInputMessage="1" showErrorMessage="1" xr:uid="{728CAC7F-4DA6-4066-8CE5-08ED835BAE1D}">
          <x14:formula1>
            <xm:f>'Data Regularization'!$O$2:$O$1048576</xm:f>
          </x14:formula1>
          <xm:sqref>AC2:AC55</xm:sqref>
        </x14:dataValidation>
        <x14:dataValidation type="list" allowBlank="1" showInputMessage="1" showErrorMessage="1" xr:uid="{2F8D67BC-3F4A-4CA9-B86C-87C7EDFB7130}">
          <x14:formula1>
            <xm:f>'Data Regularization'!$N$2:$N$1048576</xm:f>
          </x14:formula1>
          <xm:sqref>AB2:AB55</xm:sqref>
        </x14:dataValidation>
        <x14:dataValidation type="list" allowBlank="1" showInputMessage="1" showErrorMessage="1" xr:uid="{7897A009-B213-4410-A95C-D95E08D106D8}">
          <x14:formula1>
            <xm:f>'Data Regularization'!$M$2:$M$1048576</xm:f>
          </x14:formula1>
          <xm:sqref>Z2:Z55</xm:sqref>
        </x14:dataValidation>
        <x14:dataValidation type="list" allowBlank="1" showInputMessage="1" showErrorMessage="1" xr:uid="{E45AAB83-5DFA-4649-BC2B-9B14D228A3C9}">
          <x14:formula1>
            <xm:f>'Data Regularization'!$L$2:$L$1048576</xm:f>
          </x14:formula1>
          <xm:sqref>Y2:Y55</xm:sqref>
        </x14:dataValidation>
        <x14:dataValidation type="list" allowBlank="1" showInputMessage="1" showErrorMessage="1" xr:uid="{3FB3FE2B-F38D-44DA-BC0A-57DF8886473D}">
          <x14:formula1>
            <xm:f>'Data Regularization'!$K$2:$K$1048576</xm:f>
          </x14:formula1>
          <xm:sqref>X2:X55</xm:sqref>
        </x14:dataValidation>
        <x14:dataValidation type="list" allowBlank="1" showInputMessage="1" showErrorMessage="1" xr:uid="{6F1CCC4F-BDE2-48AF-A81B-4A66AA4EF053}">
          <x14:formula1>
            <xm:f>'Data Regularization'!$J$2:$J$1048576</xm:f>
          </x14:formula1>
          <xm:sqref>W2:W55</xm:sqref>
        </x14:dataValidation>
        <x14:dataValidation type="list" allowBlank="1" showInputMessage="1" showErrorMessage="1" xr:uid="{CA1D05A2-D64D-4858-9163-974102EC44FD}">
          <x14:formula1>
            <xm:f>'Data Regularization'!$G$2:$G$1048576</xm:f>
          </x14:formula1>
          <xm:sqref>O2:O55</xm:sqref>
        </x14:dataValidation>
        <x14:dataValidation type="list" allowBlank="1" showInputMessage="1" showErrorMessage="1" xr:uid="{1F0BBDF3-9937-4DDD-A67E-EFBF750E3760}">
          <x14:formula1>
            <xm:f>'Data Regularization'!$F$2:$F$1048576</xm:f>
          </x14:formula1>
          <xm:sqref>L2:L55</xm:sqref>
        </x14:dataValidation>
        <x14:dataValidation type="list" allowBlank="1" showInputMessage="1" showErrorMessage="1" xr:uid="{AF726A47-32FC-41A7-9956-08BF64303E23}">
          <x14:formula1>
            <xm:f>'Data Regularization'!$E$2:$E$1048576</xm:f>
          </x14:formula1>
          <xm:sqref>K2:K55</xm:sqref>
        </x14:dataValidation>
        <x14:dataValidation type="list" allowBlank="1" showInputMessage="1" showErrorMessage="1" xr:uid="{0CB7F517-BD4F-4930-889E-96D0C4D660EA}">
          <x14:formula1>
            <xm:f>'Data Regularization'!$B$2:$B$1048576</xm:f>
          </x14:formula1>
          <xm:sqref>E2:E55</xm:sqref>
        </x14:dataValidation>
        <x14:dataValidation type="list" allowBlank="1" showInputMessage="1" showErrorMessage="1" xr:uid="{B6DF19C2-5DB6-484B-B7B0-7819C7E4EE73}">
          <x14:formula1>
            <xm:f>'Data Regularization'!$A$2:$A$1048576</xm:f>
          </x14:formula1>
          <xm:sqref>D2:D55</xm:sqref>
        </x14:dataValidation>
        <x14:dataValidation type="list" allowBlank="1" showInputMessage="1" showErrorMessage="1" xr:uid="{232E5FB1-808E-45DE-B741-130869E71472}">
          <x14:formula1>
            <xm:f>'Data Regularization'!$C$2:$C$50</xm:f>
          </x14:formula1>
          <xm:sqref>F2:F55</xm:sqref>
        </x14:dataValidation>
        <x14:dataValidation type="list" allowBlank="1" showInputMessage="1" showErrorMessage="1" xr:uid="{86CEB378-D08D-4B35-9474-61F3E51D7A1F}">
          <x14:formula1>
            <xm:f>'Data Regularization'!$D$2:$D$1048576</xm:f>
          </x14:formula1>
          <xm:sqref>G2:G55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D16E-A20C-40D0-803C-7CE17D46654D}">
  <dimension ref="A1:AD2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0" s="1" customFormat="1" ht="29">
      <c r="A1" s="1" t="s">
        <v>0</v>
      </c>
      <c r="B1" s="12" t="s">
        <v>5</v>
      </c>
      <c r="C1" s="1" t="s">
        <v>6</v>
      </c>
      <c r="D1" s="1" t="s">
        <v>2668</v>
      </c>
      <c r="E1" s="1" t="s">
        <v>2669</v>
      </c>
      <c r="F1" s="1" t="s">
        <v>2670</v>
      </c>
      <c r="G1" s="1" t="s">
        <v>3</v>
      </c>
      <c r="H1" s="1" t="s">
        <v>2671</v>
      </c>
      <c r="I1" s="1" t="s">
        <v>2672</v>
      </c>
      <c r="J1" s="1" t="s">
        <v>2673</v>
      </c>
      <c r="K1" s="1" t="s">
        <v>2674</v>
      </c>
      <c r="L1" s="1" t="s">
        <v>2634</v>
      </c>
      <c r="M1" s="1" t="s">
        <v>2675</v>
      </c>
      <c r="N1" s="9" t="s">
        <v>2676</v>
      </c>
      <c r="O1" s="1" t="s">
        <v>2635</v>
      </c>
      <c r="P1" s="1" t="s">
        <v>2677</v>
      </c>
      <c r="Q1" s="1" t="s">
        <v>2835</v>
      </c>
      <c r="R1" s="1" t="s">
        <v>2678</v>
      </c>
      <c r="S1" s="1" t="s">
        <v>2832</v>
      </c>
      <c r="T1" s="1" t="s">
        <v>2833</v>
      </c>
      <c r="U1" s="1" t="s">
        <v>2680</v>
      </c>
      <c r="V1" s="1" t="s">
        <v>2681</v>
      </c>
      <c r="W1" s="1" t="s">
        <v>2682</v>
      </c>
      <c r="X1" s="1" t="s">
        <v>2636</v>
      </c>
      <c r="Y1" s="1" t="s">
        <v>2637</v>
      </c>
      <c r="Z1" s="1" t="s">
        <v>2638</v>
      </c>
      <c r="AA1" s="1" t="s">
        <v>2679</v>
      </c>
      <c r="AB1" s="1" t="s">
        <v>2683</v>
      </c>
      <c r="AC1" s="1" t="s">
        <v>2639</v>
      </c>
      <c r="AD1" s="1" t="s">
        <v>2684</v>
      </c>
    </row>
    <row r="2" spans="1:30" ht="58">
      <c r="A2" s="2" t="s">
        <v>92</v>
      </c>
      <c r="B2" s="2" t="s">
        <v>1288</v>
      </c>
      <c r="C2" s="2" t="s">
        <v>1289</v>
      </c>
      <c r="F2" t="s">
        <v>19</v>
      </c>
      <c r="G2" s="10" t="s">
        <v>24</v>
      </c>
      <c r="H2" s="10"/>
      <c r="I2" s="10">
        <v>1</v>
      </c>
      <c r="J2" s="10">
        <v>6</v>
      </c>
      <c r="K2" s="10" t="s">
        <v>2660</v>
      </c>
      <c r="L2" s="10" t="s">
        <v>2647</v>
      </c>
      <c r="M2" s="10"/>
      <c r="N2" s="11"/>
      <c r="O2" s="10"/>
      <c r="P2" s="10">
        <v>250</v>
      </c>
      <c r="Q2" s="10">
        <v>122.92260792604976</v>
      </c>
      <c r="R2" s="10"/>
      <c r="S2" s="10" t="s">
        <v>2834</v>
      </c>
      <c r="T2" s="10" t="s">
        <v>2834</v>
      </c>
      <c r="U2" s="10"/>
      <c r="V2" s="10"/>
      <c r="W2" s="10"/>
      <c r="X2" s="10"/>
      <c r="Y2" s="10"/>
      <c r="Z2" s="10"/>
      <c r="AA2" s="10"/>
      <c r="AB2" s="10"/>
      <c r="AC2" s="10"/>
      <c r="AD2" s="10"/>
    </row>
    <row r="3" spans="1:30" ht="43.5">
      <c r="A3" s="2" t="s">
        <v>134</v>
      </c>
      <c r="B3" s="2" t="s">
        <v>1353</v>
      </c>
      <c r="C3" s="2" t="s">
        <v>1354</v>
      </c>
      <c r="F3" t="s">
        <v>19</v>
      </c>
      <c r="G3" s="10" t="s">
        <v>25</v>
      </c>
      <c r="H3" s="10"/>
      <c r="I3" s="10">
        <v>1</v>
      </c>
      <c r="J3" s="10">
        <v>5</v>
      </c>
      <c r="K3" s="10" t="s">
        <v>2640</v>
      </c>
      <c r="L3" s="10" t="s">
        <v>2647</v>
      </c>
      <c r="M3" s="10"/>
      <c r="N3" s="11"/>
      <c r="O3" s="10"/>
      <c r="P3" s="10">
        <v>2</v>
      </c>
      <c r="Q3" s="10">
        <v>0.98338086340839814</v>
      </c>
      <c r="R3" s="10"/>
      <c r="S3" s="10" t="s">
        <v>2834</v>
      </c>
      <c r="T3" s="10" t="s">
        <v>2834</v>
      </c>
      <c r="U3" s="10"/>
      <c r="V3" s="10"/>
      <c r="W3" s="10"/>
      <c r="X3" s="10"/>
      <c r="Y3" s="10"/>
      <c r="Z3" s="10"/>
      <c r="AA3" s="10"/>
      <c r="AB3" s="10"/>
      <c r="AC3" s="10"/>
      <c r="AD3" s="10"/>
    </row>
    <row r="4" spans="1:30" ht="58">
      <c r="A4" s="2" t="s">
        <v>168</v>
      </c>
      <c r="B4" s="2" t="s">
        <v>1405</v>
      </c>
      <c r="C4" s="2" t="s">
        <v>1406</v>
      </c>
      <c r="F4" t="s">
        <v>19</v>
      </c>
      <c r="G4" s="10" t="s">
        <v>24</v>
      </c>
      <c r="H4" s="10"/>
      <c r="I4" s="10">
        <v>1</v>
      </c>
      <c r="J4" s="10">
        <v>5</v>
      </c>
      <c r="K4" s="10" t="s">
        <v>2660</v>
      </c>
      <c r="L4" s="10" t="s">
        <v>2647</v>
      </c>
      <c r="M4" s="10"/>
      <c r="N4" s="11"/>
      <c r="O4" s="10"/>
      <c r="P4" s="10">
        <v>65</v>
      </c>
      <c r="Q4" s="10">
        <v>31.95987806077294</v>
      </c>
      <c r="R4" s="10"/>
      <c r="S4" s="10" t="s">
        <v>2834</v>
      </c>
      <c r="T4" s="10" t="s">
        <v>2834</v>
      </c>
      <c r="U4" s="10"/>
      <c r="V4" s="10"/>
      <c r="W4" s="10"/>
      <c r="X4" s="10"/>
      <c r="Y4" s="10"/>
      <c r="Z4" s="10"/>
      <c r="AA4" s="10"/>
      <c r="AB4" s="10"/>
      <c r="AC4" s="10"/>
      <c r="AD4" s="10"/>
    </row>
    <row r="5" spans="1:30" ht="43.5">
      <c r="A5" s="2" t="s">
        <v>182</v>
      </c>
      <c r="B5" s="2" t="s">
        <v>1421</v>
      </c>
      <c r="C5" s="2" t="s">
        <v>1420</v>
      </c>
      <c r="F5" t="s">
        <v>19</v>
      </c>
      <c r="G5" s="10" t="s">
        <v>24</v>
      </c>
      <c r="H5" s="10"/>
      <c r="I5" s="10">
        <v>1</v>
      </c>
      <c r="J5" s="10">
        <v>6</v>
      </c>
      <c r="K5" s="10" t="s">
        <v>2660</v>
      </c>
      <c r="L5" s="10" t="s">
        <v>2647</v>
      </c>
      <c r="M5" s="10"/>
      <c r="N5" s="11"/>
      <c r="O5" s="10"/>
      <c r="P5" s="10">
        <v>250</v>
      </c>
      <c r="Q5" s="10">
        <v>122.92260792604976</v>
      </c>
      <c r="R5" s="10"/>
      <c r="S5" s="10" t="s">
        <v>2834</v>
      </c>
      <c r="T5" s="10" t="s">
        <v>2834</v>
      </c>
      <c r="U5" s="10"/>
      <c r="V5" s="10"/>
      <c r="W5" s="10"/>
      <c r="X5" s="10"/>
      <c r="Y5" s="10"/>
      <c r="Z5" s="10"/>
      <c r="AA5" s="10"/>
      <c r="AB5" s="10"/>
      <c r="AC5" s="10"/>
      <c r="AD5" s="10"/>
    </row>
    <row r="6" spans="1:30" ht="43.5">
      <c r="A6" s="2" t="s">
        <v>305</v>
      </c>
      <c r="B6" s="2" t="s">
        <v>1561</v>
      </c>
      <c r="C6" s="2" t="s">
        <v>1562</v>
      </c>
      <c r="F6" t="s">
        <v>19</v>
      </c>
      <c r="G6" s="10" t="s">
        <v>25</v>
      </c>
      <c r="H6" s="10"/>
      <c r="I6" s="10">
        <v>1</v>
      </c>
      <c r="J6" s="10">
        <v>4</v>
      </c>
      <c r="K6" s="10" t="s">
        <v>2660</v>
      </c>
      <c r="L6" s="10" t="s">
        <v>2647</v>
      </c>
      <c r="M6" s="10"/>
      <c r="N6" s="11"/>
      <c r="O6" s="10"/>
      <c r="P6" s="10">
        <v>52</v>
      </c>
      <c r="Q6" s="10">
        <v>25.567902448618351</v>
      </c>
      <c r="R6" s="10"/>
      <c r="S6" s="10" t="s">
        <v>2834</v>
      </c>
      <c r="T6" s="10" t="s">
        <v>2834</v>
      </c>
      <c r="U6" s="10"/>
      <c r="V6" s="10"/>
      <c r="W6" s="10"/>
      <c r="X6" s="10"/>
      <c r="Y6" s="10"/>
      <c r="Z6" s="10"/>
      <c r="AA6" s="10"/>
      <c r="AB6" s="10"/>
      <c r="AC6" s="10"/>
      <c r="AD6" s="10"/>
    </row>
    <row r="7" spans="1:30" ht="43.5">
      <c r="A7" s="2" t="s">
        <v>601</v>
      </c>
      <c r="B7" s="2" t="s">
        <v>1926</v>
      </c>
      <c r="C7" s="2" t="s">
        <v>1927</v>
      </c>
      <c r="F7" t="s">
        <v>19</v>
      </c>
      <c r="G7" s="10" t="s">
        <v>24</v>
      </c>
      <c r="H7" s="10"/>
      <c r="I7" s="10">
        <v>1</v>
      </c>
      <c r="J7" s="10">
        <v>4</v>
      </c>
      <c r="K7" s="10" t="s">
        <v>2660</v>
      </c>
      <c r="L7" s="10" t="s">
        <v>2647</v>
      </c>
      <c r="M7" s="10"/>
      <c r="N7" s="11"/>
      <c r="O7" s="10"/>
      <c r="P7" s="10">
        <v>132</v>
      </c>
      <c r="Q7" s="10">
        <v>64.903136984954273</v>
      </c>
      <c r="R7" s="10"/>
      <c r="S7" s="10" t="s">
        <v>2834</v>
      </c>
      <c r="T7" s="10" t="s">
        <v>2834</v>
      </c>
      <c r="U7" s="10"/>
      <c r="V7" s="10"/>
      <c r="W7" s="10"/>
      <c r="X7" s="10"/>
      <c r="Y7" s="10"/>
      <c r="Z7" s="10"/>
      <c r="AA7" s="10"/>
      <c r="AB7" s="10"/>
      <c r="AC7" s="10"/>
      <c r="AD7" s="10"/>
    </row>
    <row r="8" spans="1:30" ht="72.5">
      <c r="A8" s="2" t="s">
        <v>786</v>
      </c>
      <c r="B8" s="2" t="s">
        <v>2087</v>
      </c>
      <c r="C8" s="2" t="s">
        <v>2086</v>
      </c>
      <c r="F8" t="s">
        <v>19</v>
      </c>
      <c r="G8" s="10" t="s">
        <v>25</v>
      </c>
      <c r="H8" s="10"/>
      <c r="I8" s="10">
        <v>1</v>
      </c>
      <c r="J8" s="10">
        <v>5</v>
      </c>
      <c r="K8" s="10" t="s">
        <v>2693</v>
      </c>
      <c r="L8" s="10" t="s">
        <v>2641</v>
      </c>
      <c r="M8" s="10" t="s">
        <v>2704</v>
      </c>
      <c r="N8" s="11" t="s">
        <v>2705</v>
      </c>
      <c r="O8" s="10"/>
      <c r="P8" s="10">
        <v>116</v>
      </c>
      <c r="Q8" s="10">
        <v>57.036090077687085</v>
      </c>
      <c r="R8" s="10"/>
      <c r="S8" s="10" t="s">
        <v>2834</v>
      </c>
      <c r="T8" s="10" t="s">
        <v>2834</v>
      </c>
      <c r="U8" s="10"/>
      <c r="V8" s="10"/>
      <c r="W8" s="10"/>
      <c r="X8" s="10"/>
      <c r="Y8" s="10"/>
      <c r="Z8" s="10"/>
      <c r="AA8" s="10"/>
      <c r="AB8" s="10"/>
      <c r="AC8" s="10"/>
      <c r="AD8" s="10"/>
    </row>
    <row r="9" spans="1:30" ht="72.5">
      <c r="A9" s="2" t="s">
        <v>809</v>
      </c>
      <c r="B9" s="2" t="s">
        <v>2117</v>
      </c>
      <c r="C9" s="2" t="s">
        <v>2118</v>
      </c>
      <c r="F9" t="s">
        <v>19</v>
      </c>
      <c r="G9" s="10" t="s">
        <v>25</v>
      </c>
      <c r="H9" s="10"/>
      <c r="I9" s="10">
        <v>1</v>
      </c>
      <c r="J9" s="10">
        <v>7</v>
      </c>
      <c r="K9" s="10" t="s">
        <v>2693</v>
      </c>
      <c r="L9" s="10" t="s">
        <v>2647</v>
      </c>
      <c r="M9" s="10"/>
      <c r="N9" s="11"/>
      <c r="O9" s="10"/>
      <c r="P9" s="10">
        <v>17</v>
      </c>
      <c r="Q9" s="10">
        <v>8.3587373389713839</v>
      </c>
      <c r="R9" s="10"/>
      <c r="S9" s="10" t="s">
        <v>2834</v>
      </c>
      <c r="T9" s="10" t="s">
        <v>2834</v>
      </c>
      <c r="U9" s="10"/>
      <c r="V9" s="10"/>
      <c r="W9" s="10"/>
      <c r="X9" s="10"/>
      <c r="Y9" s="10"/>
      <c r="Z9" s="10"/>
      <c r="AA9" s="10"/>
      <c r="AB9" s="10"/>
      <c r="AC9" s="10"/>
      <c r="AD9" s="10"/>
    </row>
    <row r="10" spans="1:30" ht="43.5">
      <c r="A10" s="2" t="s">
        <v>823</v>
      </c>
      <c r="B10" s="2" t="s">
        <v>2135</v>
      </c>
      <c r="C10" s="2" t="s">
        <v>2136</v>
      </c>
      <c r="F10" t="s">
        <v>19</v>
      </c>
      <c r="G10" s="10" t="s">
        <v>25</v>
      </c>
      <c r="H10" s="10"/>
      <c r="I10" s="10">
        <v>1</v>
      </c>
      <c r="J10" s="10">
        <v>5</v>
      </c>
      <c r="K10" s="10" t="s">
        <v>2640</v>
      </c>
      <c r="L10" s="10" t="s">
        <v>2647</v>
      </c>
      <c r="M10" s="10"/>
      <c r="N10" s="11"/>
      <c r="O10" s="10"/>
      <c r="P10" s="10">
        <v>4</v>
      </c>
      <c r="Q10" s="10">
        <v>1.9667617268167963</v>
      </c>
      <c r="R10" s="10"/>
      <c r="S10" s="10" t="s">
        <v>2834</v>
      </c>
      <c r="T10" s="10" t="s">
        <v>2834</v>
      </c>
      <c r="U10" s="10"/>
      <c r="V10" s="10"/>
      <c r="W10" s="10"/>
      <c r="X10" s="10"/>
      <c r="Y10" s="10"/>
      <c r="Z10" s="10"/>
      <c r="AA10" s="10"/>
      <c r="AB10" s="10"/>
      <c r="AC10" s="10"/>
      <c r="AD10" s="10"/>
    </row>
    <row r="11" spans="1:30" ht="72.5">
      <c r="A11" s="2" t="s">
        <v>843</v>
      </c>
      <c r="B11" s="2" t="s">
        <v>2920</v>
      </c>
      <c r="C11" s="2" t="s">
        <v>2921</v>
      </c>
      <c r="F11" t="s">
        <v>19</v>
      </c>
      <c r="G11" s="10" t="s">
        <v>24</v>
      </c>
      <c r="H11" s="10"/>
      <c r="I11" s="10">
        <v>1</v>
      </c>
      <c r="J11" s="10">
        <v>7</v>
      </c>
      <c r="K11" s="10" t="s">
        <v>2660</v>
      </c>
      <c r="L11" s="10" t="s">
        <v>2647</v>
      </c>
      <c r="M11" s="10"/>
      <c r="N11" s="11"/>
      <c r="O11" s="10"/>
      <c r="P11" s="10">
        <v>1</v>
      </c>
      <c r="Q11" s="10">
        <v>0.49169043170419907</v>
      </c>
      <c r="R11" s="10"/>
      <c r="S11" s="10" t="s">
        <v>2834</v>
      </c>
      <c r="T11" s="10" t="s">
        <v>2834</v>
      </c>
      <c r="U11" s="10"/>
      <c r="V11" s="10"/>
      <c r="W11" s="10"/>
      <c r="X11" s="10"/>
      <c r="Y11" s="10"/>
      <c r="Z11" s="10"/>
      <c r="AA11" s="10"/>
      <c r="AB11" s="10"/>
      <c r="AC11" s="10"/>
      <c r="AD11" s="10"/>
    </row>
    <row r="12" spans="1:30" ht="58">
      <c r="A12" s="2" t="s">
        <v>935</v>
      </c>
      <c r="B12" s="2" t="s">
        <v>2276</v>
      </c>
      <c r="C12" s="2" t="s">
        <v>2277</v>
      </c>
      <c r="F12" t="s">
        <v>19</v>
      </c>
      <c r="G12" s="10" t="s">
        <v>24</v>
      </c>
      <c r="H12" s="10"/>
      <c r="I12" s="10">
        <v>1</v>
      </c>
      <c r="J12" s="10">
        <v>6</v>
      </c>
      <c r="K12" s="10" t="s">
        <v>2640</v>
      </c>
      <c r="L12" s="10" t="s">
        <v>2641</v>
      </c>
      <c r="M12" s="10" t="s">
        <v>2704</v>
      </c>
      <c r="N12" s="11" t="s">
        <v>2763</v>
      </c>
      <c r="O12" s="10" t="s">
        <v>2642</v>
      </c>
      <c r="P12" s="10">
        <v>43</v>
      </c>
      <c r="Q12" s="10">
        <v>21.142688563280558</v>
      </c>
      <c r="R12" s="10"/>
      <c r="S12" s="10" t="s">
        <v>2834</v>
      </c>
      <c r="T12" s="10" t="s">
        <v>2834</v>
      </c>
      <c r="U12" s="10"/>
      <c r="V12" s="10"/>
      <c r="W12" s="10"/>
      <c r="X12" s="10"/>
      <c r="Y12" s="10"/>
      <c r="Z12" s="10"/>
      <c r="AA12" s="10"/>
      <c r="AB12" s="10"/>
      <c r="AC12" s="10"/>
      <c r="AD12" s="10"/>
    </row>
    <row r="13" spans="1:30" ht="43.5">
      <c r="A13" s="2" t="s">
        <v>1107</v>
      </c>
      <c r="B13" s="2" t="s">
        <v>2493</v>
      </c>
      <c r="C13" s="2" t="s">
        <v>2494</v>
      </c>
      <c r="F13" t="s">
        <v>19</v>
      </c>
      <c r="G13" s="10" t="s">
        <v>25</v>
      </c>
      <c r="H13" s="10"/>
      <c r="I13" s="10">
        <v>1</v>
      </c>
      <c r="J13" s="10">
        <v>5</v>
      </c>
      <c r="K13" s="10" t="s">
        <v>2660</v>
      </c>
      <c r="L13" s="10" t="s">
        <v>2641</v>
      </c>
      <c r="M13" s="10" t="s">
        <v>2761</v>
      </c>
      <c r="N13" s="11" t="s">
        <v>2769</v>
      </c>
      <c r="O13" s="10"/>
      <c r="P13" s="10">
        <v>4</v>
      </c>
      <c r="Q13" s="10">
        <v>1.9667617268167963</v>
      </c>
      <c r="R13" s="10"/>
      <c r="S13" s="10" t="s">
        <v>2834</v>
      </c>
      <c r="T13" s="10" t="s">
        <v>2834</v>
      </c>
      <c r="U13" s="10"/>
      <c r="V13" s="10"/>
      <c r="W13" s="10"/>
      <c r="X13" s="10"/>
      <c r="Y13" s="10"/>
      <c r="Z13" s="10"/>
      <c r="AA13" s="10"/>
      <c r="AB13" s="10"/>
      <c r="AC13" s="10"/>
      <c r="AD13" s="10"/>
    </row>
    <row r="14" spans="1:30" ht="43.5">
      <c r="A14" s="2" t="s">
        <v>1135</v>
      </c>
      <c r="B14" s="2" t="s">
        <v>2543</v>
      </c>
      <c r="C14" s="2" t="s">
        <v>2544</v>
      </c>
      <c r="G14" s="10" t="s">
        <v>24</v>
      </c>
      <c r="H14" s="10"/>
      <c r="I14" s="10">
        <v>1</v>
      </c>
      <c r="J14" s="10">
        <v>6</v>
      </c>
      <c r="K14" s="10" t="s">
        <v>2660</v>
      </c>
      <c r="L14" s="10" t="s">
        <v>2641</v>
      </c>
      <c r="M14" s="10" t="s">
        <v>2761</v>
      </c>
      <c r="N14" s="11" t="s">
        <v>2705</v>
      </c>
      <c r="O14" s="10"/>
      <c r="P14" s="10">
        <v>250</v>
      </c>
      <c r="Q14" s="10">
        <v>122.92260792604976</v>
      </c>
      <c r="R14" s="10"/>
      <c r="S14" s="10" t="s">
        <v>2834</v>
      </c>
      <c r="T14" s="10" t="s">
        <v>2834</v>
      </c>
      <c r="U14" s="10"/>
      <c r="V14" s="10"/>
      <c r="W14" s="10"/>
      <c r="X14" s="10"/>
      <c r="Y14" s="10"/>
      <c r="Z14" s="10"/>
      <c r="AA14" s="10"/>
      <c r="AB14" s="10"/>
      <c r="AC14" s="10"/>
      <c r="AD14" s="10"/>
    </row>
    <row r="17" spans="4:5">
      <c r="D17" t="s">
        <v>2831</v>
      </c>
      <c r="E17">
        <v>20338</v>
      </c>
    </row>
    <row r="18" spans="4:5">
      <c r="D18" t="s">
        <v>2836</v>
      </c>
      <c r="E18">
        <f>MEDIAN(Q:Q)</f>
        <v>25.567902448618351</v>
      </c>
    </row>
    <row r="21" spans="4:5">
      <c r="D21" t="s">
        <v>2837</v>
      </c>
      <c r="E21">
        <f>COUNTIFS(G:G, "Addition", Q:Q, "&gt;=" &amp; $E$18)</f>
        <v>5</v>
      </c>
    </row>
    <row r="22" spans="4:5">
      <c r="D22" t="s">
        <v>2838</v>
      </c>
      <c r="E22">
        <f>COUNTIFS(G:G, "Omission", Q:Q, "&gt;=" &amp; $E$18)</f>
        <v>2</v>
      </c>
    </row>
    <row r="23" spans="4:5">
      <c r="D23" t="s">
        <v>2839</v>
      </c>
      <c r="E23">
        <f>E21/(E21+E22)</f>
        <v>0.7142857142857143</v>
      </c>
    </row>
    <row r="24" spans="4:5">
      <c r="D24" t="s">
        <v>2840</v>
      </c>
      <c r="E24">
        <f>COUNTIFS(G:G, "Addition", Q:Q, "&lt;" &amp; $E$18)</f>
        <v>2</v>
      </c>
    </row>
    <row r="25" spans="4:5">
      <c r="D25" t="s">
        <v>2841</v>
      </c>
      <c r="E25">
        <f>COUNTIFS(G:G, "Omission", Q:Q, "&lt;" &amp; $E$18)</f>
        <v>4</v>
      </c>
    </row>
    <row r="26" spans="4:5">
      <c r="D26" t="s">
        <v>2842</v>
      </c>
      <c r="E26">
        <f>E24/(E24+E25)</f>
        <v>0.33333333333333331</v>
      </c>
    </row>
    <row r="27" spans="4:5">
      <c r="D27" t="s">
        <v>2856</v>
      </c>
      <c r="E27">
        <f>E23-E26</f>
        <v>0.38095238095238099</v>
      </c>
    </row>
  </sheetData>
  <conditionalFormatting sqref="G2:G14">
    <cfRule type="expression" dxfId="74" priority="4">
      <formula>$I2&lt;&gt;""</formula>
    </cfRule>
    <cfRule type="expression" dxfId="73" priority="5">
      <formula>$I2=""</formula>
    </cfRule>
  </conditionalFormatting>
  <conditionalFormatting sqref="H2:L14 O2:Q14">
    <cfRule type="expression" dxfId="72" priority="22">
      <formula>AND(OR($I2="Addition",$I2="Omission"), H2="")</formula>
    </cfRule>
    <cfRule type="expression" dxfId="71" priority="23">
      <formula>AND($I2&lt;&gt;"Addition",$I2&lt;&gt;"Omission",$I2&lt;&gt;"Substitution - Word")</formula>
    </cfRule>
  </conditionalFormatting>
  <conditionalFormatting sqref="H2:Q14">
    <cfRule type="expression" dxfId="70" priority="21">
      <formula>AND(OR($I2="Addition",$I2="Omission"), H2&lt;&gt;"")</formula>
    </cfRule>
  </conditionalFormatting>
  <conditionalFormatting sqref="K2:K14">
    <cfRule type="expression" dxfId="69" priority="16">
      <formula>AND($K2&lt;&gt;"",$K2&gt;1)</formula>
    </cfRule>
  </conditionalFormatting>
  <conditionalFormatting sqref="M2:N14">
    <cfRule type="expression" dxfId="68" priority="12">
      <formula>$N2="Absent"</formula>
    </cfRule>
    <cfRule type="expression" dxfId="67" priority="13">
      <formula>$N2="NA"</formula>
    </cfRule>
    <cfRule type="expression" dxfId="66" priority="14">
      <formula>AND(OR($I2="Addition",$I2="Omission"), M2="")</formula>
    </cfRule>
    <cfRule type="expression" dxfId="65" priority="15">
      <formula>AND($I2&lt;&gt;"Addition",$I2&lt;&gt;"Omission")</formula>
    </cfRule>
  </conditionalFormatting>
  <conditionalFormatting sqref="O2:O14">
    <cfRule type="expression" dxfId="64" priority="17">
      <formula>OR($I2="Addition",$I2="Omission",$I2 = "Substitution - Word")</formula>
    </cfRule>
  </conditionalFormatting>
  <conditionalFormatting sqref="R2:T14">
    <cfRule type="expression" dxfId="63" priority="18">
      <formula>AND(AND(LEFT($I2,3)="Sub", RIGHT($I2,4)&lt;&gt;"Form"),$T2&lt;&gt;"")</formula>
    </cfRule>
    <cfRule type="expression" dxfId="62" priority="19">
      <formula>AND(AND(LEFT($I2,3)="Sub", RIGHT($I2,4)&lt;&gt;"Form"),$T2="")</formula>
    </cfRule>
    <cfRule type="expression" dxfId="61" priority="20">
      <formula>"&lt;&gt;AND(LEFT($J2,3)=""Sub"", RIGHT($J2,4)&lt;&gt;""Form"")"</formula>
    </cfRule>
  </conditionalFormatting>
  <conditionalFormatting sqref="S2:T14">
    <cfRule type="expression" dxfId="60" priority="1">
      <formula>AND(AND(LEFT($I2,3)="Sub", RIGHT($I2,4)&lt;&gt;"Form"),$T2&lt;&gt;"")</formula>
    </cfRule>
    <cfRule type="expression" dxfId="59" priority="2">
      <formula>AND(AND(LEFT($I2,3)="Sub", RIGHT($I2,4)&lt;&gt;"Form"),$T2="")</formula>
    </cfRule>
    <cfRule type="expression" dxfId="58" priority="3">
      <formula>"&lt;&gt;AND(LEFT($J2,3)=""Sub"", RIGHT($J2,4)&lt;&gt;""Form"")"</formula>
    </cfRule>
  </conditionalFormatting>
  <conditionalFormatting sqref="U2:U14">
    <cfRule type="expression" dxfId="57" priority="7">
      <formula>AND($W2&lt;&gt;"",OR($AD2="Yes",$AE2&lt;&gt;""))</formula>
    </cfRule>
    <cfRule type="expression" dxfId="56" priority="8">
      <formula>OR($AD2="Yes",$AE2&lt;&gt;"")</formula>
    </cfRule>
    <cfRule type="expression" dxfId="55" priority="26">
      <formula>AND($AD2&lt;&gt;"Yes",$AE2="")</formula>
    </cfRule>
  </conditionalFormatting>
  <conditionalFormatting sqref="U2:AD14">
    <cfRule type="expression" dxfId="54" priority="24">
      <formula>AND($I2&lt;&gt;"",$I2&lt;&gt;"Unclear due to correction")</formula>
    </cfRule>
    <cfRule type="expression" dxfId="53" priority="25">
      <formula>OR($I2="",$I2="Unclear due to correction")</formula>
    </cfRule>
  </conditionalFormatting>
  <conditionalFormatting sqref="V2:V14">
    <cfRule type="expression" dxfId="52" priority="6">
      <formula>AND($I2&lt;&gt;"",$I2&lt;&gt;"Unclear due to correction",$X2="")</formula>
    </cfRule>
  </conditionalFormatting>
  <conditionalFormatting sqref="W2:W14">
    <cfRule type="expression" dxfId="51" priority="9">
      <formula>AND($X2="Yes",$Y2="")</formula>
    </cfRule>
    <cfRule type="expression" dxfId="50" priority="10">
      <formula>$X2=""</formula>
    </cfRule>
  </conditionalFormatting>
  <conditionalFormatting sqref="AB2:AB14">
    <cfRule type="expression" dxfId="49" priority="11">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66B80CCC-2A09-412A-8DC6-54F891EF2D58}">
          <x14:formula1>
            <xm:f>'Data Regularization'!$P$2:$P$1048576</xm:f>
          </x14:formula1>
          <xm:sqref>AD2:AD14</xm:sqref>
        </x14:dataValidation>
        <x14:dataValidation type="list" allowBlank="1" showInputMessage="1" xr:uid="{57B105AC-4586-41DF-BEF9-DDEB526C1AAA}">
          <x14:formula1>
            <xm:f>'Data Regularization'!$I$2:$I$1048576</xm:f>
          </x14:formula1>
          <xm:sqref>V2:V14</xm:sqref>
        </x14:dataValidation>
        <x14:dataValidation type="list" allowBlank="1" showInputMessage="1" showErrorMessage="1" xr:uid="{5085284E-4810-4C4C-9B0F-769F954F968D}">
          <x14:formula1>
            <xm:f>'Data Regularization'!$H$2:$H$1048576</xm:f>
          </x14:formula1>
          <xm:sqref>U2:U14</xm:sqref>
        </x14:dataValidation>
        <x14:dataValidation type="list" allowBlank="1" showInputMessage="1" showErrorMessage="1" xr:uid="{47CE616E-CC5E-4CD0-9EF6-B68DF453155C}">
          <x14:formula1>
            <xm:f>'Data Regularization'!$O$2:$O$1048576</xm:f>
          </x14:formula1>
          <xm:sqref>AC2:AC14</xm:sqref>
        </x14:dataValidation>
        <x14:dataValidation type="list" allowBlank="1" showInputMessage="1" showErrorMessage="1" xr:uid="{EF58717E-866C-4818-AB15-0715A0F31AA1}">
          <x14:formula1>
            <xm:f>'Data Regularization'!$N$2:$N$1048576</xm:f>
          </x14:formula1>
          <xm:sqref>AB2:AB14</xm:sqref>
        </x14:dataValidation>
        <x14:dataValidation type="list" allowBlank="1" showInputMessage="1" showErrorMessage="1" xr:uid="{9F103DC1-D493-400C-82C9-479811F70D43}">
          <x14:formula1>
            <xm:f>'Data Regularization'!$M$2:$M$1048576</xm:f>
          </x14:formula1>
          <xm:sqref>Z2:Z14</xm:sqref>
        </x14:dataValidation>
        <x14:dataValidation type="list" allowBlank="1" showInputMessage="1" showErrorMessage="1" xr:uid="{B7F807DE-AC3A-4C6B-969A-8788C7D8EBE5}">
          <x14:formula1>
            <xm:f>'Data Regularization'!$L$2:$L$1048576</xm:f>
          </x14:formula1>
          <xm:sqref>Y2:Y14</xm:sqref>
        </x14:dataValidation>
        <x14:dataValidation type="list" allowBlank="1" showInputMessage="1" showErrorMessage="1" xr:uid="{F14F0E2B-6764-4542-B94C-75A5CADE1F29}">
          <x14:formula1>
            <xm:f>'Data Regularization'!$K$2:$K$1048576</xm:f>
          </x14:formula1>
          <xm:sqref>X2:X14</xm:sqref>
        </x14:dataValidation>
        <x14:dataValidation type="list" allowBlank="1" showInputMessage="1" showErrorMessage="1" xr:uid="{0BE055D9-C683-4E1F-898F-0CE1A24E3FBF}">
          <x14:formula1>
            <xm:f>'Data Regularization'!$J$2:$J$1048576</xm:f>
          </x14:formula1>
          <xm:sqref>W2:W14</xm:sqref>
        </x14:dataValidation>
        <x14:dataValidation type="list" allowBlank="1" showInputMessage="1" showErrorMessage="1" xr:uid="{24ED2C2C-EBA9-40D0-8465-5C248F437D48}">
          <x14:formula1>
            <xm:f>'Data Regularization'!$G$2:$G$1048576</xm:f>
          </x14:formula1>
          <xm:sqref>O2:O14</xm:sqref>
        </x14:dataValidation>
        <x14:dataValidation type="list" allowBlank="1" showInputMessage="1" showErrorMessage="1" xr:uid="{9301DB48-60AC-442C-821E-ED4E78876BE3}">
          <x14:formula1>
            <xm:f>'Data Regularization'!$F$2:$F$1048576</xm:f>
          </x14:formula1>
          <xm:sqref>L2:L14</xm:sqref>
        </x14:dataValidation>
        <x14:dataValidation type="list" allowBlank="1" showInputMessage="1" showErrorMessage="1" xr:uid="{DBAAC8A2-1B4A-43C0-A109-C6146FA8F430}">
          <x14:formula1>
            <xm:f>'Data Regularization'!$E$2:$E$1048576</xm:f>
          </x14:formula1>
          <xm:sqref>K2:K14</xm:sqref>
        </x14:dataValidation>
        <x14:dataValidation type="list" allowBlank="1" showInputMessage="1" showErrorMessage="1" xr:uid="{274E06B5-48CB-4C9F-970B-2E38500B98CA}">
          <x14:formula1>
            <xm:f>'Data Regularization'!$B$2:$B$1048576</xm:f>
          </x14:formula1>
          <xm:sqref>E2:E14</xm:sqref>
        </x14:dataValidation>
        <x14:dataValidation type="list" allowBlank="1" showInputMessage="1" showErrorMessage="1" xr:uid="{A6FC4A3B-136D-432F-A98E-0C349EDCF870}">
          <x14:formula1>
            <xm:f>'Data Regularization'!$A$2:$A$1048576</xm:f>
          </x14:formula1>
          <xm:sqref>D2:D14</xm:sqref>
        </x14:dataValidation>
        <x14:dataValidation type="list" allowBlank="1" showInputMessage="1" showErrorMessage="1" xr:uid="{398BE4F4-3A87-4095-A0F8-AE784953A49B}">
          <x14:formula1>
            <xm:f>'Data Regularization'!$C$2:$C$50</xm:f>
          </x14:formula1>
          <xm:sqref>F2:F14</xm:sqref>
        </x14:dataValidation>
        <x14:dataValidation type="list" allowBlank="1" showInputMessage="1" showErrorMessage="1" xr:uid="{28C5A502-7683-45E1-9998-CF36CF0FB9C3}">
          <x14:formula1>
            <xm:f>'Data Regularization'!$D$2:$D$1048576</xm:f>
          </x14:formula1>
          <xm:sqref>G2:G14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75C1-BB67-4251-9E73-A535B20F06B4}">
  <dimension ref="A1:AF122"/>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32" s="1" customFormat="1" ht="29">
      <c r="A1" s="1" t="s">
        <v>0</v>
      </c>
      <c r="B1" s="12" t="s">
        <v>5</v>
      </c>
      <c r="C1" s="1" t="s">
        <v>6</v>
      </c>
      <c r="D1" s="1" t="s">
        <v>2668</v>
      </c>
      <c r="E1" s="1" t="s">
        <v>2669</v>
      </c>
      <c r="F1" s="1" t="s">
        <v>2670</v>
      </c>
      <c r="G1" s="1" t="s">
        <v>3</v>
      </c>
      <c r="H1" s="1" t="s">
        <v>2671</v>
      </c>
      <c r="I1" s="1" t="s">
        <v>2672</v>
      </c>
      <c r="J1" s="1" t="s">
        <v>2673</v>
      </c>
      <c r="K1" s="1" t="s">
        <v>2674</v>
      </c>
      <c r="L1" s="1" t="s">
        <v>2634</v>
      </c>
      <c r="M1" s="1" t="s">
        <v>2675</v>
      </c>
      <c r="N1" s="9" t="s">
        <v>2676</v>
      </c>
      <c r="O1" s="1" t="s">
        <v>2635</v>
      </c>
      <c r="P1" s="1" t="s">
        <v>2677</v>
      </c>
      <c r="Q1" s="1" t="s">
        <v>2678</v>
      </c>
      <c r="R1" s="1" t="s">
        <v>2832</v>
      </c>
      <c r="S1" s="1" t="s">
        <v>2833</v>
      </c>
      <c r="T1" s="1" t="s">
        <v>2846</v>
      </c>
      <c r="U1" s="1" t="s">
        <v>2847</v>
      </c>
      <c r="V1" s="1" t="s">
        <v>2848</v>
      </c>
      <c r="W1" s="1" t="s">
        <v>2680</v>
      </c>
      <c r="X1" s="1" t="s">
        <v>2681</v>
      </c>
      <c r="Y1" s="1" t="s">
        <v>2682</v>
      </c>
      <c r="Z1" s="1" t="s">
        <v>2636</v>
      </c>
      <c r="AA1" s="1" t="s">
        <v>2637</v>
      </c>
      <c r="AB1" s="1" t="s">
        <v>2638</v>
      </c>
      <c r="AC1" s="1" t="s">
        <v>2679</v>
      </c>
      <c r="AD1" s="1" t="s">
        <v>2683</v>
      </c>
      <c r="AE1" s="1" t="s">
        <v>2639</v>
      </c>
      <c r="AF1" s="1" t="s">
        <v>2684</v>
      </c>
    </row>
    <row r="2" spans="1:32" ht="43.5">
      <c r="A2" s="2" t="s">
        <v>47</v>
      </c>
      <c r="B2" s="13" t="s">
        <v>1228</v>
      </c>
      <c r="C2" t="s">
        <v>1229</v>
      </c>
      <c r="F2" t="s">
        <v>19</v>
      </c>
      <c r="G2" s="10" t="s">
        <v>2686</v>
      </c>
      <c r="H2" s="10"/>
      <c r="I2" s="10"/>
      <c r="J2" s="10"/>
      <c r="K2" s="10"/>
      <c r="L2" s="10"/>
      <c r="M2" s="10"/>
      <c r="N2" s="11"/>
      <c r="O2" s="10"/>
      <c r="P2" s="10"/>
      <c r="Q2" s="10">
        <v>-403</v>
      </c>
      <c r="R2" s="10">
        <v>613</v>
      </c>
      <c r="S2" s="10">
        <v>210</v>
      </c>
      <c r="T2" s="15">
        <f>IF(ISNUMBER(R2), (R2/$E$106)*10000, "")</f>
        <v>301.40623463467404</v>
      </c>
      <c r="U2" s="15">
        <f>IF(ISNUMBER(S2), (S2/$E$106)*10000, "")</f>
        <v>103.25499065788181</v>
      </c>
      <c r="V2" s="15">
        <f>IF(ISNUMBER(Q2), U2-T2, "")</f>
        <v>-198.15124397679222</v>
      </c>
      <c r="W2" s="10"/>
      <c r="X2" s="10"/>
      <c r="Y2" s="10"/>
      <c r="Z2" s="10"/>
      <c r="AA2" s="10"/>
      <c r="AB2" s="10"/>
      <c r="AC2" s="10"/>
      <c r="AD2" s="10"/>
      <c r="AE2" s="10"/>
      <c r="AF2" s="10"/>
    </row>
    <row r="3" spans="1:32" ht="72.5">
      <c r="A3" s="2" t="s">
        <v>86</v>
      </c>
      <c r="B3" s="2" t="s">
        <v>1280</v>
      </c>
      <c r="C3" s="2" t="s">
        <v>1281</v>
      </c>
      <c r="G3" s="10" t="s">
        <v>2686</v>
      </c>
      <c r="H3" s="10"/>
      <c r="I3" s="10"/>
      <c r="J3" s="10"/>
      <c r="K3" s="10"/>
      <c r="L3" s="10"/>
      <c r="M3" s="10"/>
      <c r="N3" s="11"/>
      <c r="O3" s="10"/>
      <c r="P3" s="10"/>
      <c r="Q3" s="10">
        <v>-20</v>
      </c>
      <c r="R3" s="10">
        <v>20</v>
      </c>
      <c r="S3" s="10">
        <v>0</v>
      </c>
      <c r="T3" s="15">
        <f t="shared" ref="T3:T66" si="0">IF(ISNUMBER(R3), (R3/$E$106)*10000, "")</f>
        <v>9.8338086340839794</v>
      </c>
      <c r="U3" s="15">
        <f t="shared" ref="U3:U66" si="1">IF(ISNUMBER(S3), (S3/$E$106)*10000, "")</f>
        <v>0</v>
      </c>
      <c r="V3" s="15">
        <f t="shared" ref="V3:V66" si="2">IF(ISNUMBER(Q3), U3-T3, "")</f>
        <v>-9.8338086340839794</v>
      </c>
      <c r="W3" s="10"/>
      <c r="X3" s="10"/>
      <c r="Y3" s="10"/>
      <c r="Z3" s="10"/>
      <c r="AA3" s="10"/>
      <c r="AB3" s="10"/>
      <c r="AC3" s="10"/>
      <c r="AD3" s="10"/>
      <c r="AE3" s="10"/>
      <c r="AF3" s="10"/>
    </row>
    <row r="4" spans="1:32" ht="29">
      <c r="A4" s="2" t="s">
        <v>118</v>
      </c>
      <c r="B4" s="2" t="s">
        <v>1323</v>
      </c>
      <c r="C4" s="2" t="s">
        <v>1324</v>
      </c>
      <c r="G4" s="10" t="s">
        <v>2686</v>
      </c>
      <c r="H4" s="10"/>
      <c r="I4" s="10"/>
      <c r="J4" s="10"/>
      <c r="K4" s="10"/>
      <c r="L4" s="10"/>
      <c r="M4" s="10"/>
      <c r="N4" s="11"/>
      <c r="O4" s="10"/>
      <c r="P4" s="10"/>
      <c r="Q4" s="10">
        <v>-431</v>
      </c>
      <c r="R4" s="10">
        <v>743</v>
      </c>
      <c r="S4" s="10">
        <v>312</v>
      </c>
      <c r="T4" s="15">
        <f t="shared" si="0"/>
        <v>365.32599075621988</v>
      </c>
      <c r="U4" s="15">
        <f t="shared" si="1"/>
        <v>153.4074146917101</v>
      </c>
      <c r="V4" s="15">
        <f t="shared" si="2"/>
        <v>-211.91857606450978</v>
      </c>
      <c r="W4" s="10"/>
      <c r="X4" s="10"/>
      <c r="Y4" s="10"/>
      <c r="Z4" s="10"/>
      <c r="AA4" s="10"/>
      <c r="AB4" s="10"/>
      <c r="AC4" s="10"/>
      <c r="AD4" s="10"/>
      <c r="AE4" s="10"/>
      <c r="AF4" s="10"/>
    </row>
    <row r="5" spans="1:32" ht="29">
      <c r="A5" s="2" t="s">
        <v>123</v>
      </c>
      <c r="B5" s="2" t="s">
        <v>1338</v>
      </c>
      <c r="C5" s="2" t="s">
        <v>1339</v>
      </c>
      <c r="F5" t="s">
        <v>19</v>
      </c>
      <c r="G5" s="10" t="s">
        <v>2686</v>
      </c>
      <c r="H5" s="10"/>
      <c r="I5" s="10"/>
      <c r="J5" s="10"/>
      <c r="K5" s="10"/>
      <c r="L5" s="10"/>
      <c r="M5" s="10"/>
      <c r="N5" s="11"/>
      <c r="O5" s="10"/>
      <c r="P5" s="10"/>
      <c r="Q5" s="10">
        <v>-431</v>
      </c>
      <c r="R5" s="10">
        <v>743</v>
      </c>
      <c r="S5" s="10">
        <v>312</v>
      </c>
      <c r="T5" s="15">
        <f t="shared" si="0"/>
        <v>365.32599075621988</v>
      </c>
      <c r="U5" s="15">
        <f t="shared" si="1"/>
        <v>153.4074146917101</v>
      </c>
      <c r="V5" s="15">
        <f t="shared" si="2"/>
        <v>-211.91857606450978</v>
      </c>
      <c r="W5" s="10"/>
      <c r="X5" s="10"/>
      <c r="Y5" s="10"/>
      <c r="Z5" s="10"/>
      <c r="AA5" s="10"/>
      <c r="AB5" s="10"/>
      <c r="AC5" s="10"/>
      <c r="AD5" s="10"/>
      <c r="AE5" s="10"/>
      <c r="AF5" s="10"/>
    </row>
    <row r="6" spans="1:32" ht="29">
      <c r="A6" s="2" t="s">
        <v>134</v>
      </c>
      <c r="B6" s="2" t="s">
        <v>1351</v>
      </c>
      <c r="C6" s="2" t="s">
        <v>1352</v>
      </c>
      <c r="G6" s="10" t="s">
        <v>2686</v>
      </c>
      <c r="H6" s="10"/>
      <c r="I6" s="10"/>
      <c r="J6" s="10"/>
      <c r="K6" s="10"/>
      <c r="L6" s="10"/>
      <c r="M6" s="10"/>
      <c r="N6" s="11"/>
      <c r="O6" s="10"/>
      <c r="P6" s="10"/>
      <c r="Q6" s="10">
        <v>61</v>
      </c>
      <c r="R6" s="10">
        <v>105</v>
      </c>
      <c r="S6" s="10">
        <v>166</v>
      </c>
      <c r="T6" s="15">
        <f t="shared" si="0"/>
        <v>51.627495328940903</v>
      </c>
      <c r="U6" s="15">
        <f t="shared" si="1"/>
        <v>81.620611662897048</v>
      </c>
      <c r="V6" s="15">
        <f t="shared" si="2"/>
        <v>29.993116333956145</v>
      </c>
      <c r="W6" s="10"/>
      <c r="X6" s="10"/>
      <c r="Y6" s="10"/>
      <c r="Z6" s="10"/>
      <c r="AA6" s="10"/>
      <c r="AB6" s="10"/>
      <c r="AC6" s="10"/>
      <c r="AD6" s="10"/>
      <c r="AE6" s="10"/>
      <c r="AF6" s="10"/>
    </row>
    <row r="7" spans="1:32" ht="58">
      <c r="A7" s="2" t="s">
        <v>147</v>
      </c>
      <c r="B7" s="2" t="s">
        <v>1378</v>
      </c>
      <c r="C7" s="2" t="s">
        <v>1377</v>
      </c>
      <c r="G7" s="10" t="s">
        <v>2686</v>
      </c>
      <c r="H7" s="10"/>
      <c r="I7" s="10"/>
      <c r="J7" s="10"/>
      <c r="K7" s="10"/>
      <c r="L7" s="10"/>
      <c r="M7" s="10"/>
      <c r="N7" s="11"/>
      <c r="O7" s="10"/>
      <c r="P7" s="10"/>
      <c r="Q7" s="10">
        <v>-774</v>
      </c>
      <c r="R7" s="10">
        <v>2475</v>
      </c>
      <c r="S7" s="10">
        <v>1701</v>
      </c>
      <c r="T7" s="15">
        <f t="shared" si="0"/>
        <v>1216.9338184678927</v>
      </c>
      <c r="U7" s="15">
        <f t="shared" si="1"/>
        <v>836.36542432884255</v>
      </c>
      <c r="V7" s="15">
        <f t="shared" si="2"/>
        <v>-380.56839413905016</v>
      </c>
      <c r="W7" s="10"/>
      <c r="X7" s="10"/>
      <c r="Y7" s="10"/>
      <c r="Z7" s="10"/>
      <c r="AA7" s="10"/>
      <c r="AB7" s="10"/>
      <c r="AC7" s="10"/>
      <c r="AD7" s="10"/>
      <c r="AE7" s="10"/>
      <c r="AF7" s="10"/>
    </row>
    <row r="8" spans="1:32" ht="43.5">
      <c r="A8" s="2" t="s">
        <v>164</v>
      </c>
      <c r="B8" s="2" t="s">
        <v>1403</v>
      </c>
      <c r="C8" s="2" t="s">
        <v>1404</v>
      </c>
      <c r="F8" t="s">
        <v>19</v>
      </c>
      <c r="G8" s="10" t="s">
        <v>2686</v>
      </c>
      <c r="H8" s="10"/>
      <c r="I8" s="10"/>
      <c r="J8" s="10"/>
      <c r="K8" s="10"/>
      <c r="L8" s="10"/>
      <c r="M8" s="10"/>
      <c r="N8" s="11"/>
      <c r="O8" s="10"/>
      <c r="P8" s="10"/>
      <c r="Q8" s="10">
        <v>-60</v>
      </c>
      <c r="R8" s="10">
        <v>146</v>
      </c>
      <c r="S8" s="10">
        <v>86</v>
      </c>
      <c r="T8" s="15">
        <f t="shared" si="0"/>
        <v>71.786803028813054</v>
      </c>
      <c r="U8" s="15">
        <f t="shared" si="1"/>
        <v>42.285377126561116</v>
      </c>
      <c r="V8" s="15">
        <f t="shared" si="2"/>
        <v>-29.501425902251938</v>
      </c>
      <c r="W8" s="10"/>
      <c r="X8" s="10"/>
      <c r="Y8" s="10"/>
      <c r="Z8" s="10"/>
      <c r="AA8" s="10"/>
      <c r="AB8" s="10"/>
      <c r="AC8" s="10"/>
      <c r="AD8" s="10"/>
      <c r="AE8" s="10"/>
      <c r="AF8" s="10"/>
    </row>
    <row r="9" spans="1:32" ht="29">
      <c r="A9" s="2" t="s">
        <v>178</v>
      </c>
      <c r="B9" s="2" t="s">
        <v>1414</v>
      </c>
      <c r="C9" s="2" t="s">
        <v>1415</v>
      </c>
      <c r="F9" t="s">
        <v>19</v>
      </c>
      <c r="G9" s="10" t="s">
        <v>2686</v>
      </c>
      <c r="H9" s="10"/>
      <c r="I9" s="10"/>
      <c r="J9" s="10"/>
      <c r="K9" s="10"/>
      <c r="L9" s="10"/>
      <c r="M9" s="10"/>
      <c r="N9" s="11"/>
      <c r="O9" s="10"/>
      <c r="P9" s="10"/>
      <c r="Q9" s="10">
        <v>249</v>
      </c>
      <c r="R9" s="10">
        <v>31</v>
      </c>
      <c r="S9" s="10">
        <v>280</v>
      </c>
      <c r="T9" s="15">
        <f t="shared" si="0"/>
        <v>15.242403382830171</v>
      </c>
      <c r="U9" s="15">
        <f t="shared" si="1"/>
        <v>137.67332087717574</v>
      </c>
      <c r="V9" s="15">
        <f t="shared" si="2"/>
        <v>122.43091749434556</v>
      </c>
      <c r="W9" s="10"/>
      <c r="X9" s="10"/>
      <c r="Y9" s="10"/>
      <c r="Z9" s="10"/>
      <c r="AA9" s="10"/>
      <c r="AB9" s="10"/>
      <c r="AC9" s="10"/>
      <c r="AD9" s="10"/>
      <c r="AE9" s="10"/>
      <c r="AF9" s="10"/>
    </row>
    <row r="10" spans="1:32" ht="58">
      <c r="A10" s="2" t="s">
        <v>195</v>
      </c>
      <c r="B10" s="2" t="s">
        <v>1437</v>
      </c>
      <c r="C10" s="2" t="s">
        <v>1438</v>
      </c>
      <c r="F10" t="s">
        <v>19</v>
      </c>
      <c r="G10" s="10" t="s">
        <v>2686</v>
      </c>
      <c r="H10" s="10"/>
      <c r="I10" s="10"/>
      <c r="J10" s="10"/>
      <c r="K10" s="10"/>
      <c r="L10" s="10"/>
      <c r="M10" s="10"/>
      <c r="N10" s="11"/>
      <c r="O10" s="10"/>
      <c r="P10" s="10"/>
      <c r="Q10" s="10">
        <v>-431</v>
      </c>
      <c r="R10" s="10">
        <v>743</v>
      </c>
      <c r="S10" s="10">
        <v>312</v>
      </c>
      <c r="T10" s="15">
        <f t="shared" si="0"/>
        <v>365.32599075621988</v>
      </c>
      <c r="U10" s="15">
        <f t="shared" si="1"/>
        <v>153.4074146917101</v>
      </c>
      <c r="V10" s="15">
        <f t="shared" si="2"/>
        <v>-211.91857606450978</v>
      </c>
      <c r="W10" s="10"/>
      <c r="X10" s="10"/>
      <c r="Y10" s="10"/>
      <c r="Z10" s="10"/>
      <c r="AA10" s="10"/>
      <c r="AB10" s="10"/>
      <c r="AC10" s="10"/>
      <c r="AD10" s="10"/>
      <c r="AE10" s="10"/>
      <c r="AF10" s="10"/>
    </row>
    <row r="11" spans="1:32" ht="87">
      <c r="A11" s="2" t="s">
        <v>232</v>
      </c>
      <c r="B11" s="2" t="s">
        <v>1495</v>
      </c>
      <c r="C11" s="2" t="s">
        <v>1496</v>
      </c>
      <c r="G11" s="10" t="s">
        <v>2689</v>
      </c>
      <c r="H11" s="10"/>
      <c r="I11" s="10"/>
      <c r="J11" s="10"/>
      <c r="K11" s="10"/>
      <c r="L11" s="10"/>
      <c r="M11" s="10"/>
      <c r="N11" s="11"/>
      <c r="O11" s="10"/>
      <c r="P11" s="10"/>
      <c r="Q11" s="10">
        <v>-194</v>
      </c>
      <c r="R11" s="10">
        <v>250</v>
      </c>
      <c r="S11" s="10">
        <v>56</v>
      </c>
      <c r="T11" s="15">
        <f t="shared" si="0"/>
        <v>122.92260792604976</v>
      </c>
      <c r="U11" s="15">
        <f t="shared" si="1"/>
        <v>27.534664175435147</v>
      </c>
      <c r="V11" s="15">
        <f t="shared" si="2"/>
        <v>-95.387943750614625</v>
      </c>
      <c r="W11" s="10"/>
      <c r="X11" s="10"/>
      <c r="Y11" s="10"/>
      <c r="Z11" s="10"/>
      <c r="AA11" s="10"/>
      <c r="AB11" s="10"/>
      <c r="AC11" s="10"/>
      <c r="AD11" s="10"/>
      <c r="AE11" s="10"/>
      <c r="AF11" s="10"/>
    </row>
    <row r="12" spans="1:32">
      <c r="A12" s="2" t="s">
        <v>242</v>
      </c>
      <c r="B12" s="2" t="s">
        <v>1503</v>
      </c>
      <c r="C12" s="2" t="s">
        <v>244</v>
      </c>
      <c r="F12" t="s">
        <v>19</v>
      </c>
      <c r="G12" s="10" t="s">
        <v>2686</v>
      </c>
      <c r="H12" s="10"/>
      <c r="I12" s="10"/>
      <c r="J12" s="10"/>
      <c r="K12" s="10"/>
      <c r="L12" s="10"/>
      <c r="M12" s="10"/>
      <c r="N12" s="11"/>
      <c r="O12" s="10"/>
      <c r="P12" s="10"/>
      <c r="Q12" s="10">
        <v>-3</v>
      </c>
      <c r="R12" s="10">
        <v>3</v>
      </c>
      <c r="S12" s="10">
        <v>0</v>
      </c>
      <c r="T12" s="15">
        <f t="shared" si="0"/>
        <v>1.4750712951125973</v>
      </c>
      <c r="U12" s="15">
        <f t="shared" si="1"/>
        <v>0</v>
      </c>
      <c r="V12" s="15">
        <f t="shared" si="2"/>
        <v>-1.4750712951125973</v>
      </c>
      <c r="W12" s="10"/>
      <c r="X12" s="10"/>
      <c r="Y12" s="10"/>
      <c r="Z12" s="10"/>
      <c r="AA12" s="10"/>
      <c r="AB12" s="10"/>
      <c r="AC12" s="10"/>
      <c r="AD12" s="10"/>
      <c r="AE12" s="10"/>
      <c r="AF12" s="10"/>
    </row>
    <row r="13" spans="1:32">
      <c r="A13" s="2" t="s">
        <v>248</v>
      </c>
      <c r="B13" s="2" t="s">
        <v>250</v>
      </c>
      <c r="C13" s="2" t="s">
        <v>249</v>
      </c>
      <c r="G13" s="10" t="s">
        <v>2686</v>
      </c>
      <c r="H13" s="10"/>
      <c r="I13" s="10"/>
      <c r="J13" s="10"/>
      <c r="K13" s="10"/>
      <c r="L13" s="10"/>
      <c r="M13" s="10"/>
      <c r="N13" s="11"/>
      <c r="O13" s="10"/>
      <c r="P13" s="10"/>
      <c r="Q13" s="10">
        <v>-26</v>
      </c>
      <c r="R13" s="10">
        <v>26</v>
      </c>
      <c r="S13" s="10">
        <v>0</v>
      </c>
      <c r="T13" s="15">
        <f t="shared" si="0"/>
        <v>12.783951224309176</v>
      </c>
      <c r="U13" s="15">
        <f t="shared" si="1"/>
        <v>0</v>
      </c>
      <c r="V13" s="15">
        <f t="shared" si="2"/>
        <v>-12.783951224309176</v>
      </c>
      <c r="W13" s="10"/>
      <c r="X13" s="10"/>
      <c r="Y13" s="10"/>
      <c r="Z13" s="10"/>
      <c r="AA13" s="10"/>
      <c r="AB13" s="10"/>
      <c r="AC13" s="10"/>
      <c r="AD13" s="10"/>
      <c r="AE13" s="10"/>
      <c r="AF13" s="10"/>
    </row>
    <row r="14" spans="1:32">
      <c r="A14" s="2" t="s">
        <v>259</v>
      </c>
      <c r="B14" s="13" t="s">
        <v>1515</v>
      </c>
      <c r="C14" s="2" t="s">
        <v>260</v>
      </c>
      <c r="F14" t="s">
        <v>19</v>
      </c>
      <c r="G14" s="10" t="s">
        <v>2686</v>
      </c>
      <c r="H14" s="10"/>
      <c r="I14" s="10"/>
      <c r="J14" s="10"/>
      <c r="K14" s="10"/>
      <c r="L14" s="10"/>
      <c r="M14" s="10"/>
      <c r="N14" s="11"/>
      <c r="O14" s="10"/>
      <c r="P14" s="10"/>
      <c r="Q14" s="10">
        <v>-5</v>
      </c>
      <c r="R14" s="10">
        <v>5</v>
      </c>
      <c r="S14" s="10">
        <v>0</v>
      </c>
      <c r="T14" s="15">
        <f t="shared" si="0"/>
        <v>2.4584521585209949</v>
      </c>
      <c r="U14" s="15">
        <f t="shared" si="1"/>
        <v>0</v>
      </c>
      <c r="V14" s="15">
        <f t="shared" si="2"/>
        <v>-2.4584521585209949</v>
      </c>
      <c r="W14" s="10"/>
      <c r="X14" s="10"/>
      <c r="Y14" s="10"/>
      <c r="Z14" s="10"/>
      <c r="AA14" s="10"/>
      <c r="AB14" s="10"/>
      <c r="AC14" s="10"/>
      <c r="AD14" s="10"/>
      <c r="AE14" s="10"/>
      <c r="AF14" s="10"/>
    </row>
    <row r="15" spans="1:32" ht="43.5">
      <c r="A15" s="2" t="s">
        <v>267</v>
      </c>
      <c r="B15" s="2" t="s">
        <v>1535</v>
      </c>
      <c r="C15" s="2" t="s">
        <v>1536</v>
      </c>
      <c r="G15" s="10" t="s">
        <v>2689</v>
      </c>
      <c r="H15" s="10"/>
      <c r="I15" s="10"/>
      <c r="J15" s="10"/>
      <c r="K15" s="10"/>
      <c r="L15" s="10"/>
      <c r="M15" s="10"/>
      <c r="N15" s="11"/>
      <c r="O15" s="10"/>
      <c r="P15" s="10"/>
      <c r="Q15" s="10">
        <v>0</v>
      </c>
      <c r="R15" s="10">
        <v>7</v>
      </c>
      <c r="S15" s="10">
        <v>7</v>
      </c>
      <c r="T15" s="15">
        <f t="shared" si="0"/>
        <v>3.4418330219293933</v>
      </c>
      <c r="U15" s="15">
        <f t="shared" si="1"/>
        <v>3.4418330219293933</v>
      </c>
      <c r="V15" s="15">
        <f t="shared" si="2"/>
        <v>0</v>
      </c>
      <c r="W15" s="10"/>
      <c r="X15" s="10"/>
      <c r="Y15" s="10"/>
      <c r="Z15" s="10"/>
      <c r="AA15" s="10"/>
      <c r="AB15" s="10"/>
      <c r="AC15" s="10"/>
      <c r="AD15" s="10"/>
      <c r="AE15" s="10"/>
      <c r="AF15" s="10"/>
    </row>
    <row r="16" spans="1:32" ht="58">
      <c r="A16" s="2" t="s">
        <v>274</v>
      </c>
      <c r="B16" s="2" t="s">
        <v>1538</v>
      </c>
      <c r="C16" s="2" t="s">
        <v>1539</v>
      </c>
      <c r="F16" t="s">
        <v>19</v>
      </c>
      <c r="G16" s="10" t="s">
        <v>2686</v>
      </c>
      <c r="H16" s="10"/>
      <c r="I16" s="10"/>
      <c r="J16" s="10"/>
      <c r="K16" s="10"/>
      <c r="L16" s="10"/>
      <c r="M16" s="10"/>
      <c r="N16" s="11"/>
      <c r="O16" s="10"/>
      <c r="P16" s="10"/>
      <c r="Q16" s="10">
        <v>180</v>
      </c>
      <c r="R16" s="10">
        <v>86</v>
      </c>
      <c r="S16" s="10">
        <v>266</v>
      </c>
      <c r="T16" s="15">
        <f t="shared" si="0"/>
        <v>42.285377126561116</v>
      </c>
      <c r="U16" s="15">
        <f t="shared" si="1"/>
        <v>130.78965483331694</v>
      </c>
      <c r="V16" s="15">
        <f t="shared" si="2"/>
        <v>88.504277706755829</v>
      </c>
      <c r="W16" s="10"/>
      <c r="X16" s="10"/>
      <c r="Y16" s="10"/>
      <c r="Z16" s="10"/>
      <c r="AA16" s="10"/>
      <c r="AB16" s="10"/>
      <c r="AC16" s="10"/>
      <c r="AD16" s="10"/>
      <c r="AE16" s="10"/>
      <c r="AF16" s="10"/>
    </row>
    <row r="17" spans="1:32" ht="72.5">
      <c r="A17" s="2" t="s">
        <v>283</v>
      </c>
      <c r="B17" s="2" t="s">
        <v>1542</v>
      </c>
      <c r="C17" s="2" t="s">
        <v>1543</v>
      </c>
      <c r="F17" t="s">
        <v>23</v>
      </c>
      <c r="G17" s="10" t="s">
        <v>2686</v>
      </c>
      <c r="H17" s="10"/>
      <c r="I17" s="10"/>
      <c r="J17" s="10"/>
      <c r="K17" s="10"/>
      <c r="L17" s="10"/>
      <c r="M17" s="10"/>
      <c r="N17" s="11"/>
      <c r="O17" s="10"/>
      <c r="P17" s="10"/>
      <c r="Q17" s="10">
        <v>-1</v>
      </c>
      <c r="R17" s="10">
        <v>1</v>
      </c>
      <c r="S17" s="10">
        <v>0</v>
      </c>
      <c r="T17" s="15">
        <f t="shared" si="0"/>
        <v>0.49169043170419907</v>
      </c>
      <c r="U17" s="15">
        <f t="shared" si="1"/>
        <v>0</v>
      </c>
      <c r="V17" s="15">
        <f t="shared" si="2"/>
        <v>-0.49169043170419907</v>
      </c>
      <c r="W17" s="10"/>
      <c r="X17" s="10"/>
      <c r="Y17" s="10"/>
      <c r="Z17" s="10"/>
      <c r="AA17" s="10"/>
      <c r="AB17" s="10"/>
      <c r="AC17" s="10"/>
      <c r="AD17" s="10"/>
      <c r="AE17" s="10"/>
      <c r="AF17" s="10"/>
    </row>
    <row r="18" spans="1:32" ht="29">
      <c r="A18" s="2" t="s">
        <v>287</v>
      </c>
      <c r="B18" s="2" t="s">
        <v>1549</v>
      </c>
      <c r="C18" s="2" t="s">
        <v>1548</v>
      </c>
      <c r="G18" s="10" t="s">
        <v>2689</v>
      </c>
      <c r="H18" s="10"/>
      <c r="I18" s="10"/>
      <c r="J18" s="10"/>
      <c r="K18" s="10"/>
      <c r="L18" s="10"/>
      <c r="M18" s="10"/>
      <c r="N18" s="11"/>
      <c r="O18" s="10"/>
      <c r="P18" s="10"/>
      <c r="Q18" s="10">
        <v>-124</v>
      </c>
      <c r="R18" s="10">
        <v>124</v>
      </c>
      <c r="S18" s="10">
        <v>0</v>
      </c>
      <c r="T18" s="15">
        <f t="shared" si="0"/>
        <v>60.969613531320682</v>
      </c>
      <c r="U18" s="15">
        <f t="shared" si="1"/>
        <v>0</v>
      </c>
      <c r="V18" s="15">
        <f t="shared" si="2"/>
        <v>-60.969613531320682</v>
      </c>
      <c r="W18" s="10"/>
      <c r="X18" s="10"/>
      <c r="Y18" s="10"/>
      <c r="Z18" s="10"/>
      <c r="AA18" s="10"/>
      <c r="AB18" s="10"/>
      <c r="AC18" s="10"/>
      <c r="AD18" s="10"/>
      <c r="AE18" s="10"/>
      <c r="AF18" s="10"/>
    </row>
    <row r="19" spans="1:32">
      <c r="A19" s="2" t="s">
        <v>291</v>
      </c>
      <c r="B19" s="2" t="s">
        <v>1554</v>
      </c>
      <c r="C19" s="2" t="s">
        <v>1553</v>
      </c>
      <c r="G19" s="10" t="s">
        <v>2686</v>
      </c>
      <c r="H19" s="10"/>
      <c r="I19" s="10"/>
      <c r="J19" s="10"/>
      <c r="K19" s="10"/>
      <c r="L19" s="10"/>
      <c r="M19" s="10"/>
      <c r="N19" s="11"/>
      <c r="O19" s="10"/>
      <c r="P19" s="10"/>
      <c r="Q19" s="10">
        <v>-249</v>
      </c>
      <c r="R19" s="10">
        <v>280</v>
      </c>
      <c r="S19" s="10">
        <v>31</v>
      </c>
      <c r="T19" s="15">
        <f t="shared" si="0"/>
        <v>137.67332087717574</v>
      </c>
      <c r="U19" s="15">
        <f t="shared" si="1"/>
        <v>15.242403382830171</v>
      </c>
      <c r="V19" s="15">
        <f t="shared" si="2"/>
        <v>-122.43091749434556</v>
      </c>
      <c r="W19" s="10"/>
      <c r="X19" s="10"/>
      <c r="Y19" s="10"/>
      <c r="Z19" s="10"/>
      <c r="AA19" s="10"/>
      <c r="AB19" s="10"/>
      <c r="AC19" s="10"/>
      <c r="AD19" s="10"/>
      <c r="AE19" s="10"/>
      <c r="AF19" s="10"/>
    </row>
    <row r="20" spans="1:32" ht="43.5">
      <c r="A20" s="2" t="s">
        <v>306</v>
      </c>
      <c r="B20" s="2" t="s">
        <v>1563</v>
      </c>
      <c r="C20" s="2" t="s">
        <v>1564</v>
      </c>
      <c r="G20" s="10" t="s">
        <v>2689</v>
      </c>
      <c r="H20" s="10"/>
      <c r="I20" s="10"/>
      <c r="J20" s="10"/>
      <c r="K20" s="10"/>
      <c r="L20" s="10"/>
      <c r="M20" s="10"/>
      <c r="N20" s="11"/>
      <c r="O20" s="10"/>
      <c r="P20" s="10"/>
      <c r="Q20" s="10">
        <v>2</v>
      </c>
      <c r="R20" s="10">
        <v>52</v>
      </c>
      <c r="S20" s="10">
        <v>54</v>
      </c>
      <c r="T20" s="15">
        <f t="shared" si="0"/>
        <v>25.567902448618351</v>
      </c>
      <c r="U20" s="15">
        <f t="shared" si="1"/>
        <v>26.551283312026747</v>
      </c>
      <c r="V20" s="15">
        <f t="shared" si="2"/>
        <v>0.98338086340839581</v>
      </c>
      <c r="W20" s="10"/>
      <c r="X20" s="10"/>
      <c r="Y20" s="10"/>
      <c r="Z20" s="10"/>
      <c r="AA20" s="10"/>
      <c r="AB20" s="10"/>
      <c r="AC20" s="10"/>
      <c r="AD20" s="10"/>
      <c r="AE20" s="10"/>
      <c r="AF20" s="10"/>
    </row>
    <row r="21" spans="1:32" ht="43.5">
      <c r="A21" s="2" t="s">
        <v>322</v>
      </c>
      <c r="B21" s="2" t="s">
        <v>1581</v>
      </c>
      <c r="C21" s="2" t="s">
        <v>1582</v>
      </c>
      <c r="G21" s="10" t="s">
        <v>2686</v>
      </c>
      <c r="H21" s="10"/>
      <c r="I21" s="10"/>
      <c r="J21" s="10"/>
      <c r="K21" s="10"/>
      <c r="L21" s="10"/>
      <c r="M21" s="10"/>
      <c r="N21" s="11"/>
      <c r="O21" s="10"/>
      <c r="P21" s="10"/>
      <c r="Q21" s="10">
        <v>-2</v>
      </c>
      <c r="R21" s="10">
        <v>3</v>
      </c>
      <c r="S21" s="10">
        <v>1</v>
      </c>
      <c r="T21" s="15">
        <f t="shared" si="0"/>
        <v>1.4750712951125973</v>
      </c>
      <c r="U21" s="15">
        <f t="shared" si="1"/>
        <v>0.49169043170419907</v>
      </c>
      <c r="V21" s="15">
        <f t="shared" si="2"/>
        <v>-0.98338086340839825</v>
      </c>
      <c r="W21" s="10"/>
      <c r="X21" s="10"/>
      <c r="Y21" s="10"/>
      <c r="Z21" s="10"/>
      <c r="AA21" s="10"/>
      <c r="AB21" s="10"/>
      <c r="AC21" s="10"/>
      <c r="AD21" s="10"/>
      <c r="AE21" s="10"/>
      <c r="AF21" s="10"/>
    </row>
    <row r="22" spans="1:32" ht="43.5">
      <c r="A22" s="2" t="s">
        <v>329</v>
      </c>
      <c r="B22" s="2" t="s">
        <v>1589</v>
      </c>
      <c r="C22" s="2" t="s">
        <v>1590</v>
      </c>
      <c r="G22" s="10" t="s">
        <v>2686</v>
      </c>
      <c r="H22" s="10"/>
      <c r="I22" s="10"/>
      <c r="J22" s="10"/>
      <c r="K22" s="10"/>
      <c r="L22" s="10"/>
      <c r="M22" s="10"/>
      <c r="N22" s="11"/>
      <c r="O22" s="10"/>
      <c r="P22" s="10"/>
      <c r="Q22" s="10">
        <v>2400</v>
      </c>
      <c r="R22" s="10">
        <v>75</v>
      </c>
      <c r="S22" s="10">
        <v>2475</v>
      </c>
      <c r="T22" s="15">
        <f t="shared" si="0"/>
        <v>36.876782377814926</v>
      </c>
      <c r="U22" s="15">
        <f t="shared" si="1"/>
        <v>1216.9338184678927</v>
      </c>
      <c r="V22" s="15">
        <f t="shared" si="2"/>
        <v>1180.0570360900779</v>
      </c>
      <c r="W22" s="10"/>
      <c r="X22" s="10"/>
      <c r="Y22" s="10"/>
      <c r="Z22" s="10"/>
      <c r="AA22" s="10"/>
      <c r="AB22" s="10"/>
      <c r="AC22" s="10"/>
      <c r="AD22" s="10"/>
      <c r="AE22" s="10"/>
      <c r="AF22" s="10"/>
    </row>
    <row r="23" spans="1:32" ht="29">
      <c r="A23" s="2" t="s">
        <v>332</v>
      </c>
      <c r="B23" s="2" t="s">
        <v>1591</v>
      </c>
      <c r="C23" s="2" t="s">
        <v>1592</v>
      </c>
      <c r="G23" s="10" t="s">
        <v>2686</v>
      </c>
      <c r="H23" s="10"/>
      <c r="I23" s="10"/>
      <c r="J23" s="10"/>
      <c r="K23" s="10"/>
      <c r="L23" s="10"/>
      <c r="M23" s="10"/>
      <c r="N23" s="11"/>
      <c r="O23" s="10"/>
      <c r="P23" s="10"/>
      <c r="Q23" s="10">
        <v>-431</v>
      </c>
      <c r="R23" s="10">
        <v>743</v>
      </c>
      <c r="S23" s="10">
        <v>312</v>
      </c>
      <c r="T23" s="15">
        <f t="shared" si="0"/>
        <v>365.32599075621988</v>
      </c>
      <c r="U23" s="15">
        <f t="shared" si="1"/>
        <v>153.4074146917101</v>
      </c>
      <c r="V23" s="15">
        <f t="shared" si="2"/>
        <v>-211.91857606450978</v>
      </c>
      <c r="W23" s="10"/>
      <c r="X23" s="10"/>
      <c r="Y23" s="10"/>
      <c r="Z23" s="10"/>
      <c r="AA23" s="10"/>
      <c r="AB23" s="10"/>
      <c r="AC23" s="10"/>
      <c r="AD23" s="10"/>
      <c r="AE23" s="10"/>
      <c r="AF23" s="10"/>
    </row>
    <row r="24" spans="1:32" ht="43.5">
      <c r="A24" s="2" t="s">
        <v>333</v>
      </c>
      <c r="B24" s="2" t="s">
        <v>1593</v>
      </c>
      <c r="C24" s="2" t="s">
        <v>1594</v>
      </c>
      <c r="F24" t="s">
        <v>19</v>
      </c>
      <c r="G24" s="10" t="s">
        <v>2686</v>
      </c>
      <c r="H24" s="10"/>
      <c r="I24" s="10"/>
      <c r="J24" s="10"/>
      <c r="K24" s="10"/>
      <c r="L24" s="10"/>
      <c r="M24" s="10"/>
      <c r="N24" s="11"/>
      <c r="O24" s="10"/>
      <c r="P24" s="10"/>
      <c r="Q24" s="10">
        <v>-431</v>
      </c>
      <c r="R24" s="10">
        <v>743</v>
      </c>
      <c r="S24" s="10">
        <v>312</v>
      </c>
      <c r="T24" s="15">
        <f t="shared" si="0"/>
        <v>365.32599075621988</v>
      </c>
      <c r="U24" s="15">
        <f t="shared" si="1"/>
        <v>153.4074146917101</v>
      </c>
      <c r="V24" s="15">
        <f t="shared" si="2"/>
        <v>-211.91857606450978</v>
      </c>
      <c r="W24" s="10"/>
      <c r="X24" s="10"/>
      <c r="Y24" s="10"/>
      <c r="Z24" s="10"/>
      <c r="AA24" s="10"/>
      <c r="AB24" s="10"/>
      <c r="AC24" s="10"/>
      <c r="AD24" s="10"/>
      <c r="AE24" s="10"/>
      <c r="AF24" s="10"/>
    </row>
    <row r="25" spans="1:32" ht="43.5">
      <c r="A25" s="2" t="s">
        <v>335</v>
      </c>
      <c r="B25" s="2" t="s">
        <v>1601</v>
      </c>
      <c r="C25" s="2" t="s">
        <v>1600</v>
      </c>
      <c r="F25" t="s">
        <v>19</v>
      </c>
      <c r="G25" s="10" t="s">
        <v>2686</v>
      </c>
      <c r="H25" s="10"/>
      <c r="I25" s="10"/>
      <c r="J25" s="10"/>
      <c r="K25" s="10"/>
      <c r="L25" s="10"/>
      <c r="M25" s="10"/>
      <c r="N25" s="11"/>
      <c r="O25" s="10"/>
      <c r="P25" s="10"/>
      <c r="Q25" s="10">
        <v>-32</v>
      </c>
      <c r="R25" s="10">
        <v>38</v>
      </c>
      <c r="S25" s="10">
        <v>6</v>
      </c>
      <c r="T25" s="15">
        <f t="shared" si="0"/>
        <v>18.684236404759563</v>
      </c>
      <c r="U25" s="15">
        <f t="shared" si="1"/>
        <v>2.9501425902251945</v>
      </c>
      <c r="V25" s="15">
        <f t="shared" si="2"/>
        <v>-15.734093814534369</v>
      </c>
      <c r="W25" s="10"/>
      <c r="X25" s="10"/>
      <c r="Y25" s="10"/>
      <c r="Z25" s="10"/>
      <c r="AA25" s="10"/>
      <c r="AB25" s="10"/>
      <c r="AC25" s="10"/>
      <c r="AD25" s="10"/>
      <c r="AE25" s="10"/>
      <c r="AF25" s="10"/>
    </row>
    <row r="26" spans="1:32" ht="29">
      <c r="A26" s="2" t="s">
        <v>350</v>
      </c>
      <c r="B26" s="2" t="s">
        <v>1613</v>
      </c>
      <c r="C26" s="2" t="s">
        <v>1614</v>
      </c>
      <c r="F26" t="s">
        <v>19</v>
      </c>
      <c r="G26" s="10" t="s">
        <v>2686</v>
      </c>
      <c r="H26" s="10"/>
      <c r="I26" s="10"/>
      <c r="J26" s="10"/>
      <c r="K26" s="10"/>
      <c r="L26" s="10"/>
      <c r="M26" s="10"/>
      <c r="N26" s="11"/>
      <c r="O26" s="10"/>
      <c r="P26" s="10"/>
      <c r="Q26" s="10">
        <v>431</v>
      </c>
      <c r="R26" s="10">
        <v>312</v>
      </c>
      <c r="S26" s="10">
        <v>743</v>
      </c>
      <c r="T26" s="15">
        <f t="shared" si="0"/>
        <v>153.4074146917101</v>
      </c>
      <c r="U26" s="15">
        <f t="shared" si="1"/>
        <v>365.32599075621988</v>
      </c>
      <c r="V26" s="15">
        <f t="shared" si="2"/>
        <v>211.91857606450978</v>
      </c>
      <c r="W26" s="10"/>
      <c r="X26" s="10"/>
      <c r="Y26" s="10"/>
      <c r="Z26" s="10"/>
      <c r="AA26" s="10"/>
      <c r="AB26" s="10"/>
      <c r="AC26" s="10"/>
      <c r="AD26" s="10"/>
      <c r="AE26" s="10"/>
      <c r="AF26" s="10"/>
    </row>
    <row r="27" spans="1:32" ht="29">
      <c r="A27" s="2" t="s">
        <v>364</v>
      </c>
      <c r="B27" s="2" t="s">
        <v>366</v>
      </c>
      <c r="C27" s="2" t="s">
        <v>365</v>
      </c>
      <c r="G27" s="10" t="s">
        <v>2686</v>
      </c>
      <c r="H27" s="10"/>
      <c r="I27" s="10"/>
      <c r="J27" s="10"/>
      <c r="K27" s="10"/>
      <c r="L27" s="10"/>
      <c r="M27" s="10"/>
      <c r="N27" s="11"/>
      <c r="O27" s="10"/>
      <c r="P27" s="10"/>
      <c r="Q27" s="10">
        <v>7</v>
      </c>
      <c r="R27" s="10">
        <v>3</v>
      </c>
      <c r="S27" s="10">
        <v>10</v>
      </c>
      <c r="T27" s="15">
        <f t="shared" si="0"/>
        <v>1.4750712951125973</v>
      </c>
      <c r="U27" s="15">
        <f t="shared" si="1"/>
        <v>4.9169043170419897</v>
      </c>
      <c r="V27" s="15">
        <f t="shared" si="2"/>
        <v>3.4418330219293924</v>
      </c>
      <c r="W27" s="10"/>
      <c r="X27" s="10"/>
      <c r="Y27" s="10"/>
      <c r="Z27" s="10"/>
      <c r="AA27" s="10"/>
      <c r="AB27" s="10"/>
      <c r="AC27" s="10"/>
      <c r="AD27" s="10"/>
      <c r="AE27" s="10"/>
      <c r="AF27" s="10"/>
    </row>
    <row r="28" spans="1:32" ht="29">
      <c r="A28" s="2" t="s">
        <v>367</v>
      </c>
      <c r="B28" s="2" t="s">
        <v>1622</v>
      </c>
      <c r="C28" s="2" t="s">
        <v>1623</v>
      </c>
      <c r="G28" s="10" t="s">
        <v>2686</v>
      </c>
      <c r="H28" s="10"/>
      <c r="I28" s="10"/>
      <c r="J28" s="10"/>
      <c r="K28" s="10"/>
      <c r="L28" s="10"/>
      <c r="M28" s="10"/>
      <c r="N28" s="11"/>
      <c r="O28" s="10"/>
      <c r="P28" s="10"/>
      <c r="Q28" s="10">
        <v>5</v>
      </c>
      <c r="R28" s="10">
        <v>12</v>
      </c>
      <c r="S28" s="10">
        <v>17</v>
      </c>
      <c r="T28" s="15">
        <f t="shared" si="0"/>
        <v>5.9002851804503891</v>
      </c>
      <c r="U28" s="15">
        <f t="shared" si="1"/>
        <v>8.3587373389713839</v>
      </c>
      <c r="V28" s="15">
        <f t="shared" si="2"/>
        <v>2.4584521585209949</v>
      </c>
      <c r="W28" s="10"/>
      <c r="X28" s="10"/>
      <c r="Y28" s="10"/>
      <c r="Z28" s="10"/>
      <c r="AA28" s="10"/>
      <c r="AB28" s="10"/>
      <c r="AC28" s="10"/>
      <c r="AD28" s="10"/>
      <c r="AE28" s="10"/>
      <c r="AF28" s="10"/>
    </row>
    <row r="29" spans="1:32" ht="43.5">
      <c r="A29" s="2" t="s">
        <v>421</v>
      </c>
      <c r="B29" s="2" t="s">
        <v>1698</v>
      </c>
      <c r="C29" s="2" t="s">
        <v>1699</v>
      </c>
      <c r="G29" s="10" t="s">
        <v>2686</v>
      </c>
      <c r="H29" s="10"/>
      <c r="I29" s="10"/>
      <c r="J29" s="10"/>
      <c r="K29" s="10"/>
      <c r="L29" s="10"/>
      <c r="M29" s="10"/>
      <c r="N29" s="11"/>
      <c r="O29" s="10"/>
      <c r="P29" s="10"/>
      <c r="Q29" s="10">
        <v>61</v>
      </c>
      <c r="R29" s="10">
        <v>105</v>
      </c>
      <c r="S29" s="10">
        <v>166</v>
      </c>
      <c r="T29" s="15">
        <f t="shared" si="0"/>
        <v>51.627495328940903</v>
      </c>
      <c r="U29" s="15">
        <f t="shared" si="1"/>
        <v>81.620611662897048</v>
      </c>
      <c r="V29" s="15">
        <f t="shared" si="2"/>
        <v>29.993116333956145</v>
      </c>
      <c r="W29" s="10"/>
      <c r="X29" s="10"/>
      <c r="Y29" s="10"/>
      <c r="Z29" s="10"/>
      <c r="AA29" s="10"/>
      <c r="AB29" s="10"/>
      <c r="AC29" s="10"/>
      <c r="AD29" s="10"/>
      <c r="AE29" s="10"/>
      <c r="AF29" s="10"/>
    </row>
    <row r="30" spans="1:32" ht="29">
      <c r="A30" s="2" t="s">
        <v>424</v>
      </c>
      <c r="B30" s="13" t="s">
        <v>1708</v>
      </c>
      <c r="C30" t="s">
        <v>1709</v>
      </c>
      <c r="G30" s="10" t="s">
        <v>2686</v>
      </c>
      <c r="H30" s="10"/>
      <c r="I30" s="10"/>
      <c r="J30" s="10"/>
      <c r="K30" s="10"/>
      <c r="L30" s="10"/>
      <c r="M30" s="10"/>
      <c r="N30" s="11"/>
      <c r="O30" s="10"/>
      <c r="P30" s="10"/>
      <c r="Q30" s="10">
        <v>249</v>
      </c>
      <c r="R30" s="10">
        <v>31</v>
      </c>
      <c r="S30" s="10">
        <v>280</v>
      </c>
      <c r="T30" s="15">
        <f t="shared" si="0"/>
        <v>15.242403382830171</v>
      </c>
      <c r="U30" s="15">
        <f t="shared" si="1"/>
        <v>137.67332087717574</v>
      </c>
      <c r="V30" s="15">
        <f t="shared" si="2"/>
        <v>122.43091749434556</v>
      </c>
      <c r="W30" s="10"/>
      <c r="X30" s="10"/>
      <c r="Y30" s="10"/>
      <c r="Z30" s="10"/>
      <c r="AA30" s="10"/>
      <c r="AB30" s="10"/>
      <c r="AC30" s="10"/>
      <c r="AD30" s="10"/>
      <c r="AE30" s="10"/>
      <c r="AF30" s="10"/>
    </row>
    <row r="31" spans="1:32" ht="217.5">
      <c r="A31" s="2" t="s">
        <v>468</v>
      </c>
      <c r="B31" s="2" t="s">
        <v>1759</v>
      </c>
      <c r="C31" s="2" t="s">
        <v>1760</v>
      </c>
      <c r="G31" s="10" t="s">
        <v>2686</v>
      </c>
      <c r="H31" s="10"/>
      <c r="I31" s="10"/>
      <c r="J31" s="10"/>
      <c r="K31" s="10"/>
      <c r="L31" s="10"/>
      <c r="M31" s="10"/>
      <c r="N31" s="11"/>
      <c r="O31" s="10"/>
      <c r="P31" s="10"/>
      <c r="Q31" s="10">
        <v>131</v>
      </c>
      <c r="R31" s="10">
        <v>79</v>
      </c>
      <c r="S31" s="10">
        <v>210</v>
      </c>
      <c r="T31" s="15">
        <f t="shared" si="0"/>
        <v>38.843544104631725</v>
      </c>
      <c r="U31" s="15">
        <f t="shared" si="1"/>
        <v>103.25499065788181</v>
      </c>
      <c r="V31" s="15">
        <f t="shared" si="2"/>
        <v>64.411446553250073</v>
      </c>
      <c r="W31" s="10"/>
      <c r="X31" s="10"/>
      <c r="Y31" s="10"/>
      <c r="Z31" s="10"/>
      <c r="AA31" s="10"/>
      <c r="AB31" s="10"/>
      <c r="AC31" s="10"/>
      <c r="AD31" s="10"/>
      <c r="AE31" s="10"/>
      <c r="AF31" s="10"/>
    </row>
    <row r="32" spans="1:32" ht="29">
      <c r="A32" s="2" t="s">
        <v>484</v>
      </c>
      <c r="B32" s="13" t="s">
        <v>1776</v>
      </c>
      <c r="C32" t="s">
        <v>1777</v>
      </c>
      <c r="G32" s="10" t="s">
        <v>2686</v>
      </c>
      <c r="H32" s="10"/>
      <c r="I32" s="10"/>
      <c r="J32" s="10"/>
      <c r="K32" s="10"/>
      <c r="L32" s="10"/>
      <c r="M32" s="10"/>
      <c r="N32" s="11"/>
      <c r="O32" s="10"/>
      <c r="P32" s="10"/>
      <c r="Q32" s="10">
        <v>2400</v>
      </c>
      <c r="R32" s="10">
        <v>75</v>
      </c>
      <c r="S32" s="10">
        <v>2475</v>
      </c>
      <c r="T32" s="15">
        <f t="shared" si="0"/>
        <v>36.876782377814926</v>
      </c>
      <c r="U32" s="15">
        <f t="shared" si="1"/>
        <v>1216.9338184678927</v>
      </c>
      <c r="V32" s="15">
        <f t="shared" si="2"/>
        <v>1180.0570360900779</v>
      </c>
      <c r="W32" s="10"/>
      <c r="X32" s="10"/>
      <c r="Y32" s="10"/>
      <c r="Z32" s="10"/>
      <c r="AA32" s="10"/>
      <c r="AB32" s="10"/>
      <c r="AC32" s="10"/>
      <c r="AD32" s="10"/>
      <c r="AE32" s="10"/>
      <c r="AF32" s="10"/>
    </row>
    <row r="33" spans="1:32" ht="29">
      <c r="A33" s="2" t="s">
        <v>485</v>
      </c>
      <c r="B33" s="13" t="s">
        <v>1779</v>
      </c>
      <c r="C33" t="s">
        <v>1778</v>
      </c>
      <c r="G33" s="10" t="s">
        <v>2686</v>
      </c>
      <c r="H33" s="10"/>
      <c r="I33" s="10"/>
      <c r="J33" s="10"/>
      <c r="K33" s="10"/>
      <c r="L33" s="10"/>
      <c r="M33" s="10"/>
      <c r="N33" s="11"/>
      <c r="O33" s="10"/>
      <c r="P33" s="10"/>
      <c r="Q33" s="10">
        <v>134</v>
      </c>
      <c r="R33" s="10">
        <v>37</v>
      </c>
      <c r="S33" s="10">
        <v>171</v>
      </c>
      <c r="T33" s="15">
        <f t="shared" si="0"/>
        <v>18.192545973055363</v>
      </c>
      <c r="U33" s="15">
        <f t="shared" si="1"/>
        <v>84.079063821418046</v>
      </c>
      <c r="V33" s="15">
        <f t="shared" si="2"/>
        <v>65.886517848362686</v>
      </c>
      <c r="W33" s="10"/>
      <c r="X33" s="10"/>
      <c r="Y33" s="10"/>
      <c r="Z33" s="10"/>
      <c r="AA33" s="10"/>
      <c r="AB33" s="10"/>
      <c r="AC33" s="10"/>
      <c r="AD33" s="10"/>
      <c r="AE33" s="10"/>
      <c r="AF33" s="10"/>
    </row>
    <row r="34" spans="1:32" ht="29">
      <c r="A34" s="2" t="s">
        <v>490</v>
      </c>
      <c r="B34" s="13" t="s">
        <v>1776</v>
      </c>
      <c r="C34" t="s">
        <v>1777</v>
      </c>
      <c r="G34" s="10" t="s">
        <v>2686</v>
      </c>
      <c r="H34" s="10"/>
      <c r="I34" s="10"/>
      <c r="J34" s="10"/>
      <c r="K34" s="10"/>
      <c r="L34" s="10"/>
      <c r="M34" s="10"/>
      <c r="N34" s="11"/>
      <c r="O34" s="10"/>
      <c r="P34" s="10"/>
      <c r="Q34" s="10">
        <v>2400</v>
      </c>
      <c r="R34" s="10">
        <v>75</v>
      </c>
      <c r="S34" s="10">
        <v>2475</v>
      </c>
      <c r="T34" s="15">
        <f t="shared" si="0"/>
        <v>36.876782377814926</v>
      </c>
      <c r="U34" s="15">
        <f t="shared" si="1"/>
        <v>1216.9338184678927</v>
      </c>
      <c r="V34" s="15">
        <f t="shared" si="2"/>
        <v>1180.0570360900779</v>
      </c>
      <c r="W34" s="10"/>
      <c r="X34" s="10"/>
      <c r="Y34" s="10"/>
      <c r="Z34" s="10"/>
      <c r="AA34" s="10"/>
      <c r="AB34" s="10"/>
      <c r="AC34" s="10"/>
      <c r="AD34" s="10"/>
      <c r="AE34" s="10"/>
      <c r="AF34" s="10"/>
    </row>
    <row r="35" spans="1:32" ht="43.5">
      <c r="A35" s="2" t="s">
        <v>492</v>
      </c>
      <c r="B35" s="13" t="s">
        <v>1790</v>
      </c>
      <c r="C35" t="s">
        <v>1791</v>
      </c>
      <c r="F35" t="s">
        <v>19</v>
      </c>
      <c r="G35" s="10" t="s">
        <v>2686</v>
      </c>
      <c r="H35" s="10"/>
      <c r="I35" s="10"/>
      <c r="J35" s="10"/>
      <c r="K35" s="10"/>
      <c r="L35" s="10"/>
      <c r="M35" s="10"/>
      <c r="N35" s="11"/>
      <c r="O35" s="10"/>
      <c r="P35" s="10"/>
      <c r="Q35" s="10">
        <v>586</v>
      </c>
      <c r="R35" s="10">
        <v>27</v>
      </c>
      <c r="S35" s="10">
        <v>613</v>
      </c>
      <c r="T35" s="15">
        <f t="shared" si="0"/>
        <v>13.275641656013374</v>
      </c>
      <c r="U35" s="15">
        <f t="shared" si="1"/>
        <v>301.40623463467404</v>
      </c>
      <c r="V35" s="15">
        <f t="shared" si="2"/>
        <v>288.13059297866067</v>
      </c>
      <c r="W35" s="10"/>
      <c r="X35" s="10"/>
      <c r="Y35" s="10"/>
      <c r="Z35" s="10"/>
      <c r="AA35" s="10"/>
      <c r="AB35" s="10"/>
      <c r="AC35" s="10"/>
      <c r="AD35" s="10"/>
      <c r="AE35" s="10"/>
      <c r="AF35" s="10"/>
    </row>
    <row r="36" spans="1:32" ht="87">
      <c r="A36" s="2" t="s">
        <v>500</v>
      </c>
      <c r="B36" s="2" t="s">
        <v>1817</v>
      </c>
      <c r="C36" s="2" t="s">
        <v>1816</v>
      </c>
      <c r="G36" s="10" t="s">
        <v>2686</v>
      </c>
      <c r="H36" s="10"/>
      <c r="I36" s="10"/>
      <c r="J36" s="10"/>
      <c r="K36" s="10"/>
      <c r="L36" s="10"/>
      <c r="M36" s="10"/>
      <c r="N36" s="11"/>
      <c r="O36" s="10"/>
      <c r="P36" s="10"/>
      <c r="Q36" s="10">
        <v>0</v>
      </c>
      <c r="R36" s="10">
        <v>2</v>
      </c>
      <c r="S36" s="10">
        <v>2</v>
      </c>
      <c r="T36" s="15">
        <f t="shared" si="0"/>
        <v>0.98338086340839814</v>
      </c>
      <c r="U36" s="15">
        <f t="shared" si="1"/>
        <v>0.98338086340839814</v>
      </c>
      <c r="V36" s="15">
        <f t="shared" si="2"/>
        <v>0</v>
      </c>
      <c r="W36" s="10"/>
      <c r="X36" s="10"/>
      <c r="Y36" s="10"/>
      <c r="Z36" s="10"/>
      <c r="AA36" s="10"/>
      <c r="AB36" s="10"/>
      <c r="AC36" s="10"/>
      <c r="AD36" s="10"/>
      <c r="AE36" s="10"/>
      <c r="AF36" s="10"/>
    </row>
    <row r="37" spans="1:32" ht="58">
      <c r="A37" s="2" t="s">
        <v>514</v>
      </c>
      <c r="B37" s="2" t="s">
        <v>1832</v>
      </c>
      <c r="C37" s="2" t="s">
        <v>1833</v>
      </c>
      <c r="G37" s="10" t="s">
        <v>2686</v>
      </c>
      <c r="H37" s="10"/>
      <c r="I37" s="10"/>
      <c r="J37" s="10"/>
      <c r="K37" s="10"/>
      <c r="L37" s="10"/>
      <c r="M37" s="10"/>
      <c r="N37" s="11"/>
      <c r="O37" s="10"/>
      <c r="P37" s="10"/>
      <c r="Q37" s="10">
        <v>-774</v>
      </c>
      <c r="R37" s="10">
        <v>2475</v>
      </c>
      <c r="S37" s="10">
        <v>1701</v>
      </c>
      <c r="T37" s="15">
        <f t="shared" si="0"/>
        <v>1216.9338184678927</v>
      </c>
      <c r="U37" s="15">
        <f t="shared" si="1"/>
        <v>836.36542432884255</v>
      </c>
      <c r="V37" s="15">
        <f t="shared" si="2"/>
        <v>-380.56839413905016</v>
      </c>
      <c r="W37" s="10"/>
      <c r="X37" s="10"/>
      <c r="Y37" s="10"/>
      <c r="Z37" s="10"/>
      <c r="AA37" s="10"/>
      <c r="AB37" s="10"/>
      <c r="AC37" s="10"/>
      <c r="AD37" s="10"/>
      <c r="AE37" s="10"/>
      <c r="AF37" s="10"/>
    </row>
    <row r="38" spans="1:32" ht="29">
      <c r="A38" s="2" t="s">
        <v>533</v>
      </c>
      <c r="B38" s="2" t="s">
        <v>1855</v>
      </c>
      <c r="C38" s="2" t="s">
        <v>1856</v>
      </c>
      <c r="G38" s="10" t="s">
        <v>2689</v>
      </c>
      <c r="H38" s="10"/>
      <c r="I38" s="10"/>
      <c r="J38" s="10"/>
      <c r="K38" s="10"/>
      <c r="L38" s="10"/>
      <c r="M38" s="10"/>
      <c r="N38" s="11"/>
      <c r="O38" s="10"/>
      <c r="P38" s="10"/>
      <c r="Q38" s="10">
        <v>94</v>
      </c>
      <c r="R38" s="10">
        <v>14</v>
      </c>
      <c r="S38" s="10">
        <v>108</v>
      </c>
      <c r="T38" s="15">
        <f t="shared" si="0"/>
        <v>6.8836660438587867</v>
      </c>
      <c r="U38" s="15">
        <f t="shared" si="1"/>
        <v>53.102566624053495</v>
      </c>
      <c r="V38" s="15">
        <f t="shared" si="2"/>
        <v>46.218900580194706</v>
      </c>
      <c r="W38" s="10"/>
      <c r="X38" s="10"/>
      <c r="Y38" s="10"/>
      <c r="Z38" s="10"/>
      <c r="AA38" s="10"/>
      <c r="AB38" s="10"/>
      <c r="AC38" s="10"/>
      <c r="AD38" s="10"/>
      <c r="AE38" s="10"/>
      <c r="AF38" s="10"/>
    </row>
    <row r="39" spans="1:32" ht="43.5">
      <c r="A39" s="2" t="s">
        <v>543</v>
      </c>
      <c r="B39" s="2" t="s">
        <v>2733</v>
      </c>
      <c r="C39" s="2" t="s">
        <v>2734</v>
      </c>
      <c r="G39" s="10" t="s">
        <v>2686</v>
      </c>
      <c r="H39" s="10"/>
      <c r="I39" s="10"/>
      <c r="J39" s="10"/>
      <c r="K39" s="10"/>
      <c r="L39" s="10"/>
      <c r="M39" s="10"/>
      <c r="N39" s="11"/>
      <c r="O39" s="10"/>
      <c r="P39" s="10"/>
      <c r="Q39" s="10">
        <v>-1699</v>
      </c>
      <c r="R39" s="10">
        <v>1701</v>
      </c>
      <c r="S39" s="10">
        <v>2</v>
      </c>
      <c r="T39" s="15">
        <f t="shared" si="0"/>
        <v>836.36542432884255</v>
      </c>
      <c r="U39" s="15">
        <f t="shared" si="1"/>
        <v>0.98338086340839814</v>
      </c>
      <c r="V39" s="15">
        <f t="shared" si="2"/>
        <v>-835.38204346543421</v>
      </c>
      <c r="W39" s="10"/>
      <c r="X39" s="10"/>
      <c r="Y39" s="10"/>
      <c r="Z39" s="10"/>
      <c r="AA39" s="10"/>
      <c r="AB39" s="10"/>
      <c r="AC39" s="10"/>
      <c r="AD39" s="10"/>
      <c r="AE39" s="10"/>
      <c r="AF39" s="10"/>
    </row>
    <row r="40" spans="1:32" ht="43.5">
      <c r="A40" s="2" t="s">
        <v>543</v>
      </c>
      <c r="B40" s="2" t="s">
        <v>2735</v>
      </c>
      <c r="C40" s="2" t="s">
        <v>2736</v>
      </c>
      <c r="G40" s="10" t="s">
        <v>2686</v>
      </c>
      <c r="H40" s="10"/>
      <c r="I40" s="10"/>
      <c r="J40" s="10"/>
      <c r="K40" s="10"/>
      <c r="L40" s="10"/>
      <c r="M40" s="10"/>
      <c r="N40" s="11"/>
      <c r="O40" s="10"/>
      <c r="P40" s="10"/>
      <c r="Q40" s="10">
        <v>15</v>
      </c>
      <c r="R40" s="10">
        <v>1</v>
      </c>
      <c r="S40" s="10">
        <v>16</v>
      </c>
      <c r="T40" s="15">
        <f t="shared" si="0"/>
        <v>0.49169043170419907</v>
      </c>
      <c r="U40" s="15">
        <f t="shared" si="1"/>
        <v>7.8670469072671851</v>
      </c>
      <c r="V40" s="15">
        <f t="shared" si="2"/>
        <v>7.3753564755629863</v>
      </c>
      <c r="W40" s="10"/>
      <c r="X40" s="10"/>
      <c r="Y40" s="10"/>
      <c r="Z40" s="10"/>
      <c r="AA40" s="10"/>
      <c r="AB40" s="10"/>
      <c r="AC40" s="10"/>
      <c r="AD40" s="10"/>
      <c r="AE40" s="10"/>
      <c r="AF40" s="10"/>
    </row>
    <row r="41" spans="1:32" ht="29">
      <c r="A41" s="2" t="s">
        <v>560</v>
      </c>
      <c r="B41" s="13" t="s">
        <v>1873</v>
      </c>
      <c r="C41" s="2" t="s">
        <v>2737</v>
      </c>
      <c r="F41" t="s">
        <v>19</v>
      </c>
      <c r="G41" s="10" t="s">
        <v>2686</v>
      </c>
      <c r="H41" s="10"/>
      <c r="I41" s="10"/>
      <c r="J41" s="10"/>
      <c r="K41" s="10"/>
      <c r="L41" s="10"/>
      <c r="M41" s="10"/>
      <c r="N41" s="11"/>
      <c r="O41" s="10"/>
      <c r="P41" s="10"/>
      <c r="Q41" s="10">
        <v>5</v>
      </c>
      <c r="R41" s="10">
        <v>12</v>
      </c>
      <c r="S41" s="10">
        <v>17</v>
      </c>
      <c r="T41" s="15">
        <f t="shared" si="0"/>
        <v>5.9002851804503891</v>
      </c>
      <c r="U41" s="15">
        <f t="shared" si="1"/>
        <v>8.3587373389713839</v>
      </c>
      <c r="V41" s="15">
        <f t="shared" si="2"/>
        <v>2.4584521585209949</v>
      </c>
      <c r="W41" s="10"/>
      <c r="X41" s="10"/>
      <c r="Y41" s="10"/>
      <c r="Z41" s="10"/>
      <c r="AA41" s="10"/>
      <c r="AB41" s="10"/>
      <c r="AC41" s="10"/>
      <c r="AD41" s="10"/>
      <c r="AE41" s="10"/>
      <c r="AF41" s="10"/>
    </row>
    <row r="42" spans="1:32" ht="29">
      <c r="A42" s="2" t="s">
        <v>569</v>
      </c>
      <c r="B42" s="2" t="s">
        <v>1879</v>
      </c>
      <c r="C42" s="2" t="s">
        <v>1878</v>
      </c>
      <c r="G42" s="10" t="s">
        <v>2686</v>
      </c>
      <c r="H42" s="10"/>
      <c r="I42" s="10"/>
      <c r="J42" s="10"/>
      <c r="K42" s="10"/>
      <c r="L42" s="10"/>
      <c r="M42" s="10"/>
      <c r="N42" s="11"/>
      <c r="O42" s="10"/>
      <c r="P42" s="10"/>
      <c r="Q42" s="10">
        <v>-447</v>
      </c>
      <c r="R42" s="10">
        <v>613</v>
      </c>
      <c r="S42" s="10">
        <v>166</v>
      </c>
      <c r="T42" s="15">
        <f t="shared" si="0"/>
        <v>301.40623463467404</v>
      </c>
      <c r="U42" s="15">
        <f t="shared" si="1"/>
        <v>81.620611662897048</v>
      </c>
      <c r="V42" s="15">
        <f t="shared" si="2"/>
        <v>-219.785622971777</v>
      </c>
      <c r="W42" s="10"/>
      <c r="X42" s="10"/>
      <c r="Y42" s="10"/>
      <c r="Z42" s="10"/>
      <c r="AA42" s="10"/>
      <c r="AB42" s="10"/>
      <c r="AC42" s="10"/>
      <c r="AD42" s="10"/>
      <c r="AE42" s="10"/>
      <c r="AF42" s="10"/>
    </row>
    <row r="43" spans="1:32" ht="29">
      <c r="A43" s="2" t="s">
        <v>570</v>
      </c>
      <c r="B43" s="13" t="s">
        <v>1882</v>
      </c>
      <c r="C43" t="s">
        <v>1883</v>
      </c>
      <c r="G43" s="10" t="s">
        <v>2686</v>
      </c>
      <c r="H43" s="10"/>
      <c r="I43" s="10"/>
      <c r="J43" s="10"/>
      <c r="K43" s="10"/>
      <c r="L43" s="10"/>
      <c r="M43" s="10"/>
      <c r="N43" s="11"/>
      <c r="O43" s="10"/>
      <c r="P43" s="10"/>
      <c r="Q43" s="10">
        <v>-46</v>
      </c>
      <c r="R43" s="10">
        <v>63</v>
      </c>
      <c r="S43" s="10">
        <v>17</v>
      </c>
      <c r="T43" s="15">
        <f t="shared" si="0"/>
        <v>30.976497197364541</v>
      </c>
      <c r="U43" s="15">
        <f t="shared" si="1"/>
        <v>8.3587373389713839</v>
      </c>
      <c r="V43" s="15">
        <f t="shared" si="2"/>
        <v>-22.617759858393157</v>
      </c>
      <c r="W43" s="10"/>
      <c r="X43" s="10"/>
      <c r="Y43" s="10"/>
      <c r="Z43" s="10"/>
      <c r="AA43" s="10"/>
      <c r="AB43" s="10"/>
      <c r="AC43" s="10"/>
      <c r="AD43" s="10"/>
      <c r="AE43" s="10"/>
      <c r="AF43" s="10"/>
    </row>
    <row r="44" spans="1:32" ht="58">
      <c r="A44" s="2" t="s">
        <v>597</v>
      </c>
      <c r="B44" s="2" t="s">
        <v>1919</v>
      </c>
      <c r="C44" s="2" t="s">
        <v>1920</v>
      </c>
      <c r="G44" s="10" t="s">
        <v>2686</v>
      </c>
      <c r="H44" s="10"/>
      <c r="I44" s="10"/>
      <c r="J44" s="10"/>
      <c r="K44" s="10"/>
      <c r="L44" s="10"/>
      <c r="M44" s="10"/>
      <c r="N44" s="11"/>
      <c r="O44" s="10"/>
      <c r="P44" s="10"/>
      <c r="Q44" s="10">
        <v>-13</v>
      </c>
      <c r="R44" s="10">
        <v>14</v>
      </c>
      <c r="S44" s="10">
        <v>1</v>
      </c>
      <c r="T44" s="15">
        <f t="shared" si="0"/>
        <v>6.8836660438587867</v>
      </c>
      <c r="U44" s="15">
        <f t="shared" si="1"/>
        <v>0.49169043170419907</v>
      </c>
      <c r="V44" s="15">
        <f t="shared" si="2"/>
        <v>-6.3919756121545879</v>
      </c>
      <c r="W44" s="10"/>
      <c r="X44" s="10"/>
      <c r="Y44" s="10"/>
      <c r="Z44" s="10"/>
      <c r="AA44" s="10"/>
      <c r="AB44" s="10"/>
      <c r="AC44" s="10"/>
      <c r="AD44" s="10"/>
      <c r="AE44" s="10"/>
      <c r="AF44" s="10"/>
    </row>
    <row r="45" spans="1:32" ht="29">
      <c r="A45" s="2" t="s">
        <v>626</v>
      </c>
      <c r="B45" s="2" t="s">
        <v>1947</v>
      </c>
      <c r="C45" s="2" t="s">
        <v>2740</v>
      </c>
      <c r="F45" t="s">
        <v>19</v>
      </c>
      <c r="G45" s="10" t="s">
        <v>2686</v>
      </c>
      <c r="H45" s="10"/>
      <c r="I45" s="10"/>
      <c r="J45" s="10"/>
      <c r="K45" s="10"/>
      <c r="L45" s="10"/>
      <c r="M45" s="10"/>
      <c r="N45" s="11"/>
      <c r="O45" s="10"/>
      <c r="P45" s="10"/>
      <c r="Q45" s="10">
        <v>-32</v>
      </c>
      <c r="R45" s="10">
        <v>44</v>
      </c>
      <c r="S45" s="10">
        <v>12</v>
      </c>
      <c r="T45" s="15">
        <f t="shared" si="0"/>
        <v>21.634378994984761</v>
      </c>
      <c r="U45" s="15">
        <f t="shared" si="1"/>
        <v>5.9002851804503891</v>
      </c>
      <c r="V45" s="15">
        <f t="shared" si="2"/>
        <v>-15.734093814534372</v>
      </c>
      <c r="W45" s="10"/>
      <c r="X45" s="10"/>
      <c r="Y45" s="10"/>
      <c r="Z45" s="10"/>
      <c r="AA45" s="10"/>
      <c r="AB45" s="10"/>
      <c r="AC45" s="10"/>
      <c r="AD45" s="10"/>
      <c r="AE45" s="10"/>
      <c r="AF45" s="10"/>
    </row>
    <row r="46" spans="1:32" ht="29">
      <c r="A46" s="2" t="s">
        <v>628</v>
      </c>
      <c r="B46" s="2" t="s">
        <v>1950</v>
      </c>
      <c r="C46" s="2" t="s">
        <v>1951</v>
      </c>
      <c r="G46" s="10" t="s">
        <v>2686</v>
      </c>
      <c r="H46" s="10"/>
      <c r="I46" s="10"/>
      <c r="J46" s="10"/>
      <c r="K46" s="10"/>
      <c r="L46" s="10"/>
      <c r="M46" s="10"/>
      <c r="N46" s="11"/>
      <c r="O46" s="10"/>
      <c r="P46" s="10"/>
      <c r="Q46" s="10">
        <v>2351</v>
      </c>
      <c r="R46" s="10">
        <v>124</v>
      </c>
      <c r="S46" s="10">
        <v>2475</v>
      </c>
      <c r="T46" s="15">
        <f t="shared" si="0"/>
        <v>60.969613531320682</v>
      </c>
      <c r="U46" s="15">
        <f t="shared" si="1"/>
        <v>1216.9338184678927</v>
      </c>
      <c r="V46" s="15">
        <f t="shared" si="2"/>
        <v>1155.9642049365721</v>
      </c>
      <c r="W46" s="10"/>
      <c r="X46" s="10"/>
      <c r="Y46" s="10"/>
      <c r="Z46" s="10"/>
      <c r="AA46" s="10"/>
      <c r="AB46" s="10"/>
      <c r="AC46" s="10"/>
      <c r="AD46" s="10"/>
      <c r="AE46" s="10"/>
      <c r="AF46" s="10"/>
    </row>
    <row r="47" spans="1:32">
      <c r="A47" s="2" t="s">
        <v>636</v>
      </c>
      <c r="B47" s="2" t="s">
        <v>1957</v>
      </c>
      <c r="C47" s="2" t="s">
        <v>1956</v>
      </c>
      <c r="G47" s="10" t="s">
        <v>2686</v>
      </c>
      <c r="H47" s="10"/>
      <c r="I47" s="10"/>
      <c r="J47" s="10"/>
      <c r="K47" s="10"/>
      <c r="L47" s="10"/>
      <c r="M47" s="10"/>
      <c r="N47" s="11"/>
      <c r="O47" s="10"/>
      <c r="P47" s="10"/>
      <c r="Q47" s="10">
        <v>249</v>
      </c>
      <c r="R47" s="10">
        <v>31</v>
      </c>
      <c r="S47" s="10">
        <v>280</v>
      </c>
      <c r="T47" s="15">
        <f t="shared" si="0"/>
        <v>15.242403382830171</v>
      </c>
      <c r="U47" s="15">
        <f t="shared" si="1"/>
        <v>137.67332087717574</v>
      </c>
      <c r="V47" s="15">
        <f t="shared" si="2"/>
        <v>122.43091749434556</v>
      </c>
      <c r="W47" s="10"/>
      <c r="X47" s="10"/>
      <c r="Y47" s="10"/>
      <c r="Z47" s="10"/>
      <c r="AA47" s="10"/>
      <c r="AB47" s="10"/>
      <c r="AC47" s="10"/>
      <c r="AD47" s="10"/>
      <c r="AE47" s="10"/>
      <c r="AF47" s="10"/>
    </row>
    <row r="48" spans="1:32" ht="58">
      <c r="A48" s="2" t="s">
        <v>664</v>
      </c>
      <c r="B48" s="2" t="s">
        <v>1975</v>
      </c>
      <c r="C48" s="2" t="s">
        <v>1976</v>
      </c>
      <c r="F48" t="s">
        <v>19</v>
      </c>
      <c r="G48" s="10" t="s">
        <v>2686</v>
      </c>
      <c r="H48" s="10"/>
      <c r="I48" s="10"/>
      <c r="J48" s="10"/>
      <c r="K48" s="10"/>
      <c r="L48" s="10"/>
      <c r="M48" s="10"/>
      <c r="N48" s="11"/>
      <c r="O48" s="10"/>
      <c r="P48" s="10"/>
      <c r="Q48" s="10">
        <v>-274</v>
      </c>
      <c r="R48" s="10">
        <v>280</v>
      </c>
      <c r="S48" s="10">
        <v>6</v>
      </c>
      <c r="T48" s="15">
        <f t="shared" si="0"/>
        <v>137.67332087717574</v>
      </c>
      <c r="U48" s="15">
        <f t="shared" si="1"/>
        <v>2.9501425902251945</v>
      </c>
      <c r="V48" s="15">
        <f t="shared" si="2"/>
        <v>-134.72317828695054</v>
      </c>
      <c r="W48" s="10"/>
      <c r="X48" s="10"/>
      <c r="Y48" s="10"/>
      <c r="Z48" s="10"/>
      <c r="AA48" s="10"/>
      <c r="AB48" s="10"/>
      <c r="AC48" s="10"/>
      <c r="AD48" s="10"/>
      <c r="AE48" s="10"/>
      <c r="AF48" s="10"/>
    </row>
    <row r="49" spans="1:32" ht="43.5">
      <c r="A49" s="2" t="s">
        <v>665</v>
      </c>
      <c r="B49" s="2" t="s">
        <v>1979</v>
      </c>
      <c r="C49" s="2" t="s">
        <v>1980</v>
      </c>
      <c r="F49" t="s">
        <v>19</v>
      </c>
      <c r="G49" s="10" t="s">
        <v>2686</v>
      </c>
      <c r="H49" s="10"/>
      <c r="I49" s="10"/>
      <c r="J49" s="10"/>
      <c r="K49" s="10"/>
      <c r="L49" s="10"/>
      <c r="M49" s="10"/>
      <c r="N49" s="11"/>
      <c r="O49" s="10"/>
      <c r="P49" s="10"/>
      <c r="Q49" s="10">
        <v>-431</v>
      </c>
      <c r="R49" s="10">
        <v>743</v>
      </c>
      <c r="S49" s="10">
        <v>312</v>
      </c>
      <c r="T49" s="15">
        <f t="shared" si="0"/>
        <v>365.32599075621988</v>
      </c>
      <c r="U49" s="15">
        <f t="shared" si="1"/>
        <v>153.4074146917101</v>
      </c>
      <c r="V49" s="15">
        <f t="shared" si="2"/>
        <v>-211.91857606450978</v>
      </c>
      <c r="W49" s="10"/>
      <c r="X49" s="10"/>
      <c r="Y49" s="10"/>
      <c r="Z49" s="10"/>
      <c r="AA49" s="10"/>
      <c r="AB49" s="10"/>
      <c r="AC49" s="10"/>
      <c r="AD49" s="10"/>
      <c r="AE49" s="10"/>
      <c r="AF49" s="10"/>
    </row>
    <row r="50" spans="1:32" ht="29">
      <c r="A50" s="2" t="s">
        <v>665</v>
      </c>
      <c r="B50" s="2" t="s">
        <v>252</v>
      </c>
      <c r="C50" s="2" t="s">
        <v>253</v>
      </c>
      <c r="F50" t="s">
        <v>19</v>
      </c>
      <c r="G50" s="10" t="s">
        <v>2686</v>
      </c>
      <c r="H50" s="10"/>
      <c r="I50" s="10"/>
      <c r="J50" s="10"/>
      <c r="K50" s="10"/>
      <c r="L50" s="10"/>
      <c r="M50" s="10"/>
      <c r="N50" s="11"/>
      <c r="O50" s="10"/>
      <c r="P50" s="10"/>
      <c r="Q50" s="10">
        <v>-2</v>
      </c>
      <c r="R50" s="10">
        <v>2</v>
      </c>
      <c r="S50" s="10">
        <v>0</v>
      </c>
      <c r="T50" s="15">
        <f t="shared" si="0"/>
        <v>0.98338086340839814</v>
      </c>
      <c r="U50" s="15">
        <f t="shared" si="1"/>
        <v>0</v>
      </c>
      <c r="V50" s="15">
        <f t="shared" si="2"/>
        <v>-0.98338086340839814</v>
      </c>
      <c r="W50" s="10"/>
      <c r="X50" s="10"/>
      <c r="Y50" s="10"/>
      <c r="Z50" s="10"/>
      <c r="AA50" s="10"/>
      <c r="AB50" s="10"/>
      <c r="AC50" s="10"/>
      <c r="AD50" s="10"/>
      <c r="AE50" s="10"/>
      <c r="AF50" s="10"/>
    </row>
    <row r="51" spans="1:32" ht="29">
      <c r="A51" s="2" t="s">
        <v>694</v>
      </c>
      <c r="B51" s="2" t="s">
        <v>2003</v>
      </c>
      <c r="C51" s="2" t="s">
        <v>2004</v>
      </c>
      <c r="G51" s="10" t="s">
        <v>2686</v>
      </c>
      <c r="H51" s="10"/>
      <c r="I51" s="10"/>
      <c r="J51" s="10"/>
      <c r="K51" s="10"/>
      <c r="L51" s="10"/>
      <c r="M51" s="10"/>
      <c r="N51" s="11"/>
      <c r="O51" s="10"/>
      <c r="P51" s="10"/>
      <c r="Q51" s="10">
        <v>249</v>
      </c>
      <c r="R51" s="10">
        <v>31</v>
      </c>
      <c r="S51" s="10">
        <v>280</v>
      </c>
      <c r="T51" s="15">
        <f t="shared" si="0"/>
        <v>15.242403382830171</v>
      </c>
      <c r="U51" s="15">
        <f t="shared" si="1"/>
        <v>137.67332087717574</v>
      </c>
      <c r="V51" s="15">
        <f t="shared" si="2"/>
        <v>122.43091749434556</v>
      </c>
      <c r="W51" s="10"/>
      <c r="X51" s="10"/>
      <c r="Y51" s="10"/>
      <c r="Z51" s="10"/>
      <c r="AA51" s="10"/>
      <c r="AB51" s="10"/>
      <c r="AC51" s="10"/>
      <c r="AD51" s="10"/>
      <c r="AE51" s="10"/>
      <c r="AF51" s="10"/>
    </row>
    <row r="52" spans="1:32" ht="43.5">
      <c r="A52" s="2" t="s">
        <v>707</v>
      </c>
      <c r="B52" s="2" t="s">
        <v>2011</v>
      </c>
      <c r="C52" s="2" t="s">
        <v>2012</v>
      </c>
      <c r="F52" t="s">
        <v>19</v>
      </c>
      <c r="G52" s="10" t="s">
        <v>2686</v>
      </c>
      <c r="H52" s="10"/>
      <c r="I52" s="10"/>
      <c r="J52" s="10"/>
      <c r="K52" s="10"/>
      <c r="L52" s="10"/>
      <c r="M52" s="10"/>
      <c r="N52" s="11"/>
      <c r="O52" s="10"/>
      <c r="P52" s="10"/>
      <c r="Q52" s="10">
        <v>2376</v>
      </c>
      <c r="R52" s="10">
        <v>99</v>
      </c>
      <c r="S52" s="10">
        <v>2475</v>
      </c>
      <c r="T52" s="15">
        <f t="shared" si="0"/>
        <v>48.677352738715705</v>
      </c>
      <c r="U52" s="15">
        <f t="shared" si="1"/>
        <v>1216.9338184678927</v>
      </c>
      <c r="V52" s="15">
        <f t="shared" si="2"/>
        <v>1168.2564657291771</v>
      </c>
      <c r="W52" s="10"/>
      <c r="X52" s="10"/>
      <c r="Y52" s="10"/>
      <c r="Z52" s="10"/>
      <c r="AA52" s="10"/>
      <c r="AB52" s="10"/>
      <c r="AC52" s="10"/>
      <c r="AD52" s="10"/>
      <c r="AE52" s="10"/>
      <c r="AF52" s="10"/>
    </row>
    <row r="53" spans="1:32" ht="29">
      <c r="A53" s="2" t="s">
        <v>708</v>
      </c>
      <c r="B53" s="13" t="s">
        <v>825</v>
      </c>
      <c r="C53" s="2" t="s">
        <v>709</v>
      </c>
      <c r="F53" t="s">
        <v>19</v>
      </c>
      <c r="G53" s="10" t="s">
        <v>2686</v>
      </c>
      <c r="H53" s="10"/>
      <c r="I53" s="10"/>
      <c r="J53" s="10"/>
      <c r="K53" s="10"/>
      <c r="L53" s="10"/>
      <c r="M53" s="10"/>
      <c r="N53" s="11"/>
      <c r="O53" s="10"/>
      <c r="P53" s="10"/>
      <c r="Q53" s="10">
        <v>-11</v>
      </c>
      <c r="R53" s="10">
        <v>11</v>
      </c>
      <c r="S53" s="10">
        <v>0</v>
      </c>
      <c r="T53" s="15">
        <f t="shared" si="0"/>
        <v>5.4085947487461903</v>
      </c>
      <c r="U53" s="15">
        <f t="shared" si="1"/>
        <v>0</v>
      </c>
      <c r="V53" s="15">
        <f t="shared" si="2"/>
        <v>-5.4085947487461903</v>
      </c>
      <c r="W53" s="10"/>
      <c r="X53" s="10"/>
      <c r="Y53" s="10"/>
      <c r="Z53" s="10"/>
      <c r="AA53" s="10"/>
      <c r="AB53" s="10"/>
      <c r="AC53" s="10"/>
      <c r="AD53" s="10"/>
      <c r="AE53" s="10"/>
      <c r="AF53" s="10"/>
    </row>
    <row r="54" spans="1:32" ht="29">
      <c r="A54" s="2" t="s">
        <v>732</v>
      </c>
      <c r="B54" s="2" t="s">
        <v>2036</v>
      </c>
      <c r="C54" s="2" t="s">
        <v>2035</v>
      </c>
      <c r="F54" t="s">
        <v>19</v>
      </c>
      <c r="G54" s="10" t="s">
        <v>2686</v>
      </c>
      <c r="H54" s="10"/>
      <c r="I54" s="10"/>
      <c r="J54" s="10"/>
      <c r="K54" s="10"/>
      <c r="L54" s="10"/>
      <c r="M54" s="10"/>
      <c r="N54" s="11"/>
      <c r="O54" s="10"/>
      <c r="P54" s="10"/>
      <c r="Q54" s="10">
        <v>431</v>
      </c>
      <c r="R54" s="10">
        <v>312</v>
      </c>
      <c r="S54" s="10">
        <v>743</v>
      </c>
      <c r="T54" s="15">
        <f t="shared" si="0"/>
        <v>153.4074146917101</v>
      </c>
      <c r="U54" s="15">
        <f t="shared" si="1"/>
        <v>365.32599075621988</v>
      </c>
      <c r="V54" s="15">
        <f t="shared" si="2"/>
        <v>211.91857606450978</v>
      </c>
      <c r="W54" s="10"/>
      <c r="X54" s="10"/>
      <c r="Y54" s="10"/>
      <c r="Z54" s="10"/>
      <c r="AA54" s="10"/>
      <c r="AB54" s="10"/>
      <c r="AC54" s="10"/>
      <c r="AD54" s="10"/>
      <c r="AE54" s="10"/>
      <c r="AF54" s="10"/>
    </row>
    <row r="55" spans="1:32" ht="29">
      <c r="A55" s="2" t="s">
        <v>735</v>
      </c>
      <c r="B55" s="13" t="s">
        <v>2043</v>
      </c>
      <c r="C55" t="s">
        <v>2044</v>
      </c>
      <c r="F55" t="s">
        <v>19</v>
      </c>
      <c r="G55" s="10" t="s">
        <v>2686</v>
      </c>
      <c r="H55" s="10"/>
      <c r="I55" s="10"/>
      <c r="J55" s="10"/>
      <c r="K55" s="10"/>
      <c r="L55" s="10"/>
      <c r="M55" s="10"/>
      <c r="N55" s="11"/>
      <c r="O55" s="10"/>
      <c r="P55" s="10"/>
      <c r="Q55" s="10">
        <v>2400</v>
      </c>
      <c r="R55" s="10">
        <v>75</v>
      </c>
      <c r="S55" s="10">
        <v>2475</v>
      </c>
      <c r="T55" s="15">
        <f t="shared" si="0"/>
        <v>36.876782377814926</v>
      </c>
      <c r="U55" s="15">
        <f t="shared" si="1"/>
        <v>1216.9338184678927</v>
      </c>
      <c r="V55" s="15">
        <f t="shared" si="2"/>
        <v>1180.0570360900779</v>
      </c>
      <c r="W55" s="10"/>
      <c r="X55" s="10"/>
      <c r="Y55" s="10"/>
      <c r="Z55" s="10"/>
      <c r="AA55" s="10"/>
      <c r="AB55" s="10"/>
      <c r="AC55" s="10"/>
      <c r="AD55" s="10"/>
      <c r="AE55" s="10"/>
      <c r="AF55" s="10"/>
    </row>
    <row r="56" spans="1:32">
      <c r="A56" s="2" t="s">
        <v>739</v>
      </c>
      <c r="B56" s="2" t="s">
        <v>2045</v>
      </c>
      <c r="C56" s="2" t="s">
        <v>2046</v>
      </c>
      <c r="F56" t="s">
        <v>19</v>
      </c>
      <c r="G56" s="10" t="s">
        <v>2686</v>
      </c>
      <c r="H56" s="10"/>
      <c r="I56" s="10"/>
      <c r="J56" s="10"/>
      <c r="K56" s="10"/>
      <c r="L56" s="10"/>
      <c r="M56" s="10"/>
      <c r="N56" s="11"/>
      <c r="O56" s="10"/>
      <c r="P56" s="10"/>
      <c r="Q56" s="10">
        <v>249</v>
      </c>
      <c r="R56" s="10">
        <v>31</v>
      </c>
      <c r="S56" s="10">
        <v>280</v>
      </c>
      <c r="T56" s="15">
        <f t="shared" si="0"/>
        <v>15.242403382830171</v>
      </c>
      <c r="U56" s="15">
        <f t="shared" si="1"/>
        <v>137.67332087717574</v>
      </c>
      <c r="V56" s="15">
        <f t="shared" si="2"/>
        <v>122.43091749434556</v>
      </c>
      <c r="W56" s="10"/>
      <c r="X56" s="10"/>
      <c r="Y56" s="10"/>
      <c r="Z56" s="10"/>
      <c r="AA56" s="10"/>
      <c r="AB56" s="10"/>
      <c r="AC56" s="10"/>
      <c r="AD56" s="10"/>
      <c r="AE56" s="10"/>
      <c r="AF56" s="10"/>
    </row>
    <row r="57" spans="1:32" ht="29">
      <c r="A57" s="2" t="s">
        <v>751</v>
      </c>
      <c r="B57" s="2" t="s">
        <v>278</v>
      </c>
      <c r="C57" s="2" t="s">
        <v>279</v>
      </c>
      <c r="G57" s="10" t="s">
        <v>2686</v>
      </c>
      <c r="H57" s="10"/>
      <c r="I57" s="10"/>
      <c r="J57" s="10"/>
      <c r="K57" s="10"/>
      <c r="L57" s="10"/>
      <c r="M57" s="10"/>
      <c r="N57" s="11"/>
      <c r="O57" s="10"/>
      <c r="P57" s="10"/>
      <c r="Q57" s="10">
        <v>-3</v>
      </c>
      <c r="R57" s="10">
        <v>10</v>
      </c>
      <c r="S57" s="10">
        <v>7</v>
      </c>
      <c r="T57" s="15">
        <f t="shared" si="0"/>
        <v>4.9169043170419897</v>
      </c>
      <c r="U57" s="15">
        <f t="shared" si="1"/>
        <v>3.4418330219293933</v>
      </c>
      <c r="V57" s="15">
        <f t="shared" si="2"/>
        <v>-1.4750712951125964</v>
      </c>
      <c r="W57" s="10"/>
      <c r="X57" s="10"/>
      <c r="Y57" s="10"/>
      <c r="Z57" s="10"/>
      <c r="AA57" s="10"/>
      <c r="AB57" s="10"/>
      <c r="AC57" s="10"/>
      <c r="AD57" s="10"/>
      <c r="AE57" s="10"/>
      <c r="AF57" s="10"/>
    </row>
    <row r="58" spans="1:32" ht="29">
      <c r="A58" s="2" t="s">
        <v>756</v>
      </c>
      <c r="B58" s="2" t="s">
        <v>2058</v>
      </c>
      <c r="C58" s="2" t="s">
        <v>2057</v>
      </c>
      <c r="F58" t="s">
        <v>19</v>
      </c>
      <c r="G58" s="10" t="s">
        <v>2686</v>
      </c>
      <c r="H58" s="10"/>
      <c r="I58" s="10"/>
      <c r="J58" s="10"/>
      <c r="K58" s="10"/>
      <c r="L58" s="10"/>
      <c r="M58" s="10"/>
      <c r="N58" s="11"/>
      <c r="O58" s="10"/>
      <c r="P58" s="10"/>
      <c r="Q58" s="10">
        <v>-431</v>
      </c>
      <c r="R58" s="10">
        <v>743</v>
      </c>
      <c r="S58" s="10">
        <v>312</v>
      </c>
      <c r="T58" s="15">
        <f t="shared" si="0"/>
        <v>365.32599075621988</v>
      </c>
      <c r="U58" s="15">
        <f t="shared" si="1"/>
        <v>153.4074146917101</v>
      </c>
      <c r="V58" s="15">
        <f t="shared" si="2"/>
        <v>-211.91857606450978</v>
      </c>
      <c r="W58" s="10"/>
      <c r="X58" s="10"/>
      <c r="Y58" s="10"/>
      <c r="Z58" s="10"/>
      <c r="AA58" s="10"/>
      <c r="AB58" s="10"/>
      <c r="AC58" s="10"/>
      <c r="AD58" s="10"/>
      <c r="AE58" s="10"/>
      <c r="AF58" s="10"/>
    </row>
    <row r="59" spans="1:32" ht="29">
      <c r="A59" s="2" t="s">
        <v>759</v>
      </c>
      <c r="B59" s="2" t="s">
        <v>2063</v>
      </c>
      <c r="C59" s="2" t="s">
        <v>2064</v>
      </c>
      <c r="F59" t="s">
        <v>19</v>
      </c>
      <c r="G59" s="10" t="s">
        <v>2686</v>
      </c>
      <c r="H59" s="10"/>
      <c r="I59" s="10"/>
      <c r="J59" s="10"/>
      <c r="K59" s="10"/>
      <c r="L59" s="10"/>
      <c r="M59" s="10"/>
      <c r="N59" s="11"/>
      <c r="O59" s="10"/>
      <c r="P59" s="10"/>
      <c r="Q59" s="10">
        <v>-78</v>
      </c>
      <c r="R59" s="10">
        <v>79</v>
      </c>
      <c r="S59" s="10">
        <v>1</v>
      </c>
      <c r="T59" s="15">
        <f t="shared" si="0"/>
        <v>38.843544104631725</v>
      </c>
      <c r="U59" s="15">
        <f t="shared" si="1"/>
        <v>0.49169043170419907</v>
      </c>
      <c r="V59" s="15">
        <f t="shared" si="2"/>
        <v>-38.351853672927525</v>
      </c>
      <c r="W59" s="10"/>
      <c r="X59" s="10"/>
      <c r="Y59" s="10"/>
      <c r="Z59" s="10"/>
      <c r="AA59" s="10"/>
      <c r="AB59" s="10"/>
      <c r="AC59" s="10"/>
      <c r="AD59" s="10"/>
      <c r="AE59" s="10"/>
      <c r="AF59" s="10"/>
    </row>
    <row r="60" spans="1:32" ht="29">
      <c r="A60" s="2" t="s">
        <v>763</v>
      </c>
      <c r="B60" s="2" t="s">
        <v>2066</v>
      </c>
      <c r="C60" s="2" t="s">
        <v>2065</v>
      </c>
      <c r="F60" t="s">
        <v>19</v>
      </c>
      <c r="G60" s="10" t="s">
        <v>2686</v>
      </c>
      <c r="H60" s="10"/>
      <c r="I60" s="10"/>
      <c r="J60" s="10"/>
      <c r="K60" s="10"/>
      <c r="L60" s="10"/>
      <c r="M60" s="10"/>
      <c r="N60" s="11"/>
      <c r="O60" s="10"/>
      <c r="P60" s="10"/>
      <c r="Q60" s="10">
        <v>19</v>
      </c>
      <c r="R60" s="10">
        <v>6</v>
      </c>
      <c r="S60" s="10">
        <v>25</v>
      </c>
      <c r="T60" s="15">
        <f t="shared" si="0"/>
        <v>2.9501425902251945</v>
      </c>
      <c r="U60" s="15">
        <f t="shared" si="1"/>
        <v>12.292260792604976</v>
      </c>
      <c r="V60" s="15">
        <f t="shared" si="2"/>
        <v>9.3421182023797815</v>
      </c>
      <c r="W60" s="10"/>
      <c r="X60" s="10"/>
      <c r="Y60" s="10"/>
      <c r="Z60" s="10"/>
      <c r="AA60" s="10"/>
      <c r="AB60" s="10"/>
      <c r="AC60" s="10"/>
      <c r="AD60" s="10"/>
      <c r="AE60" s="10"/>
      <c r="AF60" s="10"/>
    </row>
    <row r="61" spans="1:32">
      <c r="A61" s="2" t="s">
        <v>784</v>
      </c>
      <c r="B61" s="13" t="s">
        <v>1957</v>
      </c>
      <c r="C61" t="s">
        <v>1956</v>
      </c>
      <c r="G61" s="10" t="s">
        <v>2686</v>
      </c>
      <c r="H61" s="10"/>
      <c r="I61" s="10"/>
      <c r="J61" s="10"/>
      <c r="K61" s="10"/>
      <c r="L61" s="10"/>
      <c r="M61" s="10"/>
      <c r="N61" s="11"/>
      <c r="O61" s="10"/>
      <c r="P61" s="10"/>
      <c r="Q61" s="10">
        <v>249</v>
      </c>
      <c r="R61" s="10">
        <v>31</v>
      </c>
      <c r="S61" s="10">
        <v>280</v>
      </c>
      <c r="T61" s="15">
        <f t="shared" si="0"/>
        <v>15.242403382830171</v>
      </c>
      <c r="U61" s="15">
        <f t="shared" si="1"/>
        <v>137.67332087717574</v>
      </c>
      <c r="V61" s="15">
        <f t="shared" si="2"/>
        <v>122.43091749434556</v>
      </c>
      <c r="W61" s="10"/>
      <c r="X61" s="10"/>
      <c r="Y61" s="10"/>
      <c r="Z61" s="10"/>
      <c r="AA61" s="10"/>
      <c r="AB61" s="10"/>
      <c r="AC61" s="10"/>
      <c r="AD61" s="10"/>
      <c r="AE61" s="10"/>
      <c r="AF61" s="10"/>
    </row>
    <row r="62" spans="1:32" ht="43.5">
      <c r="A62" s="2" t="s">
        <v>785</v>
      </c>
      <c r="B62" s="2" t="s">
        <v>2083</v>
      </c>
      <c r="C62" s="2" t="s">
        <v>2084</v>
      </c>
      <c r="F62" t="s">
        <v>19</v>
      </c>
      <c r="G62" s="10" t="s">
        <v>2686</v>
      </c>
      <c r="H62" s="10"/>
      <c r="I62" s="10"/>
      <c r="J62" s="10"/>
      <c r="K62" s="10"/>
      <c r="L62" s="10"/>
      <c r="M62" s="10"/>
      <c r="N62" s="11"/>
      <c r="O62" s="10"/>
      <c r="P62" s="10"/>
      <c r="Q62" s="10">
        <v>1515</v>
      </c>
      <c r="R62" s="10">
        <v>186</v>
      </c>
      <c r="S62" s="10">
        <v>1701</v>
      </c>
      <c r="T62" s="15">
        <f t="shared" si="0"/>
        <v>91.454420296981013</v>
      </c>
      <c r="U62" s="15">
        <f t="shared" si="1"/>
        <v>836.36542432884255</v>
      </c>
      <c r="V62" s="15">
        <f t="shared" si="2"/>
        <v>744.91100403186158</v>
      </c>
      <c r="W62" s="10"/>
      <c r="X62" s="10"/>
      <c r="Y62" s="10"/>
      <c r="Z62" s="10"/>
      <c r="AA62" s="10"/>
      <c r="AB62" s="10"/>
      <c r="AC62" s="10"/>
      <c r="AD62" s="10"/>
      <c r="AE62" s="10"/>
      <c r="AF62" s="10"/>
    </row>
    <row r="63" spans="1:32" ht="29">
      <c r="A63" s="2" t="s">
        <v>789</v>
      </c>
      <c r="B63" s="2" t="s">
        <v>791</v>
      </c>
      <c r="C63" s="2" t="s">
        <v>790</v>
      </c>
      <c r="G63" s="10" t="s">
        <v>2686</v>
      </c>
      <c r="H63" s="10"/>
      <c r="I63" s="10"/>
      <c r="J63" s="10"/>
      <c r="K63" s="10"/>
      <c r="L63" s="10"/>
      <c r="M63" s="10"/>
      <c r="N63" s="11"/>
      <c r="O63" s="10"/>
      <c r="P63" s="10"/>
      <c r="Q63" s="10">
        <v>-4</v>
      </c>
      <c r="R63" s="10">
        <v>4</v>
      </c>
      <c r="S63" s="10">
        <v>0</v>
      </c>
      <c r="T63" s="15">
        <f t="shared" si="0"/>
        <v>1.9667617268167963</v>
      </c>
      <c r="U63" s="15">
        <f t="shared" si="1"/>
        <v>0</v>
      </c>
      <c r="V63" s="15">
        <f t="shared" si="2"/>
        <v>-1.9667617268167963</v>
      </c>
      <c r="W63" s="10"/>
      <c r="X63" s="10"/>
      <c r="Y63" s="10"/>
      <c r="Z63" s="10"/>
      <c r="AA63" s="10"/>
      <c r="AB63" s="10"/>
      <c r="AC63" s="10"/>
      <c r="AD63" s="10"/>
      <c r="AE63" s="10"/>
      <c r="AF63" s="10"/>
    </row>
    <row r="64" spans="1:32" ht="58">
      <c r="A64" s="2" t="s">
        <v>811</v>
      </c>
      <c r="B64" s="2" t="s">
        <v>2119</v>
      </c>
      <c r="C64" s="2" t="s">
        <v>2120</v>
      </c>
      <c r="F64" t="s">
        <v>19</v>
      </c>
      <c r="G64" s="10" t="s">
        <v>2686</v>
      </c>
      <c r="H64" s="10"/>
      <c r="I64" s="10"/>
      <c r="J64" s="10"/>
      <c r="K64" s="10"/>
      <c r="L64" s="10"/>
      <c r="M64" s="10"/>
      <c r="N64" s="11"/>
      <c r="O64" s="10"/>
      <c r="P64" s="10"/>
      <c r="Q64" s="10">
        <v>-812</v>
      </c>
      <c r="R64" s="10">
        <v>830</v>
      </c>
      <c r="S64" s="10">
        <v>18</v>
      </c>
      <c r="T64" s="15">
        <f t="shared" si="0"/>
        <v>408.10305831448517</v>
      </c>
      <c r="U64" s="15">
        <f t="shared" si="1"/>
        <v>8.8504277706755818</v>
      </c>
      <c r="V64" s="15">
        <f t="shared" si="2"/>
        <v>-399.25263054380957</v>
      </c>
      <c r="W64" s="10" t="s">
        <v>4</v>
      </c>
      <c r="X64" s="10"/>
      <c r="Y64" s="10"/>
      <c r="Z64" s="10"/>
      <c r="AA64" s="10"/>
      <c r="AB64" s="10"/>
      <c r="AC64" s="10"/>
      <c r="AD64" s="10"/>
      <c r="AE64" s="10"/>
      <c r="AF64" s="10"/>
    </row>
    <row r="65" spans="1:32" ht="29">
      <c r="A65" s="2" t="s">
        <v>824</v>
      </c>
      <c r="B65" s="2" t="s">
        <v>2140</v>
      </c>
      <c r="C65" s="2" t="s">
        <v>826</v>
      </c>
      <c r="G65" s="10" t="s">
        <v>2686</v>
      </c>
      <c r="H65" s="10"/>
      <c r="I65" s="10"/>
      <c r="J65" s="10"/>
      <c r="K65" s="10"/>
      <c r="L65" s="10"/>
      <c r="M65" s="10"/>
      <c r="N65" s="11"/>
      <c r="O65" s="10"/>
      <c r="P65" s="10"/>
      <c r="Q65" s="10">
        <v>5</v>
      </c>
      <c r="R65" s="10">
        <v>0</v>
      </c>
      <c r="S65" s="10">
        <v>5</v>
      </c>
      <c r="T65" s="15">
        <f t="shared" si="0"/>
        <v>0</v>
      </c>
      <c r="U65" s="15">
        <f t="shared" si="1"/>
        <v>2.4584521585209949</v>
      </c>
      <c r="V65" s="15">
        <f t="shared" si="2"/>
        <v>2.4584521585209949</v>
      </c>
      <c r="W65" s="10"/>
      <c r="X65" s="10"/>
      <c r="Y65" s="10"/>
      <c r="Z65" s="10"/>
      <c r="AA65" s="10"/>
      <c r="AB65" s="10"/>
      <c r="AC65" s="10"/>
      <c r="AD65" s="10"/>
      <c r="AE65" s="10"/>
      <c r="AF65" s="10"/>
    </row>
    <row r="66" spans="1:32" ht="58">
      <c r="A66" s="2" t="s">
        <v>827</v>
      </c>
      <c r="B66" s="2" t="s">
        <v>2147</v>
      </c>
      <c r="C66" s="2" t="s">
        <v>2148</v>
      </c>
      <c r="F66" t="s">
        <v>23</v>
      </c>
      <c r="G66" s="10" t="s">
        <v>2686</v>
      </c>
      <c r="H66" s="10"/>
      <c r="I66" s="10"/>
      <c r="J66" s="10"/>
      <c r="K66" s="10"/>
      <c r="L66" s="10"/>
      <c r="M66" s="10"/>
      <c r="N66" s="11"/>
      <c r="O66" s="10"/>
      <c r="P66" s="10"/>
      <c r="Q66" s="10">
        <v>10</v>
      </c>
      <c r="R66" s="10">
        <v>10</v>
      </c>
      <c r="S66" s="10">
        <v>20</v>
      </c>
      <c r="T66" s="15">
        <f t="shared" si="0"/>
        <v>4.9169043170419897</v>
      </c>
      <c r="U66" s="15">
        <f t="shared" si="1"/>
        <v>9.8338086340839794</v>
      </c>
      <c r="V66" s="15">
        <f t="shared" si="2"/>
        <v>4.9169043170419897</v>
      </c>
      <c r="W66" s="10"/>
      <c r="X66" s="10"/>
      <c r="Y66" s="10"/>
      <c r="Z66" s="10"/>
      <c r="AA66" s="10"/>
      <c r="AB66" s="10"/>
      <c r="AC66" s="10"/>
      <c r="AD66" s="10"/>
      <c r="AE66" s="10"/>
      <c r="AF66" s="10"/>
    </row>
    <row r="67" spans="1:32" ht="43.5">
      <c r="A67" s="2" t="s">
        <v>844</v>
      </c>
      <c r="B67" s="2" t="s">
        <v>2166</v>
      </c>
      <c r="C67" s="2" t="s">
        <v>2167</v>
      </c>
      <c r="F67" t="s">
        <v>19</v>
      </c>
      <c r="G67" s="10" t="s">
        <v>2686</v>
      </c>
      <c r="H67" s="10"/>
      <c r="I67" s="10"/>
      <c r="J67" s="10"/>
      <c r="K67" s="10"/>
      <c r="L67" s="10"/>
      <c r="M67" s="10"/>
      <c r="N67" s="11"/>
      <c r="O67" s="10"/>
      <c r="P67" s="10"/>
      <c r="Q67" s="10">
        <v>-11</v>
      </c>
      <c r="R67" s="10">
        <v>18</v>
      </c>
      <c r="S67" s="10">
        <v>7</v>
      </c>
      <c r="T67" s="15">
        <f t="shared" ref="T67:T103" si="3">IF(ISNUMBER(R67), (R67/$E$106)*10000, "")</f>
        <v>8.8504277706755818</v>
      </c>
      <c r="U67" s="15">
        <f t="shared" ref="U67:U103" si="4">IF(ISNUMBER(S67), (S67/$E$106)*10000, "")</f>
        <v>3.4418330219293933</v>
      </c>
      <c r="V67" s="15">
        <f t="shared" ref="V67:V103" si="5">IF(ISNUMBER(Q67), U67-T67, "")</f>
        <v>-5.4085947487461885</v>
      </c>
      <c r="W67" s="10"/>
      <c r="X67" s="10"/>
      <c r="Y67" s="10"/>
      <c r="Z67" s="10"/>
      <c r="AA67" s="10"/>
      <c r="AB67" s="10"/>
      <c r="AC67" s="10"/>
      <c r="AD67" s="10"/>
      <c r="AE67" s="10"/>
      <c r="AF67" s="10"/>
    </row>
    <row r="68" spans="1:32" ht="29">
      <c r="A68" s="2" t="s">
        <v>845</v>
      </c>
      <c r="B68" s="2" t="s">
        <v>2169</v>
      </c>
      <c r="C68" s="2" t="s">
        <v>2170</v>
      </c>
      <c r="F68" t="s">
        <v>19</v>
      </c>
      <c r="G68" s="10" t="s">
        <v>2686</v>
      </c>
      <c r="H68" s="10"/>
      <c r="I68" s="10"/>
      <c r="J68" s="10"/>
      <c r="K68" s="10"/>
      <c r="L68" s="10"/>
      <c r="M68" s="10"/>
      <c r="N68" s="11"/>
      <c r="O68" s="10"/>
      <c r="P68" s="10"/>
      <c r="Q68" s="10">
        <v>431</v>
      </c>
      <c r="R68" s="10">
        <v>312</v>
      </c>
      <c r="S68" s="10">
        <v>743</v>
      </c>
      <c r="T68" s="15">
        <f t="shared" si="3"/>
        <v>153.4074146917101</v>
      </c>
      <c r="U68" s="15">
        <f t="shared" si="4"/>
        <v>365.32599075621988</v>
      </c>
      <c r="V68" s="15">
        <f t="shared" si="5"/>
        <v>211.91857606450978</v>
      </c>
      <c r="W68" s="10"/>
      <c r="X68" s="10"/>
      <c r="Y68" s="10"/>
      <c r="Z68" s="10"/>
      <c r="AA68" s="10"/>
      <c r="AB68" s="10"/>
      <c r="AC68" s="10"/>
      <c r="AD68" s="10"/>
      <c r="AE68" s="10"/>
      <c r="AF68" s="10"/>
    </row>
    <row r="69" spans="1:32" ht="29">
      <c r="A69" s="2" t="s">
        <v>874</v>
      </c>
      <c r="B69" s="2" t="s">
        <v>2047</v>
      </c>
      <c r="C69" s="2" t="s">
        <v>2189</v>
      </c>
      <c r="F69" t="s">
        <v>23</v>
      </c>
      <c r="G69" s="10" t="s">
        <v>2686</v>
      </c>
      <c r="H69" s="10"/>
      <c r="I69" s="10"/>
      <c r="J69" s="10"/>
      <c r="K69" s="10"/>
      <c r="L69" s="10"/>
      <c r="M69" s="10"/>
      <c r="N69" s="11"/>
      <c r="O69" s="10"/>
      <c r="P69" s="10"/>
      <c r="Q69" s="10">
        <v>-2440</v>
      </c>
      <c r="R69" s="10">
        <v>2475</v>
      </c>
      <c r="S69" s="10">
        <v>35</v>
      </c>
      <c r="T69" s="15">
        <f t="shared" si="3"/>
        <v>1216.9338184678927</v>
      </c>
      <c r="U69" s="15">
        <f t="shared" si="4"/>
        <v>17.209165109646968</v>
      </c>
      <c r="V69" s="15">
        <f t="shared" si="5"/>
        <v>-1199.7246533582456</v>
      </c>
      <c r="W69" s="10"/>
      <c r="X69" s="10"/>
      <c r="Y69" s="10"/>
      <c r="Z69" s="10"/>
      <c r="AA69" s="10"/>
      <c r="AB69" s="10"/>
      <c r="AC69" s="10"/>
      <c r="AD69" s="10"/>
      <c r="AE69" s="10"/>
      <c r="AF69" s="10"/>
    </row>
    <row r="70" spans="1:32" ht="29">
      <c r="A70" s="2" t="s">
        <v>893</v>
      </c>
      <c r="B70" s="2" t="s">
        <v>2201</v>
      </c>
      <c r="C70" s="2" t="s">
        <v>2202</v>
      </c>
      <c r="G70" s="10" t="s">
        <v>2686</v>
      </c>
      <c r="H70" s="10"/>
      <c r="I70" s="10"/>
      <c r="J70" s="10"/>
      <c r="K70" s="10"/>
      <c r="L70" s="10"/>
      <c r="M70" s="10"/>
      <c r="N70" s="11"/>
      <c r="O70" s="10"/>
      <c r="P70" s="10"/>
      <c r="Q70" s="10">
        <v>1680</v>
      </c>
      <c r="R70" s="10">
        <v>21</v>
      </c>
      <c r="S70" s="10">
        <v>1701</v>
      </c>
      <c r="T70" s="15">
        <f t="shared" si="3"/>
        <v>10.325499065788179</v>
      </c>
      <c r="U70" s="15">
        <f t="shared" si="4"/>
        <v>836.36542432884255</v>
      </c>
      <c r="V70" s="15">
        <f t="shared" si="5"/>
        <v>826.03992526305433</v>
      </c>
      <c r="W70" s="10"/>
      <c r="X70" s="10"/>
      <c r="Y70" s="10"/>
      <c r="Z70" s="10"/>
      <c r="AA70" s="10"/>
      <c r="AB70" s="10"/>
      <c r="AC70" s="10"/>
      <c r="AD70" s="10"/>
      <c r="AE70" s="10"/>
      <c r="AF70" s="10"/>
    </row>
    <row r="71" spans="1:32" ht="43.5">
      <c r="A71" s="2" t="s">
        <v>897</v>
      </c>
      <c r="B71" s="2" t="s">
        <v>2205</v>
      </c>
      <c r="C71" s="2" t="s">
        <v>2206</v>
      </c>
      <c r="G71" s="10" t="s">
        <v>2686</v>
      </c>
      <c r="H71" s="10"/>
      <c r="I71" s="10"/>
      <c r="J71" s="10"/>
      <c r="K71" s="10"/>
      <c r="L71" s="10"/>
      <c r="M71" s="10"/>
      <c r="N71" s="11"/>
      <c r="O71" s="10"/>
      <c r="P71" s="10"/>
      <c r="Q71" s="10">
        <v>-1572</v>
      </c>
      <c r="R71" s="10">
        <v>1701</v>
      </c>
      <c r="S71" s="10">
        <v>129</v>
      </c>
      <c r="T71" s="15">
        <f t="shared" si="3"/>
        <v>836.36542432884255</v>
      </c>
      <c r="U71" s="15">
        <f t="shared" si="4"/>
        <v>63.428065689841674</v>
      </c>
      <c r="V71" s="15">
        <f t="shared" si="5"/>
        <v>-772.93735863900088</v>
      </c>
      <c r="W71" s="10"/>
      <c r="X71" s="10"/>
      <c r="Y71" s="10"/>
      <c r="Z71" s="10"/>
      <c r="AA71" s="10"/>
      <c r="AB71" s="10"/>
      <c r="AC71" s="10"/>
      <c r="AD71" s="10"/>
      <c r="AE71" s="10"/>
      <c r="AF71" s="10"/>
    </row>
    <row r="72" spans="1:32" ht="203">
      <c r="A72" s="2" t="s">
        <v>1210</v>
      </c>
      <c r="B72" s="3" t="s">
        <v>2923</v>
      </c>
      <c r="C72" s="2" t="s">
        <v>2924</v>
      </c>
      <c r="D72" t="s">
        <v>31</v>
      </c>
      <c r="F72" t="s">
        <v>19</v>
      </c>
      <c r="G72" s="10" t="s">
        <v>2686</v>
      </c>
      <c r="H72" s="10"/>
      <c r="I72" s="10"/>
      <c r="J72" s="10"/>
      <c r="K72" s="10"/>
      <c r="L72" s="10"/>
      <c r="M72" s="10"/>
      <c r="N72" s="11"/>
      <c r="O72" s="10"/>
      <c r="P72" s="10"/>
      <c r="Q72" s="10">
        <v>431</v>
      </c>
      <c r="R72" s="10">
        <v>312</v>
      </c>
      <c r="S72" s="10">
        <v>743</v>
      </c>
      <c r="T72" s="15">
        <f t="shared" si="3"/>
        <v>153.4074146917101</v>
      </c>
      <c r="U72" s="15">
        <f t="shared" si="4"/>
        <v>365.32599075621988</v>
      </c>
      <c r="V72" s="15">
        <f t="shared" si="5"/>
        <v>211.91857606450978</v>
      </c>
      <c r="W72" s="10"/>
      <c r="X72" s="10"/>
      <c r="Y72" s="10"/>
      <c r="Z72" s="10"/>
      <c r="AA72" s="10"/>
      <c r="AB72" s="10"/>
      <c r="AC72" s="10"/>
      <c r="AD72" s="10"/>
      <c r="AE72" s="10"/>
      <c r="AF72" s="10"/>
    </row>
    <row r="73" spans="1:32" ht="29">
      <c r="A73" s="2" t="s">
        <v>900</v>
      </c>
      <c r="B73" s="2" t="s">
        <v>825</v>
      </c>
      <c r="C73" s="2" t="s">
        <v>709</v>
      </c>
      <c r="F73" t="s">
        <v>19</v>
      </c>
      <c r="G73" s="10" t="s">
        <v>2686</v>
      </c>
      <c r="H73" s="10"/>
      <c r="I73" s="10"/>
      <c r="J73" s="10"/>
      <c r="K73" s="10"/>
      <c r="L73" s="10"/>
      <c r="M73" s="10"/>
      <c r="N73" s="11"/>
      <c r="O73" s="10"/>
      <c r="P73" s="10"/>
      <c r="Q73" s="10">
        <v>-11</v>
      </c>
      <c r="R73" s="10">
        <v>11</v>
      </c>
      <c r="S73" s="10">
        <v>0</v>
      </c>
      <c r="T73" s="15">
        <f t="shared" si="3"/>
        <v>5.4085947487461903</v>
      </c>
      <c r="U73" s="15">
        <f t="shared" si="4"/>
        <v>0</v>
      </c>
      <c r="V73" s="15">
        <f t="shared" si="5"/>
        <v>-5.4085947487461903</v>
      </c>
      <c r="W73" s="10"/>
      <c r="X73" s="10"/>
      <c r="Y73" s="10"/>
      <c r="Z73" s="10"/>
      <c r="AA73" s="10"/>
      <c r="AB73" s="10"/>
      <c r="AC73" s="10"/>
      <c r="AD73" s="10"/>
      <c r="AE73" s="10"/>
      <c r="AF73" s="10"/>
    </row>
    <row r="74" spans="1:32" ht="43.5">
      <c r="A74" s="2" t="s">
        <v>927</v>
      </c>
      <c r="B74" s="2" t="s">
        <v>2262</v>
      </c>
      <c r="C74" s="2" t="s">
        <v>2261</v>
      </c>
      <c r="F74" t="s">
        <v>19</v>
      </c>
      <c r="G74" s="10" t="s">
        <v>2686</v>
      </c>
      <c r="H74" s="10"/>
      <c r="I74" s="10"/>
      <c r="J74" s="10"/>
      <c r="K74" s="10"/>
      <c r="L74" s="10"/>
      <c r="M74" s="10"/>
      <c r="N74" s="11"/>
      <c r="O74" s="10"/>
      <c r="P74" s="10"/>
      <c r="Q74" s="10">
        <v>118</v>
      </c>
      <c r="R74" s="10">
        <v>132</v>
      </c>
      <c r="S74" s="10">
        <v>250</v>
      </c>
      <c r="T74" s="15">
        <f t="shared" si="3"/>
        <v>64.903136984954273</v>
      </c>
      <c r="U74" s="15">
        <f t="shared" si="4"/>
        <v>122.92260792604976</v>
      </c>
      <c r="V74" s="15">
        <f t="shared" si="5"/>
        <v>58.019470941095491</v>
      </c>
      <c r="W74" s="10"/>
      <c r="X74" s="10"/>
      <c r="Y74" s="10"/>
      <c r="Z74" s="10"/>
      <c r="AA74" s="10"/>
      <c r="AB74" s="10"/>
      <c r="AC74" s="10"/>
      <c r="AD74" s="10"/>
      <c r="AE74" s="10"/>
      <c r="AF74" s="10"/>
    </row>
    <row r="75" spans="1:32" ht="72.5">
      <c r="A75" s="2" t="s">
        <v>930</v>
      </c>
      <c r="B75" s="2" t="s">
        <v>2269</v>
      </c>
      <c r="C75" s="2" t="s">
        <v>2268</v>
      </c>
      <c r="F75" t="s">
        <v>19</v>
      </c>
      <c r="G75" s="10" t="s">
        <v>2686</v>
      </c>
      <c r="H75" s="10"/>
      <c r="I75" s="10"/>
      <c r="J75" s="10"/>
      <c r="K75" s="10"/>
      <c r="L75" s="10"/>
      <c r="M75" s="10"/>
      <c r="N75" s="11"/>
      <c r="O75" s="10"/>
      <c r="P75" s="10"/>
      <c r="Q75" s="10">
        <v>-431</v>
      </c>
      <c r="R75" s="10">
        <v>743</v>
      </c>
      <c r="S75" s="10">
        <v>312</v>
      </c>
      <c r="T75" s="15">
        <f t="shared" si="3"/>
        <v>365.32599075621988</v>
      </c>
      <c r="U75" s="15">
        <f t="shared" si="4"/>
        <v>153.4074146917101</v>
      </c>
      <c r="V75" s="15">
        <f t="shared" si="5"/>
        <v>-211.91857606450978</v>
      </c>
      <c r="W75" s="10"/>
      <c r="X75" s="10"/>
      <c r="Y75" s="10"/>
      <c r="Z75" s="10"/>
      <c r="AA75" s="10"/>
      <c r="AB75" s="10"/>
      <c r="AC75" s="10"/>
      <c r="AD75" s="10"/>
      <c r="AE75" s="10"/>
      <c r="AF75" s="10"/>
    </row>
    <row r="76" spans="1:32" ht="43.5">
      <c r="A76" s="2" t="s">
        <v>939</v>
      </c>
      <c r="B76" s="2" t="s">
        <v>942</v>
      </c>
      <c r="C76" s="2" t="s">
        <v>2278</v>
      </c>
      <c r="G76" s="10" t="s">
        <v>2686</v>
      </c>
      <c r="H76" s="10"/>
      <c r="I76" s="10"/>
      <c r="J76" s="10"/>
      <c r="K76" s="10"/>
      <c r="L76" s="10"/>
      <c r="M76" s="10"/>
      <c r="N76" s="11"/>
      <c r="O76" s="10"/>
      <c r="P76" s="10"/>
      <c r="Q76" s="10">
        <v>14</v>
      </c>
      <c r="R76" s="10">
        <v>12</v>
      </c>
      <c r="S76" s="10">
        <v>26</v>
      </c>
      <c r="T76" s="15">
        <f t="shared" si="3"/>
        <v>5.9002851804503891</v>
      </c>
      <c r="U76" s="15">
        <f t="shared" si="4"/>
        <v>12.783951224309176</v>
      </c>
      <c r="V76" s="15">
        <f t="shared" si="5"/>
        <v>6.8836660438587867</v>
      </c>
      <c r="W76" s="10" t="s">
        <v>2685</v>
      </c>
      <c r="X76" s="10"/>
      <c r="Y76" s="10"/>
      <c r="Z76" s="10"/>
      <c r="AA76" s="10"/>
      <c r="AB76" s="10"/>
      <c r="AC76" s="10"/>
      <c r="AD76" s="10"/>
      <c r="AE76" s="10"/>
      <c r="AF76" s="10"/>
    </row>
    <row r="77" spans="1:32" ht="58">
      <c r="A77" s="2" t="s">
        <v>946</v>
      </c>
      <c r="B77" s="2" t="s">
        <v>2289</v>
      </c>
      <c r="C77" s="2" t="s">
        <v>2290</v>
      </c>
      <c r="G77" s="10" t="s">
        <v>2686</v>
      </c>
      <c r="H77" s="10"/>
      <c r="I77" s="10"/>
      <c r="J77" s="10"/>
      <c r="K77" s="10"/>
      <c r="L77" s="10"/>
      <c r="M77" s="10"/>
      <c r="N77" s="11"/>
      <c r="O77" s="10"/>
      <c r="P77" s="10"/>
      <c r="Q77" s="10">
        <v>19</v>
      </c>
      <c r="R77" s="10">
        <v>3</v>
      </c>
      <c r="S77" s="10">
        <v>22</v>
      </c>
      <c r="T77" s="15">
        <f t="shared" si="3"/>
        <v>1.4750712951125973</v>
      </c>
      <c r="U77" s="15">
        <f t="shared" si="4"/>
        <v>10.817189497492381</v>
      </c>
      <c r="V77" s="15">
        <f t="shared" si="5"/>
        <v>9.3421182023797833</v>
      </c>
      <c r="W77" s="10"/>
      <c r="X77" s="10"/>
      <c r="Y77" s="10"/>
      <c r="Z77" s="10"/>
      <c r="AA77" s="10"/>
      <c r="AB77" s="10"/>
      <c r="AC77" s="10"/>
      <c r="AD77" s="10"/>
      <c r="AE77" s="10"/>
      <c r="AF77" s="10"/>
    </row>
    <row r="78" spans="1:32">
      <c r="A78" s="2" t="s">
        <v>954</v>
      </c>
      <c r="B78" s="2" t="s">
        <v>834</v>
      </c>
      <c r="C78" s="2" t="s">
        <v>955</v>
      </c>
      <c r="G78" s="10" t="s">
        <v>2686</v>
      </c>
      <c r="H78" s="10"/>
      <c r="I78" s="10"/>
      <c r="J78" s="10"/>
      <c r="K78" s="10"/>
      <c r="L78" s="10"/>
      <c r="M78" s="10"/>
      <c r="N78" s="11"/>
      <c r="O78" s="10"/>
      <c r="P78" s="10"/>
      <c r="Q78" s="10">
        <v>-11</v>
      </c>
      <c r="R78" s="10">
        <v>11</v>
      </c>
      <c r="S78" s="10">
        <v>0</v>
      </c>
      <c r="T78" s="15">
        <f t="shared" si="3"/>
        <v>5.4085947487461903</v>
      </c>
      <c r="U78" s="15">
        <f t="shared" si="4"/>
        <v>0</v>
      </c>
      <c r="V78" s="15">
        <f t="shared" si="5"/>
        <v>-5.4085947487461903</v>
      </c>
      <c r="W78" s="10"/>
      <c r="X78" s="10"/>
      <c r="Y78" s="10"/>
      <c r="Z78" s="10"/>
      <c r="AA78" s="10"/>
      <c r="AB78" s="10"/>
      <c r="AC78" s="10"/>
      <c r="AD78" s="10"/>
      <c r="AE78" s="10"/>
      <c r="AF78" s="10"/>
    </row>
    <row r="79" spans="1:32" ht="43.5">
      <c r="A79" s="2" t="s">
        <v>959</v>
      </c>
      <c r="B79" s="2" t="s">
        <v>2305</v>
      </c>
      <c r="C79" s="2" t="s">
        <v>2304</v>
      </c>
      <c r="G79" s="10" t="s">
        <v>2689</v>
      </c>
      <c r="H79" s="10"/>
      <c r="I79" s="10"/>
      <c r="J79" s="10"/>
      <c r="K79" s="10"/>
      <c r="L79" s="10"/>
      <c r="M79" s="10"/>
      <c r="N79" s="11"/>
      <c r="O79" s="10"/>
      <c r="P79" s="10"/>
      <c r="Q79" s="10">
        <v>825</v>
      </c>
      <c r="R79" s="10">
        <v>5</v>
      </c>
      <c r="S79" s="10">
        <v>830</v>
      </c>
      <c r="T79" s="15">
        <f t="shared" si="3"/>
        <v>2.4584521585209949</v>
      </c>
      <c r="U79" s="15">
        <f t="shared" si="4"/>
        <v>408.10305831448517</v>
      </c>
      <c r="V79" s="15">
        <f t="shared" si="5"/>
        <v>405.6446061559642</v>
      </c>
      <c r="W79" s="10"/>
      <c r="X79" s="10"/>
      <c r="Y79" s="10"/>
      <c r="Z79" s="10"/>
      <c r="AA79" s="10"/>
      <c r="AB79" s="10"/>
      <c r="AC79" s="10"/>
      <c r="AD79" s="10"/>
      <c r="AE79" s="10"/>
      <c r="AF79" s="10"/>
    </row>
    <row r="80" spans="1:32">
      <c r="A80" s="2" t="s">
        <v>959</v>
      </c>
      <c r="B80" s="2" t="s">
        <v>834</v>
      </c>
      <c r="C80" s="2" t="s">
        <v>955</v>
      </c>
      <c r="G80" s="10" t="s">
        <v>2686</v>
      </c>
      <c r="H80" s="10"/>
      <c r="I80" s="10"/>
      <c r="J80" s="10"/>
      <c r="K80" s="10"/>
      <c r="L80" s="10"/>
      <c r="M80" s="10"/>
      <c r="N80" s="11"/>
      <c r="O80" s="10"/>
      <c r="P80" s="10"/>
      <c r="Q80" s="10">
        <v>-11</v>
      </c>
      <c r="R80" s="10">
        <v>11</v>
      </c>
      <c r="S80" s="10">
        <v>0</v>
      </c>
      <c r="T80" s="15">
        <f t="shared" si="3"/>
        <v>5.4085947487461903</v>
      </c>
      <c r="U80" s="15">
        <f t="shared" si="4"/>
        <v>0</v>
      </c>
      <c r="V80" s="15">
        <f t="shared" si="5"/>
        <v>-5.4085947487461903</v>
      </c>
      <c r="W80" s="10"/>
      <c r="X80" s="10"/>
      <c r="Y80" s="10"/>
      <c r="Z80" s="10"/>
      <c r="AA80" s="10"/>
      <c r="AB80" s="10"/>
      <c r="AC80" s="10"/>
      <c r="AD80" s="10"/>
      <c r="AE80" s="10"/>
      <c r="AF80" s="10"/>
    </row>
    <row r="81" spans="1:32" ht="43.5">
      <c r="A81" s="2" t="s">
        <v>964</v>
      </c>
      <c r="B81" s="2" t="s">
        <v>2306</v>
      </c>
      <c r="C81" s="2" t="s">
        <v>2307</v>
      </c>
      <c r="F81" t="s">
        <v>19</v>
      </c>
      <c r="G81" s="10" t="s">
        <v>2686</v>
      </c>
      <c r="H81" s="10"/>
      <c r="I81" s="10"/>
      <c r="J81" s="10"/>
      <c r="K81" s="10"/>
      <c r="L81" s="10"/>
      <c r="M81" s="10"/>
      <c r="N81" s="11"/>
      <c r="O81" s="10"/>
      <c r="P81" s="10"/>
      <c r="Q81" s="10">
        <v>-19</v>
      </c>
      <c r="R81" s="10">
        <v>19</v>
      </c>
      <c r="S81" s="10">
        <v>0</v>
      </c>
      <c r="T81" s="15">
        <f t="shared" si="3"/>
        <v>9.3421182023797815</v>
      </c>
      <c r="U81" s="15">
        <f t="shared" si="4"/>
        <v>0</v>
      </c>
      <c r="V81" s="15">
        <f t="shared" si="5"/>
        <v>-9.3421182023797815</v>
      </c>
      <c r="W81" s="10"/>
      <c r="X81" s="10"/>
      <c r="Y81" s="10"/>
      <c r="Z81" s="10"/>
      <c r="AA81" s="10"/>
      <c r="AB81" s="10"/>
      <c r="AC81" s="10"/>
      <c r="AD81" s="10"/>
      <c r="AE81" s="10"/>
      <c r="AF81" s="10"/>
    </row>
    <row r="82" spans="1:32" ht="29">
      <c r="A82" s="2" t="s">
        <v>988</v>
      </c>
      <c r="B82" s="2" t="s">
        <v>1268</v>
      </c>
      <c r="C82" s="2" t="s">
        <v>2026</v>
      </c>
      <c r="G82" s="10" t="s">
        <v>2686</v>
      </c>
      <c r="H82" s="10"/>
      <c r="I82" s="10"/>
      <c r="J82" s="10"/>
      <c r="K82" s="10"/>
      <c r="L82" s="10"/>
      <c r="M82" s="10"/>
      <c r="N82" s="11"/>
      <c r="O82" s="10"/>
      <c r="P82" s="10"/>
      <c r="Q82" s="10">
        <v>-431</v>
      </c>
      <c r="R82" s="10">
        <v>743</v>
      </c>
      <c r="S82" s="10">
        <v>312</v>
      </c>
      <c r="T82" s="15">
        <f t="shared" si="3"/>
        <v>365.32599075621988</v>
      </c>
      <c r="U82" s="15">
        <f t="shared" si="4"/>
        <v>153.4074146917101</v>
      </c>
      <c r="V82" s="15">
        <f t="shared" si="5"/>
        <v>-211.91857606450978</v>
      </c>
      <c r="W82" s="10"/>
      <c r="X82" s="10"/>
      <c r="Y82" s="10"/>
      <c r="Z82" s="10"/>
      <c r="AA82" s="10"/>
      <c r="AB82" s="10"/>
      <c r="AC82" s="10"/>
      <c r="AD82" s="10"/>
      <c r="AE82" s="10"/>
      <c r="AF82" s="10"/>
    </row>
    <row r="83" spans="1:32" ht="58">
      <c r="A83" s="2" t="s">
        <v>989</v>
      </c>
      <c r="B83" s="2" t="s">
        <v>2339</v>
      </c>
      <c r="C83" s="2" t="s">
        <v>2340</v>
      </c>
      <c r="F83" t="s">
        <v>19</v>
      </c>
      <c r="G83" s="10" t="s">
        <v>2686</v>
      </c>
      <c r="H83" s="10"/>
      <c r="I83" s="10"/>
      <c r="J83" s="10"/>
      <c r="K83" s="10"/>
      <c r="L83" s="10"/>
      <c r="M83" s="10"/>
      <c r="N83" s="10"/>
      <c r="O83" s="10"/>
      <c r="P83" s="10"/>
      <c r="Q83" s="10">
        <v>11</v>
      </c>
      <c r="R83" s="10">
        <v>1</v>
      </c>
      <c r="S83" s="10">
        <v>12</v>
      </c>
      <c r="T83" s="15">
        <f t="shared" si="3"/>
        <v>0.49169043170419907</v>
      </c>
      <c r="U83" s="15">
        <f t="shared" si="4"/>
        <v>5.9002851804503891</v>
      </c>
      <c r="V83" s="15">
        <f t="shared" si="5"/>
        <v>5.4085947487461903</v>
      </c>
      <c r="W83" s="10"/>
      <c r="X83" s="10"/>
      <c r="Y83" s="10"/>
      <c r="Z83" s="10"/>
      <c r="AA83" s="10"/>
      <c r="AB83" s="10"/>
      <c r="AC83" s="10"/>
      <c r="AD83" s="10"/>
      <c r="AE83" s="10"/>
      <c r="AF83" s="10"/>
    </row>
    <row r="84" spans="1:32" ht="43.5">
      <c r="A84" s="2" t="s">
        <v>1005</v>
      </c>
      <c r="B84" s="2" t="s">
        <v>2367</v>
      </c>
      <c r="C84" s="2" t="s">
        <v>2368</v>
      </c>
      <c r="G84" s="10" t="s">
        <v>2686</v>
      </c>
      <c r="H84" s="10"/>
      <c r="I84" s="10"/>
      <c r="J84" s="10"/>
      <c r="K84" s="10"/>
      <c r="L84" s="10"/>
      <c r="M84" s="10"/>
      <c r="N84" s="11"/>
      <c r="O84" s="10"/>
      <c r="P84" s="10"/>
      <c r="Q84" s="10">
        <v>61</v>
      </c>
      <c r="R84" s="10">
        <v>5</v>
      </c>
      <c r="S84" s="10">
        <v>66</v>
      </c>
      <c r="T84" s="15">
        <f t="shared" si="3"/>
        <v>2.4584521585209949</v>
      </c>
      <c r="U84" s="15">
        <f t="shared" si="4"/>
        <v>32.451568492477136</v>
      </c>
      <c r="V84" s="15">
        <f t="shared" si="5"/>
        <v>29.993116333956142</v>
      </c>
      <c r="W84" s="10"/>
      <c r="X84" s="10"/>
      <c r="Y84" s="10"/>
      <c r="Z84" s="10"/>
      <c r="AA84" s="10"/>
      <c r="AB84" s="10"/>
      <c r="AC84" s="10"/>
      <c r="AD84" s="10"/>
      <c r="AE84" s="10"/>
      <c r="AF84" s="10"/>
    </row>
    <row r="85" spans="1:32" ht="43.5">
      <c r="A85" s="2" t="s">
        <v>1006</v>
      </c>
      <c r="B85" s="2" t="s">
        <v>2369</v>
      </c>
      <c r="C85" s="2" t="s">
        <v>2370</v>
      </c>
      <c r="F85" t="s">
        <v>19</v>
      </c>
      <c r="G85" s="10" t="s">
        <v>2686</v>
      </c>
      <c r="H85" s="10"/>
      <c r="I85" s="10"/>
      <c r="J85" s="10"/>
      <c r="K85" s="10"/>
      <c r="L85" s="10"/>
      <c r="M85" s="10"/>
      <c r="N85" s="11"/>
      <c r="O85" s="10"/>
      <c r="P85" s="10"/>
      <c r="Q85" s="10">
        <v>35</v>
      </c>
      <c r="R85" s="10">
        <v>5</v>
      </c>
      <c r="S85" s="10">
        <v>40</v>
      </c>
      <c r="T85" s="15">
        <f t="shared" si="3"/>
        <v>2.4584521585209949</v>
      </c>
      <c r="U85" s="15">
        <f t="shared" si="4"/>
        <v>19.667617268167959</v>
      </c>
      <c r="V85" s="15">
        <f t="shared" si="5"/>
        <v>17.209165109646964</v>
      </c>
      <c r="W85" s="10"/>
      <c r="X85" s="10"/>
      <c r="Y85" s="10"/>
      <c r="Z85" s="10"/>
      <c r="AA85" s="10"/>
      <c r="AB85" s="10"/>
      <c r="AC85" s="10"/>
      <c r="AD85" s="10"/>
      <c r="AE85" s="10"/>
      <c r="AF85" s="10"/>
    </row>
    <row r="86" spans="1:32" ht="29">
      <c r="A86" s="2" t="s">
        <v>1007</v>
      </c>
      <c r="B86" s="2" t="s">
        <v>2371</v>
      </c>
      <c r="C86" s="2" t="s">
        <v>2947</v>
      </c>
      <c r="F86" t="s">
        <v>19</v>
      </c>
      <c r="G86" s="10" t="s">
        <v>2686</v>
      </c>
      <c r="H86" s="10"/>
      <c r="I86" s="10"/>
      <c r="J86" s="10"/>
      <c r="K86" s="10"/>
      <c r="L86" s="10"/>
      <c r="M86" s="10"/>
      <c r="N86" s="11"/>
      <c r="O86" s="10"/>
      <c r="P86" s="10"/>
      <c r="Q86" s="10">
        <v>-2446</v>
      </c>
      <c r="R86" s="10">
        <v>2475</v>
      </c>
      <c r="S86" s="10">
        <v>29</v>
      </c>
      <c r="T86" s="15">
        <f t="shared" si="3"/>
        <v>1216.9338184678927</v>
      </c>
      <c r="U86" s="15">
        <f t="shared" si="4"/>
        <v>14.259022519421771</v>
      </c>
      <c r="V86" s="15">
        <f t="shared" si="5"/>
        <v>-1202.674795948471</v>
      </c>
      <c r="W86" s="10"/>
      <c r="X86" s="10"/>
      <c r="Y86" s="10"/>
      <c r="Z86" s="10"/>
      <c r="AA86" s="10"/>
      <c r="AB86" s="10"/>
      <c r="AC86" s="10"/>
      <c r="AD86" s="10"/>
      <c r="AE86" s="10"/>
      <c r="AF86" s="10"/>
    </row>
    <row r="87" spans="1:32" ht="29">
      <c r="A87" s="2" t="s">
        <v>1048</v>
      </c>
      <c r="B87" s="13" t="s">
        <v>2411</v>
      </c>
      <c r="C87" t="s">
        <v>2412</v>
      </c>
      <c r="G87" s="10" t="s">
        <v>2686</v>
      </c>
      <c r="H87" s="10"/>
      <c r="I87" s="10"/>
      <c r="J87" s="10"/>
      <c r="K87" s="10"/>
      <c r="L87" s="10"/>
      <c r="M87" s="10"/>
      <c r="N87" s="11"/>
      <c r="O87" s="10"/>
      <c r="P87" s="10"/>
      <c r="Q87" s="10">
        <v>249</v>
      </c>
      <c r="R87" s="10">
        <v>31</v>
      </c>
      <c r="S87" s="10">
        <v>280</v>
      </c>
      <c r="T87" s="15">
        <f t="shared" si="3"/>
        <v>15.242403382830171</v>
      </c>
      <c r="U87" s="15">
        <f t="shared" si="4"/>
        <v>137.67332087717574</v>
      </c>
      <c r="V87" s="15">
        <f t="shared" si="5"/>
        <v>122.43091749434556</v>
      </c>
      <c r="W87" s="10"/>
      <c r="X87" s="10"/>
      <c r="Y87" s="10"/>
      <c r="Z87" s="10"/>
      <c r="AA87" s="10"/>
      <c r="AB87" s="10"/>
      <c r="AC87" s="10"/>
      <c r="AD87" s="10"/>
      <c r="AE87" s="10"/>
      <c r="AF87" s="10"/>
    </row>
    <row r="88" spans="1:32" ht="29">
      <c r="A88" s="2" t="s">
        <v>1064</v>
      </c>
      <c r="B88" s="2" t="s">
        <v>2434</v>
      </c>
      <c r="C88" s="2" t="s">
        <v>2433</v>
      </c>
      <c r="G88" s="10" t="s">
        <v>2686</v>
      </c>
      <c r="H88" s="10"/>
      <c r="I88" s="10"/>
      <c r="J88" s="10"/>
      <c r="K88" s="10"/>
      <c r="L88" s="10"/>
      <c r="M88" s="10"/>
      <c r="N88" s="11"/>
      <c r="O88" s="10"/>
      <c r="P88" s="10"/>
      <c r="Q88" s="10">
        <v>-31</v>
      </c>
      <c r="R88" s="10">
        <v>35</v>
      </c>
      <c r="S88" s="10">
        <v>4</v>
      </c>
      <c r="T88" s="15">
        <f t="shared" si="3"/>
        <v>17.209165109646968</v>
      </c>
      <c r="U88" s="15">
        <f t="shared" si="4"/>
        <v>1.9667617268167963</v>
      </c>
      <c r="V88" s="15">
        <f t="shared" si="5"/>
        <v>-15.242403382830171</v>
      </c>
      <c r="W88" s="10"/>
      <c r="X88" s="10"/>
      <c r="Y88" s="10"/>
      <c r="Z88" s="10"/>
      <c r="AA88" s="10"/>
      <c r="AB88" s="10"/>
      <c r="AC88" s="10"/>
      <c r="AD88" s="10"/>
      <c r="AE88" s="10"/>
      <c r="AF88" s="10"/>
    </row>
    <row r="89" spans="1:32" ht="43.5">
      <c r="A89" s="2" t="s">
        <v>1064</v>
      </c>
      <c r="B89" s="2" t="s">
        <v>2435</v>
      </c>
      <c r="C89" s="2" t="s">
        <v>2436</v>
      </c>
      <c r="F89" t="s">
        <v>19</v>
      </c>
      <c r="G89" s="10" t="s">
        <v>2686</v>
      </c>
      <c r="H89" s="10"/>
      <c r="I89" s="10"/>
      <c r="J89" s="10"/>
      <c r="K89" s="10"/>
      <c r="L89" s="10"/>
      <c r="M89" s="10"/>
      <c r="N89" s="11"/>
      <c r="O89" s="10"/>
      <c r="P89" s="10"/>
      <c r="Q89" s="10">
        <v>789</v>
      </c>
      <c r="R89" s="10">
        <v>41</v>
      </c>
      <c r="S89" s="10">
        <v>830</v>
      </c>
      <c r="T89" s="15">
        <f t="shared" si="3"/>
        <v>20.159307699872159</v>
      </c>
      <c r="U89" s="15">
        <f t="shared" si="4"/>
        <v>408.10305831448517</v>
      </c>
      <c r="V89" s="15">
        <f t="shared" si="5"/>
        <v>387.94375061461301</v>
      </c>
      <c r="W89" s="10"/>
      <c r="X89" s="10"/>
      <c r="Y89" s="10"/>
      <c r="Z89" s="10"/>
      <c r="AA89" s="10"/>
      <c r="AB89" s="10"/>
      <c r="AC89" s="10"/>
      <c r="AD89" s="10"/>
      <c r="AE89" s="10"/>
      <c r="AF89" s="10"/>
    </row>
    <row r="90" spans="1:32" ht="29">
      <c r="A90" s="2" t="s">
        <v>1083</v>
      </c>
      <c r="B90" s="2" t="s">
        <v>2455</v>
      </c>
      <c r="C90" s="2" t="s">
        <v>2456</v>
      </c>
      <c r="F90" t="s">
        <v>19</v>
      </c>
      <c r="G90" s="10" t="s">
        <v>2686</v>
      </c>
      <c r="H90" s="10"/>
      <c r="I90" s="10"/>
      <c r="J90" s="10"/>
      <c r="K90" s="10"/>
      <c r="L90" s="10"/>
      <c r="M90" s="10"/>
      <c r="N90" s="11"/>
      <c r="O90" s="10"/>
      <c r="P90" s="10"/>
      <c r="Q90" s="10">
        <v>6</v>
      </c>
      <c r="R90" s="10">
        <v>1</v>
      </c>
      <c r="S90" s="10">
        <v>7</v>
      </c>
      <c r="T90" s="15">
        <f t="shared" si="3"/>
        <v>0.49169043170419907</v>
      </c>
      <c r="U90" s="15">
        <f t="shared" si="4"/>
        <v>3.4418330219293933</v>
      </c>
      <c r="V90" s="15">
        <f t="shared" si="5"/>
        <v>2.9501425902251941</v>
      </c>
      <c r="W90" s="10"/>
      <c r="X90" s="10"/>
      <c r="Y90" s="10"/>
      <c r="Z90" s="10"/>
      <c r="AA90" s="10"/>
      <c r="AB90" s="10"/>
      <c r="AC90" s="10"/>
      <c r="AD90" s="10"/>
      <c r="AE90" s="10"/>
      <c r="AF90" s="10"/>
    </row>
    <row r="91" spans="1:32" ht="43.5">
      <c r="A91" s="2" t="s">
        <v>1099</v>
      </c>
      <c r="B91" s="2" t="s">
        <v>2479</v>
      </c>
      <c r="C91" s="2" t="s">
        <v>2480</v>
      </c>
      <c r="G91" s="10" t="s">
        <v>2686</v>
      </c>
      <c r="H91" s="10"/>
      <c r="I91" s="10"/>
      <c r="J91" s="10"/>
      <c r="K91" s="10"/>
      <c r="L91" s="10"/>
      <c r="M91" s="10"/>
      <c r="N91" s="11"/>
      <c r="O91" s="10"/>
      <c r="P91" s="10"/>
      <c r="Q91" s="10">
        <v>18</v>
      </c>
      <c r="R91" s="10">
        <v>4</v>
      </c>
      <c r="S91" s="10">
        <v>22</v>
      </c>
      <c r="T91" s="15">
        <f t="shared" si="3"/>
        <v>1.9667617268167963</v>
      </c>
      <c r="U91" s="15">
        <f t="shared" si="4"/>
        <v>10.817189497492381</v>
      </c>
      <c r="V91" s="15">
        <f t="shared" si="5"/>
        <v>8.8504277706755836</v>
      </c>
      <c r="W91" s="10"/>
      <c r="X91" s="10"/>
      <c r="Y91" s="10"/>
      <c r="Z91" s="10"/>
      <c r="AA91" s="10"/>
      <c r="AB91" s="10"/>
      <c r="AC91" s="10"/>
      <c r="AD91" s="10"/>
      <c r="AE91" s="10"/>
      <c r="AF91" s="10"/>
    </row>
    <row r="92" spans="1:32" ht="43.5">
      <c r="A92" s="2" t="s">
        <v>1118</v>
      </c>
      <c r="B92" s="2" t="s">
        <v>2506</v>
      </c>
      <c r="C92" s="2" t="s">
        <v>2507</v>
      </c>
      <c r="F92" t="s">
        <v>19</v>
      </c>
      <c r="G92" s="10" t="s">
        <v>2686</v>
      </c>
      <c r="H92" s="10"/>
      <c r="I92" s="10"/>
      <c r="J92" s="10"/>
      <c r="K92" s="10"/>
      <c r="L92" s="10"/>
      <c r="M92" s="10"/>
      <c r="N92" s="11"/>
      <c r="O92" s="10"/>
      <c r="P92" s="10"/>
      <c r="Q92" s="10">
        <v>16</v>
      </c>
      <c r="R92" s="10">
        <v>25</v>
      </c>
      <c r="S92" s="10">
        <v>41</v>
      </c>
      <c r="T92" s="15">
        <f t="shared" si="3"/>
        <v>12.292260792604976</v>
      </c>
      <c r="U92" s="15">
        <f t="shared" si="4"/>
        <v>20.159307699872159</v>
      </c>
      <c r="V92" s="15">
        <f t="shared" si="5"/>
        <v>7.8670469072671825</v>
      </c>
      <c r="W92" s="10"/>
      <c r="X92" s="10"/>
      <c r="Y92" s="10"/>
      <c r="Z92" s="10"/>
      <c r="AA92" s="10"/>
      <c r="AB92" s="10"/>
      <c r="AC92" s="10"/>
      <c r="AD92" s="10"/>
      <c r="AE92" s="10"/>
      <c r="AF92" s="10"/>
    </row>
    <row r="93" spans="1:32" ht="58">
      <c r="A93" s="2" t="s">
        <v>1124</v>
      </c>
      <c r="B93" s="2" t="s">
        <v>2514</v>
      </c>
      <c r="C93" s="2" t="s">
        <v>2515</v>
      </c>
      <c r="F93" t="s">
        <v>19</v>
      </c>
      <c r="G93" s="10" t="s">
        <v>2686</v>
      </c>
      <c r="H93" s="10"/>
      <c r="I93" s="10"/>
      <c r="J93" s="10"/>
      <c r="K93" s="10"/>
      <c r="L93" s="10"/>
      <c r="M93" s="10"/>
      <c r="N93" s="11"/>
      <c r="O93" s="10"/>
      <c r="P93" s="10"/>
      <c r="Q93" s="10">
        <v>249</v>
      </c>
      <c r="R93" s="10">
        <v>31</v>
      </c>
      <c r="S93" s="10">
        <v>280</v>
      </c>
      <c r="T93" s="15">
        <f t="shared" si="3"/>
        <v>15.242403382830171</v>
      </c>
      <c r="U93" s="15">
        <f t="shared" si="4"/>
        <v>137.67332087717574</v>
      </c>
      <c r="V93" s="15">
        <f t="shared" si="5"/>
        <v>122.43091749434556</v>
      </c>
      <c r="W93" s="10"/>
      <c r="X93" s="10"/>
      <c r="Y93" s="10"/>
      <c r="Z93" s="10"/>
      <c r="AA93" s="10"/>
      <c r="AB93" s="10"/>
      <c r="AC93" s="10"/>
      <c r="AD93" s="10"/>
      <c r="AE93" s="10"/>
      <c r="AF93" s="10"/>
    </row>
    <row r="94" spans="1:32" ht="29">
      <c r="A94" s="2" t="s">
        <v>1125</v>
      </c>
      <c r="B94" s="2" t="s">
        <v>2516</v>
      </c>
      <c r="C94" s="2" t="s">
        <v>2517</v>
      </c>
      <c r="G94" s="10" t="s">
        <v>2686</v>
      </c>
      <c r="H94" s="10"/>
      <c r="I94" s="10"/>
      <c r="J94" s="10"/>
      <c r="K94" s="10"/>
      <c r="L94" s="10"/>
      <c r="M94" s="10"/>
      <c r="N94" s="11"/>
      <c r="O94" s="10"/>
      <c r="P94" s="10"/>
      <c r="Q94" s="10">
        <v>-249</v>
      </c>
      <c r="R94" s="10">
        <v>280</v>
      </c>
      <c r="S94" s="10">
        <v>31</v>
      </c>
      <c r="T94" s="15">
        <f t="shared" si="3"/>
        <v>137.67332087717574</v>
      </c>
      <c r="U94" s="15">
        <f t="shared" si="4"/>
        <v>15.242403382830171</v>
      </c>
      <c r="V94" s="15">
        <f t="shared" si="5"/>
        <v>-122.43091749434556</v>
      </c>
      <c r="W94" s="10"/>
      <c r="X94" s="10"/>
      <c r="Y94" s="10"/>
      <c r="Z94" s="10"/>
      <c r="AA94" s="10"/>
      <c r="AB94" s="10"/>
      <c r="AC94" s="10"/>
      <c r="AD94" s="10"/>
      <c r="AE94" s="10"/>
      <c r="AF94" s="10"/>
    </row>
    <row r="95" spans="1:32" ht="43.5">
      <c r="A95" s="2" t="s">
        <v>1125</v>
      </c>
      <c r="B95" s="2" t="s">
        <v>2518</v>
      </c>
      <c r="C95" s="2" t="s">
        <v>2519</v>
      </c>
      <c r="F95" t="s">
        <v>19</v>
      </c>
      <c r="G95" s="10" t="s">
        <v>2686</v>
      </c>
      <c r="H95" s="10"/>
      <c r="I95" s="10"/>
      <c r="J95" s="10"/>
      <c r="K95" s="10"/>
      <c r="L95" s="10"/>
      <c r="M95" s="10"/>
      <c r="N95" s="11"/>
      <c r="O95" s="10"/>
      <c r="P95" s="10"/>
      <c r="Q95" s="10">
        <v>1672</v>
      </c>
      <c r="R95" s="10">
        <v>29</v>
      </c>
      <c r="S95" s="10">
        <v>1701</v>
      </c>
      <c r="T95" s="15">
        <f t="shared" si="3"/>
        <v>14.259022519421771</v>
      </c>
      <c r="U95" s="15">
        <f t="shared" si="4"/>
        <v>836.36542432884255</v>
      </c>
      <c r="V95" s="15">
        <f t="shared" si="5"/>
        <v>822.10640180942073</v>
      </c>
      <c r="W95" s="10"/>
      <c r="X95" s="10"/>
      <c r="Y95" s="10"/>
      <c r="Z95" s="10"/>
      <c r="AA95" s="10"/>
      <c r="AB95" s="10"/>
      <c r="AC95" s="10"/>
      <c r="AD95" s="10"/>
      <c r="AE95" s="10"/>
      <c r="AF95" s="10"/>
    </row>
    <row r="96" spans="1:32" ht="29">
      <c r="A96" s="2" t="s">
        <v>1130</v>
      </c>
      <c r="B96" s="2" t="s">
        <v>2535</v>
      </c>
      <c r="C96" s="2" t="s">
        <v>2536</v>
      </c>
      <c r="G96" s="10" t="s">
        <v>2686</v>
      </c>
      <c r="H96" s="10"/>
      <c r="I96" s="10"/>
      <c r="J96" s="10"/>
      <c r="K96" s="10"/>
      <c r="L96" s="10"/>
      <c r="M96" s="10"/>
      <c r="N96" s="11"/>
      <c r="O96" s="10"/>
      <c r="P96" s="10"/>
      <c r="Q96" s="10">
        <v>1497</v>
      </c>
      <c r="R96" s="10">
        <v>204</v>
      </c>
      <c r="S96" s="10">
        <v>1701</v>
      </c>
      <c r="T96" s="15">
        <f t="shared" si="3"/>
        <v>100.30484806765661</v>
      </c>
      <c r="U96" s="15">
        <f t="shared" si="4"/>
        <v>836.36542432884255</v>
      </c>
      <c r="V96" s="15">
        <f t="shared" si="5"/>
        <v>736.06057626118593</v>
      </c>
      <c r="W96" s="10"/>
      <c r="X96" s="10"/>
      <c r="Y96" s="10"/>
      <c r="Z96" s="10"/>
      <c r="AA96" s="10"/>
      <c r="AB96" s="10"/>
      <c r="AC96" s="10"/>
      <c r="AD96" s="10"/>
      <c r="AE96" s="10"/>
      <c r="AF96" s="10"/>
    </row>
    <row r="97" spans="1:32" ht="29">
      <c r="A97" s="2" t="s">
        <v>1136</v>
      </c>
      <c r="B97" s="2" t="s">
        <v>2545</v>
      </c>
      <c r="C97" s="2" t="s">
        <v>2950</v>
      </c>
      <c r="F97" t="s">
        <v>19</v>
      </c>
      <c r="G97" s="10" t="s">
        <v>2686</v>
      </c>
      <c r="H97" s="10"/>
      <c r="I97" s="10"/>
      <c r="J97" s="10"/>
      <c r="K97" s="10"/>
      <c r="L97" s="10"/>
      <c r="M97" s="10"/>
      <c r="N97" s="11"/>
      <c r="O97" s="10"/>
      <c r="P97" s="10"/>
      <c r="Q97" s="10">
        <v>431</v>
      </c>
      <c r="R97" s="10">
        <v>312</v>
      </c>
      <c r="S97" s="10">
        <v>743</v>
      </c>
      <c r="T97" s="15">
        <f t="shared" si="3"/>
        <v>153.4074146917101</v>
      </c>
      <c r="U97" s="15">
        <f t="shared" si="4"/>
        <v>365.32599075621988</v>
      </c>
      <c r="V97" s="15">
        <f t="shared" si="5"/>
        <v>211.91857606450978</v>
      </c>
      <c r="W97" s="10"/>
      <c r="X97" s="10"/>
      <c r="Y97" s="10"/>
      <c r="Z97" s="10"/>
      <c r="AA97" s="10"/>
      <c r="AB97" s="10"/>
      <c r="AC97" s="10"/>
      <c r="AD97" s="10"/>
      <c r="AE97" s="10"/>
      <c r="AF97" s="10"/>
    </row>
    <row r="98" spans="1:32" ht="29">
      <c r="A98" s="2" t="s">
        <v>1163</v>
      </c>
      <c r="B98" s="2" t="s">
        <v>2573</v>
      </c>
      <c r="C98" s="2" t="s">
        <v>2574</v>
      </c>
      <c r="G98" s="10" t="s">
        <v>2686</v>
      </c>
      <c r="H98" s="10"/>
      <c r="I98" s="10"/>
      <c r="J98" s="10"/>
      <c r="K98" s="10"/>
      <c r="L98" s="10"/>
      <c r="M98" s="10"/>
      <c r="N98" s="11"/>
      <c r="O98" s="10"/>
      <c r="P98" s="10"/>
      <c r="Q98" s="10">
        <v>249</v>
      </c>
      <c r="R98" s="10">
        <v>31</v>
      </c>
      <c r="S98" s="10">
        <v>280</v>
      </c>
      <c r="T98" s="15">
        <f t="shared" si="3"/>
        <v>15.242403382830171</v>
      </c>
      <c r="U98" s="15">
        <f t="shared" si="4"/>
        <v>137.67332087717574</v>
      </c>
      <c r="V98" s="15">
        <f t="shared" si="5"/>
        <v>122.43091749434556</v>
      </c>
      <c r="W98" s="10"/>
      <c r="X98" s="10"/>
      <c r="Y98" s="10"/>
      <c r="Z98" s="10"/>
      <c r="AA98" s="10"/>
      <c r="AB98" s="10"/>
      <c r="AC98" s="10"/>
      <c r="AD98" s="10"/>
      <c r="AE98" s="10"/>
      <c r="AF98" s="10"/>
    </row>
    <row r="99" spans="1:32" ht="43.5">
      <c r="A99" s="2" t="s">
        <v>1180</v>
      </c>
      <c r="B99" s="2" t="s">
        <v>2595</v>
      </c>
      <c r="C99" s="2" t="s">
        <v>2596</v>
      </c>
      <c r="F99" t="s">
        <v>19</v>
      </c>
      <c r="G99" s="10" t="s">
        <v>2686</v>
      </c>
      <c r="H99" s="10"/>
      <c r="I99" s="10"/>
      <c r="J99" s="10"/>
      <c r="K99" s="10"/>
      <c r="L99" s="10"/>
      <c r="M99" s="10"/>
      <c r="N99" s="11"/>
      <c r="O99" s="10"/>
      <c r="P99" s="10"/>
      <c r="Q99" s="10">
        <v>-2475</v>
      </c>
      <c r="R99" s="10">
        <v>2475</v>
      </c>
      <c r="S99" s="10">
        <v>0</v>
      </c>
      <c r="T99" s="15">
        <f t="shared" si="3"/>
        <v>1216.9338184678927</v>
      </c>
      <c r="U99" s="15">
        <f t="shared" si="4"/>
        <v>0</v>
      </c>
      <c r="V99" s="15">
        <f t="shared" si="5"/>
        <v>-1216.9338184678927</v>
      </c>
      <c r="W99" s="10"/>
      <c r="X99" s="10"/>
      <c r="Y99" s="10"/>
      <c r="Z99" s="10"/>
      <c r="AA99" s="10"/>
      <c r="AB99" s="10"/>
      <c r="AC99" s="10"/>
      <c r="AD99" s="10"/>
      <c r="AE99" s="10"/>
      <c r="AF99" s="10"/>
    </row>
    <row r="100" spans="1:32" ht="29">
      <c r="A100" s="2" t="s">
        <v>1185</v>
      </c>
      <c r="B100" s="2" t="s">
        <v>2600</v>
      </c>
      <c r="C100" s="2" t="s">
        <v>2601</v>
      </c>
      <c r="F100" t="s">
        <v>19</v>
      </c>
      <c r="G100" s="10" t="s">
        <v>2686</v>
      </c>
      <c r="H100" s="10"/>
      <c r="I100" s="10"/>
      <c r="J100" s="10"/>
      <c r="K100" s="10"/>
      <c r="L100" s="10"/>
      <c r="M100" s="10"/>
      <c r="N100" s="11"/>
      <c r="O100" s="10"/>
      <c r="P100" s="10"/>
      <c r="Q100" s="10">
        <v>-431</v>
      </c>
      <c r="R100" s="10">
        <v>743</v>
      </c>
      <c r="S100" s="10">
        <v>312</v>
      </c>
      <c r="T100" s="15">
        <f t="shared" si="3"/>
        <v>365.32599075621988</v>
      </c>
      <c r="U100" s="15">
        <f t="shared" si="4"/>
        <v>153.4074146917101</v>
      </c>
      <c r="V100" s="15">
        <f t="shared" si="5"/>
        <v>-211.91857606450978</v>
      </c>
      <c r="W100" s="10"/>
      <c r="X100" s="10"/>
      <c r="Y100" s="10"/>
      <c r="Z100" s="10"/>
      <c r="AA100" s="10"/>
      <c r="AB100" s="10"/>
      <c r="AC100" s="10"/>
      <c r="AD100" s="10"/>
      <c r="AE100" s="10"/>
      <c r="AF100" s="10"/>
    </row>
    <row r="101" spans="1:32" ht="29">
      <c r="A101" s="2" t="s">
        <v>1186</v>
      </c>
      <c r="B101" s="2" t="s">
        <v>2604</v>
      </c>
      <c r="C101" s="2" t="s">
        <v>1187</v>
      </c>
      <c r="F101" t="s">
        <v>19</v>
      </c>
      <c r="G101" s="10" t="s">
        <v>2686</v>
      </c>
      <c r="H101" s="10"/>
      <c r="I101" s="10"/>
      <c r="J101" s="10"/>
      <c r="K101" s="10"/>
      <c r="L101" s="10"/>
      <c r="M101" s="10"/>
      <c r="N101" s="11"/>
      <c r="O101" s="10"/>
      <c r="P101" s="10"/>
      <c r="Q101" s="10">
        <v>-21</v>
      </c>
      <c r="R101" s="10">
        <v>21</v>
      </c>
      <c r="S101" s="10">
        <v>0</v>
      </c>
      <c r="T101" s="15">
        <f t="shared" si="3"/>
        <v>10.325499065788179</v>
      </c>
      <c r="U101" s="15">
        <f t="shared" si="4"/>
        <v>0</v>
      </c>
      <c r="V101" s="15">
        <f t="shared" si="5"/>
        <v>-10.325499065788179</v>
      </c>
      <c r="W101" s="10"/>
      <c r="X101" s="10"/>
      <c r="Y101" s="10"/>
      <c r="Z101" s="10"/>
      <c r="AA101" s="10"/>
      <c r="AB101" s="10"/>
      <c r="AC101" s="10"/>
      <c r="AD101" s="10"/>
      <c r="AE101" s="10"/>
      <c r="AF101" s="10"/>
    </row>
    <row r="102" spans="1:32" ht="43.5">
      <c r="A102" s="2" t="s">
        <v>1194</v>
      </c>
      <c r="B102" s="2" t="s">
        <v>2616</v>
      </c>
      <c r="C102" s="2" t="s">
        <v>2615</v>
      </c>
      <c r="F102" t="s">
        <v>19</v>
      </c>
      <c r="G102" s="10" t="s">
        <v>2686</v>
      </c>
      <c r="H102" s="10"/>
      <c r="I102" s="10"/>
      <c r="J102" s="10"/>
      <c r="K102" s="10"/>
      <c r="L102" s="10"/>
      <c r="M102" s="10"/>
      <c r="N102" s="11"/>
      <c r="O102" s="10"/>
      <c r="P102" s="10"/>
      <c r="Q102" s="10">
        <v>447</v>
      </c>
      <c r="R102" s="10">
        <v>166</v>
      </c>
      <c r="S102" s="10">
        <v>613</v>
      </c>
      <c r="T102" s="15">
        <f t="shared" si="3"/>
        <v>81.620611662897048</v>
      </c>
      <c r="U102" s="15">
        <f t="shared" si="4"/>
        <v>301.40623463467404</v>
      </c>
      <c r="V102" s="15">
        <f t="shared" si="5"/>
        <v>219.785622971777</v>
      </c>
      <c r="W102" s="10"/>
      <c r="X102" s="10"/>
      <c r="Y102" s="10"/>
      <c r="Z102" s="10"/>
      <c r="AA102" s="10"/>
      <c r="AB102" s="10"/>
      <c r="AC102" s="10"/>
      <c r="AD102" s="10"/>
      <c r="AE102" s="10"/>
      <c r="AF102" s="10"/>
    </row>
    <row r="103" spans="1:32" ht="29">
      <c r="A103" s="2" t="s">
        <v>1205</v>
      </c>
      <c r="B103" s="2" t="s">
        <v>2631</v>
      </c>
      <c r="C103" s="2" t="s">
        <v>2632</v>
      </c>
      <c r="G103" s="10" t="s">
        <v>2686</v>
      </c>
      <c r="H103" s="10"/>
      <c r="I103" s="10"/>
      <c r="J103" s="10"/>
      <c r="K103" s="10"/>
      <c r="L103" s="10"/>
      <c r="M103" s="10"/>
      <c r="N103" s="11"/>
      <c r="O103" s="10"/>
      <c r="P103" s="10"/>
      <c r="Q103" s="10">
        <v>2400</v>
      </c>
      <c r="R103" s="10">
        <v>75</v>
      </c>
      <c r="S103" s="10">
        <v>2475</v>
      </c>
      <c r="T103" s="15">
        <f t="shared" si="3"/>
        <v>36.876782377814926</v>
      </c>
      <c r="U103" s="15">
        <f t="shared" si="4"/>
        <v>1216.9338184678927</v>
      </c>
      <c r="V103" s="15">
        <f t="shared" si="5"/>
        <v>1180.0570360900779</v>
      </c>
      <c r="W103" s="10"/>
      <c r="X103" s="10"/>
      <c r="Y103" s="10"/>
      <c r="Z103" s="10"/>
      <c r="AA103" s="10"/>
      <c r="AB103" s="10"/>
      <c r="AC103" s="10"/>
      <c r="AD103" s="10"/>
      <c r="AE103" s="10"/>
      <c r="AF103" s="10"/>
    </row>
    <row r="106" spans="1:32">
      <c r="D106" t="s">
        <v>2831</v>
      </c>
      <c r="E106">
        <v>20338</v>
      </c>
    </row>
    <row r="109" spans="1:32">
      <c r="D109" t="s">
        <v>2849</v>
      </c>
      <c r="E109">
        <f>COUNTIF(Q:Q, "&gt;0")</f>
        <v>52</v>
      </c>
    </row>
    <row r="110" spans="1:32">
      <c r="D110" t="s">
        <v>2850</v>
      </c>
      <c r="E110">
        <f>COUNTIF(Q:Q, "&lt;0")</f>
        <v>48</v>
      </c>
    </row>
    <row r="111" spans="1:32">
      <c r="D111" t="s">
        <v>2851</v>
      </c>
      <c r="E111">
        <f>_xlfn.BINOM.DIST(MIN(E109,E110),(E109+E110),0.5,TRUE)*2</f>
        <v>0.76435343440266701</v>
      </c>
    </row>
    <row r="113" spans="4:5">
      <c r="D113" t="s">
        <v>2852</v>
      </c>
      <c r="E113">
        <f>AVERAGE(Q:Q)</f>
        <v>112.41176470588235</v>
      </c>
    </row>
    <row r="114" spans="4:5">
      <c r="D114" t="s">
        <v>2853</v>
      </c>
      <c r="E114">
        <f>_xlfn.STDEV.S(Q:Q)</f>
        <v>890.2257401216126</v>
      </c>
    </row>
    <row r="117" spans="4:5">
      <c r="D117" t="s">
        <v>2854</v>
      </c>
      <c r="E117">
        <f>AVERAGE(V:V)</f>
        <v>55.271789116866145</v>
      </c>
    </row>
    <row r="118" spans="4:5">
      <c r="D118" t="s">
        <v>2855</v>
      </c>
      <c r="E118">
        <f>_xlfn.STDEV.S(V:V)</f>
        <v>437.71547847458578</v>
      </c>
    </row>
    <row r="121" spans="4:5">
      <c r="D121" t="s">
        <v>2857</v>
      </c>
      <c r="E121">
        <f>COUNT(V:V)</f>
        <v>102</v>
      </c>
    </row>
    <row r="122" spans="4:5">
      <c r="D122" t="s">
        <v>2858</v>
      </c>
      <c r="E122">
        <f>_xlfn.STDEV.P(V:V)</f>
        <v>435.56452944538347</v>
      </c>
    </row>
  </sheetData>
  <conditionalFormatting sqref="G2:G103">
    <cfRule type="expression" dxfId="48" priority="10">
      <formula>$I2&lt;&gt;""</formula>
    </cfRule>
    <cfRule type="expression" dxfId="47" priority="11">
      <formula>$I2=""</formula>
    </cfRule>
  </conditionalFormatting>
  <conditionalFormatting sqref="H2:L103 O2:P103">
    <cfRule type="expression" dxfId="46" priority="27">
      <formula>AND(OR($I2="Addition",$I2="Omission"), H2="")</formula>
    </cfRule>
    <cfRule type="expression" dxfId="45" priority="28">
      <formula>AND($I2&lt;&gt;"Addition",$I2&lt;&gt;"Omission",$I2&lt;&gt;"Substitution - Word")</formula>
    </cfRule>
  </conditionalFormatting>
  <conditionalFormatting sqref="H2:P103">
    <cfRule type="expression" dxfId="44" priority="26">
      <formula>AND(OR($I2="Addition",$I2="Omission"), H2&lt;&gt;"")</formula>
    </cfRule>
  </conditionalFormatting>
  <conditionalFormatting sqref="K2:K103">
    <cfRule type="expression" dxfId="43" priority="21">
      <formula>AND($K2&lt;&gt;"",$K2&gt;1)</formula>
    </cfRule>
  </conditionalFormatting>
  <conditionalFormatting sqref="M2:N103">
    <cfRule type="expression" dxfId="42" priority="17">
      <formula>$N2="Absent"</formula>
    </cfRule>
    <cfRule type="expression" dxfId="41" priority="18">
      <formula>$N2="NA"</formula>
    </cfRule>
    <cfRule type="expression" dxfId="40" priority="19">
      <formula>AND(OR($I2="Addition",$I2="Omission"), M2="")</formula>
    </cfRule>
    <cfRule type="expression" dxfId="39" priority="20">
      <formula>AND($I2&lt;&gt;"Addition",$I2&lt;&gt;"Omission")</formula>
    </cfRule>
  </conditionalFormatting>
  <conditionalFormatting sqref="O2:O103">
    <cfRule type="expression" dxfId="38" priority="22">
      <formula>OR($I2="Addition",$I2="Omission",$I2 = "Substitution - Word")</formula>
    </cfRule>
  </conditionalFormatting>
  <conditionalFormatting sqref="Q2:S103">
    <cfRule type="expression" dxfId="37" priority="23">
      <formula>AND(AND(LEFT($I2,3)="Sub", RIGHT($I2,4)&lt;&gt;"Form"),$S2&lt;&gt;"")</formula>
    </cfRule>
    <cfRule type="expression" dxfId="36" priority="24">
      <formula>AND(AND(LEFT($I2,3)="Sub", RIGHT($I2,4)&lt;&gt;"Form"),$S2="")</formula>
    </cfRule>
    <cfRule type="expression" dxfId="35" priority="25">
      <formula>"&lt;&gt;AND(LEFT($J2,3)=""Sub"", RIGHT($J2,4)&lt;&gt;""Form"")"</formula>
    </cfRule>
  </conditionalFormatting>
  <conditionalFormatting sqref="R2:V103">
    <cfRule type="expression" dxfId="34" priority="1">
      <formula>AND(AND(LEFT($I2,3)="Sub", RIGHT($I2,4)&lt;&gt;"Form"),$S2&lt;&gt;"")</formula>
    </cfRule>
    <cfRule type="expression" dxfId="33" priority="2">
      <formula>AND(AND(LEFT($I2,3)="Sub", RIGHT($I2,4)&lt;&gt;"Form"),$S2="")</formula>
    </cfRule>
    <cfRule type="expression" dxfId="32" priority="3">
      <formula>"&lt;&gt;AND(LEFT($J2,3)=""Sub"", RIGHT($J2,4)&lt;&gt;""Form"")"</formula>
    </cfRule>
  </conditionalFormatting>
  <conditionalFormatting sqref="W2:W103">
    <cfRule type="expression" dxfId="31" priority="12">
      <formula>AND($Y2&lt;&gt;"",OR($AF2="Yes",$AG2&lt;&gt;""))</formula>
    </cfRule>
    <cfRule type="expression" dxfId="30" priority="13">
      <formula>OR($AF2="Yes",$AG2&lt;&gt;"")</formula>
    </cfRule>
    <cfRule type="expression" dxfId="29" priority="31">
      <formula>AND($AF2&lt;&gt;"Yes",$AG2="")</formula>
    </cfRule>
  </conditionalFormatting>
  <conditionalFormatting sqref="W2:AF103">
    <cfRule type="expression" dxfId="28" priority="29">
      <formula>AND($I2&lt;&gt;"",$I2&lt;&gt;"Unclear due to correction")</formula>
    </cfRule>
    <cfRule type="expression" dxfId="27" priority="30">
      <formula>OR($I2="",$I2="Unclear due to correction")</formula>
    </cfRule>
  </conditionalFormatting>
  <conditionalFormatting sqref="X2:X103">
    <cfRule type="expression" dxfId="26" priority="32">
      <formula>AND($I2&lt;&gt;"",$I2&lt;&gt;"Unclear due to correction",$Z2="")</formula>
    </cfRule>
  </conditionalFormatting>
  <conditionalFormatting sqref="Y2:Y103">
    <cfRule type="expression" dxfId="25" priority="14">
      <formula>AND($Z2="Yes",$AA2="")</formula>
    </cfRule>
    <cfRule type="expression" dxfId="24" priority="15">
      <formula>$Z2=""</formula>
    </cfRule>
  </conditionalFormatting>
  <conditionalFormatting sqref="AD2:AD103">
    <cfRule type="expression" dxfId="23" priority="16">
      <formula>AND(OR($AD2&lt;&gt;"",$AE2&lt;&gt;""),$AF2="")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DAD01D9-C05D-4676-BCEF-4C35B38E0FD0}">
          <x14:formula1>
            <xm:f>'Data Regularization'!$D$2:$D$1048576</xm:f>
          </x14:formula1>
          <xm:sqref>G2:G103</xm:sqref>
        </x14:dataValidation>
        <x14:dataValidation type="list" allowBlank="1" showInputMessage="1" showErrorMessage="1" xr:uid="{1E935D26-B07A-492A-A2A0-6CEFE0C55F76}">
          <x14:formula1>
            <xm:f>'Data Regularization'!$C$2:$C$50</xm:f>
          </x14:formula1>
          <xm:sqref>F2:F103</xm:sqref>
        </x14:dataValidation>
        <x14:dataValidation type="list" allowBlank="1" showInputMessage="1" showErrorMessage="1" xr:uid="{0BB55C32-105B-4FE3-B124-BDBB0E24E1A4}">
          <x14:formula1>
            <xm:f>'Data Regularization'!$A$2:$A$1048576</xm:f>
          </x14:formula1>
          <xm:sqref>D2:D103</xm:sqref>
        </x14:dataValidation>
        <x14:dataValidation type="list" allowBlank="1" showInputMessage="1" showErrorMessage="1" xr:uid="{78BBB822-420C-4F1F-A28A-0DA7DA9A9931}">
          <x14:formula1>
            <xm:f>'Data Regularization'!$B$2:$B$1048576</xm:f>
          </x14:formula1>
          <xm:sqref>E2:E103</xm:sqref>
        </x14:dataValidation>
        <x14:dataValidation type="list" allowBlank="1" showInputMessage="1" showErrorMessage="1" xr:uid="{FEA9B9A4-B567-4C6D-AFC1-76850016693C}">
          <x14:formula1>
            <xm:f>'Data Regularization'!$E$2:$E$1048576</xm:f>
          </x14:formula1>
          <xm:sqref>K2:K103</xm:sqref>
        </x14:dataValidation>
        <x14:dataValidation type="list" allowBlank="1" showInputMessage="1" showErrorMessage="1" xr:uid="{B77F4976-2C06-44C5-8AD9-DADDDC89D521}">
          <x14:formula1>
            <xm:f>'Data Regularization'!$F$2:$F$1048576</xm:f>
          </x14:formula1>
          <xm:sqref>L2:L103</xm:sqref>
        </x14:dataValidation>
        <x14:dataValidation type="list" allowBlank="1" showInputMessage="1" showErrorMessage="1" xr:uid="{C0771A54-5552-448E-B810-74C6DCC533A1}">
          <x14:formula1>
            <xm:f>'Data Regularization'!$G$2:$G$1048576</xm:f>
          </x14:formula1>
          <xm:sqref>O2:O103</xm:sqref>
        </x14:dataValidation>
        <x14:dataValidation type="list" allowBlank="1" showInputMessage="1" showErrorMessage="1" xr:uid="{1EB54AEE-126A-402C-BE25-1821A679AA76}">
          <x14:formula1>
            <xm:f>'Data Regularization'!$J$2:$J$1048576</xm:f>
          </x14:formula1>
          <xm:sqref>Y2:Y103</xm:sqref>
        </x14:dataValidation>
        <x14:dataValidation type="list" allowBlank="1" showInputMessage="1" showErrorMessage="1" xr:uid="{375EFAB3-F30E-46BF-A4A8-20F6DEC463C9}">
          <x14:formula1>
            <xm:f>'Data Regularization'!$K$2:$K$1048576</xm:f>
          </x14:formula1>
          <xm:sqref>Z2:Z103</xm:sqref>
        </x14:dataValidation>
        <x14:dataValidation type="list" allowBlank="1" showInputMessage="1" showErrorMessage="1" xr:uid="{B45647FC-0D3D-4420-AF0E-7A716A441B7B}">
          <x14:formula1>
            <xm:f>'Data Regularization'!$L$2:$L$1048576</xm:f>
          </x14:formula1>
          <xm:sqref>AA2:AA103</xm:sqref>
        </x14:dataValidation>
        <x14:dataValidation type="list" allowBlank="1" showInputMessage="1" showErrorMessage="1" xr:uid="{B3866739-C208-4674-BBE4-C690E36780A5}">
          <x14:formula1>
            <xm:f>'Data Regularization'!$M$2:$M$1048576</xm:f>
          </x14:formula1>
          <xm:sqref>AB2:AB103</xm:sqref>
        </x14:dataValidation>
        <x14:dataValidation type="list" allowBlank="1" showInputMessage="1" showErrorMessage="1" xr:uid="{68158621-9E8E-46D3-B1DB-CBC679FECA37}">
          <x14:formula1>
            <xm:f>'Data Regularization'!$N$2:$N$1048576</xm:f>
          </x14:formula1>
          <xm:sqref>AD2:AD103</xm:sqref>
        </x14:dataValidation>
        <x14:dataValidation type="list" allowBlank="1" showInputMessage="1" showErrorMessage="1" xr:uid="{484DD1AB-4EEF-4014-8123-D5B1A10C6167}">
          <x14:formula1>
            <xm:f>'Data Regularization'!$O$2:$O$1048576</xm:f>
          </x14:formula1>
          <xm:sqref>AE2:AE103</xm:sqref>
        </x14:dataValidation>
        <x14:dataValidation type="list" allowBlank="1" showInputMessage="1" showErrorMessage="1" xr:uid="{A3C64813-1668-40D5-8590-378E02CC2266}">
          <x14:formula1>
            <xm:f>'Data Regularization'!$H$2:$H$1048576</xm:f>
          </x14:formula1>
          <xm:sqref>W2:W103</xm:sqref>
        </x14:dataValidation>
        <x14:dataValidation type="list" allowBlank="1" showInputMessage="1" xr:uid="{9D32EBAE-5BCA-4EF3-96BA-D2F27FE3E6BD}">
          <x14:formula1>
            <xm:f>'Data Regularization'!$I$2:$I$1048576</xm:f>
          </x14:formula1>
          <xm:sqref>X2:X103</xm:sqref>
        </x14:dataValidation>
        <x14:dataValidation type="list" allowBlank="1" showInputMessage="1" showErrorMessage="1" xr:uid="{18A2C748-66E1-4585-907E-2C1C3CF9A856}">
          <x14:formula1>
            <xm:f>'Data Regularization'!$P$2:$P$1048576</xm:f>
          </x14:formula1>
          <xm:sqref>AF2:AF103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18377-6C83-415D-9CCC-BA70EB8A17EF}">
  <dimension ref="A1:XFB1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RowHeight="14.5"/>
  <sheetData>
    <row r="1" spans="1:16382" ht="29">
      <c r="A1" s="1" t="s">
        <v>0</v>
      </c>
      <c r="B1" s="12" t="s">
        <v>5</v>
      </c>
      <c r="C1" s="1" t="s">
        <v>6</v>
      </c>
      <c r="D1" s="1" t="s">
        <v>2668</v>
      </c>
      <c r="E1" s="1" t="s">
        <v>2669</v>
      </c>
      <c r="F1" s="1" t="s">
        <v>2670</v>
      </c>
      <c r="G1" s="1" t="s">
        <v>7</v>
      </c>
      <c r="H1" s="1" t="s">
        <v>3</v>
      </c>
      <c r="I1" s="1" t="s">
        <v>2671</v>
      </c>
      <c r="J1" s="1" t="s">
        <v>2672</v>
      </c>
      <c r="K1" s="1" t="s">
        <v>2673</v>
      </c>
      <c r="L1" s="1" t="s">
        <v>2674</v>
      </c>
      <c r="M1" s="1" t="s">
        <v>2634</v>
      </c>
      <c r="N1" s="1" t="s">
        <v>2675</v>
      </c>
      <c r="O1" s="9" t="s">
        <v>2676</v>
      </c>
      <c r="P1" s="1" t="s">
        <v>2635</v>
      </c>
      <c r="Q1" s="1" t="s">
        <v>2677</v>
      </c>
      <c r="R1" s="1" t="s">
        <v>2678</v>
      </c>
      <c r="S1" s="1" t="s">
        <v>2832</v>
      </c>
      <c r="T1" s="1" t="s">
        <v>2833</v>
      </c>
      <c r="U1" s="1" t="s">
        <v>2680</v>
      </c>
      <c r="V1" s="1" t="s">
        <v>2681</v>
      </c>
      <c r="W1" s="1" t="s">
        <v>2682</v>
      </c>
      <c r="X1" s="1" t="s">
        <v>2636</v>
      </c>
      <c r="Y1" s="1" t="s">
        <v>2637</v>
      </c>
      <c r="Z1" s="1" t="s">
        <v>2638</v>
      </c>
      <c r="AA1" s="1" t="s">
        <v>2679</v>
      </c>
      <c r="AB1" s="1" t="s">
        <v>2683</v>
      </c>
      <c r="AC1" s="1" t="s">
        <v>2639</v>
      </c>
      <c r="AD1" s="1" t="s">
        <v>2684</v>
      </c>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row>
    <row r="2" spans="1:16382" ht="29">
      <c r="A2" s="2" t="s">
        <v>780</v>
      </c>
      <c r="B2" s="13" t="s">
        <v>2078</v>
      </c>
      <c r="C2" t="s">
        <v>2079</v>
      </c>
      <c r="F2" t="s">
        <v>19</v>
      </c>
      <c r="G2" t="s">
        <v>2789</v>
      </c>
      <c r="H2" s="10" t="s">
        <v>25</v>
      </c>
      <c r="I2" s="10"/>
      <c r="J2" s="10">
        <v>1</v>
      </c>
      <c r="K2" s="10">
        <v>3</v>
      </c>
      <c r="L2" s="10" t="s">
        <v>2646</v>
      </c>
      <c r="M2" s="10" t="s">
        <v>2687</v>
      </c>
      <c r="N2" s="10"/>
      <c r="O2" s="11"/>
      <c r="P2" s="10"/>
      <c r="Q2" s="10">
        <v>2475</v>
      </c>
      <c r="R2" s="10"/>
      <c r="S2" s="10" t="s">
        <v>2834</v>
      </c>
      <c r="T2" s="10" t="s">
        <v>2834</v>
      </c>
      <c r="U2" s="10" t="s">
        <v>4</v>
      </c>
      <c r="V2" s="10"/>
      <c r="W2" s="10"/>
      <c r="X2" s="10"/>
      <c r="Y2" s="10"/>
      <c r="Z2" s="10"/>
      <c r="AA2" s="10"/>
      <c r="AB2" s="10"/>
      <c r="AC2" s="10"/>
      <c r="AD2" s="10"/>
    </row>
    <row r="3" spans="1:16382" ht="58">
      <c r="A3" s="2" t="s">
        <v>811</v>
      </c>
      <c r="B3" s="2" t="s">
        <v>2119</v>
      </c>
      <c r="C3" s="2" t="s">
        <v>2120</v>
      </c>
      <c r="F3" t="s">
        <v>19</v>
      </c>
      <c r="G3" t="s">
        <v>2792</v>
      </c>
      <c r="H3" s="10" t="s">
        <v>2686</v>
      </c>
      <c r="I3" s="10"/>
      <c r="J3" s="10"/>
      <c r="K3" s="10"/>
      <c r="L3" s="10"/>
      <c r="M3" s="10"/>
      <c r="N3" s="10"/>
      <c r="O3" s="11"/>
      <c r="P3" s="10"/>
      <c r="Q3" s="10"/>
      <c r="R3" s="10">
        <v>-812</v>
      </c>
      <c r="S3" s="10">
        <v>830</v>
      </c>
      <c r="T3" s="10">
        <v>18</v>
      </c>
      <c r="U3" s="10" t="s">
        <v>4</v>
      </c>
      <c r="V3" s="10"/>
      <c r="W3" s="10"/>
      <c r="X3" s="10"/>
      <c r="Y3" s="10"/>
      <c r="Z3" s="10"/>
      <c r="AA3" s="10"/>
      <c r="AB3" s="10"/>
      <c r="AC3" s="10"/>
      <c r="AD3" s="10"/>
    </row>
    <row r="4" spans="1:16382" ht="101.5">
      <c r="A4" s="2" t="s">
        <v>943</v>
      </c>
      <c r="B4" s="2" t="s">
        <v>2282</v>
      </c>
      <c r="C4" s="2" t="s">
        <v>2279</v>
      </c>
      <c r="F4" t="s">
        <v>19</v>
      </c>
      <c r="G4" t="s">
        <v>2793</v>
      </c>
      <c r="H4" s="10" t="s">
        <v>2688</v>
      </c>
      <c r="I4" s="10"/>
      <c r="J4" s="10"/>
      <c r="K4" s="10"/>
      <c r="L4" s="10"/>
      <c r="M4" s="10"/>
      <c r="N4" s="10"/>
      <c r="O4" s="11"/>
      <c r="P4" s="10"/>
      <c r="Q4" s="10"/>
      <c r="R4" s="10"/>
      <c r="S4" s="10" t="s">
        <v>2834</v>
      </c>
      <c r="T4" s="10" t="s">
        <v>2834</v>
      </c>
      <c r="U4" s="10" t="s">
        <v>4</v>
      </c>
      <c r="V4" s="10"/>
      <c r="W4" s="10"/>
      <c r="X4" s="10"/>
      <c r="Y4" s="10"/>
      <c r="Z4" s="10"/>
      <c r="AA4" s="10"/>
      <c r="AB4" s="10"/>
      <c r="AC4" s="10"/>
      <c r="AD4" s="10"/>
    </row>
    <row r="5" spans="1:16382" ht="72.5">
      <c r="A5" s="2" t="s">
        <v>1166</v>
      </c>
      <c r="B5" s="2" t="s">
        <v>2794</v>
      </c>
      <c r="C5" s="2" t="s">
        <v>2795</v>
      </c>
      <c r="G5" t="s">
        <v>2796</v>
      </c>
      <c r="H5" s="10" t="s">
        <v>2688</v>
      </c>
      <c r="I5" s="10"/>
      <c r="J5" s="10"/>
      <c r="K5" s="10"/>
      <c r="L5" s="10"/>
      <c r="M5" s="10"/>
      <c r="N5" s="10"/>
      <c r="O5" s="11"/>
      <c r="P5" s="10"/>
      <c r="Q5" s="10"/>
      <c r="R5" s="10"/>
      <c r="S5" s="10" t="s">
        <v>2834</v>
      </c>
      <c r="T5" s="10" t="s">
        <v>2834</v>
      </c>
      <c r="U5" s="10" t="s">
        <v>4</v>
      </c>
      <c r="V5" s="10"/>
      <c r="W5" s="10"/>
      <c r="X5" s="10"/>
      <c r="Y5" s="10"/>
      <c r="Z5" s="10"/>
      <c r="AA5" s="10"/>
      <c r="AB5" s="10"/>
      <c r="AC5" s="10"/>
      <c r="AD5" s="10"/>
    </row>
    <row r="8" spans="1:16382">
      <c r="D8" t="s">
        <v>2859</v>
      </c>
      <c r="E8">
        <f>COUNTIF(U:U, "Harmonizing")</f>
        <v>4</v>
      </c>
    </row>
    <row r="9" spans="1:16382">
      <c r="D9" t="s">
        <v>2860</v>
      </c>
      <c r="E9">
        <f>COUNTIF(U:U, "Disharmonizing")</f>
        <v>0</v>
      </c>
    </row>
    <row r="10" spans="1:16382">
      <c r="D10" t="s">
        <v>2861</v>
      </c>
      <c r="E10">
        <f>E8/(E8+E9)</f>
        <v>1</v>
      </c>
    </row>
  </sheetData>
  <conditionalFormatting sqref="H2:H5">
    <cfRule type="expression" dxfId="22" priority="4">
      <formula>$J2&lt;&gt;""</formula>
    </cfRule>
    <cfRule type="expression" dxfId="21" priority="5">
      <formula>$J2=""</formula>
    </cfRule>
  </conditionalFormatting>
  <conditionalFormatting sqref="I2:M5 P2:Q5">
    <cfRule type="expression" dxfId="20" priority="22">
      <formula>AND(OR($J2="Addition",$J2="Omission"), I2="")</formula>
    </cfRule>
    <cfRule type="expression" dxfId="19" priority="23">
      <formula>AND($J2&lt;&gt;"Addition",$J2&lt;&gt;"Omission",$J2&lt;&gt;"Substitution - Word")</formula>
    </cfRule>
  </conditionalFormatting>
  <conditionalFormatting sqref="I2:Q5">
    <cfRule type="expression" dxfId="18" priority="21">
      <formula>AND(OR($J2="Addition",$J2="Omission"), I2&lt;&gt;"")</formula>
    </cfRule>
  </conditionalFormatting>
  <conditionalFormatting sqref="L2:L5">
    <cfRule type="expression" dxfId="17" priority="16">
      <formula>AND($L2&lt;&gt;"",$L2&gt;1)</formula>
    </cfRule>
  </conditionalFormatting>
  <conditionalFormatting sqref="N2:O5">
    <cfRule type="expression" dxfId="16" priority="12">
      <formula>$O2="Absent"</formula>
    </cfRule>
    <cfRule type="expression" dxfId="15" priority="13">
      <formula>$O2="NA"</formula>
    </cfRule>
    <cfRule type="expression" dxfId="14" priority="14">
      <formula>AND(OR($J2="Addition",$J2="Omission"), N2="")</formula>
    </cfRule>
    <cfRule type="expression" dxfId="13" priority="15">
      <formula>AND($J2&lt;&gt;"Addition",$J2&lt;&gt;"Omission")</formula>
    </cfRule>
  </conditionalFormatting>
  <conditionalFormatting sqref="P2:P5">
    <cfRule type="expression" dxfId="12" priority="17">
      <formula>OR($J2="Addition",$J2="Omission",$J2 = "Substitution - Word")</formula>
    </cfRule>
  </conditionalFormatting>
  <conditionalFormatting sqref="R2:T5">
    <cfRule type="expression" dxfId="11" priority="18">
      <formula>AND(AND(LEFT($J2,3)="Sub", RIGHT($J2,4)&lt;&gt;"Form"),$T2&lt;&gt;"")</formula>
    </cfRule>
    <cfRule type="expression" dxfId="10" priority="19">
      <formula>AND(AND(LEFT($J2,3)="Sub", RIGHT($J2,4)&lt;&gt;"Form"),$T2="")</formula>
    </cfRule>
    <cfRule type="expression" dxfId="9" priority="20">
      <formula>"&lt;&gt;AND(LEFT($J2,3)=""Sub"", RIGHT($J2,4)&lt;&gt;""Form"")"</formula>
    </cfRule>
  </conditionalFormatting>
  <conditionalFormatting sqref="U2:U5">
    <cfRule type="expression" dxfId="8" priority="7">
      <formula>AND($W2&lt;&gt;"",OR($AD2="Yes",$AE2&lt;&gt;""))</formula>
    </cfRule>
    <cfRule type="expression" dxfId="7" priority="8">
      <formula>OR($AD2="Yes",$AE2&lt;&gt;"")</formula>
    </cfRule>
    <cfRule type="expression" dxfId="6" priority="26">
      <formula>AND($AD2&lt;&gt;"Yes",$AE2="")</formula>
    </cfRule>
  </conditionalFormatting>
  <conditionalFormatting sqref="U2:AD5">
    <cfRule type="expression" dxfId="5" priority="24">
      <formula>AND($J2&lt;&gt;"",$J2&lt;&gt;"Unclear due to correction")</formula>
    </cfRule>
    <cfRule type="expression" dxfId="4" priority="25">
      <formula>OR($J2="",$J2="Unclear due to correction")</formula>
    </cfRule>
  </conditionalFormatting>
  <conditionalFormatting sqref="V2:V5">
    <cfRule type="expression" dxfId="3" priority="6">
      <formula>AND($J2&lt;&gt;"",$J2&lt;&gt;"Unclear due to correction",$X2="")</formula>
    </cfRule>
  </conditionalFormatting>
  <conditionalFormatting sqref="W2:W5">
    <cfRule type="expression" dxfId="2" priority="9">
      <formula>AND($X2="Yes",$Y2="")</formula>
    </cfRule>
    <cfRule type="expression" dxfId="1" priority="10">
      <formula>$X2=""</formula>
    </cfRule>
  </conditionalFormatting>
  <conditionalFormatting sqref="AB2:AB5">
    <cfRule type="expression" dxfId="0" priority="11">
      <formula>AND(OR($AB2&lt;&gt;"",$AC2&lt;&gt;""),$AD2="")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CB79AE17-5960-4FBF-82FD-7D9B0993D9A1}">
          <x14:formula1>
            <xm:f>'Data Regularization'!$D$2:$D$1048576</xm:f>
          </x14:formula1>
          <xm:sqref>H2:H5</xm:sqref>
        </x14:dataValidation>
        <x14:dataValidation type="list" allowBlank="1" showInputMessage="1" showErrorMessage="1" xr:uid="{5D1B6442-B995-418B-A889-25C7C18D8931}">
          <x14:formula1>
            <xm:f>'Data Regularization'!$C$2:$C$50</xm:f>
          </x14:formula1>
          <xm:sqref>F2:F5</xm:sqref>
        </x14:dataValidation>
        <x14:dataValidation type="list" allowBlank="1" showInputMessage="1" showErrorMessage="1" xr:uid="{A817EC24-6049-4CD6-9C1E-5DA18D146A11}">
          <x14:formula1>
            <xm:f>'Data Regularization'!$A$2:$A$1048576</xm:f>
          </x14:formula1>
          <xm:sqref>D2:D5</xm:sqref>
        </x14:dataValidation>
        <x14:dataValidation type="list" allowBlank="1" showInputMessage="1" showErrorMessage="1" xr:uid="{D7EA4012-4E9A-4434-B31D-C3C44F4DBD9A}">
          <x14:formula1>
            <xm:f>'Data Regularization'!$B$2:$B$1048576</xm:f>
          </x14:formula1>
          <xm:sqref>E2:E5</xm:sqref>
        </x14:dataValidation>
        <x14:dataValidation type="list" allowBlank="1" showInputMessage="1" showErrorMessage="1" xr:uid="{8F0E6D2D-27DF-4E1A-BD99-50B80C2114D4}">
          <x14:formula1>
            <xm:f>'Data Regularization'!$E$2:$E$1048576</xm:f>
          </x14:formula1>
          <xm:sqref>L2:L5</xm:sqref>
        </x14:dataValidation>
        <x14:dataValidation type="list" allowBlank="1" showInputMessage="1" showErrorMessage="1" xr:uid="{5B49941F-7D37-41E2-A389-6B846A00F3C6}">
          <x14:formula1>
            <xm:f>'Data Regularization'!$F$2:$F$1048576</xm:f>
          </x14:formula1>
          <xm:sqref>M2:M5</xm:sqref>
        </x14:dataValidation>
        <x14:dataValidation type="list" allowBlank="1" showInputMessage="1" showErrorMessage="1" xr:uid="{1DBB79F3-FCA6-48CE-A14D-E585D92A3B11}">
          <x14:formula1>
            <xm:f>'Data Regularization'!$G$2:$G$1048576</xm:f>
          </x14:formula1>
          <xm:sqref>P2:P5</xm:sqref>
        </x14:dataValidation>
        <x14:dataValidation type="list" allowBlank="1" showInputMessage="1" showErrorMessage="1" xr:uid="{A45148E8-B2A8-4B3A-B527-9C27AD5EAB19}">
          <x14:formula1>
            <xm:f>'Data Regularization'!$J$2:$J$1048576</xm:f>
          </x14:formula1>
          <xm:sqref>W2:W5</xm:sqref>
        </x14:dataValidation>
        <x14:dataValidation type="list" allowBlank="1" showInputMessage="1" showErrorMessage="1" xr:uid="{2E2255EA-F8E9-4ABF-B101-D2C48A2C1D10}">
          <x14:formula1>
            <xm:f>'Data Regularization'!$K$2:$K$1048576</xm:f>
          </x14:formula1>
          <xm:sqref>X2:X5</xm:sqref>
        </x14:dataValidation>
        <x14:dataValidation type="list" allowBlank="1" showInputMessage="1" showErrorMessage="1" xr:uid="{90132B7A-2BA3-4801-948C-9F4FCB5C710F}">
          <x14:formula1>
            <xm:f>'Data Regularization'!$L$2:$L$1048576</xm:f>
          </x14:formula1>
          <xm:sqref>Y2:Y5</xm:sqref>
        </x14:dataValidation>
        <x14:dataValidation type="list" allowBlank="1" showInputMessage="1" showErrorMessage="1" xr:uid="{FD934956-CEBE-45C6-B8E4-383D01D5B0E3}">
          <x14:formula1>
            <xm:f>'Data Regularization'!$M$2:$M$1048576</xm:f>
          </x14:formula1>
          <xm:sqref>Z2:Z5</xm:sqref>
        </x14:dataValidation>
        <x14:dataValidation type="list" allowBlank="1" showInputMessage="1" showErrorMessage="1" xr:uid="{92B7BF99-8532-4373-A78C-588705DA3176}">
          <x14:formula1>
            <xm:f>'Data Regularization'!$N$2:$N$1048576</xm:f>
          </x14:formula1>
          <xm:sqref>AB2:AB5</xm:sqref>
        </x14:dataValidation>
        <x14:dataValidation type="list" allowBlank="1" showInputMessage="1" showErrorMessage="1" xr:uid="{E7A92769-4B98-424F-9B26-3A3CDA192860}">
          <x14:formula1>
            <xm:f>'Data Regularization'!$O$2:$O$1048576</xm:f>
          </x14:formula1>
          <xm:sqref>AC2:AC5</xm:sqref>
        </x14:dataValidation>
        <x14:dataValidation type="list" allowBlank="1" showInputMessage="1" showErrorMessage="1" xr:uid="{ED41437B-32CF-4005-987E-824DF9F6A4E5}">
          <x14:formula1>
            <xm:f>'Data Regularization'!$H$2:$H$1048576</xm:f>
          </x14:formula1>
          <xm:sqref>U2:U5</xm:sqref>
        </x14:dataValidation>
        <x14:dataValidation type="list" allowBlank="1" showInputMessage="1" xr:uid="{53957910-63DD-4147-9726-D36A4C7FF650}">
          <x14:formula1>
            <xm:f>'Data Regularization'!$I$2:$I$1048576</xm:f>
          </x14:formula1>
          <xm:sqref>V2:V5</xm:sqref>
        </x14:dataValidation>
        <x14:dataValidation type="list" allowBlank="1" showInputMessage="1" showErrorMessage="1" xr:uid="{7480022E-316E-4373-AABA-DF280FAFDF8C}">
          <x14:formula1>
            <xm:f>'Data Regularization'!$P$2:$P$1048576</xm:f>
          </x14:formula1>
          <xm:sqref>AD2:AD5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6D20-587B-42BE-9C8E-0D6F6E5CE961}">
  <dimension ref="A1:B16"/>
  <sheetViews>
    <sheetView workbookViewId="0">
      <selection activeCell="B17" sqref="B17"/>
    </sheetView>
  </sheetViews>
  <sheetFormatPr defaultRowHeight="14.5"/>
  <cols>
    <col min="1" max="1" width="20.1796875" bestFit="1" customWidth="1"/>
  </cols>
  <sheetData>
    <row r="1" spans="1:2">
      <c r="A1" s="1" t="s">
        <v>2877</v>
      </c>
    </row>
    <row r="2" spans="1:2">
      <c r="A2" s="1" t="s">
        <v>2878</v>
      </c>
    </row>
    <row r="3" spans="1:2">
      <c r="A3" s="1" t="s">
        <v>2879</v>
      </c>
    </row>
    <row r="4" spans="1:2">
      <c r="A4" s="1" t="s">
        <v>2880</v>
      </c>
      <c r="B4" t="s">
        <v>2881</v>
      </c>
    </row>
    <row r="5" spans="1:2">
      <c r="A5" s="1" t="s">
        <v>2882</v>
      </c>
      <c r="B5">
        <v>17974</v>
      </c>
    </row>
    <row r="6" spans="1:2">
      <c r="A6" s="1" t="s">
        <v>2883</v>
      </c>
      <c r="B6">
        <v>48</v>
      </c>
    </row>
    <row r="7" spans="1:2">
      <c r="A7" s="1" t="s">
        <v>2884</v>
      </c>
      <c r="B7">
        <v>1</v>
      </c>
    </row>
    <row r="8" spans="1:2">
      <c r="A8" s="1" t="s">
        <v>2885</v>
      </c>
      <c r="B8">
        <v>34.46</v>
      </c>
    </row>
    <row r="9" spans="1:2">
      <c r="A9" s="1" t="s">
        <v>2886</v>
      </c>
      <c r="B9">
        <v>36</v>
      </c>
    </row>
    <row r="10" spans="1:2">
      <c r="A10" s="1" t="s">
        <v>2887</v>
      </c>
      <c r="B10">
        <v>5.39</v>
      </c>
    </row>
    <row r="11" spans="1:2">
      <c r="A11" s="1" t="s">
        <v>2888</v>
      </c>
      <c r="B11">
        <v>10.67</v>
      </c>
    </row>
    <row r="12" spans="1:2">
      <c r="A12" s="1" t="s">
        <v>2889</v>
      </c>
      <c r="B12">
        <v>11</v>
      </c>
    </row>
    <row r="13" spans="1:2">
      <c r="A13" s="1" t="s">
        <v>2890</v>
      </c>
      <c r="B13">
        <v>1.77</v>
      </c>
    </row>
    <row r="14" spans="1:2">
      <c r="A14" s="1" t="s">
        <v>2891</v>
      </c>
      <c r="B14">
        <v>50.13</v>
      </c>
    </row>
    <row r="15" spans="1:2">
      <c r="A15" s="1" t="s">
        <v>2892</v>
      </c>
      <c r="B15">
        <v>50</v>
      </c>
    </row>
    <row r="16" spans="1:2">
      <c r="A16" s="1" t="s">
        <v>2893</v>
      </c>
      <c r="B16">
        <v>5.62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110C5-FA17-4DAB-A051-47453C56E335}">
  <dimension ref="A1:L16"/>
  <sheetViews>
    <sheetView workbookViewId="0">
      <selection activeCell="B17" sqref="B17"/>
    </sheetView>
  </sheetViews>
  <sheetFormatPr defaultRowHeight="14.5"/>
  <cols>
    <col min="1" max="1" width="20.1796875" bestFit="1" customWidth="1"/>
    <col min="7" max="7" width="11.81640625" bestFit="1" customWidth="1"/>
  </cols>
  <sheetData>
    <row r="1" spans="1:12">
      <c r="A1" s="1" t="s">
        <v>2877</v>
      </c>
      <c r="G1" s="1" t="s">
        <v>2894</v>
      </c>
      <c r="H1" s="1" t="s">
        <v>2895</v>
      </c>
      <c r="I1" s="1" t="s">
        <v>2896</v>
      </c>
      <c r="J1" s="1" t="s">
        <v>2897</v>
      </c>
      <c r="K1" s="1" t="s">
        <v>2898</v>
      </c>
      <c r="L1" s="1" t="s">
        <v>2899</v>
      </c>
    </row>
    <row r="2" spans="1:12">
      <c r="A2" s="1" t="s">
        <v>2878</v>
      </c>
      <c r="G2" s="1"/>
      <c r="H2" s="16" t="s">
        <v>2801</v>
      </c>
      <c r="I2" s="16"/>
      <c r="J2" s="16"/>
      <c r="K2" s="16">
        <v>13</v>
      </c>
      <c r="L2" s="16" t="s">
        <v>2900</v>
      </c>
    </row>
    <row r="3" spans="1:12">
      <c r="A3" s="1" t="s">
        <v>2879</v>
      </c>
      <c r="H3" t="s">
        <v>2800</v>
      </c>
      <c r="K3">
        <v>13</v>
      </c>
    </row>
    <row r="4" spans="1:12">
      <c r="A4" s="1" t="s">
        <v>2880</v>
      </c>
      <c r="B4" t="s">
        <v>2881</v>
      </c>
      <c r="H4" t="s">
        <v>2901</v>
      </c>
      <c r="I4" t="s">
        <v>2902</v>
      </c>
      <c r="J4" t="s">
        <v>2903</v>
      </c>
      <c r="K4">
        <v>29</v>
      </c>
    </row>
    <row r="5" spans="1:12">
      <c r="A5" s="1" t="s">
        <v>2882</v>
      </c>
      <c r="B5">
        <v>18245</v>
      </c>
      <c r="H5" t="s">
        <v>2904</v>
      </c>
      <c r="I5" t="s">
        <v>2902</v>
      </c>
      <c r="J5" t="s">
        <v>2905</v>
      </c>
      <c r="K5">
        <v>27</v>
      </c>
    </row>
    <row r="6" spans="1:12">
      <c r="A6" s="1" t="s">
        <v>2883</v>
      </c>
      <c r="B6">
        <v>95</v>
      </c>
      <c r="H6" t="s">
        <v>2905</v>
      </c>
      <c r="I6" t="s">
        <v>2902</v>
      </c>
      <c r="J6" t="s">
        <v>2903</v>
      </c>
      <c r="K6">
        <v>7</v>
      </c>
    </row>
    <row r="7" spans="1:12">
      <c r="A7" s="1" t="s">
        <v>2884</v>
      </c>
      <c r="B7">
        <v>1</v>
      </c>
      <c r="H7" t="s">
        <v>2906</v>
      </c>
      <c r="I7" t="s">
        <v>2902</v>
      </c>
      <c r="J7" t="s">
        <v>2907</v>
      </c>
      <c r="K7">
        <v>23</v>
      </c>
    </row>
    <row r="8" spans="1:12">
      <c r="A8" s="1" t="s">
        <v>2885</v>
      </c>
      <c r="B8">
        <v>25.96</v>
      </c>
    </row>
    <row r="9" spans="1:12">
      <c r="A9" s="1" t="s">
        <v>2886</v>
      </c>
      <c r="B9">
        <v>26</v>
      </c>
      <c r="G9" s="16" t="s">
        <v>2908</v>
      </c>
    </row>
    <row r="10" spans="1:12">
      <c r="A10" s="1" t="s">
        <v>2887</v>
      </c>
      <c r="B10">
        <v>3.15</v>
      </c>
    </row>
    <row r="11" spans="1:12">
      <c r="A11" s="1" t="s">
        <v>2888</v>
      </c>
      <c r="B11">
        <v>7.39</v>
      </c>
    </row>
    <row r="12" spans="1:12">
      <c r="A12" s="1" t="s">
        <v>2889</v>
      </c>
      <c r="B12">
        <v>8</v>
      </c>
    </row>
    <row r="13" spans="1:12">
      <c r="A13" s="1" t="s">
        <v>2890</v>
      </c>
      <c r="B13">
        <v>1.85</v>
      </c>
    </row>
    <row r="14" spans="1:12">
      <c r="A14" s="1" t="s">
        <v>2891</v>
      </c>
      <c r="B14">
        <v>35</v>
      </c>
    </row>
    <row r="15" spans="1:12">
      <c r="A15" s="1" t="s">
        <v>2892</v>
      </c>
      <c r="B15">
        <v>37</v>
      </c>
    </row>
    <row r="16" spans="1:12">
      <c r="A16" s="1" t="s">
        <v>2893</v>
      </c>
      <c r="B16">
        <v>7.68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Unfiltered Data</vt:lpstr>
      <vt:lpstr>Gen-filters</vt:lpstr>
      <vt:lpstr>AddOmits</vt:lpstr>
      <vt:lpstr>WF_AO_LM</vt:lpstr>
      <vt:lpstr>WF_AO_HM</vt:lpstr>
      <vt:lpstr>WF_SUB</vt:lpstr>
      <vt:lpstr>Harmonization</vt:lpstr>
      <vt:lpstr>Autograph Details</vt:lpstr>
      <vt:lpstr>Apograph Details</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2025-10-23T13:48:29Z</dcterms:modified>
</cp:coreProperties>
</file>