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166925"/>
  <mc:AlternateContent xmlns:mc="http://schemas.openxmlformats.org/markup-compatibility/2006">
    <mc:Choice Requires="x15">
      <x15ac:absPath xmlns:x15ac="http://schemas.microsoft.com/office/spreadsheetml/2010/11/ac" url="https://d.docs.live.net/186593bc330ab858/Cambridge PhD/Thesis/8 Corrections/Files to Upload/To Github/Manuscript Variant Workbooks/"/>
    </mc:Choice>
  </mc:AlternateContent>
  <xr:revisionPtr revIDLastSave="487" documentId="8_{2A16B1EB-A06F-402C-AF69-EDB4188A444D}" xr6:coauthVersionLast="47" xr6:coauthVersionMax="47" xr10:uidLastSave="{EF97CF33-17E9-4CE4-8BFA-945D84BB25A8}"/>
  <bookViews>
    <workbookView xWindow="-110" yWindow="-110" windowWidth="25820" windowHeight="15500" xr2:uid="{5BB4D106-A247-41F8-A104-83D51E35EC09}"/>
  </bookViews>
  <sheets>
    <sheet name="Unfiltered Data" sheetId="1" r:id="rId1"/>
    <sheet name="Gen-filters" sheetId="7" r:id="rId2"/>
    <sheet name="AddOmits" sheetId="8" r:id="rId3"/>
    <sheet name="WF_AO_LM" sheetId="11" r:id="rId4"/>
    <sheet name="WF_AO_HM" sheetId="10" r:id="rId5"/>
    <sheet name="WF_SUB" sheetId="12" r:id="rId6"/>
    <sheet name="Harmonization" sheetId="13" r:id="rId7"/>
    <sheet name="Gen-filters_2" sheetId="21" r:id="rId8"/>
    <sheet name="AddOmits_2" sheetId="16" r:id="rId9"/>
    <sheet name="WF_AO_LM_2" sheetId="18" r:id="rId10"/>
    <sheet name="WF_AO_HM_2" sheetId="17" r:id="rId11"/>
    <sheet name="WF_SUB_2" sheetId="19" r:id="rId12"/>
    <sheet name="Harmonization_2" sheetId="20" r:id="rId13"/>
    <sheet name="Gen-Error-Rates" sheetId="14" r:id="rId14"/>
    <sheet name="Corrections" sheetId="22" r:id="rId15"/>
    <sheet name="Data Regularization" sheetId="2" r:id="rId16"/>
  </sheets>
  <definedNames>
    <definedName name="_xlnm._FilterDatabase" localSheetId="2" hidden="1">AddOmits!$A$1:$AH$43</definedName>
    <definedName name="_xlnm._FilterDatabase" localSheetId="1" hidden="1">'Gen-filters'!$A$1:$AG$69</definedName>
    <definedName name="_xlnm._FilterDatabase" localSheetId="0" hidden="1">'Unfiltered Data'!$A$1:$AL$114</definedName>
    <definedName name="_xlnm._FilterDatabase" localSheetId="4" hidden="1">WF_AO_HM!$A$1:$AH$5</definedName>
    <definedName name="_xlnm._FilterDatabase" localSheetId="3" hidden="1">WF_AO_LM!$A$1:$AH$35</definedName>
    <definedName name="_xlnm._FilterDatabase" localSheetId="5" hidden="1">WF_SUB!$A$1:$AJ$11</definedName>
    <definedName name="_xlchart.v1.0" hidden="1">AddOmits!$Q$1</definedName>
    <definedName name="_xlchart.v1.1" hidden="1">AddOmits!$Q$2:$Q$43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22" l="1"/>
  <c r="B11" i="22"/>
  <c r="D11" i="22" s="1"/>
  <c r="B10" i="22"/>
  <c r="B4" i="22"/>
  <c r="B3" i="22"/>
  <c r="T3" i="12"/>
  <c r="U3" i="12"/>
  <c r="T4" i="12"/>
  <c r="U4" i="12"/>
  <c r="V4" i="12" s="1"/>
  <c r="T5" i="12"/>
  <c r="U5" i="12"/>
  <c r="V5" i="12" s="1"/>
  <c r="T6" i="12"/>
  <c r="U6" i="12"/>
  <c r="V6" i="12" s="1"/>
  <c r="T7" i="12"/>
  <c r="U7" i="12"/>
  <c r="V7" i="12" s="1"/>
  <c r="T8" i="12"/>
  <c r="U8" i="12"/>
  <c r="V8" i="12" s="1"/>
  <c r="T9" i="12"/>
  <c r="U9" i="12"/>
  <c r="T10" i="12"/>
  <c r="U10" i="12"/>
  <c r="V10" i="12"/>
  <c r="T11" i="12"/>
  <c r="U11" i="12"/>
  <c r="V11" i="12"/>
  <c r="U2" i="12"/>
  <c r="T2" i="12"/>
  <c r="V2" i="12" s="1"/>
  <c r="Q43" i="8"/>
  <c r="Q42" i="8"/>
  <c r="Q41" i="8"/>
  <c r="Q40" i="8"/>
  <c r="Q39" i="8"/>
  <c r="Q38" i="8"/>
  <c r="Q37" i="8"/>
  <c r="Q36" i="8"/>
  <c r="Q35" i="8"/>
  <c r="Q34" i="8"/>
  <c r="Q33" i="8"/>
  <c r="Q32" i="8"/>
  <c r="Q31" i="8"/>
  <c r="Q30" i="8"/>
  <c r="Q29" i="8"/>
  <c r="Q28" i="8"/>
  <c r="Q27" i="8"/>
  <c r="Q26" i="8"/>
  <c r="Q25" i="8"/>
  <c r="Q24" i="8"/>
  <c r="Q23" i="8"/>
  <c r="Q22" i="8"/>
  <c r="Q21" i="8"/>
  <c r="Q20" i="8"/>
  <c r="Q19" i="8"/>
  <c r="Q18" i="8"/>
  <c r="Q17" i="8"/>
  <c r="Q16" i="8"/>
  <c r="Q15" i="8"/>
  <c r="Q14" i="8"/>
  <c r="Q13" i="8"/>
  <c r="Q12" i="8"/>
  <c r="Q11" i="8"/>
  <c r="Q10" i="8"/>
  <c r="Q9" i="8"/>
  <c r="Q8" i="8"/>
  <c r="Q7" i="8"/>
  <c r="Q6" i="8"/>
  <c r="Q5" i="8"/>
  <c r="Q4" i="8"/>
  <c r="Q3" i="8"/>
  <c r="Q2" i="8"/>
  <c r="D12" i="22" l="1"/>
  <c r="B5" i="22"/>
  <c r="D10" i="22"/>
  <c r="V9" i="12"/>
  <c r="V3" i="12"/>
  <c r="E6" i="20" l="1"/>
  <c r="E5" i="20"/>
  <c r="E7" i="20" s="1"/>
  <c r="E15" i="19"/>
  <c r="E14" i="19"/>
  <c r="E11" i="19"/>
  <c r="E10" i="19"/>
  <c r="E12" i="19" s="1"/>
  <c r="E32" i="18"/>
  <c r="E31" i="18"/>
  <c r="E30" i="18"/>
  <c r="E7" i="17"/>
  <c r="E13" i="17" s="1"/>
  <c r="E70" i="16"/>
  <c r="D70" i="16"/>
  <c r="E69" i="16"/>
  <c r="D69" i="16"/>
  <c r="E68" i="16"/>
  <c r="D68" i="16"/>
  <c r="F68" i="16" s="1"/>
  <c r="E67" i="16"/>
  <c r="D67" i="16"/>
  <c r="E66" i="16"/>
  <c r="D66" i="16"/>
  <c r="E62" i="16"/>
  <c r="D62" i="16"/>
  <c r="E61" i="16"/>
  <c r="D61" i="16"/>
  <c r="E60" i="16"/>
  <c r="D60" i="16"/>
  <c r="E55" i="16"/>
  <c r="D55" i="16"/>
  <c r="F55" i="16" s="1"/>
  <c r="E54" i="16"/>
  <c r="D54" i="16"/>
  <c r="E49" i="16"/>
  <c r="D49" i="16"/>
  <c r="E48" i="16"/>
  <c r="D48" i="16"/>
  <c r="E43" i="16"/>
  <c r="D43" i="16"/>
  <c r="E42" i="16"/>
  <c r="E44" i="16" s="1"/>
  <c r="D42" i="16"/>
  <c r="F35" i="16"/>
  <c r="F34" i="16"/>
  <c r="F30" i="16"/>
  <c r="F29" i="16"/>
  <c r="F25" i="16"/>
  <c r="F24" i="16"/>
  <c r="F26" i="16" s="1"/>
  <c r="F70" i="16" l="1"/>
  <c r="E10" i="17"/>
  <c r="E11" i="17"/>
  <c r="E14" i="17"/>
  <c r="F31" i="16"/>
  <c r="F36" i="16"/>
  <c r="F49" i="16"/>
  <c r="F43" i="16"/>
  <c r="F42" i="16"/>
  <c r="F54" i="16"/>
  <c r="F62" i="16"/>
  <c r="F69" i="16"/>
  <c r="F56" i="16"/>
  <c r="F61" i="16"/>
  <c r="F66" i="16"/>
  <c r="F48" i="16"/>
  <c r="F50" i="16" s="1"/>
  <c r="F60" i="16"/>
  <c r="F67" i="16"/>
  <c r="E19" i="18"/>
  <c r="D44" i="16"/>
  <c r="F44" i="16" s="1"/>
  <c r="F37" i="16" l="1"/>
  <c r="E25" i="18"/>
  <c r="E22" i="18"/>
  <c r="E26" i="18"/>
  <c r="E23" i="18"/>
  <c r="E23" i="19"/>
  <c r="E22" i="19"/>
  <c r="E19" i="19"/>
  <c r="E18" i="19"/>
  <c r="B3" i="14"/>
  <c r="B6" i="14" s="1"/>
  <c r="B2" i="14"/>
  <c r="B5" i="14" l="1"/>
  <c r="C10" i="22"/>
  <c r="C12" i="22"/>
  <c r="C11" i="22"/>
  <c r="E27" i="18"/>
  <c r="E24" i="18"/>
  <c r="E6" i="13"/>
  <c r="E5" i="13"/>
  <c r="E7" i="13" s="1"/>
  <c r="E22" i="12" l="1"/>
  <c r="E21" i="12"/>
  <c r="E18" i="12"/>
  <c r="E17" i="12"/>
  <c r="E19" i="12" s="1"/>
  <c r="E54" i="11"/>
  <c r="E53" i="11"/>
  <c r="E52" i="11"/>
  <c r="E41" i="11"/>
  <c r="E48" i="11" s="1"/>
  <c r="E9" i="10"/>
  <c r="E15" i="10" s="1"/>
  <c r="E16" i="10" l="1"/>
  <c r="E17" i="10" s="1"/>
  <c r="E12" i="10"/>
  <c r="E13" i="10"/>
  <c r="E44" i="11"/>
  <c r="E45" i="11"/>
  <c r="E47" i="11"/>
  <c r="E49" i="11" s="1"/>
  <c r="E26" i="12"/>
  <c r="E25" i="12"/>
  <c r="E46" i="11" l="1"/>
  <c r="E14" i="10"/>
  <c r="E18" i="10" s="1"/>
  <c r="E29" i="12"/>
  <c r="E30" i="12"/>
  <c r="V112" i="1"/>
  <c r="U112" i="1"/>
  <c r="V111" i="1"/>
  <c r="U111" i="1"/>
  <c r="V110" i="1"/>
  <c r="U110" i="1"/>
  <c r="V109" i="1"/>
  <c r="U109" i="1"/>
  <c r="V108" i="1"/>
  <c r="U108" i="1"/>
  <c r="V107" i="1"/>
  <c r="U107" i="1"/>
  <c r="V106" i="1"/>
  <c r="U106" i="1"/>
  <c r="V105" i="1"/>
  <c r="U105" i="1"/>
  <c r="V104" i="1"/>
  <c r="U104" i="1"/>
  <c r="V103" i="1"/>
  <c r="U103" i="1"/>
  <c r="V102" i="1"/>
  <c r="U102" i="1"/>
  <c r="V101" i="1"/>
  <c r="U101" i="1"/>
  <c r="V100" i="1"/>
  <c r="U100" i="1"/>
  <c r="V99" i="1"/>
  <c r="U99" i="1"/>
  <c r="V98" i="1"/>
  <c r="U98" i="1"/>
  <c r="V96" i="1"/>
  <c r="U96" i="1"/>
  <c r="V95" i="1"/>
  <c r="U95" i="1"/>
  <c r="V93" i="1"/>
  <c r="U93" i="1"/>
  <c r="V92" i="1"/>
  <c r="U92" i="1"/>
  <c r="V91" i="1"/>
  <c r="U91" i="1"/>
  <c r="V90" i="1"/>
  <c r="U90" i="1"/>
  <c r="V89" i="1"/>
  <c r="U89" i="1"/>
  <c r="V88" i="1"/>
  <c r="U88" i="1"/>
  <c r="V87" i="1"/>
  <c r="U87" i="1"/>
  <c r="V86" i="1"/>
  <c r="U86" i="1"/>
  <c r="V85" i="1"/>
  <c r="U85" i="1"/>
  <c r="V84" i="1"/>
  <c r="U84" i="1"/>
  <c r="V83" i="1"/>
  <c r="U83" i="1"/>
  <c r="V82" i="1"/>
  <c r="U82" i="1"/>
  <c r="V81" i="1"/>
  <c r="U81" i="1"/>
  <c r="V79" i="1"/>
  <c r="U79" i="1"/>
  <c r="V78" i="1"/>
  <c r="U78" i="1"/>
  <c r="V77" i="1"/>
  <c r="U77" i="1"/>
  <c r="V76" i="1"/>
  <c r="U76" i="1"/>
  <c r="V75" i="1"/>
  <c r="U75" i="1"/>
  <c r="V74" i="1"/>
  <c r="U74" i="1"/>
  <c r="V73" i="1"/>
  <c r="U73" i="1"/>
  <c r="V72" i="1"/>
  <c r="U72" i="1"/>
  <c r="V71" i="1"/>
  <c r="U71" i="1"/>
  <c r="V70" i="1"/>
  <c r="U70" i="1"/>
  <c r="V69" i="1"/>
  <c r="U69" i="1"/>
  <c r="V67" i="1"/>
  <c r="U67" i="1"/>
  <c r="V66" i="1"/>
  <c r="U66" i="1"/>
  <c r="V65" i="1"/>
  <c r="U65" i="1"/>
  <c r="V64" i="1"/>
  <c r="U64" i="1"/>
  <c r="V63" i="1"/>
  <c r="U63" i="1"/>
  <c r="V62" i="1"/>
  <c r="U62" i="1"/>
  <c r="V61" i="1"/>
  <c r="U61" i="1"/>
  <c r="V60" i="1"/>
  <c r="U60" i="1"/>
  <c r="V59" i="1"/>
  <c r="U59" i="1"/>
  <c r="V58" i="1"/>
  <c r="U58" i="1"/>
  <c r="V56" i="1"/>
  <c r="U56" i="1"/>
  <c r="V55" i="1"/>
  <c r="U55" i="1"/>
  <c r="V53" i="1"/>
  <c r="U53" i="1"/>
  <c r="V52" i="1"/>
  <c r="U52" i="1"/>
  <c r="V51" i="1"/>
  <c r="U51" i="1"/>
  <c r="V50" i="1"/>
  <c r="U50" i="1"/>
  <c r="V49" i="1"/>
  <c r="U49" i="1"/>
  <c r="V48" i="1"/>
  <c r="U48" i="1"/>
  <c r="V47" i="1"/>
  <c r="U47" i="1"/>
  <c r="V46" i="1"/>
  <c r="U46" i="1"/>
  <c r="V45" i="1"/>
  <c r="U45" i="1"/>
  <c r="V44" i="1"/>
  <c r="U44" i="1"/>
  <c r="V42" i="1"/>
  <c r="U42" i="1"/>
  <c r="V41" i="1"/>
  <c r="U41" i="1"/>
  <c r="V40" i="1"/>
  <c r="U40" i="1"/>
  <c r="V39" i="1"/>
  <c r="U39" i="1"/>
  <c r="V37" i="1"/>
  <c r="U37" i="1"/>
  <c r="V36" i="1"/>
  <c r="U36" i="1"/>
  <c r="V35" i="1"/>
  <c r="U35" i="1"/>
  <c r="V34" i="1"/>
  <c r="U34" i="1"/>
  <c r="V33" i="1"/>
  <c r="U33" i="1"/>
  <c r="V32" i="1"/>
  <c r="U32" i="1"/>
  <c r="V31" i="1"/>
  <c r="U31" i="1"/>
  <c r="V30" i="1"/>
  <c r="U30" i="1"/>
  <c r="V29" i="1"/>
  <c r="U29" i="1"/>
  <c r="V28" i="1"/>
  <c r="U28" i="1"/>
  <c r="V27" i="1"/>
  <c r="U27" i="1"/>
  <c r="V26" i="1"/>
  <c r="U26" i="1"/>
  <c r="V25" i="1"/>
  <c r="U25" i="1"/>
  <c r="V24" i="1"/>
  <c r="U24" i="1"/>
  <c r="V23" i="1"/>
  <c r="U23" i="1"/>
  <c r="V22" i="1"/>
  <c r="U22" i="1"/>
  <c r="V21" i="1"/>
  <c r="U21" i="1"/>
  <c r="V20" i="1"/>
  <c r="U20" i="1"/>
  <c r="V19" i="1"/>
  <c r="U19" i="1"/>
  <c r="V18" i="1"/>
  <c r="U18" i="1"/>
  <c r="V16" i="1"/>
  <c r="U16" i="1"/>
  <c r="V15" i="1"/>
  <c r="U15" i="1"/>
  <c r="V14" i="1"/>
  <c r="U14" i="1"/>
  <c r="V13" i="1"/>
  <c r="U13" i="1"/>
  <c r="V12" i="1"/>
  <c r="U12" i="1"/>
  <c r="V10" i="1"/>
  <c r="U10" i="1"/>
  <c r="V9" i="1"/>
  <c r="U9" i="1"/>
  <c r="V8" i="1"/>
  <c r="U8" i="1"/>
  <c r="V7" i="1"/>
  <c r="U7" i="1"/>
  <c r="V5" i="1"/>
  <c r="U5" i="1"/>
  <c r="V4" i="1"/>
  <c r="U4" i="1"/>
  <c r="V3" i="1"/>
  <c r="U3" i="1"/>
  <c r="V2" i="1"/>
  <c r="U2" i="1"/>
  <c r="E92" i="8"/>
  <c r="D92" i="8"/>
  <c r="E91" i="8"/>
  <c r="D91" i="8"/>
  <c r="E90" i="8"/>
  <c r="D90" i="8"/>
  <c r="E89" i="8"/>
  <c r="D89" i="8"/>
  <c r="E88" i="8"/>
  <c r="D88" i="8"/>
  <c r="F89" i="8" l="1"/>
  <c r="F92" i="8"/>
  <c r="F90" i="8"/>
  <c r="F91" i="8"/>
  <c r="F88" i="8"/>
  <c r="E84" i="8"/>
  <c r="D84" i="8"/>
  <c r="E83" i="8"/>
  <c r="D83" i="8"/>
  <c r="E82" i="8"/>
  <c r="D82" i="8"/>
  <c r="F83" i="8" l="1"/>
  <c r="F84" i="8"/>
  <c r="F82" i="8"/>
  <c r="E77" i="8"/>
  <c r="D77" i="8"/>
  <c r="E76" i="8"/>
  <c r="D76" i="8"/>
  <c r="F76" i="8" l="1"/>
  <c r="F77" i="8"/>
  <c r="E71" i="8"/>
  <c r="D71" i="8"/>
  <c r="E70" i="8"/>
  <c r="D70" i="8"/>
  <c r="E64" i="8"/>
  <c r="E65" i="8"/>
  <c r="D65" i="8"/>
  <c r="D64" i="8"/>
  <c r="F78" i="8" l="1"/>
  <c r="F71" i="8"/>
  <c r="F70" i="8"/>
  <c r="F65" i="8"/>
  <c r="E66" i="8"/>
  <c r="F64" i="8"/>
  <c r="D66" i="8"/>
  <c r="F66" i="8" s="1"/>
  <c r="F72" i="8" l="1"/>
  <c r="F57" i="8"/>
  <c r="F56" i="8"/>
  <c r="F52" i="8"/>
  <c r="F51" i="8"/>
  <c r="F53" i="8" l="1"/>
  <c r="F58" i="8"/>
  <c r="F47" i="8"/>
  <c r="F46" i="8"/>
  <c r="F59" i="8" l="1"/>
  <c r="F48" i="8"/>
  <c r="AK119" i="1" l="1"/>
  <c r="AJ114" i="1" a="1"/>
  <c r="AJ114" i="1" s="1"/>
  <c r="AJ113" i="1" a="1"/>
  <c r="AJ113" i="1" s="1"/>
  <c r="AJ112" i="1" a="1"/>
  <c r="AJ112" i="1" s="1"/>
  <c r="AJ111" i="1" a="1"/>
  <c r="AJ111" i="1" s="1"/>
  <c r="AJ110" i="1" a="1"/>
  <c r="AJ110" i="1" s="1"/>
  <c r="AJ109" i="1" a="1"/>
  <c r="AJ109" i="1" s="1"/>
  <c r="AJ108" i="1" a="1"/>
  <c r="AJ108" i="1" s="1"/>
  <c r="AJ107" i="1" a="1"/>
  <c r="AJ107" i="1" s="1"/>
  <c r="AJ106" i="1" a="1"/>
  <c r="AJ106" i="1" s="1"/>
  <c r="AJ105" i="1" a="1"/>
  <c r="AJ105" i="1" s="1"/>
  <c r="AJ104" i="1" a="1"/>
  <c r="AJ104" i="1" s="1"/>
  <c r="AJ103" i="1" a="1"/>
  <c r="AJ103" i="1" s="1"/>
  <c r="AJ102" i="1" a="1"/>
  <c r="AJ102" i="1" s="1"/>
  <c r="AJ101" i="1" a="1"/>
  <c r="AJ101" i="1" s="1"/>
  <c r="AJ100" i="1" a="1"/>
  <c r="AJ100" i="1" s="1"/>
  <c r="AJ99" i="1" a="1"/>
  <c r="AJ99" i="1" s="1"/>
  <c r="AJ98" i="1" a="1"/>
  <c r="AJ98" i="1" s="1"/>
  <c r="AJ97" i="1" a="1"/>
  <c r="AJ97" i="1" s="1"/>
  <c r="AJ96" i="1" a="1"/>
  <c r="AJ96" i="1" s="1"/>
  <c r="AJ95" i="1" a="1"/>
  <c r="AJ95" i="1" s="1"/>
  <c r="AJ94" i="1" a="1"/>
  <c r="AJ94" i="1" s="1"/>
  <c r="AJ93" i="1" a="1"/>
  <c r="AJ93" i="1" s="1"/>
  <c r="AJ92" i="1" a="1"/>
  <c r="AJ92" i="1" s="1"/>
  <c r="AJ91" i="1" a="1"/>
  <c r="AJ91" i="1" s="1"/>
  <c r="AJ90" i="1" a="1"/>
  <c r="AJ90" i="1" s="1"/>
  <c r="AJ89" i="1" a="1"/>
  <c r="AJ89" i="1" s="1"/>
  <c r="AJ88" i="1" a="1"/>
  <c r="AJ88" i="1" s="1"/>
  <c r="AJ87" i="1" a="1"/>
  <c r="AJ87" i="1" s="1"/>
  <c r="AJ86" i="1" a="1"/>
  <c r="AJ86" i="1" s="1"/>
  <c r="AJ85" i="1" a="1"/>
  <c r="AJ85" i="1" s="1"/>
  <c r="AJ84" i="1" a="1"/>
  <c r="AJ84" i="1" s="1"/>
  <c r="AJ83" i="1" a="1"/>
  <c r="AJ83" i="1" s="1"/>
  <c r="AJ82" i="1" a="1"/>
  <c r="AJ82" i="1" s="1"/>
  <c r="AJ81" i="1" a="1"/>
  <c r="AJ81" i="1" s="1"/>
  <c r="AJ80" i="1" a="1"/>
  <c r="AJ80" i="1" s="1"/>
  <c r="AJ79" i="1" a="1"/>
  <c r="AJ79" i="1" s="1"/>
  <c r="AJ78" i="1" a="1"/>
  <c r="AJ78" i="1" s="1"/>
  <c r="AJ77" i="1" a="1"/>
  <c r="AJ77" i="1" s="1"/>
  <c r="AJ76" i="1" a="1"/>
  <c r="AJ76" i="1" s="1"/>
  <c r="AJ75" i="1" a="1"/>
  <c r="AJ75" i="1" s="1"/>
  <c r="AJ74" i="1" a="1"/>
  <c r="AJ74" i="1" s="1"/>
  <c r="AJ73" i="1" a="1"/>
  <c r="AJ73" i="1" s="1"/>
  <c r="AJ72" i="1" a="1"/>
  <c r="AJ72" i="1" s="1"/>
  <c r="AJ71" i="1" a="1"/>
  <c r="AJ71" i="1" s="1"/>
  <c r="AJ70" i="1" a="1"/>
  <c r="AJ70" i="1" s="1"/>
  <c r="AJ69" i="1" a="1"/>
  <c r="AJ69" i="1" s="1"/>
  <c r="AJ68" i="1" a="1"/>
  <c r="AJ68" i="1" s="1"/>
  <c r="AJ67" i="1" a="1"/>
  <c r="AJ67" i="1" s="1"/>
  <c r="AJ66" i="1" a="1"/>
  <c r="AJ66" i="1" s="1"/>
  <c r="AJ65" i="1" a="1"/>
  <c r="AJ65" i="1" s="1"/>
  <c r="AJ64" i="1" a="1"/>
  <c r="AJ64" i="1" s="1"/>
  <c r="AJ63" i="1" a="1"/>
  <c r="AJ63" i="1" s="1"/>
  <c r="AJ62" i="1" a="1"/>
  <c r="AJ62" i="1" s="1"/>
  <c r="AJ61" i="1" a="1"/>
  <c r="AJ61" i="1" s="1"/>
  <c r="AJ60" i="1" a="1"/>
  <c r="AJ60" i="1" s="1"/>
  <c r="AJ59" i="1" a="1"/>
  <c r="AJ59" i="1" s="1"/>
  <c r="AJ58" i="1" a="1"/>
  <c r="AJ58" i="1" s="1"/>
  <c r="AJ57" i="1" a="1"/>
  <c r="AJ57" i="1" s="1"/>
  <c r="AJ56" i="1" a="1"/>
  <c r="AJ56" i="1" s="1"/>
  <c r="AJ55" i="1" a="1"/>
  <c r="AJ55" i="1" s="1"/>
  <c r="AJ54" i="1" a="1"/>
  <c r="AJ54" i="1" s="1"/>
  <c r="AJ53" i="1" a="1"/>
  <c r="AJ53" i="1" s="1"/>
  <c r="AJ52" i="1" a="1"/>
  <c r="AJ52" i="1" s="1"/>
  <c r="AJ51" i="1" a="1"/>
  <c r="AJ51" i="1" s="1"/>
  <c r="AJ50" i="1" a="1"/>
  <c r="AJ50" i="1" s="1"/>
  <c r="AJ49" i="1" a="1"/>
  <c r="AJ49" i="1" s="1"/>
  <c r="AJ48" i="1" a="1"/>
  <c r="AJ48" i="1" s="1"/>
  <c r="AJ47" i="1" a="1"/>
  <c r="AJ47" i="1" s="1"/>
  <c r="AJ46" i="1" a="1"/>
  <c r="AJ46" i="1" s="1"/>
  <c r="AJ45" i="1" a="1"/>
  <c r="AJ45" i="1" s="1"/>
  <c r="AJ44" i="1" a="1"/>
  <c r="AJ44" i="1" s="1"/>
  <c r="AJ43" i="1" a="1"/>
  <c r="AJ43" i="1" s="1"/>
  <c r="AJ42" i="1" a="1"/>
  <c r="AJ42" i="1" s="1"/>
  <c r="AJ41" i="1" a="1"/>
  <c r="AJ41" i="1" s="1"/>
  <c r="AJ40" i="1" a="1"/>
  <c r="AJ40" i="1" s="1"/>
  <c r="AJ39" i="1" a="1"/>
  <c r="AJ39" i="1" s="1"/>
  <c r="AJ38" i="1" a="1"/>
  <c r="AJ38" i="1" s="1"/>
  <c r="AJ37" i="1" a="1"/>
  <c r="AJ37" i="1" s="1"/>
  <c r="AJ36" i="1" a="1"/>
  <c r="AJ36" i="1" s="1"/>
  <c r="AJ35" i="1" a="1"/>
  <c r="AJ35" i="1" s="1"/>
  <c r="AJ34" i="1" a="1"/>
  <c r="AJ34" i="1" s="1"/>
  <c r="AJ33" i="1" a="1"/>
  <c r="AJ33" i="1" s="1"/>
  <c r="AJ32" i="1" a="1"/>
  <c r="AJ32" i="1" s="1"/>
  <c r="AJ31" i="1" a="1"/>
  <c r="AJ31" i="1" s="1"/>
  <c r="AJ30" i="1" a="1"/>
  <c r="AJ30" i="1" s="1"/>
  <c r="AJ29" i="1" a="1"/>
  <c r="AJ29" i="1" s="1"/>
  <c r="AJ28" i="1" a="1"/>
  <c r="AJ28" i="1" s="1"/>
  <c r="AJ27" i="1" a="1"/>
  <c r="AJ27" i="1" s="1"/>
  <c r="AJ26" i="1" a="1"/>
  <c r="AJ26" i="1" s="1"/>
  <c r="AJ25" i="1" a="1"/>
  <c r="AJ25" i="1" s="1"/>
  <c r="AJ24" i="1" a="1"/>
  <c r="AJ24" i="1" s="1"/>
  <c r="AJ23" i="1" a="1"/>
  <c r="AJ23" i="1" s="1"/>
  <c r="AJ22" i="1" a="1"/>
  <c r="AJ22" i="1" s="1"/>
  <c r="AJ21" i="1" a="1"/>
  <c r="AJ21" i="1" s="1"/>
  <c r="AJ20" i="1" a="1"/>
  <c r="AJ20" i="1" s="1"/>
  <c r="AJ19" i="1" a="1"/>
  <c r="AJ19" i="1" s="1"/>
  <c r="AJ18" i="1" a="1"/>
  <c r="AJ18" i="1" s="1"/>
  <c r="AJ17" i="1" a="1"/>
  <c r="AJ17" i="1" s="1"/>
  <c r="AJ16" i="1" a="1"/>
  <c r="AJ16" i="1" s="1"/>
  <c r="AJ15" i="1" a="1"/>
  <c r="AJ15" i="1" s="1"/>
  <c r="AJ14" i="1" a="1"/>
  <c r="AJ14" i="1" s="1"/>
  <c r="AJ13" i="1" a="1"/>
  <c r="AJ13" i="1" s="1"/>
  <c r="AJ12" i="1" a="1"/>
  <c r="AJ12" i="1" s="1"/>
  <c r="AJ11" i="1" a="1"/>
  <c r="AJ11" i="1" s="1"/>
  <c r="AJ10" i="1" a="1"/>
  <c r="AJ10" i="1" s="1"/>
  <c r="AJ9" i="1" a="1"/>
  <c r="AJ9" i="1" s="1"/>
  <c r="AJ8" i="1" a="1"/>
  <c r="AJ8" i="1" s="1"/>
  <c r="AJ7" i="1" a="1"/>
  <c r="AJ7" i="1" s="1"/>
  <c r="AJ6" i="1" a="1"/>
  <c r="AJ6" i="1" s="1"/>
  <c r="AJ5" i="1" a="1"/>
  <c r="AJ5" i="1" s="1"/>
  <c r="AJ4" i="1" a="1"/>
  <c r="AJ4" i="1" s="1"/>
  <c r="AJ3" i="1" a="1"/>
  <c r="AJ3" i="1" s="1"/>
  <c r="AJ2" i="1" a="1"/>
  <c r="AJ2" i="1" s="1"/>
  <c r="AK120" i="1"/>
  <c r="T114" i="1"/>
  <c r="T113" i="1"/>
  <c r="T97" i="1"/>
  <c r="T94" i="1"/>
  <c r="T80" i="1"/>
  <c r="T68" i="1"/>
  <c r="T57" i="1"/>
  <c r="T54" i="1"/>
  <c r="T43" i="1"/>
  <c r="T38" i="1"/>
  <c r="T17" i="1"/>
  <c r="T11" i="1"/>
  <c r="T6" i="1"/>
  <c r="E117" i="1"/>
  <c r="E116" i="1"/>
  <c r="U80" i="1"/>
  <c r="U57" i="1"/>
  <c r="U11" i="1"/>
  <c r="V97" i="1"/>
  <c r="V17" i="1"/>
  <c r="V114" i="1"/>
  <c r="U113" i="1"/>
  <c r="U97" i="1"/>
  <c r="V54" i="1"/>
  <c r="U68" i="1"/>
  <c r="V38" i="1"/>
  <c r="V113" i="1"/>
  <c r="V43" i="1"/>
  <c r="V11" i="1"/>
  <c r="V57" i="1"/>
  <c r="V80" i="1"/>
  <c r="V68" i="1"/>
  <c r="U43" i="1"/>
  <c r="U114" i="1"/>
  <c r="V94" i="1"/>
  <c r="U94" i="1"/>
  <c r="U38" i="1"/>
  <c r="V6" i="1"/>
  <c r="U6" i="1"/>
  <c r="U17" i="1"/>
  <c r="U54" i="1"/>
  <c r="AL120" i="1" l="1"/>
  <c r="AL119" i="1" l="1"/>
  <c r="E15" i="17" l="1"/>
  <c r="E12" i="17"/>
  <c r="E16"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Jonathan Wilken</author>
    <author>tc={1295550F-18B4-4208-B229-3CC307F81BF3}</author>
    <author>tc={906783B8-8FDC-4437-9899-4595B5C2F718}</author>
  </authors>
  <commentList>
    <comment ref="B1" authorId="0" shapeId="0" xr:uid="{6104EF6B-4AD2-4EFC-9D5F-F38E0DFD3FAE}">
      <text>
        <r>
          <rPr>
            <b/>
            <sz val="9"/>
            <color indexed="81"/>
            <rFont val="Tahoma"/>
            <family val="2"/>
          </rPr>
          <t>Jonathan Wilken:</t>
        </r>
        <r>
          <rPr>
            <sz val="9"/>
            <color indexed="81"/>
            <rFont val="Tahoma"/>
            <family val="2"/>
          </rPr>
          <t xml:space="preserve">
Page.Column.line range of autograph reading</t>
        </r>
      </text>
    </comment>
    <comment ref="C1" authorId="0" shapeId="0" xr:uid="{D83461E1-D0BC-4AE8-9AF1-D6EF69CBB4B7}">
      <text>
        <r>
          <rPr>
            <b/>
            <sz val="9"/>
            <color indexed="81"/>
            <rFont val="Tahoma"/>
            <family val="2"/>
          </rPr>
          <t>Jonathan Wilken:</t>
        </r>
        <r>
          <rPr>
            <sz val="9"/>
            <color indexed="81"/>
            <rFont val="Tahoma"/>
            <family val="2"/>
          </rPr>
          <t xml:space="preserve">
Page.Column.line range of apograph reading</t>
        </r>
      </text>
    </comment>
    <comment ref="D1" authorId="0" shapeId="0" xr:uid="{27AADEAB-46D2-4816-AF18-0C5D0FC5EAE7}">
      <text>
        <r>
          <rPr>
            <b/>
            <sz val="9"/>
            <color indexed="81"/>
            <rFont val="Tahoma"/>
            <family val="2"/>
          </rPr>
          <t>Jonathan Wilken:</t>
        </r>
        <r>
          <rPr>
            <sz val="9"/>
            <color indexed="81"/>
            <rFont val="Tahoma"/>
            <family val="2"/>
          </rPr>
          <t xml:space="preserve">
Reading from autograph (i.e., the older MS that was copied)</t>
        </r>
      </text>
    </comment>
    <comment ref="E1" authorId="0" shapeId="0" xr:uid="{474F1E89-E526-4C93-B50F-8EEB5BC34E91}">
      <text>
        <r>
          <rPr>
            <b/>
            <sz val="9"/>
            <color indexed="81"/>
            <rFont val="Tahoma"/>
            <family val="2"/>
          </rPr>
          <t>Jonathan Wilken:</t>
        </r>
        <r>
          <rPr>
            <sz val="9"/>
            <color indexed="81"/>
            <rFont val="Tahoma"/>
            <family val="2"/>
          </rPr>
          <t xml:space="preserve">
Reading from apograph (i.e., younger copy)</t>
        </r>
      </text>
    </comment>
    <comment ref="F1" authorId="0" shapeId="0" xr:uid="{ED2FCDE9-AC17-477A-BB5D-AAE9D19109FA}">
      <text>
        <r>
          <rPr>
            <b/>
            <sz val="9"/>
            <color indexed="81"/>
            <rFont val="Tahoma"/>
            <family val="2"/>
          </rPr>
          <t>Jonathan Wilken:</t>
        </r>
        <r>
          <rPr>
            <sz val="9"/>
            <color indexed="81"/>
            <rFont val="Tahoma"/>
            <family val="2"/>
          </rPr>
          <t xml:space="preserve">
Potential reasons why this reading should not be included in data analysis</t>
        </r>
      </text>
    </comment>
    <comment ref="G1" authorId="0" shapeId="0" xr:uid="{F1BE123A-DC51-4109-A4E6-38D076C626B5}">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H1" authorId="0" shapeId="0" xr:uid="{F60858E4-F428-41CC-B7F7-D25463D36FB0}">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J1" authorId="0" shapeId="0" xr:uid="{CFBE01EF-24B6-4A66-9DF4-375FC8242380}">
      <text>
        <r>
          <rPr>
            <b/>
            <sz val="9"/>
            <color indexed="81"/>
            <rFont val="Tahoma"/>
            <family val="2"/>
          </rPr>
          <t>Jonathan Wilken:</t>
        </r>
        <r>
          <rPr>
            <sz val="9"/>
            <color indexed="81"/>
            <rFont val="Tahoma"/>
            <family val="2"/>
          </rPr>
          <t xml:space="preserve">
Add, omit, transposition, substitution, combo</t>
        </r>
      </text>
    </comment>
    <comment ref="K1" authorId="0" shapeId="0" xr:uid="{E24FD131-D76B-466A-8874-841941CADBEF}">
      <text>
        <r>
          <rPr>
            <b/>
            <sz val="9"/>
            <color indexed="81"/>
            <rFont val="Tahoma"/>
            <family val="2"/>
          </rPr>
          <t>Jonathan Wilken:</t>
        </r>
        <r>
          <rPr>
            <sz val="9"/>
            <color indexed="81"/>
            <rFont val="Tahoma"/>
            <family val="2"/>
          </rPr>
          <t xml:space="preserve">
For add/omits. Should only be used if complete phrases &gt;= 1. Set to 0 for &lt; 1.
</t>
        </r>
      </text>
    </comment>
    <comment ref="L1" authorId="0" shapeId="0" xr:uid="{F2895D40-B2BE-452E-823E-503F9FF3A11D}">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M1" authorId="0" shapeId="0" xr:uid="{31893B3B-B352-492F-9209-78D2A2DAFF44}">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N1" authorId="0" shapeId="0" xr:uid="{8589E8C3-E5EB-48DB-BFE6-BE3A6ECAB854}">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O1" authorId="0" shapeId="0" xr:uid="{06F2B24F-F6F0-4FD8-9A43-53EDCBAC622B}">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P1" authorId="0" shapeId="0" xr:uid="{BB2C7F10-89A9-4A44-8CA6-A0E0AB0741DD}">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Q1" authorId="0" shapeId="0" xr:uid="{B1BDE666-0C1F-4970-AD42-B5660CF38196}">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R1" authorId="0" shapeId="0" xr:uid="{C6B7B373-E38E-41C8-AD9F-C8F5486B2A36}">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S1" authorId="0" shapeId="0" xr:uid="{F4CBD1E7-A26B-48CD-9AFC-1B4481FC71B0}">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T1" authorId="0" shapeId="0" xr:uid="{0A50DBE9-DC9A-4281-8E70-BCC99C8C527A}">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U1" authorId="1" shapeId="0" xr:uid="{1295550F-18B4-4208-B229-3CC307F81BF3}">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V1" authorId="2" shapeId="0" xr:uid="{906783B8-8FDC-4437-9899-4595B5C2F718}">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Y1" authorId="0" shapeId="0" xr:uid="{00B91FB4-AA25-4FD0-8F8D-86ACBF251DD2}">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Z1" authorId="0" shapeId="0" xr:uid="{A2C2050D-38D4-49C7-AAD9-98C4713F6894}">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AA1" authorId="0" shapeId="0" xr:uid="{AFDE9939-D6FA-4FE3-A207-DCB1206BF99F}">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B1" authorId="0" shapeId="0" xr:uid="{4853ADC9-3B3C-47C5-9FEA-A61A30B4A8FA}">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D1" authorId="0" shapeId="0" xr:uid="{640CF7AA-79EE-4810-A7CE-1D891ABE3E18}">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E1" authorId="0" shapeId="0" xr:uid="{FD0854F2-A059-4740-9F17-06B52568F321}">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F1" authorId="0" shapeId="0" xr:uid="{A4A09671-B847-4389-9F90-F44D56FAD587}">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Jonathan Wilken</author>
    <author>tc={8656DBC0-9333-474A-A01E-BE62FF5E8AC5}</author>
    <author>tc={D85CA71F-7EA9-4B52-A4FF-63E8FA32310B}</author>
  </authors>
  <commentList>
    <comment ref="B1" authorId="0" shapeId="0" xr:uid="{8771A12A-281E-4EF5-8BEC-FB66552E97AC}">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F5CE6F53-9504-4B77-91B4-4A9030B17FE1}">
      <text>
        <r>
          <rPr>
            <b/>
            <sz val="9"/>
            <color indexed="81"/>
            <rFont val="Tahoma"/>
            <family val="2"/>
          </rPr>
          <t>Jonathan Wilken:</t>
        </r>
        <r>
          <rPr>
            <sz val="9"/>
            <color indexed="81"/>
            <rFont val="Tahoma"/>
            <family val="2"/>
          </rPr>
          <t xml:space="preserve">
Reading from apograph (i.e., younger copy)</t>
        </r>
      </text>
    </comment>
    <comment ref="D1" authorId="0" shapeId="0" xr:uid="{630F1B42-3287-42D1-825C-5E604CF473B9}">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A97A065F-691C-41C9-AE1B-C42B5D3AAAD5}">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C3947B09-39C8-4332-940A-B13658AB9C7B}">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FDB9E557-21E3-40DD-BBCA-5EC98BA3497C}">
      <text>
        <r>
          <rPr>
            <b/>
            <sz val="9"/>
            <color indexed="81"/>
            <rFont val="Tahoma"/>
            <family val="2"/>
          </rPr>
          <t>Jonathan Wilken:</t>
        </r>
        <r>
          <rPr>
            <sz val="9"/>
            <color indexed="81"/>
            <rFont val="Tahoma"/>
            <family val="2"/>
          </rPr>
          <t xml:space="preserve">
Add, omit, transposition, substitution, combo</t>
        </r>
      </text>
    </comment>
    <comment ref="H1" authorId="0" shapeId="0" xr:uid="{91BC79E9-497C-4FA8-B777-171F65DD1248}">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69CA03F0-9E83-4F45-AA64-E7E469F39035}">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DD865153-C323-414D-ACF6-00D1DE005081}">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98D974F0-E650-434B-AB8D-8C30E0DF7895}">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C27787EB-8E0E-4CD7-874B-AB3B3644EFD3}">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330F6BE9-E2FC-4E1B-9846-B06B8C5D4C27}">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5758FA13-9F22-4917-B0CE-84C48B10210D}">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BD568EEA-8585-44C7-9CAB-F609CFD26D54}">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7F915DB6-C53D-40B7-B8D3-68C8AB9574E7}">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799E99FB-56E1-4A48-A801-294FBEFFFD07}">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8656DBC0-9333-474A-A01E-BE62FF5E8AC5}">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D85CA71F-7EA9-4B52-A4FF-63E8FA32310B}">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V1" authorId="0" shapeId="0" xr:uid="{D48749F6-F3B7-4919-BD15-65CDF44DD99D}">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W1" authorId="0" shapeId="0" xr:uid="{01A01E29-024B-4178-B08C-034BA0232F5F}">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X1" authorId="0" shapeId="0" xr:uid="{DE5C3DDB-30AF-4528-B1FB-F95E49F7C7AA}">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Y1" authorId="0" shapeId="0" xr:uid="{B697F4CB-C0CD-4C4F-B003-9ABC714FAB2D}">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A1" authorId="0" shapeId="0" xr:uid="{A7BEF697-B348-437E-8044-D27AD487F1A0}">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B1" authorId="0" shapeId="0" xr:uid="{42FB8370-B101-4BC8-BC03-99AB3A54C50B}">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C1" authorId="0" shapeId="0" xr:uid="{08CA741A-47D7-44D4-AC99-2AE5AF539613}">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Jonathan Wilken</author>
    <author>tc={C7A238F4-6555-42D5-A07D-9E5F5E236FFE}</author>
    <author>tc={C3DC2A29-D3E9-41C8-9BCE-4716589D38A4}</author>
    <author>tc={A0C5AEA4-E287-4121-90D6-E5CD5A94C523}</author>
    <author>tc={7DF388AD-7D6A-4FD0-B12A-86457E3A9AC7}</author>
    <author>tc={67763217-6F84-40A9-B4B6-7C5CDABD5081}</author>
    <author>tc={F2679EB7-5DEA-4116-B248-298274655C2A}</author>
    <author>tc={459CD7D7-6F54-4B4D-9BDA-CC398D131284}</author>
    <author>tc={52258C89-60E5-423C-9EBC-0DF834B2E467}</author>
    <author>tc={4A3E83C3-73C0-4475-A34E-3E28023A5C11}</author>
    <author>tc={1BAF8408-7936-4613-8B4D-F9C84F1A485B}</author>
    <author>tc={F7BD53D5-4C2E-4307-84C0-DB07D3873B64}</author>
    <author>tc={83C4D338-B58C-4A73-9843-756D972F2AB2}</author>
    <author>tc={F6F00964-D42A-45E2-9842-D62D1170DE9A}</author>
    <author>tc={8A11F87A-C45F-4741-86D6-850B50DCEE04}</author>
    <author>tc={50003FFC-79BA-4419-9309-B5A96CCA0EA0}</author>
    <author>tc={04C4F110-5A33-4220-8377-B02E934B35F4}</author>
    <author>tc={B76551D4-DB92-43F9-B2E2-B6A2EB9BDB23}</author>
    <author>tc={2D357EEB-E8F3-40AB-95F7-9D1305680014}</author>
    <author>tc={D3164E85-4A9A-47E0-95F6-CD8DCCEF75A5}</author>
    <author>tc={C69F0086-E698-4985-9E60-04C9A171BE7C}</author>
    <author>tc={9810D138-89B2-492C-AB39-1BAC8E7CD8C4}</author>
    <author>tc={9CE5A9E7-A10D-4A88-9C28-B6CE673BBF77}</author>
    <author>tc={432184A7-8B60-4F3A-9ECB-23975EAA332E}</author>
    <author>tc={7E2D32E7-5600-4996-873E-20CE5B66179E}</author>
    <author>tc={C1D27EA9-E44C-46FC-BBC7-52D7431F832E}</author>
    <author>tc={D24040B0-D3F3-4424-8114-00998F87170D}</author>
    <author>tc={8F21D48E-87F2-44DE-8646-9DB096C9C716}</author>
    <author>tc={B39FD29C-2572-42D3-9DF2-A1DB2AE3BB52}</author>
    <author>tc={A77A4C98-C2AB-4F51-B3C6-B0578D673CC5}</author>
    <author>tc={7F2DC0B2-AAD3-41DA-9BBF-5DA6BFE0BEDE}</author>
    <author>tc={6EA326B3-601C-4132-A7A6-29A1F37CF10D}</author>
    <author>tc={02E40950-F296-4218-9AF8-5BF663CCF730}</author>
    <author>tc={31927EA5-37C1-40DA-B305-987256B0B274}</author>
    <author>tc={8D69A18E-68C8-42C8-9CC5-A661BA28FD8F}</author>
    <author>tc={38A842C6-6AFF-457F-99A9-D56B6ED76F94}</author>
    <author>tc={DCA1E499-4113-47A6-B956-D8CFFEBF0E34}</author>
    <author>tc={1A7A13DC-55AE-4202-871B-391E047420C2}</author>
    <author>tc={3633FF61-3D8E-46E7-A580-E48BFC6C04A5}</author>
    <author>tc={B51A34A0-D662-4154-98C1-70F6E71A6838}</author>
    <author>tc={F7ED4AE3-EE2D-4322-A83C-8EC24B3CCD7E}</author>
    <author>tc={62F28502-C264-4DC8-803E-45DF73F281E6}</author>
    <author>tc={59716150-9AC7-494B-8D50-D99FA4CC6E59}</author>
    <author>tc={45FDF59E-822A-4375-9578-5F1987F77971}</author>
    <author>tc={128EE70A-36CF-417F-84C3-909AEA9BD8F1}</author>
    <author>tc={DC95024B-1A7B-433B-8C30-A285987B89DB}</author>
  </authors>
  <commentList>
    <comment ref="B1" authorId="0" shapeId="0" xr:uid="{3B09A157-46E0-475C-B95F-DE9B90D7B6AA}">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87171207-FB8C-4B7F-9239-17F72E623AF1}">
      <text>
        <r>
          <rPr>
            <b/>
            <sz val="9"/>
            <color indexed="81"/>
            <rFont val="Tahoma"/>
            <family val="2"/>
          </rPr>
          <t>Jonathan Wilken:</t>
        </r>
        <r>
          <rPr>
            <sz val="9"/>
            <color indexed="81"/>
            <rFont val="Tahoma"/>
            <family val="2"/>
          </rPr>
          <t xml:space="preserve">
Reading from apograph (i.e., younger copy)</t>
        </r>
      </text>
    </comment>
    <comment ref="D1" authorId="0" shapeId="0" xr:uid="{4B099111-A6BB-426E-B660-6473B0AA1B3A}">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F135663E-FBBA-4283-8D3C-6FBC2AF660D9}">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56E7C8EC-40C6-4C43-8527-706389444329}">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28DAC237-F52F-42BB-9C6F-4D47E49A8A0D}">
      <text>
        <r>
          <rPr>
            <b/>
            <sz val="9"/>
            <color indexed="81"/>
            <rFont val="Tahoma"/>
            <family val="2"/>
          </rPr>
          <t>Jonathan Wilken:</t>
        </r>
        <r>
          <rPr>
            <sz val="9"/>
            <color indexed="81"/>
            <rFont val="Tahoma"/>
            <family val="2"/>
          </rPr>
          <t xml:space="preserve">
Add, omit, transposition, substitution, combo</t>
        </r>
      </text>
    </comment>
    <comment ref="H1" authorId="0" shapeId="0" xr:uid="{4851CD40-E44D-4C89-B9D0-275F3432D2E8}">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508F1C26-E4E6-4F89-AC11-C4786CE5F80A}">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7B0958C0-23ED-4B0F-AD37-DF7642EC8DB0}">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16A17BDB-818C-4C4A-B992-B3A2DE99C2AE}">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C81C1CA4-079E-441C-8505-9C7EC61E1F29}">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EBD47E8F-044E-41EE-AA95-E979A16B361A}">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63476B90-1F14-4994-8B55-399A63EFC646}">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297462A4-8BD6-4CED-BEED-C2B83C5A7CB9}">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3299D1BF-82A2-438D-9614-D700ED8003D7}">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C7A238F4-6555-42D5-A07D-9E5F5E236FFE}">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7C72F0DF-00EA-4DF6-8C28-CB6ECD8AAC59}">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C3DC2A29-D3E9-41C8-9BCE-4716589D38A4}">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A0C5AEA4-E287-4121-90D6-E5CD5A94C523}">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FE138FC8-4B2E-4951-B149-54BE29220F2E}">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7364E8C0-121B-494E-8034-0360727F8A83}">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84539F04-5956-48AE-863B-76F600612D57}">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750156C7-0E56-4BE7-B49B-B2910D2434B8}">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D433D01A-C4C3-4697-BAC4-0C5B3CA77F85}">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7BE18449-F29C-4FFD-BD1E-592201529522}">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70CDA58A-9C9F-4F06-9410-B26322B5ACF4}">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F46" authorId="4" shapeId="0" xr:uid="{7DF388AD-7D6A-4FD0-B12A-86457E3A9AC7}">
      <text>
        <t>[Threaded comment]
Your version of Excel allows you to read this threaded comment; however, any edits to it will get removed if the file is opened in a newer version of Excel. Learn more: https://go.microsoft.com/fwlink/?linkid=870924
Comment:
    Raw number of additions</t>
      </text>
    </comment>
    <comment ref="B47" authorId="5" shapeId="0" xr:uid="{67763217-6F84-40A9-B4B6-7C5CDABD5081}">
      <text>
        <t>[Threaded comment]
Your version of Excel allows you to read this threaded comment; however, any edits to it will get removed if the file is opened in a newer version of Excel. Learn more: https://go.microsoft.com/fwlink/?linkid=870924
Comment:
    "Low Meaning" words</t>
      </text>
    </comment>
    <comment ref="C47" authorId="6" shapeId="0" xr:uid="{F2679EB7-5DEA-4116-B248-298274655C2A}">
      <text>
        <t>[Threaded comment]
Your version of Excel allows you to read this threaded comment; however, any edits to it will get removed if the file is opened in a newer version of Excel. Learn more: https://go.microsoft.com/fwlink/?linkid=870924
Comment:
    "High Meaning" words</t>
      </text>
    </comment>
    <comment ref="F47" authorId="7" shapeId="0" xr:uid="{459CD7D7-6F54-4B4D-9BDA-CC398D131284}">
      <text>
        <t>[Threaded comment]
Your version of Excel allows you to read this threaded comment; however, any edits to it will get removed if the file is opened in a newer version of Excel. Learn more: https://go.microsoft.com/fwlink/?linkid=870924
Comment:
    Raw number of omissions</t>
      </text>
    </comment>
    <comment ref="F48" authorId="8" shapeId="0" xr:uid="{52258C89-60E5-423C-9EBC-0DF834B2E467}">
      <text>
        <t>[Threaded comment]
Your version of Excel allows you to read this threaded comment; however, any edits to it will get removed if the file is opened in a newer version of Excel. Learn more: https://go.microsoft.com/fwlink/?linkid=870924
Comment:
    % of add-omits that are additions</t>
      </text>
    </comment>
    <comment ref="F51" authorId="9" shapeId="0" xr:uid="{4A3E83C3-73C0-4475-A34E-3E28023A5C11}">
      <text>
        <t>[Threaded comment]
Your version of Excel allows you to read this threaded comment; however, any edits to it will get removed if the file is opened in a newer version of Excel. Learn more: https://go.microsoft.com/fwlink/?linkid=870924
Comment:
    Raw number of additions of "low meaning" words. See LM column for included word types (and adjust equation as necessary)</t>
      </text>
    </comment>
    <comment ref="F52" authorId="10" shapeId="0" xr:uid="{1BAF8408-7936-4613-8B4D-F9C84F1A485B}">
      <text>
        <t>[Threaded comment]
Your version of Excel allows you to read this threaded comment; however, any edits to it will get removed if the file is opened in a newer version of Excel. Learn more: https://go.microsoft.com/fwlink/?linkid=870924
Comment:
    Raw number of omissions of "low meaning" words. See LM column for included word types (and adjust equation as necessary)</t>
      </text>
    </comment>
    <comment ref="F53" authorId="11" shapeId="0" xr:uid="{F7BD53D5-4C2E-4307-84C0-DB07D3873B64}">
      <text>
        <t>[Threaded comment]
Your version of Excel allows you to read this threaded comment; however, any edits to it will get removed if the file is opened in a newer version of Excel. Learn more: https://go.microsoft.com/fwlink/?linkid=870924
Comment:
    Addition rate for "low meaning" words. See LM column for included word types (and adjust equation as necessary)</t>
      </text>
    </comment>
    <comment ref="F56" authorId="12" shapeId="0" xr:uid="{83C4D338-B58C-4A73-9843-756D972F2AB2}">
      <text>
        <t>[Threaded comment]
Your version of Excel allows you to read this threaded comment; however, any edits to it will get removed if the file is opened in a newer version of Excel. Learn more: https://go.microsoft.com/fwlink/?linkid=870924
Comment:
    Raw number of additions of "high meaning" words. See HM column for included word types (and adjust equation as necessary)</t>
      </text>
    </comment>
    <comment ref="F57" authorId="13" shapeId="0" xr:uid="{F6F00964-D42A-45E2-9842-D62D1170DE9A}">
      <text>
        <t>[Threaded comment]
Your version of Excel allows you to read this threaded comment; however, any edits to it will get removed if the file is opened in a newer version of Excel. Learn more: https://go.microsoft.com/fwlink/?linkid=870924
Comment:
    Raw number of omissions of "high meaning" words. See HM column for included word types (and adjust equation as necessary)</t>
      </text>
    </comment>
    <comment ref="F58" authorId="14" shapeId="0" xr:uid="{8A11F87A-C45F-4741-86D6-850B50DCEE04}">
      <text>
        <t>[Threaded comment]
Your version of Excel allows you to read this threaded comment; however, any edits to it will get removed if the file is opened in a newer version of Excel. Learn more: https://go.microsoft.com/fwlink/?linkid=870924
Comment:
    Addition rate for "high meaning" words. See HM column for included word types (and adjust equation as necessary)</t>
      </text>
    </comment>
    <comment ref="D64" authorId="15" shapeId="0" xr:uid="{50003FFC-79BA-4419-9309-B5A96CCA0EA0}">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64" authorId="16" shapeId="0" xr:uid="{04C4F110-5A33-4220-8377-B02E934B35F4}">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F64" authorId="17" shapeId="0" xr:uid="{B76551D4-DB92-43F9-B2E2-B6A2EB9BDB23}">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additions. I.e., a percent frequency indicating how often an addition generates visual cues</t>
      </text>
    </comment>
    <comment ref="D65" authorId="18" shapeId="0" xr:uid="{2D357EEB-E8F3-40AB-95F7-9D1305680014}">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E65" authorId="19" shapeId="0" xr:uid="{D3164E85-4A9A-47E0-95F6-CD8DCCEF75A5}">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F65" authorId="20" shapeId="0" xr:uid="{C69F0086-E698-4985-9E60-04C9A171BE7C}">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omissions. I.e., the percentage of omissions that could plausibly be due to visual cues</t>
      </text>
    </comment>
    <comment ref="D66" authorId="21" shapeId="0" xr:uid="{9810D138-89B2-492C-AB39-1BAC8E7CD8C4}">
      <text>
        <t>[Threaded comment]
Your version of Excel allows you to read this threaded comment; however, any edits to it will get removed if the file is opened in a newer version of Excel. Learn more: https://go.microsoft.com/fwlink/?linkid=870924
Comment:
    The total number of add-omits that involve visual cues</t>
      </text>
    </comment>
    <comment ref="E66" authorId="22" shapeId="0" xr:uid="{9CE5A9E7-A10D-4A88-9C28-B6CE673BBF77}">
      <text>
        <t>[Threaded comment]
Your version of Excel allows you to read this threaded comment; however, any edits to it will get removed if the file is opened in a newer version of Excel. Learn more: https://go.microsoft.com/fwlink/?linkid=870924
Comment:
    The total number of add-omits that involve NO visual cues (given the definition of this project, i.e., 3-character minimum similarity in critical regions)</t>
      </text>
    </comment>
    <comment ref="F66" authorId="23" shapeId="0" xr:uid="{432184A7-8B60-4F3A-9ECB-23975EAA332E}">
      <text>
        <t>[Threaded comment]
Your version of Excel allows you to read this threaded comment; however, any edits to it will get removed if the file is opened in a newer version of Excel. Learn more: https://go.microsoft.com/fwlink/?linkid=870924
Comment:
    The percentage of all add-omits that involve visual cues</t>
      </text>
    </comment>
    <comment ref="D70" authorId="24" shapeId="0" xr:uid="{7E2D32E7-5600-4996-873E-20CE5B66179E}">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E70" authorId="25" shapeId="0" xr:uid="{C1D27EA9-E44C-46FC-BBC7-52D7431F832E}">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D71" authorId="26" shapeId="0" xr:uid="{D24040B0-D3F3-4424-8114-00998F87170D}">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71" authorId="27" shapeId="0" xr:uid="{8F21D48E-87F2-44DE-8646-9DB096C9C716}">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D76" authorId="28" shapeId="0" xr:uid="{B39FD29C-2572-42D3-9DF2-A1DB2AE3BB52}">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additions. I.e., the number of additions that do not result in dittography</t>
      </text>
    </comment>
    <comment ref="E76" authorId="29" shapeId="0" xr:uid="{A77A4C98-C2AB-4F51-B3C6-B0578D673CC5}">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omissions. I.e., the number of omissions that did not undo a dittographic reading</t>
      </text>
    </comment>
    <comment ref="D77" authorId="30" shapeId="0" xr:uid="{7F2DC0B2-AAD3-41DA-9BBF-5DA6BFE0BEDE}">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additions. I.e., the number of additions that result in dittography</t>
      </text>
    </comment>
    <comment ref="E77" authorId="31" shapeId="0" xr:uid="{6EA326B3-601C-4132-A7A6-29A1F37CF10D}">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omissions. I.e., the number omissions where the omitted word(s) is/are dittographies</t>
      </text>
    </comment>
    <comment ref="D82" authorId="32" shapeId="0" xr:uid="{02E40950-F296-4218-9AF8-5BF663CCF730}">
      <text>
        <t>[Threaded comment]
Your version of Excel allows you to read this threaded comment; however, any edits to it will get removed if the file is opened in a newer version of Excel. Learn more: https://go.microsoft.com/fwlink/?linkid=870924
Comment:
    Additions of one word</t>
      </text>
    </comment>
    <comment ref="E82" authorId="33" shapeId="0" xr:uid="{31927EA5-37C1-40DA-B305-987256B0B274}">
      <text>
        <t>[Threaded comment]
Your version of Excel allows you to read this threaded comment; however, any edits to it will get removed if the file is opened in a newer version of Excel. Learn more: https://go.microsoft.com/fwlink/?linkid=870924
Comment:
    Omissions of one word</t>
      </text>
    </comment>
    <comment ref="F82" authorId="34" shapeId="0" xr:uid="{8D69A18E-68C8-42C8-9CC5-A661BA28FD8F}">
      <text>
        <t>[Threaded comment]
Your version of Excel allows you to read this threaded comment; however, any edits to it will get removed if the file is opened in a newer version of Excel. Learn more: https://go.microsoft.com/fwlink/?linkid=870924
Comment:
    Add ratio for single-word variants</t>
      </text>
    </comment>
    <comment ref="D83" authorId="35" shapeId="0" xr:uid="{38A842C6-6AFF-457F-99A9-D56B6ED76F94}">
      <text>
        <t>[Threaded comment]
Your version of Excel allows you to read this threaded comment; however, any edits to it will get removed if the file is opened in a newer version of Excel. Learn more: https://go.microsoft.com/fwlink/?linkid=870924
Comment:
    Additions of 2-3 words</t>
      </text>
    </comment>
    <comment ref="E83" authorId="36" shapeId="0" xr:uid="{DCA1E499-4113-47A6-B956-D8CFFEBF0E34}">
      <text>
        <t>[Threaded comment]
Your version of Excel allows you to read this threaded comment; however, any edits to it will get removed if the file is opened in a newer version of Excel. Learn more: https://go.microsoft.com/fwlink/?linkid=870924
Comment:
    Omissions of 2-3 words</t>
      </text>
    </comment>
    <comment ref="F83" authorId="37" shapeId="0" xr:uid="{1A7A13DC-55AE-4202-871B-391E047420C2}">
      <text>
        <t>[Threaded comment]
Your version of Excel allows you to read this threaded comment; however, any edits to it will get removed if the file is opened in a newer version of Excel. Learn more: https://go.microsoft.com/fwlink/?linkid=870924
Comment:
    Add ratio for variants of 2-3 words</t>
      </text>
    </comment>
    <comment ref="D84" authorId="38" shapeId="0" xr:uid="{3633FF61-3D8E-46E7-A580-E48BFC6C04A5}">
      <text>
        <t>[Threaded comment]
Your version of Excel allows you to read this threaded comment; however, any edits to it will get removed if the file is opened in a newer version of Excel. Learn more: https://go.microsoft.com/fwlink/?linkid=870924
Comment:
    Additions of 4 or more words</t>
      </text>
    </comment>
    <comment ref="E84" authorId="39" shapeId="0" xr:uid="{B51A34A0-D662-4154-98C1-70F6E71A6838}">
      <text>
        <t>[Threaded comment]
Your version of Excel allows you to read this threaded comment; however, any edits to it will get removed if the file is opened in a newer version of Excel. Learn more: https://go.microsoft.com/fwlink/?linkid=870924
Comment:
    Omissions of 4 or more words</t>
      </text>
    </comment>
    <comment ref="F84" authorId="40" shapeId="0" xr:uid="{F7ED4AE3-EE2D-4322-A83C-8EC24B3CCD7E}">
      <text>
        <t>[Threaded comment]
Your version of Excel allows you to read this threaded comment; however, any edits to it will get removed if the file is opened in a newer version of Excel. Learn more: https://go.microsoft.com/fwlink/?linkid=870924
Comment:
    Add ratio for variants of 4 or more words</t>
      </text>
    </comment>
    <comment ref="C87" authorId="41" shapeId="0" xr:uid="{62F28502-C264-4DC8-803E-45DF73F281E6}">
      <text>
        <t>[Threaded comment]
Your version of Excel allows you to read this threaded comment; however, any edits to it will get removed if the file is opened in a newer version of Excel. Learn more: https://go.microsoft.com/fwlink/?linkid=870924
Comment:
    Number of words added or omitted</t>
      </text>
    </comment>
    <comment ref="D87" authorId="42" shapeId="0" xr:uid="{59716150-9AC7-494B-8D50-D99FA4CC6E59}">
      <text>
        <t>[Threaded comment]
Your version of Excel allows you to read this threaded comment; however, any edits to it will get removed if the file is opened in a newer version of Excel. Learn more: https://go.microsoft.com/fwlink/?linkid=870924
Comment:
    Number of additions involving the number of words specified in the "Length" column</t>
      </text>
    </comment>
    <comment ref="E87" authorId="43" shapeId="0" xr:uid="{45FDF59E-822A-4375-9578-5F1987F77971}">
      <text>
        <t>[Threaded comment]
Your version of Excel allows you to read this threaded comment; however, any edits to it will get removed if the file is opened in a newer version of Excel. Learn more: https://go.microsoft.com/fwlink/?linkid=870924
Comment:
    Number of omissions involving the number of words specified in the "Length" column</t>
      </text>
    </comment>
    <comment ref="F87" authorId="44" shapeId="0" xr:uid="{128EE70A-36CF-417F-84C3-909AEA9BD8F1}">
      <text>
        <t>[Threaded comment]
Your version of Excel allows you to read this threaded comment; however, any edits to it will get removed if the file is opened in a newer version of Excel. Learn more: https://go.microsoft.com/fwlink/?linkid=870924
Comment:
    The addition rate for add-omits involving the number of words indicated in the "Length" column</t>
      </text>
    </comment>
    <comment ref="E95" authorId="45" shapeId="0" xr:uid="{DC95024B-1A7B-433B-8C30-A285987B89DB}">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Jonathan Wilken</author>
    <author>tc={40985946-8AAA-44F1-B106-51F71C93B5C9}</author>
    <author>tc={0D90EDC3-36A5-4667-B0CC-EB38EAB7332D}</author>
    <author>tc={A94C5A18-B195-4F1B-90D4-C7CD18962E32}</author>
    <author>tc={41076321-9D03-4D10-9681-5146619F95B0}</author>
    <author>tc={C0906B58-2C42-436F-92C8-D387F3CC33D1}</author>
    <author>tc={31271ADB-AB77-4A15-8377-1610425DA144}</author>
    <author>tc={88C06FF4-45EA-47C3-B5E6-61679BD9CF68}</author>
    <author>tc={56988C74-498F-4D23-A95B-520D1176FC3B}</author>
    <author>tc={39374EE6-8853-40BD-A89D-AB6E4AB9A28D}</author>
    <author>tc={0C91193C-9282-4EBD-B73A-97349316B8F5}</author>
    <author>tc={CE82762C-1067-496C-8452-6F9B74BD5635}</author>
    <author>tc={2D35D08D-AF80-49C9-8529-1BF08AE176BB}</author>
    <author>tc={98D0053C-03FD-4511-B88B-3E5357642C60}</author>
    <author>tc={C90383C7-1E54-4B18-963C-F0CC13E360BF}</author>
  </authors>
  <commentList>
    <comment ref="B1" authorId="0" shapeId="0" xr:uid="{085021A4-0807-4CA2-A7F3-5F885B779154}">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92E16C5F-EE58-4ACD-93BE-BDBAA4EB6428}">
      <text>
        <r>
          <rPr>
            <b/>
            <sz val="9"/>
            <color indexed="81"/>
            <rFont val="Tahoma"/>
            <family val="2"/>
          </rPr>
          <t>Jonathan Wilken:</t>
        </r>
        <r>
          <rPr>
            <sz val="9"/>
            <color indexed="81"/>
            <rFont val="Tahoma"/>
            <family val="2"/>
          </rPr>
          <t xml:space="preserve">
Reading from apograph (i.e., younger copy)</t>
        </r>
      </text>
    </comment>
    <comment ref="D1" authorId="0" shapeId="0" xr:uid="{ED4F86A6-4244-4C6C-96EF-97638326E030}">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F75647EF-43A6-46C3-82F6-D7ADE32FEFDF}">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D0E840CB-341C-4CC1-8172-4F88645E07F0}">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7D59E7C7-0F9D-4CD2-B3A3-99C93E0EB818}">
      <text>
        <r>
          <rPr>
            <b/>
            <sz val="9"/>
            <color indexed="81"/>
            <rFont val="Tahoma"/>
            <family val="2"/>
          </rPr>
          <t>Jonathan Wilken:</t>
        </r>
        <r>
          <rPr>
            <sz val="9"/>
            <color indexed="81"/>
            <rFont val="Tahoma"/>
            <family val="2"/>
          </rPr>
          <t xml:space="preserve">
Add, omit, transposition, substitution, combo</t>
        </r>
      </text>
    </comment>
    <comment ref="H1" authorId="0" shapeId="0" xr:uid="{E3E14C5D-2069-463D-8F5C-12175625FC50}">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00CF355B-630A-4246-8D48-109323A92D12}">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F2F56C67-7F45-47FD-AC3A-6EE39C6E14DD}">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4DEF6C45-FF6F-4DE2-AA9A-79ADFB47CF04}">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72A3C1A9-8514-4351-BF5E-ED7742EDEA6E}">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D2270C5C-2F33-43E3-821B-58BAD8D739F3}">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078A17AA-8A44-41FC-9DA1-C9D213F79022}">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93D9A4A9-2455-434E-9FBC-277031C32877}">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7E2AE520-939D-4AFB-BA0A-40F486C83B61}">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40985946-8AAA-44F1-B106-51F71C93B5C9}">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CC117A24-C587-446B-A036-5FC7858C8055}">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0D90EDC3-36A5-4667-B0CC-EB38EAB7332D}">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A94C5A18-B195-4F1B-90D4-C7CD18962E32}">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E51A3BEF-50C0-4173-BF4F-DD523381B983}">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EF645316-72D4-4645-9915-36A66BAB3BA7}">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BF57ED78-A400-4EBD-8F70-B38F9E2471A9}">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345E99CE-C145-4AE5-AE65-ECCE95EED226}">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AB8EDC7A-1310-488B-8EF2-8FB199D1F5FF}">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C317307A-262E-4AF9-B607-962087A9E8B3}">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EB8F372B-F0F6-465C-B1BC-9F3B6AD49845}">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40" authorId="4" shapeId="0" xr:uid="{41076321-9D03-4D10-9681-5146619F95B0}">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41" authorId="5" shapeId="0" xr:uid="{C0906B58-2C42-436F-92C8-D387F3CC33D1}">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44" authorId="6" shapeId="0" xr:uid="{31271ADB-AB77-4A15-8377-1610425DA144}">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45" authorId="7" shapeId="0" xr:uid="{88C06FF4-45EA-47C3-B5E6-61679BD9CF68}">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46" authorId="8" shapeId="0" xr:uid="{56988C74-498F-4D23-A95B-520D1176FC3B}">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47" authorId="9" shapeId="0" xr:uid="{39374EE6-8853-40BD-A89D-AB6E4AB9A28D}">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48" authorId="10" shapeId="0" xr:uid="{0C91193C-9282-4EBD-B73A-97349316B8F5}">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49" authorId="11" shapeId="0" xr:uid="{CE82762C-1067-496C-8452-6F9B74BD5635}">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52" authorId="12" shapeId="0" xr:uid="{2D35D08D-AF80-49C9-8529-1BF08AE176BB}">
      <text>
        <t>[Threaded comment]
Your version of Excel allows you to read this threaded comment; however, any edits to it will get removed if the file is opened in a newer version of Excel. Learn more: https://go.microsoft.com/fwlink/?linkid=870924
Comment:
    Articular additions: the number of additions of an article</t>
      </text>
    </comment>
    <comment ref="D53" authorId="13" shapeId="0" xr:uid="{98D0053C-03FD-4511-B88B-3E5357642C60}">
      <text>
        <t>[Threaded comment]
Your version of Excel allows you to read this threaded comment; however, any edits to it will get removed if the file is opened in a newer version of Excel. Learn more: https://go.microsoft.com/fwlink/?linkid=870924
Comment:
    Articular omissions: the number of omissions of an article</t>
      </text>
    </comment>
    <comment ref="D54" authorId="14" shapeId="0" xr:uid="{C90383C7-1E54-4B18-963C-F0CC13E360BF}">
      <text>
        <t>[Threaded comment]
Your version of Excel allows you to read this threaded comment; however, any edits to it will get removed if the file is opened in a newer version of Excel. Learn more: https://go.microsoft.com/fwlink/?linkid=870924
Comment:
    Articular add ratio: the add ratio for the definite article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Jonathan Wilken</author>
    <author>tc={E6D50A38-542C-44BA-A219-0EF71D61EC55}</author>
    <author>tc={E0FB622C-68DA-412D-B5A9-B66346EBB9B5}</author>
    <author>tc={3A50490D-6FAA-4499-B122-046D61CD0A39}</author>
    <author>tc={845C4C18-E06C-4C9D-B19B-97D5F913C3A2}</author>
    <author>tc={9A1FABF7-C10C-4AB0-B46A-E7534CFC49D0}</author>
    <author>tc={73E51AB7-C409-44D7-94DC-668E90D103C2}</author>
    <author>tc={9BD4B099-63ED-4395-983C-DF1FA6127B65}</author>
    <author>tc={B0AEF4CA-81E3-4CC4-A10C-87E56A0A8583}</author>
    <author>tc={EAA39BE9-B8EF-42AB-9D1D-024416597F6B}</author>
    <author>tc={C92BC8E2-04F0-4B95-82A1-882BF359440F}</author>
    <author>tc={67F2CFBF-F53B-4A04-9415-D1F5B6BAB187}</author>
    <author>tc={C14B06A9-D1F6-4DD7-A504-94177752CBD7}</author>
  </authors>
  <commentList>
    <comment ref="B1" authorId="0" shapeId="0" xr:uid="{B946580F-4C92-43C9-9089-1BF61CC5D9BE}">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EB8307B6-9D2E-40DC-BAFB-921991378424}">
      <text>
        <r>
          <rPr>
            <b/>
            <sz val="9"/>
            <color indexed="81"/>
            <rFont val="Tahoma"/>
            <family val="2"/>
          </rPr>
          <t>Jonathan Wilken:</t>
        </r>
        <r>
          <rPr>
            <sz val="9"/>
            <color indexed="81"/>
            <rFont val="Tahoma"/>
            <family val="2"/>
          </rPr>
          <t xml:space="preserve">
Reading from apograph (i.e., younger copy)</t>
        </r>
      </text>
    </comment>
    <comment ref="D1" authorId="0" shapeId="0" xr:uid="{AA27062F-8E4E-4515-97C5-C3F5D39A9FCA}">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147CE89C-C405-4011-B6A3-87B59C440EB9}">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2730EE75-DBF8-49C2-87EA-AF7356969F76}">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9024BC26-B0EE-45AD-801A-4367444C6579}">
      <text>
        <r>
          <rPr>
            <b/>
            <sz val="9"/>
            <color indexed="81"/>
            <rFont val="Tahoma"/>
            <family val="2"/>
          </rPr>
          <t>Jonathan Wilken:</t>
        </r>
        <r>
          <rPr>
            <sz val="9"/>
            <color indexed="81"/>
            <rFont val="Tahoma"/>
            <family val="2"/>
          </rPr>
          <t xml:space="preserve">
Add, omit, transposition, substitution, combo</t>
        </r>
      </text>
    </comment>
    <comment ref="H1" authorId="0" shapeId="0" xr:uid="{D97ABA93-B44B-44DD-A657-B9409E4E8C3D}">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9882075A-0E6E-4BCA-8A28-B815CE662D4C}">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588E70F8-C218-40BE-8109-9EB3B5E85067}">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AFECBDEC-E925-481B-B08F-12D0CD8AB7D6}">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95817107-9D98-419D-A9FC-87A55057EDCA}">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6126A82A-DA11-47AC-BFD9-50AAF0A7E6F4}">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498A26CB-461A-4B07-BE11-DC9C26B09E88}">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813051BB-2202-4CFA-A42B-FA2220E9F542}">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FCE2C666-D8D6-4AF7-87F4-E46E53D0FCD8}">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E6D50A38-542C-44BA-A219-0EF71D61EC55}">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B022D363-50C8-4B58-852B-AEC8CFFDEEAD}">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E0FB622C-68DA-412D-B5A9-B66346EBB9B5}">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3A50490D-6FAA-4499-B122-046D61CD0A39}">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733739EB-EF56-4C20-86E9-B9AC2D637010}">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758AE580-0DDB-4738-B902-4E95521E7B86}">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B49D1AC2-D2B9-4B58-AFF2-245C3CC2E293}">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BB794092-F1B3-408C-ACF5-0EAB8677A7CB}">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85DDABA5-1896-46D0-B24A-65F5FA9D9472}">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300AEC32-1875-4650-B27F-4E6488A40AA2}">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3D51161F-246B-4C2D-B11D-160F01DEBCBA}">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8" authorId="4" shapeId="0" xr:uid="{845C4C18-E06C-4C9D-B19B-97D5F913C3A2}">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9" authorId="5" shapeId="0" xr:uid="{9A1FABF7-C10C-4AB0-B46A-E7534CFC49D0}">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12" authorId="6" shapeId="0" xr:uid="{73E51AB7-C409-44D7-94DC-668E90D103C2}">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13" authorId="7" shapeId="0" xr:uid="{9BD4B099-63ED-4395-983C-DF1FA6127B65}">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14" authorId="8" shapeId="0" xr:uid="{B0AEF4CA-81E3-4CC4-A10C-87E56A0A8583}">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15" authorId="9" shapeId="0" xr:uid="{EAA39BE9-B8EF-42AB-9D1D-024416597F6B}">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16" authorId="10" shapeId="0" xr:uid="{C92BC8E2-04F0-4B95-82A1-882BF359440F}">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17" authorId="11" shapeId="0" xr:uid="{67F2CFBF-F53B-4A04-9415-D1F5B6BAB187}">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18" authorId="12" shapeId="0" xr:uid="{C14B06A9-D1F6-4DD7-A504-94177752CBD7}">
      <text>
        <t>[Threaded comment]
Your version of Excel allows you to read this threaded comment; however, any edits to it will get removed if the file is opened in a newer version of Excel. Learn more: https://go.microsoft.com/fwlink/?linkid=870924
Comment:
    The difference in add ratio based on word frequency category. If scribes exhibit preference for the familiar, the HF add ratio should usually be higher than the LF add ratio (thus, the Add Ratio Difference should be positive)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Jonathan Wilken</author>
    <author>tc={5DEEB9F5-2367-4DFD-B6E2-DA0E02D66663}</author>
    <author>tc={23D568AF-4C88-4C47-9258-97710A5F5B2A}</author>
    <author>tc={9BB9E5C8-B75E-4052-AD5B-E1AD17B5C881}</author>
    <author>tc={B4DE25A9-0AFB-4D20-864E-65AEB1600F70}</author>
    <author>tc={B9436083-1C6D-455F-A7C5-7A374E8927C1}</author>
    <author>tc={DA5FD98A-29BA-4713-9484-36C7ED7F1294}</author>
    <author>tc={A17B52C0-BC2C-4C41-B690-1441E1DC23E2}</author>
    <author>tc={425FDAD5-7727-4F12-AE64-387F1EB11E43}</author>
    <author>tc={08F41B84-B474-4203-8F54-D41745875986}</author>
    <author>tc={90EFFFD6-735C-48E5-B2C6-3EC10C13CF7D}</author>
    <author>tc={96277455-95C8-4A6B-9C92-77518836092F}</author>
    <author>tc={1119B9CA-6727-4D82-967A-F0A3CA5AE3E2}</author>
    <author>tc={915388AA-0541-47E7-B9A7-EE023F17F7CF}</author>
    <author>tc={12782F10-AACC-4D39-830D-97753BB4816A}</author>
    <author>tc={4FEAA160-9845-4D51-AAD2-A6034B9E4BBD}</author>
  </authors>
  <commentList>
    <comment ref="B1" authorId="0" shapeId="0" xr:uid="{508EE0E7-84CE-412B-9069-4AC407786997}">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356BC4F0-E849-4451-AEED-EECD2730A043}">
      <text>
        <r>
          <rPr>
            <b/>
            <sz val="9"/>
            <color indexed="81"/>
            <rFont val="Tahoma"/>
            <family val="2"/>
          </rPr>
          <t>Jonathan Wilken:</t>
        </r>
        <r>
          <rPr>
            <sz val="9"/>
            <color indexed="81"/>
            <rFont val="Tahoma"/>
            <family val="2"/>
          </rPr>
          <t xml:space="preserve">
Reading from apograph (i.e., younger copy)</t>
        </r>
      </text>
    </comment>
    <comment ref="D1" authorId="0" shapeId="0" xr:uid="{D55EAE7D-B52B-473B-9EEE-5AF04BB46A2C}">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7A6120E4-2E04-4135-A386-621C728E8358}">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DEAC06BF-EF44-4B96-941E-A28A094D30B8}">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1F55D5FC-C3DA-474B-9837-25B67F9A7653}">
      <text>
        <r>
          <rPr>
            <b/>
            <sz val="9"/>
            <color indexed="81"/>
            <rFont val="Tahoma"/>
            <family val="2"/>
          </rPr>
          <t>Jonathan Wilken:</t>
        </r>
        <r>
          <rPr>
            <sz val="9"/>
            <color indexed="81"/>
            <rFont val="Tahoma"/>
            <family val="2"/>
          </rPr>
          <t xml:space="preserve">
Add, omit, transposition, substitution, combo</t>
        </r>
      </text>
    </comment>
    <comment ref="H1" authorId="0" shapeId="0" xr:uid="{77596759-E50F-4AF1-A847-51F6541F8493}">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947B18EA-CB4C-4CFB-BE9D-36D54E460FF8}">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89EE425F-E2D3-4CD1-BA80-9C2C77FFE731}">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EBA3CC93-C39F-4843-B2AB-B1B5E4A9E5CA}">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96962839-A2B7-460A-827F-316A732F9F99}">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B241D758-422C-4D4C-BDAF-4A2F1213D6F7}">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13659B58-25D8-4C7E-9AD7-F4348B190130}">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C6208BE4-7D2D-42C0-8172-813498AA5FBB}">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402BD807-FF9A-40BB-962E-EE1C72C10512}">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EFF73677-32E7-4A77-9AEA-1E1A83F6F783}">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5DEEB9F5-2367-4DFD-B6E2-DA0E02D66663}">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23D568AF-4C88-4C47-9258-97710A5F5B2A}">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T1" authorId="3" shapeId="0" xr:uid="{9BB9E5C8-B75E-4052-AD5B-E1AD17B5C881}">
      <text>
        <t>[Threaded comment]
Your version of Excel allows you to read this threaded comment; however, any edits to it will get removed if the file is opened in a newer version of Excel. Learn more: https://go.microsoft.com/fwlink/?linkid=870924
Comment:
    Frequency occurrence of autograph reading per 10,000 words of text</t>
      </text>
    </comment>
    <comment ref="U1" authorId="4" shapeId="0" xr:uid="{B4DE25A9-0AFB-4D20-864E-65AEB1600F70}">
      <text>
        <t>[Threaded comment]
Your version of Excel allows you to read this threaded comment; however, any edits to it will get removed if the file is opened in a newer version of Excel. Learn more: https://go.microsoft.com/fwlink/?linkid=870924
Comment:
    Frequency occurrence of apograph reading per 10,000 words of text</t>
      </text>
    </comment>
    <comment ref="V1" authorId="5" shapeId="0" xr:uid="{B9436083-1C6D-455F-A7C5-7A374E8927C1}">
      <text>
        <t>[Threaded comment]
Your version of Excel allows you to read this threaded comment; however, any edits to it will get removed if the file is opened in a newer version of Excel. Learn more: https://go.microsoft.com/fwlink/?linkid=870924
Comment:
    Difference in the P10K frequency of the autograph and apograph readings. Difference = apograph - autograph. Thus, positive values indicate the apograph reading was a more common/frequent word; negative values indicate the apograph reading was a less common/frequent word</t>
      </text>
    </comment>
    <comment ref="Y1" authorId="0" shapeId="0" xr:uid="{6A66281A-7785-47E6-8E51-9DA2C9F95680}">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Z1" authorId="0" shapeId="0" xr:uid="{BF6CD8BD-C3D2-44D4-B35F-769F19BACCAA}">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AA1" authorId="0" shapeId="0" xr:uid="{16BA038F-5910-4524-9CAF-A28F78F5209A}">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B1" authorId="0" shapeId="0" xr:uid="{2DB25C11-63B1-43F7-8CEC-3AADB165F175}">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D1" authorId="0" shapeId="0" xr:uid="{5940FF68-A064-4306-91A5-968939A3CAAA}">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E1" authorId="0" shapeId="0" xr:uid="{3F76C19C-FC15-4444-99B0-A2549068C3B2}">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F1" authorId="0" shapeId="0" xr:uid="{B68B8110-FCA4-4B50-A569-03601CE437F5}">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14" authorId="6" shapeId="0" xr:uid="{DA5FD98A-29BA-4713-9484-36C7ED7F1294}">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17" authorId="7" shapeId="0" xr:uid="{A17B52C0-BC2C-4C41-B690-1441E1DC23E2}">
      <text>
        <t>[Threaded comment]
Your version of Excel allows you to read this threaded comment; however, any edits to it will get removed if the file is opened in a newer version of Excel. Learn more: https://go.microsoft.com/fwlink/?linkid=870924
Comment:
    Number of variants where the scribe used a more common/frequent word in place of a less common/frequent word</t>
      </text>
    </comment>
    <comment ref="D18" authorId="8" shapeId="0" xr:uid="{425FDAD5-7727-4F12-AE64-387F1EB11E43}">
      <text>
        <t>[Threaded comment]
Your version of Excel allows you to read this threaded comment; however, any edits to it will get removed if the file is opened in a newer version of Excel. Learn more: https://go.microsoft.com/fwlink/?linkid=870924
Comment:
    Number of variants where the scribe used a less common/frequent word in place of a more  common/frequent word</t>
      </text>
    </comment>
    <comment ref="D19" authorId="9" shapeId="0" xr:uid="{08F41B84-B474-4203-8F54-D41745875986}">
      <text>
        <t>[Threaded comment]
Your version of Excel allows you to read this threaded comment; however, any edits to it will get removed if the file is opened in a newer version of Excel. Learn more: https://go.microsoft.com/fwlink/?linkid=870924
Comment:
    Probability based on 2-tailed sign test: probability of obtaining a result as extreme as or more extreme than that shown above</t>
      </text>
    </comment>
    <comment ref="D21" authorId="10" shapeId="0" xr:uid="{90EFFFD6-735C-48E5-B2C6-3EC10C13CF7D}">
      <text>
        <t>[Threaded comment]
Your version of Excel allows you to read this threaded comment; however, any edits to it will get removed if the file is opened in a newer version of Excel. Learn more: https://go.microsoft.com/fwlink/?linkid=870924
Comment:
    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
      </text>
    </comment>
    <comment ref="D22" authorId="11" shapeId="0" xr:uid="{96277455-95C8-4A6B-9C92-77518836092F}">
      <text>
        <t>[Threaded comment]
Your version of Excel allows you to read this threaded comment; however, any edits to it will get removed if the file is opened in a newer version of Excel. Learn more: https://go.microsoft.com/fwlink/?linkid=870924
Comment:
    Standard deviation of the word frequency difference for substitutions</t>
      </text>
    </comment>
    <comment ref="D25" authorId="12" shapeId="0" xr:uid="{1119B9CA-6727-4D82-967A-F0A3CA5AE3E2}">
      <text>
        <t>[Threaded comment]
Your version of Excel allows you to read this threaded comment; however, any edits to it will get removed if the file is opened in a newer version of Excel. Learn more: https://go.microsoft.com/fwlink/?linkid=870924
Comment:
    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
      </text>
    </comment>
    <comment ref="D26" authorId="13" shapeId="0" xr:uid="{915388AA-0541-47E7-B9A7-EE023F17F7CF}">
      <text>
        <t>[Threaded comment]
Your version of Excel allows you to read this threaded comment; however, any edits to it will get removed if the file is opened in a newer version of Excel. Learn more: https://go.microsoft.com/fwlink/?linkid=870924
Comment:
    Standard deviation of the change in word frequency, using the frequency measure of "occurrences per 10,000 words"</t>
      </text>
    </comment>
    <comment ref="D29" authorId="14" shapeId="0" xr:uid="{12782F10-AACC-4D39-830D-97753BB4816A}">
      <text>
        <t>[Threaded comment]
Your version of Excel allows you to read this threaded comment; however, any edits to it will get removed if the file is opened in a newer version of Excel. Learn more: https://go.microsoft.com/fwlink/?linkid=870924
Comment:
    Total number of substitutions for which a word frequency difference could be calculated</t>
      </text>
    </comment>
    <comment ref="D30" authorId="15" shapeId="0" xr:uid="{4FEAA160-9845-4D51-AAD2-A6034B9E4BBD}">
      <text>
        <t>[Threaded comment]
Your version of Excel allows you to read this threaded comment; however, any edits to it will get removed if the file is opened in a newer version of Excel. Learn more: https://go.microsoft.com/fwlink/?linkid=870924
Comment:
    The standard deviation of word frequency difference scores</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Jonathan Wilken</author>
    <author>tc={85AA4C45-32AC-4A1C-B038-4EB0B4C98768}</author>
    <author>tc={62770A04-36ED-4C62-A783-083CF8F464A3}</author>
    <author>tc={40BA1C46-D4FA-48E4-AC15-E2EEAF6EB295}</author>
    <author>tc={23BFB271-F88E-4353-BA05-D7370260B9D2}</author>
    <author>tc={0AD6D9F9-2F1D-44BE-A953-FBE9B8E07C12}</author>
  </authors>
  <commentList>
    <comment ref="B1" authorId="0" shapeId="0" xr:uid="{9B5C5FCE-24E5-4C07-87B2-DF43D673457F}">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709445C2-52B2-4E55-B676-806FE435CDDF}">
      <text>
        <r>
          <rPr>
            <b/>
            <sz val="9"/>
            <color indexed="81"/>
            <rFont val="Tahoma"/>
            <family val="2"/>
          </rPr>
          <t>Jonathan Wilken:</t>
        </r>
        <r>
          <rPr>
            <sz val="9"/>
            <color indexed="81"/>
            <rFont val="Tahoma"/>
            <family val="2"/>
          </rPr>
          <t xml:space="preserve">
Reading from apograph (i.e., younger copy)</t>
        </r>
      </text>
    </comment>
    <comment ref="D1" authorId="0" shapeId="0" xr:uid="{EAEE2891-3E38-48DD-86C1-6C700560D367}">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A370FBFF-8F0A-41DF-86CB-0D518FD68B17}">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7CF5181B-D36C-4E69-BD79-1B5E23D1D540}">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H1" authorId="0" shapeId="0" xr:uid="{82EC710E-8E37-4CE1-A2D2-AAD627651F85}">
      <text>
        <r>
          <rPr>
            <b/>
            <sz val="9"/>
            <color indexed="81"/>
            <rFont val="Tahoma"/>
            <family val="2"/>
          </rPr>
          <t>Jonathan Wilken:</t>
        </r>
        <r>
          <rPr>
            <sz val="9"/>
            <color indexed="81"/>
            <rFont val="Tahoma"/>
            <family val="2"/>
          </rPr>
          <t xml:space="preserve">
Add, omit, transposition, substitution, combo</t>
        </r>
      </text>
    </comment>
    <comment ref="I1" authorId="0" shapeId="0" xr:uid="{5D8D224F-35F5-43E1-B501-AD3A2F10A95F}">
      <text>
        <r>
          <rPr>
            <b/>
            <sz val="9"/>
            <color indexed="81"/>
            <rFont val="Tahoma"/>
            <family val="2"/>
          </rPr>
          <t>Jonathan Wilken:</t>
        </r>
        <r>
          <rPr>
            <sz val="9"/>
            <color indexed="81"/>
            <rFont val="Tahoma"/>
            <family val="2"/>
          </rPr>
          <t xml:space="preserve">
For add/omits. Should only be used if complete phrases &gt;= 1. Set to 0 for &lt; 1.
</t>
        </r>
      </text>
    </comment>
    <comment ref="J1" authorId="0" shapeId="0" xr:uid="{FB722A27-5FA3-4956-9D11-D01A193646EA}">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K1" authorId="0" shapeId="0" xr:uid="{3AF15E60-2BF5-4D0F-9383-E5647211CC7D}">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L1" authorId="0" shapeId="0" xr:uid="{FAF12C82-619C-4EBC-80C4-30D87E0A7ADF}">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M1" authorId="0" shapeId="0" xr:uid="{061B9E25-760D-46C3-BC7F-21BAB60EE2E3}">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N1" authorId="0" shapeId="0" xr:uid="{1A9BEAD9-8F37-4955-A7F3-B14421D4B3DD}">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O1" authorId="0" shapeId="0" xr:uid="{DF73768A-72A1-430C-9175-DECD53E26CDF}">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P1" authorId="0" shapeId="0" xr:uid="{45996016-3003-4EFC-A263-8CE7482EBB49}">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Q1" authorId="0" shapeId="0" xr:uid="{5B02C82C-CE2F-4A64-B59E-B86206A534C4}">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R1" authorId="0" shapeId="0" xr:uid="{5BA7CBB9-0405-4D71-BDE8-B5DDDB14A289}">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1" shapeId="0" xr:uid="{85AA4C45-32AC-4A1C-B038-4EB0B4C98768}">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2" shapeId="0" xr:uid="{62770A04-36ED-4C62-A783-083CF8F464A3}">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A2550B7D-ADA8-43ED-A3E5-60D829F249D1}">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6ADCD08D-845B-47F3-B298-29BEB8B2D3FB}">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4B655A68-77C2-4560-9EAF-47782555D6D2}">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769FF9A5-4288-469C-A839-434E67C88244}">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7EA34E82-A41B-4B07-8303-E1DE378F26D3}">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EDBE7777-3BA0-4C5B-BC77-4438DCFA980A}">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07BD5970-A660-4292-AB06-66E2FA46AF26}">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5" authorId="3" shapeId="0" xr:uid="{40BA1C46-D4FA-48E4-AC15-E2EEAF6EB295}">
      <text>
        <t>[Threaded comment]
Your version of Excel allows you to read this threaded comment; however, any edits to it will get removed if the file is opened in a newer version of Excel. Learn more: https://go.microsoft.com/fwlink/?linkid=870924
Comment:
    The number of variants that harmonized to parallel phrases in the near context</t>
      </text>
    </comment>
    <comment ref="D6" authorId="4" shapeId="0" xr:uid="{23BFB271-F88E-4353-BA05-D7370260B9D2}">
      <text>
        <t>[Threaded comment]
Your version of Excel allows you to read this threaded comment; however, any edits to it will get removed if the file is opened in a newer version of Excel. Learn more: https://go.microsoft.com/fwlink/?linkid=870924
Comment:
    The number of variants that disharmonized from  parallel phrases in the near context</t>
      </text>
    </comment>
    <comment ref="D7" authorId="5" shapeId="0" xr:uid="{0AD6D9F9-2F1D-44BE-A953-FBE9B8E07C12}">
      <text>
        <t>[Threaded comment]
Your version of Excel allows you to read this threaded comment; however, any edits to it will get removed if the file is opened in a newer version of Excel. Learn more: https://go.microsoft.com/fwlink/?linkid=870924
Comment:
    The ratio of harmonizations to disharmonizations; = harmonizations / (harmonizations + disharmonizations)</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Jonathan Wilken</author>
    <author>tc={9C3AC299-3484-4B71-BB78-75E4FEF34C58}</author>
    <author>tc={561B561B-6F62-4297-BCEF-CBABAB40B73C}</author>
  </authors>
  <commentList>
    <comment ref="B1" authorId="0" shapeId="0" xr:uid="{0234568D-3552-4975-8B4E-3031219DF5B3}">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B379EF54-A34D-43BF-8D40-6DB64ABA245B}">
      <text>
        <r>
          <rPr>
            <b/>
            <sz val="9"/>
            <color indexed="81"/>
            <rFont val="Tahoma"/>
            <family val="2"/>
          </rPr>
          <t>Jonathan Wilken:</t>
        </r>
        <r>
          <rPr>
            <sz val="9"/>
            <color indexed="81"/>
            <rFont val="Tahoma"/>
            <family val="2"/>
          </rPr>
          <t xml:space="preserve">
Reading from apograph (i.e., younger copy)</t>
        </r>
      </text>
    </comment>
    <comment ref="D1" authorId="0" shapeId="0" xr:uid="{13AEC809-1851-43F1-9787-6AD13C7F3724}">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E0B26064-ADA8-4A32-B000-C5F0C833637F}">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D5D9364E-EB64-4EF5-8A7E-3D7D840B95C4}">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0AFF299C-1887-4A9A-9C62-B640CA06D561}">
      <text>
        <r>
          <rPr>
            <b/>
            <sz val="9"/>
            <color indexed="81"/>
            <rFont val="Tahoma"/>
            <family val="2"/>
          </rPr>
          <t>Jonathan Wilken:</t>
        </r>
        <r>
          <rPr>
            <sz val="9"/>
            <color indexed="81"/>
            <rFont val="Tahoma"/>
            <family val="2"/>
          </rPr>
          <t xml:space="preserve">
Add, omit, transposition, substitution, combo</t>
        </r>
      </text>
    </comment>
    <comment ref="H1" authorId="0" shapeId="0" xr:uid="{AE91B08F-9610-4DDE-983B-B95541CA1AA9}">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EC81B872-333C-4BF5-9146-7F6F5635E71B}">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3C5636C9-B3F3-409D-BF05-7A118741E83F}">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AE2AB2B7-DFCA-4053-A66F-8A9AD6D8727B}">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CD35E472-DECD-4E59-9A2F-442FFBE8654F}">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4A1BD7B6-8372-433E-ABB3-1A3916D1EC52}">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BEC65C36-FB0E-4E9C-BC81-6965CEE01821}">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03C3A805-2737-4F38-84ED-CD96CAE62E9C}">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FE28558A-7225-42E7-A19A-447213C481E5}">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5296CA7E-7D5B-4449-9DF7-1069175B6C36}">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9C3AC299-3484-4B71-BB78-75E4FEF34C58}">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561B561B-6F62-4297-BCEF-CBABAB40B73C}">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V1" authorId="0" shapeId="0" xr:uid="{6A94949D-7F19-49C9-B6C7-EEB172C615CD}">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W1" authorId="0" shapeId="0" xr:uid="{8D8AF07A-4FB7-4969-92EE-89700276DD2D}">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X1" authorId="0" shapeId="0" xr:uid="{0600AEA9-32FD-4F93-A13F-E0AD29CB8FE0}">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Y1" authorId="0" shapeId="0" xr:uid="{6D551B01-E461-4B48-AB15-181A1FF343B0}">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A1" authorId="0" shapeId="0" xr:uid="{22274F46-D60A-43C5-A3BF-BFEAF8C90B73}">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B1" authorId="0" shapeId="0" xr:uid="{53A44BCD-3D9C-4593-86CF-939AEF6958A2}">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C1" authorId="0" shapeId="0" xr:uid="{9E8B7260-5099-4C7F-A1F8-ED939D21522B}">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Jonathan Wilken</author>
    <author>tc={B2A29070-278A-4D3F-8F5A-00B938027A95}</author>
    <author>tc={B0648072-91E8-4FE4-A89E-68720C38AA2E}</author>
    <author>tc={7F773ACE-231F-4BC4-8B24-0312CE6A9363}</author>
    <author>tc={23BBE514-BB88-4D01-9D78-2765C81E441E}</author>
    <author>tc={3C1966DF-3BA0-466E-A0CB-BD1D245BF9BD}</author>
    <author>tc={E31EC728-5B9C-4F5C-846D-E68114CFE8B8}</author>
    <author>tc={1C0DE799-BCD9-4F5D-9790-F546F5952941}</author>
    <author>tc={0184449C-E3B0-48DA-BE6D-CB0C0F758DEE}</author>
    <author>tc={6777854F-30AA-4D22-94DC-37C1811F5D67}</author>
    <author>tc={AA3B34B0-E0E3-4FDE-BF1D-16512B5F7355}</author>
    <author>tc={AFB598AE-C6C7-4055-A0EB-A208D52F29EA}</author>
    <author>tc={831439A3-7714-43F3-B241-2F4820892EF1}</author>
    <author>tc={091A1B2A-3D35-482A-815D-CBACFDD96BF3}</author>
    <author>tc={CCE3DA2D-0193-441A-8D6D-B080E9003015}</author>
    <author>tc={3DAED7DE-1AC7-48AF-9214-B42E71B3E5EE}</author>
    <author>tc={83598833-AB13-40F7-A381-A9AE69F866D0}</author>
    <author>tc={E9A58B1E-08A0-40E5-B9BD-219ED90502AA}</author>
    <author>tc={AC43DFAB-B73A-42C2-B4B4-614AE8C0A33D}</author>
    <author>tc={A3413DF0-96E7-4E95-A22F-7B7BC8E50633}</author>
    <author>tc={53D45101-ED6A-4333-905A-7698BC7F3C7A}</author>
    <author>tc={CDEFF3B4-1EBA-4736-B698-9E0EF674B7B9}</author>
    <author>tc={595AFD6B-67CF-451C-B8AD-BCF08F07A72E}</author>
    <author>tc={24DE2804-2679-408C-915C-10DEFA4CC191}</author>
    <author>tc={DC2AFEB1-8B6F-47E7-9821-6E8D87B11A4B}</author>
    <author>tc={2C484BA6-1AFB-43A6-AF52-A6C57883282D}</author>
    <author>tc={6F1471E9-8466-463B-AE41-523A8F3E95D9}</author>
    <author>tc={9A8E3A60-66DC-45C7-89FB-416C7CD8F8A7}</author>
    <author>tc={0D11DF7E-36B9-4C4B-B158-CEFECFEA0EB7}</author>
    <author>tc={4BA0A7B4-B994-4139-BEDF-B6FD21FFF529}</author>
    <author>tc={F4A6BBCC-CF63-45F7-B88D-D4E08EC9B9C6}</author>
    <author>tc={B478EF87-643D-4150-8A9F-3423590A24CD}</author>
    <author>tc={5B320420-1584-4E0A-8A77-A90635757443}</author>
    <author>tc={8D0B90E2-25D6-4B5F-8EA0-3267C54BC049}</author>
    <author>tc={FBB4BA68-BC1D-41CC-90F1-ACD432577D86}</author>
    <author>tc={ADBC29EF-E532-4AAE-96A7-3AEDD14A44DA}</author>
    <author>tc={B22C5A75-E0CB-4EFF-B9B9-020DD1580140}</author>
    <author>tc={62AE258C-0F58-4954-9235-3ED1B25F3A06}</author>
    <author>tc={4C2CFD85-C74A-4400-80BE-24E50429D914}</author>
    <author>tc={BAC68385-2161-40EE-928D-456373584B96}</author>
    <author>tc={0BB06ACB-8194-4AC9-9E1A-1CFD8C0729AA}</author>
    <author>tc={700EE5E9-AEB9-42C3-AA94-07D02F59FB0B}</author>
    <author>tc={D8746F60-4A10-4EA3-887D-B9F047BC433E}</author>
    <author>tc={AD1354D4-D169-42AC-89C2-D882C3AFD6DA}</author>
    <author>tc={935DA078-07EE-4F64-929E-143AEB3AE4BC}</author>
    <author>tc={FB1B08E2-7BD8-4CC9-A06A-6EA233DEDFA7}</author>
  </authors>
  <commentList>
    <comment ref="B1" authorId="0" shapeId="0" xr:uid="{85ADC5B9-1709-49EC-BBE0-D746C1F316D8}">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E128C8AA-42C4-491A-B404-3AEA9636C57D}">
      <text>
        <r>
          <rPr>
            <b/>
            <sz val="9"/>
            <color indexed="81"/>
            <rFont val="Tahoma"/>
            <family val="2"/>
          </rPr>
          <t>Jonathan Wilken:</t>
        </r>
        <r>
          <rPr>
            <sz val="9"/>
            <color indexed="81"/>
            <rFont val="Tahoma"/>
            <family val="2"/>
          </rPr>
          <t xml:space="preserve">
Reading from apograph (i.e., younger copy)</t>
        </r>
      </text>
    </comment>
    <comment ref="D1" authorId="0" shapeId="0" xr:uid="{C525007D-568A-4770-8670-18CA40575E83}">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C80EFB96-3305-4C92-825C-33A38CED8069}">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3E7F33A1-938B-4856-938E-13F4AE6D2B3D}">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9E13E7A3-CCA6-473D-A0F8-EAE5EB63D5EB}">
      <text>
        <r>
          <rPr>
            <b/>
            <sz val="9"/>
            <color indexed="81"/>
            <rFont val="Tahoma"/>
            <family val="2"/>
          </rPr>
          <t>Jonathan Wilken:</t>
        </r>
        <r>
          <rPr>
            <sz val="9"/>
            <color indexed="81"/>
            <rFont val="Tahoma"/>
            <family val="2"/>
          </rPr>
          <t xml:space="preserve">
Add, omit, transposition, substitution, combo</t>
        </r>
      </text>
    </comment>
    <comment ref="H1" authorId="0" shapeId="0" xr:uid="{23712459-C030-4F53-9331-26A489C2100A}">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15441569-E2BD-403E-A040-C9B9941514D5}">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0BBF00C8-3C3F-4A9A-B935-F23B50FE749B}">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EC069308-B438-4254-AA7F-EE49703D7DCB}">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6FFA628B-0B69-49AC-AABB-58781199A4B8}">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22D4CF05-2D19-4846-B4B9-1E56EAE3376E}">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06E04144-BDE3-4037-9412-8E391381C7E5}">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92114292-D1BB-4CCD-8554-4229360372A9}">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46BC04EB-671D-443E-B875-A37CC7AA78A0}">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B2A29070-278A-4D3F-8F5A-00B938027A95}">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EAF6948B-C2F6-48F8-8255-505DB353A89E}">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B0648072-91E8-4FE4-A89E-68720C38AA2E}">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7F773ACE-231F-4BC4-8B24-0312CE6A9363}">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295CCF68-C69F-4E65-9C17-504BF617AAC8}">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8DD45C7B-3E3F-49A5-BE73-AF2470EC08A5}">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9F5A8603-A77E-453D-BE5C-39493D84B00E}">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DF13B2E6-6ED4-420F-97A3-A047D9F4C29C}">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CC145117-4AB9-4114-8E66-F0BED42EEA7C}">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583ED01D-F4F2-4A49-9A92-1F36C776C9AB}">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42E44958-9689-44D0-95B1-CBD91D8E906B}">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F24" authorId="4" shapeId="0" xr:uid="{23BBE514-BB88-4D01-9D78-2765C81E441E}">
      <text>
        <t>[Threaded comment]
Your version of Excel allows you to read this threaded comment; however, any edits to it will get removed if the file is opened in a newer version of Excel. Learn more: https://go.microsoft.com/fwlink/?linkid=870924
Comment:
    Raw number of additions</t>
      </text>
    </comment>
    <comment ref="B25" authorId="5" shapeId="0" xr:uid="{3C1966DF-3BA0-466E-A0CB-BD1D245BF9BD}">
      <text>
        <t>[Threaded comment]
Your version of Excel allows you to read this threaded comment; however, any edits to it will get removed if the file is opened in a newer version of Excel. Learn more: https://go.microsoft.com/fwlink/?linkid=870924
Comment:
    "Low Meaning" words</t>
      </text>
    </comment>
    <comment ref="C25" authorId="6" shapeId="0" xr:uid="{E31EC728-5B9C-4F5C-846D-E68114CFE8B8}">
      <text>
        <t>[Threaded comment]
Your version of Excel allows you to read this threaded comment; however, any edits to it will get removed if the file is opened in a newer version of Excel. Learn more: https://go.microsoft.com/fwlink/?linkid=870924
Comment:
    "High Meaning" words</t>
      </text>
    </comment>
    <comment ref="F25" authorId="7" shapeId="0" xr:uid="{1C0DE799-BCD9-4F5D-9790-F546F5952941}">
      <text>
        <t>[Threaded comment]
Your version of Excel allows you to read this threaded comment; however, any edits to it will get removed if the file is opened in a newer version of Excel. Learn more: https://go.microsoft.com/fwlink/?linkid=870924
Comment:
    Raw number of omissions</t>
      </text>
    </comment>
    <comment ref="F26" authorId="8" shapeId="0" xr:uid="{0184449C-E3B0-48DA-BE6D-CB0C0F758DEE}">
      <text>
        <t>[Threaded comment]
Your version of Excel allows you to read this threaded comment; however, any edits to it will get removed if the file is opened in a newer version of Excel. Learn more: https://go.microsoft.com/fwlink/?linkid=870924
Comment:
    % of add-omits that are additions</t>
      </text>
    </comment>
    <comment ref="F29" authorId="9" shapeId="0" xr:uid="{6777854F-30AA-4D22-94DC-37C1811F5D67}">
      <text>
        <t>[Threaded comment]
Your version of Excel allows you to read this threaded comment; however, any edits to it will get removed if the file is opened in a newer version of Excel. Learn more: https://go.microsoft.com/fwlink/?linkid=870924
Comment:
    Raw number of additions of "low meaning" words. See LM column for included word types (and adjust equation as necessary)</t>
      </text>
    </comment>
    <comment ref="F30" authorId="10" shapeId="0" xr:uid="{AA3B34B0-E0E3-4FDE-BF1D-16512B5F7355}">
      <text>
        <t>[Threaded comment]
Your version of Excel allows you to read this threaded comment; however, any edits to it will get removed if the file is opened in a newer version of Excel. Learn more: https://go.microsoft.com/fwlink/?linkid=870924
Comment:
    Raw number of omissions of "low meaning" words. See LM column for included word types (and adjust equation as necessary)</t>
      </text>
    </comment>
    <comment ref="F31" authorId="11" shapeId="0" xr:uid="{AFB598AE-C6C7-4055-A0EB-A208D52F29EA}">
      <text>
        <t>[Threaded comment]
Your version of Excel allows you to read this threaded comment; however, any edits to it will get removed if the file is opened in a newer version of Excel. Learn more: https://go.microsoft.com/fwlink/?linkid=870924
Comment:
    Addition rate for "low meaning" words. See LM column for included word types (and adjust equation as necessary)</t>
      </text>
    </comment>
    <comment ref="F34" authorId="12" shapeId="0" xr:uid="{831439A3-7714-43F3-B241-2F4820892EF1}">
      <text>
        <t>[Threaded comment]
Your version of Excel allows you to read this threaded comment; however, any edits to it will get removed if the file is opened in a newer version of Excel. Learn more: https://go.microsoft.com/fwlink/?linkid=870924
Comment:
    Raw number of additions of "high meaning" words. See HM column for included word types (and adjust equation as necessary)</t>
      </text>
    </comment>
    <comment ref="F35" authorId="13" shapeId="0" xr:uid="{091A1B2A-3D35-482A-815D-CBACFDD96BF3}">
      <text>
        <t>[Threaded comment]
Your version of Excel allows you to read this threaded comment; however, any edits to it will get removed if the file is opened in a newer version of Excel. Learn more: https://go.microsoft.com/fwlink/?linkid=870924
Comment:
    Raw number of omissions of "high meaning" words. See HM column for included word types (and adjust equation as necessary)</t>
      </text>
    </comment>
    <comment ref="F36" authorId="14" shapeId="0" xr:uid="{CCE3DA2D-0193-441A-8D6D-B080E9003015}">
      <text>
        <t>[Threaded comment]
Your version of Excel allows you to read this threaded comment; however, any edits to it will get removed if the file is opened in a newer version of Excel. Learn more: https://go.microsoft.com/fwlink/?linkid=870924
Comment:
    Addition rate for "high meaning" words. See HM column for included word types (and adjust equation as necessary)</t>
      </text>
    </comment>
    <comment ref="D42" authorId="15" shapeId="0" xr:uid="{3DAED7DE-1AC7-48AF-9214-B42E71B3E5EE}">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42" authorId="16" shapeId="0" xr:uid="{83598833-AB13-40F7-A381-A9AE69F866D0}">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F42" authorId="17" shapeId="0" xr:uid="{E9A58B1E-08A0-40E5-B9BD-219ED90502AA}">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additions. I.e., a percent frequency indicating how often an addition generates visual cues</t>
      </text>
    </comment>
    <comment ref="D43" authorId="18" shapeId="0" xr:uid="{AC43DFAB-B73A-42C2-B4B4-614AE8C0A33D}">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E43" authorId="19" shapeId="0" xr:uid="{A3413DF0-96E7-4E95-A22F-7B7BC8E50633}">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F43" authorId="20" shapeId="0" xr:uid="{53D45101-ED6A-4333-905A-7698BC7F3C7A}">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omissions. I.e., the percentage of omissions that could plausibly be due to visual cues</t>
      </text>
    </comment>
    <comment ref="D44" authorId="21" shapeId="0" xr:uid="{CDEFF3B4-1EBA-4736-B698-9E0EF674B7B9}">
      <text>
        <t>[Threaded comment]
Your version of Excel allows you to read this threaded comment; however, any edits to it will get removed if the file is opened in a newer version of Excel. Learn more: https://go.microsoft.com/fwlink/?linkid=870924
Comment:
    The total number of add-omits that involve visual cues</t>
      </text>
    </comment>
    <comment ref="E44" authorId="22" shapeId="0" xr:uid="{595AFD6B-67CF-451C-B8AD-BCF08F07A72E}">
      <text>
        <t>[Threaded comment]
Your version of Excel allows you to read this threaded comment; however, any edits to it will get removed if the file is opened in a newer version of Excel. Learn more: https://go.microsoft.com/fwlink/?linkid=870924
Comment:
    The total number of add-omits that involve NO visual cues (given the definition of this project, i.e., 3-character minimum similarity in critical regions)</t>
      </text>
    </comment>
    <comment ref="F44" authorId="23" shapeId="0" xr:uid="{24DE2804-2679-408C-915C-10DEFA4CC191}">
      <text>
        <t>[Threaded comment]
Your version of Excel allows you to read this threaded comment; however, any edits to it will get removed if the file is opened in a newer version of Excel. Learn more: https://go.microsoft.com/fwlink/?linkid=870924
Comment:
    The percentage of all add-omits that involve visual cues</t>
      </text>
    </comment>
    <comment ref="D48" authorId="24" shapeId="0" xr:uid="{DC2AFEB1-8B6F-47E7-9821-6E8D87B11A4B}">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E48" authorId="25" shapeId="0" xr:uid="{2C484BA6-1AFB-43A6-AF52-A6C57883282D}">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D49" authorId="26" shapeId="0" xr:uid="{6F1471E9-8466-463B-AE41-523A8F3E95D9}">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49" authorId="27" shapeId="0" xr:uid="{9A8E3A60-66DC-45C7-89FB-416C7CD8F8A7}">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D54" authorId="28" shapeId="0" xr:uid="{0D11DF7E-36B9-4C4B-B158-CEFECFEA0EB7}">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additions. I.e., the number of additions that do not result in dittography</t>
      </text>
    </comment>
    <comment ref="E54" authorId="29" shapeId="0" xr:uid="{4BA0A7B4-B994-4139-BEDF-B6FD21FFF529}">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omissions. I.e., the number of omissions that did not undo a dittographic reading</t>
      </text>
    </comment>
    <comment ref="D55" authorId="30" shapeId="0" xr:uid="{F4A6BBCC-CF63-45F7-B88D-D4E08EC9B9C6}">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additions. I.e., the number of additions that result in dittography</t>
      </text>
    </comment>
    <comment ref="E55" authorId="31" shapeId="0" xr:uid="{B478EF87-643D-4150-8A9F-3423590A24CD}">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omissions. I.e., the number omissions where the omitted word(s) is/are dittographies</t>
      </text>
    </comment>
    <comment ref="D60" authorId="32" shapeId="0" xr:uid="{5B320420-1584-4E0A-8A77-A90635757443}">
      <text>
        <t>[Threaded comment]
Your version of Excel allows you to read this threaded comment; however, any edits to it will get removed if the file is opened in a newer version of Excel. Learn more: https://go.microsoft.com/fwlink/?linkid=870924
Comment:
    Additions of one word</t>
      </text>
    </comment>
    <comment ref="E60" authorId="33" shapeId="0" xr:uid="{8D0B90E2-25D6-4B5F-8EA0-3267C54BC049}">
      <text>
        <t>[Threaded comment]
Your version of Excel allows you to read this threaded comment; however, any edits to it will get removed if the file is opened in a newer version of Excel. Learn more: https://go.microsoft.com/fwlink/?linkid=870924
Comment:
    Omissions of one word</t>
      </text>
    </comment>
    <comment ref="F60" authorId="34" shapeId="0" xr:uid="{FBB4BA68-BC1D-41CC-90F1-ACD432577D86}">
      <text>
        <t>[Threaded comment]
Your version of Excel allows you to read this threaded comment; however, any edits to it will get removed if the file is opened in a newer version of Excel. Learn more: https://go.microsoft.com/fwlink/?linkid=870924
Comment:
    Add ratio for single-word variants</t>
      </text>
    </comment>
    <comment ref="D61" authorId="35" shapeId="0" xr:uid="{ADBC29EF-E532-4AAE-96A7-3AEDD14A44DA}">
      <text>
        <t>[Threaded comment]
Your version of Excel allows you to read this threaded comment; however, any edits to it will get removed if the file is opened in a newer version of Excel. Learn more: https://go.microsoft.com/fwlink/?linkid=870924
Comment:
    Additions of 2-3 words</t>
      </text>
    </comment>
    <comment ref="E61" authorId="36" shapeId="0" xr:uid="{B22C5A75-E0CB-4EFF-B9B9-020DD1580140}">
      <text>
        <t>[Threaded comment]
Your version of Excel allows you to read this threaded comment; however, any edits to it will get removed if the file is opened in a newer version of Excel. Learn more: https://go.microsoft.com/fwlink/?linkid=870924
Comment:
    Omissions of 2-3 words</t>
      </text>
    </comment>
    <comment ref="F61" authorId="37" shapeId="0" xr:uid="{62AE258C-0F58-4954-9235-3ED1B25F3A06}">
      <text>
        <t>[Threaded comment]
Your version of Excel allows you to read this threaded comment; however, any edits to it will get removed if the file is opened in a newer version of Excel. Learn more: https://go.microsoft.com/fwlink/?linkid=870924
Comment:
    Add ratio for variants of 2-3 words</t>
      </text>
    </comment>
    <comment ref="D62" authorId="38" shapeId="0" xr:uid="{4C2CFD85-C74A-4400-80BE-24E50429D914}">
      <text>
        <t>[Threaded comment]
Your version of Excel allows you to read this threaded comment; however, any edits to it will get removed if the file is opened in a newer version of Excel. Learn more: https://go.microsoft.com/fwlink/?linkid=870924
Comment:
    Additions of 4 or more words</t>
      </text>
    </comment>
    <comment ref="E62" authorId="39" shapeId="0" xr:uid="{BAC68385-2161-40EE-928D-456373584B96}">
      <text>
        <t>[Threaded comment]
Your version of Excel allows you to read this threaded comment; however, any edits to it will get removed if the file is opened in a newer version of Excel. Learn more: https://go.microsoft.com/fwlink/?linkid=870924
Comment:
    Omissions of 4 or more words</t>
      </text>
    </comment>
    <comment ref="F62" authorId="40" shapeId="0" xr:uid="{0BB06ACB-8194-4AC9-9E1A-1CFD8C0729AA}">
      <text>
        <t>[Threaded comment]
Your version of Excel allows you to read this threaded comment; however, any edits to it will get removed if the file is opened in a newer version of Excel. Learn more: https://go.microsoft.com/fwlink/?linkid=870924
Comment:
    Add ratio for variants of 4 or more words</t>
      </text>
    </comment>
    <comment ref="C65" authorId="41" shapeId="0" xr:uid="{700EE5E9-AEB9-42C3-AA94-07D02F59FB0B}">
      <text>
        <t>[Threaded comment]
Your version of Excel allows you to read this threaded comment; however, any edits to it will get removed if the file is opened in a newer version of Excel. Learn more: https://go.microsoft.com/fwlink/?linkid=870924
Comment:
    Number of words added or omitted</t>
      </text>
    </comment>
    <comment ref="D65" authorId="42" shapeId="0" xr:uid="{D8746F60-4A10-4EA3-887D-B9F047BC433E}">
      <text>
        <t>[Threaded comment]
Your version of Excel allows you to read this threaded comment; however, any edits to it will get removed if the file is opened in a newer version of Excel. Learn more: https://go.microsoft.com/fwlink/?linkid=870924
Comment:
    Number of additions involving the number of words specified in the "Length" column</t>
      </text>
    </comment>
    <comment ref="E65" authorId="43" shapeId="0" xr:uid="{AD1354D4-D169-42AC-89C2-D882C3AFD6DA}">
      <text>
        <t>[Threaded comment]
Your version of Excel allows you to read this threaded comment; however, any edits to it will get removed if the file is opened in a newer version of Excel. Learn more: https://go.microsoft.com/fwlink/?linkid=870924
Comment:
    Number of omissions involving the number of words specified in the "Length" column</t>
      </text>
    </comment>
    <comment ref="F65" authorId="44" shapeId="0" xr:uid="{935DA078-07EE-4F64-929E-143AEB3AE4BC}">
      <text>
        <t>[Threaded comment]
Your version of Excel allows you to read this threaded comment; however, any edits to it will get removed if the file is opened in a newer version of Excel. Learn more: https://go.microsoft.com/fwlink/?linkid=870924
Comment:
    The addition rate for add-omits involving the number of words indicated in the "Length" column</t>
      </text>
    </comment>
    <comment ref="E73" authorId="45" shapeId="0" xr:uid="{FB1B08E2-7BD8-4CC9-A06A-6EA233DEDFA7}">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Jonathan Wilken</author>
    <author>tc={AC6FD6B5-E239-4635-B79B-3D3CA04DDCB3}</author>
    <author>tc={CB3DACF4-01D2-4609-AF31-7CA2C436F5EB}</author>
    <author>tc={251D3B6A-D75A-45E9-A077-96B473AE4E85}</author>
    <author>tc={C4AECCD7-6322-4F99-8FE9-CE98B9018960}</author>
    <author>tc={0A71431A-F58F-4910-A121-0B231FD5B844}</author>
    <author>tc={01CF5DD2-C98C-4C79-B2E7-1FE10DBA5E35}</author>
    <author>tc={D267BA2B-0B68-4FBC-91C7-E6033577A715}</author>
    <author>tc={D1D544B8-E5FB-46E9-9F44-5BC7086CE04E}</author>
    <author>tc={EBC0144B-2C5E-4069-A5C9-413D83114725}</author>
    <author>tc={00DDA8FE-578C-4635-A7DF-A7EE1B60E413}</author>
    <author>tc={221E682E-17E6-4ECD-9481-E247834CD275}</author>
    <author>tc={395FD905-61D1-4E38-826B-F4A992BEBD15}</author>
    <author>tc={1964B74A-3E1C-4F4F-999D-A695FEC40C49}</author>
    <author>tc={818329BE-8575-4CD5-8B28-C2599A9F1394}</author>
  </authors>
  <commentList>
    <comment ref="B1" authorId="0" shapeId="0" xr:uid="{1F61F6CE-2796-4A9D-8FC4-1BB561467E32}">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EA1B5CF2-C384-4B6C-BEC4-BE4C90B1AA5F}">
      <text>
        <r>
          <rPr>
            <b/>
            <sz val="9"/>
            <color indexed="81"/>
            <rFont val="Tahoma"/>
            <family val="2"/>
          </rPr>
          <t>Jonathan Wilken:</t>
        </r>
        <r>
          <rPr>
            <sz val="9"/>
            <color indexed="81"/>
            <rFont val="Tahoma"/>
            <family val="2"/>
          </rPr>
          <t xml:space="preserve">
Reading from apograph (i.e., younger copy)</t>
        </r>
      </text>
    </comment>
    <comment ref="D1" authorId="0" shapeId="0" xr:uid="{CC88FAAA-04E2-4313-93D4-800DD2921744}">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BAC198F8-09C9-4ED8-887C-35C74184ED98}">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21B25726-5CC1-4474-B1A8-486C4644E84D}">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8435A2CC-375D-42A3-B20E-96B5256D6942}">
      <text>
        <r>
          <rPr>
            <b/>
            <sz val="9"/>
            <color indexed="81"/>
            <rFont val="Tahoma"/>
            <family val="2"/>
          </rPr>
          <t>Jonathan Wilken:</t>
        </r>
        <r>
          <rPr>
            <sz val="9"/>
            <color indexed="81"/>
            <rFont val="Tahoma"/>
            <family val="2"/>
          </rPr>
          <t xml:space="preserve">
Add, omit, transposition, substitution, combo</t>
        </r>
      </text>
    </comment>
    <comment ref="H1" authorId="0" shapeId="0" xr:uid="{AE5452B1-E5FA-42B5-8FC4-A5865D3855C5}">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AF24220F-2F72-4289-9451-1932EFB64368}">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B8EF891B-CC9C-44A1-AA17-7921635556FD}">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C97D74D8-3D9A-49AC-9A51-5E1DE321D80F}">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BA74CC90-051A-40B4-8CBA-4F27C0DF7B3F}">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7AFAE0EB-8F65-4295-84EF-68454A2A5D8B}">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59499643-C47B-496E-9EF6-7CEE0D244DC8}">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CFD88DE6-2950-4088-B595-85481C7A088A}">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9CB31C30-1F00-44DD-8D94-8B277877DE7A}">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AC6FD6B5-E239-4635-B79B-3D3CA04DDCB3}">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0CD47686-F2D1-4E37-AA50-587BE2F36562}">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CB3DACF4-01D2-4609-AF31-7CA2C436F5EB}">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251D3B6A-D75A-45E9-A077-96B473AE4E85}">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CC33DCAA-260B-4DFD-BAA3-4D45FD87E069}">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9E9A6754-61F8-4916-9D16-66185175C4EA}">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5380479C-9A02-4787-A70E-DC517BD0183F}">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41456F8C-1230-4233-B852-6A6FD160787E}">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48C87E31-6C8A-4BCF-B7AC-5B86FF8A487A}">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3FEC9305-070E-4B8E-A611-656074FDD338}">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D7EC49A8-92B1-4850-A6D7-6F4E6E4AAE00}">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18" authorId="4" shapeId="0" xr:uid="{C4AECCD7-6322-4F99-8FE9-CE98B9018960}">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19" authorId="5" shapeId="0" xr:uid="{0A71431A-F58F-4910-A121-0B231FD5B844}">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22" authorId="6" shapeId="0" xr:uid="{01CF5DD2-C98C-4C79-B2E7-1FE10DBA5E35}">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23" authorId="7" shapeId="0" xr:uid="{D267BA2B-0B68-4FBC-91C7-E6033577A715}">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24" authorId="8" shapeId="0" xr:uid="{D1D544B8-E5FB-46E9-9F44-5BC7086CE04E}">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25" authorId="9" shapeId="0" xr:uid="{EBC0144B-2C5E-4069-A5C9-413D83114725}">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26" authorId="10" shapeId="0" xr:uid="{00DDA8FE-578C-4635-A7DF-A7EE1B60E413}">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27" authorId="11" shapeId="0" xr:uid="{221E682E-17E6-4ECD-9481-E247834CD275}">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30" authorId="12" shapeId="0" xr:uid="{395FD905-61D1-4E38-826B-F4A992BEBD15}">
      <text>
        <t>[Threaded comment]
Your version of Excel allows you to read this threaded comment; however, any edits to it will get removed if the file is opened in a newer version of Excel. Learn more: https://go.microsoft.com/fwlink/?linkid=870924
Comment:
    Articular additions: the number of additions of an article</t>
      </text>
    </comment>
    <comment ref="D31" authorId="13" shapeId="0" xr:uid="{1964B74A-3E1C-4F4F-999D-A695FEC40C49}">
      <text>
        <t>[Threaded comment]
Your version of Excel allows you to read this threaded comment; however, any edits to it will get removed if the file is opened in a newer version of Excel. Learn more: https://go.microsoft.com/fwlink/?linkid=870924
Comment:
    Articular omissions: the number of omissions of an article</t>
      </text>
    </comment>
    <comment ref="D32" authorId="14" shapeId="0" xr:uid="{818329BE-8575-4CD5-8B28-C2599A9F1394}">
      <text>
        <t>[Threaded comment]
Your version of Excel allows you to read this threaded comment; however, any edits to it will get removed if the file is opened in a newer version of Excel. Learn more: https://go.microsoft.com/fwlink/?linkid=870924
Comment:
    Articular add ratio: the add ratio for the definite article</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Jonathan Wilken</author>
    <author>tc={F77C7AD7-2A05-45F6-971E-8A4008E59446}</author>
    <author>tc={D25BC73A-EB71-4409-A578-B2CBF80AF351}</author>
    <author>tc={5406D1FD-4255-4FBB-9FA6-D1C67FB1307B}</author>
    <author>tc={1A1DD2C3-B8BA-4820-ADD6-D1670FF1F7CC}</author>
    <author>tc={9DB09A4B-3283-4302-BE73-DA922BFE6076}</author>
    <author>tc={AAB3AD72-D989-4B7D-A110-81FCEAA235A5}</author>
    <author>tc={9A0EF367-49C7-4ED3-81A8-45AF46A1E1B4}</author>
    <author>tc={C073905E-C8AC-47E7-83FC-3FB36DC40507}</author>
    <author>tc={4833F7B2-A43F-400F-9FA6-CBE59999EA04}</author>
    <author>tc={BAB4F6D8-18AA-4F5F-8B93-8DA422070717}</author>
    <author>tc={935A54EB-FD0D-4581-8330-90B45F29BDE1}</author>
    <author>tc={D00651B5-74E0-4E91-B3D1-8466FE116AC3}</author>
  </authors>
  <commentList>
    <comment ref="B1" authorId="0" shapeId="0" xr:uid="{ED08CFF4-B7D6-4402-A6DB-5112CC1CB322}">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915EE276-E166-4A08-9B84-C151AB8D5A9D}">
      <text>
        <r>
          <rPr>
            <b/>
            <sz val="9"/>
            <color indexed="81"/>
            <rFont val="Tahoma"/>
            <family val="2"/>
          </rPr>
          <t>Jonathan Wilken:</t>
        </r>
        <r>
          <rPr>
            <sz val="9"/>
            <color indexed="81"/>
            <rFont val="Tahoma"/>
            <family val="2"/>
          </rPr>
          <t xml:space="preserve">
Reading from apograph (i.e., younger copy)</t>
        </r>
      </text>
    </comment>
    <comment ref="D1" authorId="0" shapeId="0" xr:uid="{3761AACB-3E17-4991-B730-06F389440DE8}">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56B2F060-1E61-4E4D-ACAE-589164D139FC}">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749B7512-5D9F-4F03-BD35-76A8244A7E52}">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AC4C1242-97D0-41EC-9740-7693496E69F7}">
      <text>
        <r>
          <rPr>
            <b/>
            <sz val="9"/>
            <color indexed="81"/>
            <rFont val="Tahoma"/>
            <family val="2"/>
          </rPr>
          <t>Jonathan Wilken:</t>
        </r>
        <r>
          <rPr>
            <sz val="9"/>
            <color indexed="81"/>
            <rFont val="Tahoma"/>
            <family val="2"/>
          </rPr>
          <t xml:space="preserve">
Add, omit, transposition, substitution, combo</t>
        </r>
      </text>
    </comment>
    <comment ref="H1" authorId="0" shapeId="0" xr:uid="{F3B1A571-7DCF-4DF4-93F8-EE1489ADF4B9}">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A5BBCA61-3B4A-4623-9641-A787C787E4F4}">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E9F30F63-313C-41AC-9EAF-C4C1ABC953D9}">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9C9479AC-6E4B-481A-B2FB-BA4E23395139}">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21450A85-B40A-4F28-8B5E-C1EE28BEF9A0}">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6DE4526D-BFCD-40A3-B44D-A517FE43ED1E}">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860CECF4-5632-4A12-B500-20FD66AB5B8D}">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8A5EC482-52AA-4F16-A019-22C13533634F}">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6E20218D-22E0-4A94-B616-4AF59E73AB1C}">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F77C7AD7-2A05-45F6-971E-8A4008E59446}">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691F19EF-A5FC-4B2F-BF5C-5FE79823035E}">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2" shapeId="0" xr:uid="{D25BC73A-EB71-4409-A578-B2CBF80AF351}">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3" shapeId="0" xr:uid="{5406D1FD-4255-4FBB-9FA6-D1C67FB1307B}">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8B8382B8-8A05-42C2-9B2C-2B26879647D6}">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CE1384F2-00DA-426F-8F82-D609625810EF}">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1EDE8805-3F7F-491A-B03C-1E141B68C233}">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29563BD0-391B-4744-BB38-7A412363B003}">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729AEC11-51A5-4719-B1C3-B8AF6FAFDA2B}">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03EDA701-1E8F-4940-8501-0137A3821BFB}">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C5793E29-512D-4DF8-BE8E-F951F3186D3D}">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6" authorId="4" shapeId="0" xr:uid="{1A1DD2C3-B8BA-4820-ADD6-D1670FF1F7CC}">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7" authorId="5" shapeId="0" xr:uid="{9DB09A4B-3283-4302-BE73-DA922BFE6076}">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10" authorId="6" shapeId="0" xr:uid="{AAB3AD72-D989-4B7D-A110-81FCEAA235A5}">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11" authorId="7" shapeId="0" xr:uid="{9A0EF367-49C7-4ED3-81A8-45AF46A1E1B4}">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12" authorId="8" shapeId="0" xr:uid="{C073905E-C8AC-47E7-83FC-3FB36DC40507}">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13" authorId="9" shapeId="0" xr:uid="{4833F7B2-A43F-400F-9FA6-CBE59999EA04}">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14" authorId="10" shapeId="0" xr:uid="{BAB4F6D8-18AA-4F5F-8B93-8DA422070717}">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15" authorId="11" shapeId="0" xr:uid="{935A54EB-FD0D-4581-8330-90B45F29BDE1}">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16" authorId="12" shapeId="0" xr:uid="{D00651B5-74E0-4E91-B3D1-8466FE116AC3}">
      <text>
        <t>[Threaded comment]
Your version of Excel allows you to read this threaded comment; however, any edits to it will get removed if the file is opened in a newer version of Excel. Learn more: https://go.microsoft.com/fwlink/?linkid=870924
Comment:
    The difference in add ratio based on word frequency category. If scribes exhibit preference for the familiar, the HF add ratio should usually be higher than the LF add ratio (thus, the Add Ratio Difference should be positive)</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Jonathan Wilken</author>
    <author>tc={11CD2C00-7014-49EC-8814-5DCA29ED8C3E}</author>
    <author>tc={EBD2854F-7194-4E5E-90E3-3BD18D9EB6B8}</author>
    <author>tc={A35E4112-CA8A-4F67-8D85-2BEEC92FC36C}</author>
    <author>tc={CF15F1B8-D2F5-4088-A0D9-83FB8A7B86DA}</author>
    <author>tc={F3C012E5-868C-49D4-B004-C19A71439051}</author>
    <author>tc={E860FD89-7EE1-459A-A620-F1C52B799C3A}</author>
    <author>tc={016EF4D3-E5BA-4125-821C-C0C247BC4155}</author>
    <author>tc={85A48D2D-D3E6-47E8-898C-2B94B06613DA}</author>
    <author>tc={C97CEB8F-FDBF-45B3-8C1C-02BC5304200D}</author>
    <author>tc={A67B4541-2E9D-4FD0-8AAD-1AF0E9CA122E}</author>
    <author>tc={A8087E6B-C29B-4171-9AB2-3F5EA997F93E}</author>
    <author>tc={B2FBC8FF-176E-444E-8D77-76E656A6F4C3}</author>
    <author>tc={E470BE5E-0B59-4772-8B4B-9D5B68EE55FE}</author>
    <author>tc={8E67801C-EE43-4281-A6D8-71927B5984E6}</author>
    <author>tc={0357AACB-D9A9-4FD1-A176-53B42D596CF7}</author>
  </authors>
  <commentList>
    <comment ref="B1" authorId="0" shapeId="0" xr:uid="{4D354238-A724-46B9-95C7-E2675DA4A3D5}">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52033733-D50C-45A4-8C0B-686C9AA56039}">
      <text>
        <r>
          <rPr>
            <b/>
            <sz val="9"/>
            <color indexed="81"/>
            <rFont val="Tahoma"/>
            <family val="2"/>
          </rPr>
          <t>Jonathan Wilken:</t>
        </r>
        <r>
          <rPr>
            <sz val="9"/>
            <color indexed="81"/>
            <rFont val="Tahoma"/>
            <family val="2"/>
          </rPr>
          <t xml:space="preserve">
Reading from apograph (i.e., younger copy)</t>
        </r>
      </text>
    </comment>
    <comment ref="D1" authorId="0" shapeId="0" xr:uid="{E3A0226D-8659-45F7-A9C0-D5D16FB8691F}">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D2507163-5BEA-4CCE-A1FC-F1FC59B2304A}">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4D625317-E59F-4287-85F0-FAA118F30087}">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1AC44DAE-32B9-4418-9163-F686A4603FB5}">
      <text>
        <r>
          <rPr>
            <b/>
            <sz val="9"/>
            <color indexed="81"/>
            <rFont val="Tahoma"/>
            <family val="2"/>
          </rPr>
          <t>Jonathan Wilken:</t>
        </r>
        <r>
          <rPr>
            <sz val="9"/>
            <color indexed="81"/>
            <rFont val="Tahoma"/>
            <family val="2"/>
          </rPr>
          <t xml:space="preserve">
Add, omit, transposition, substitution, combo</t>
        </r>
      </text>
    </comment>
    <comment ref="H1" authorId="0" shapeId="0" xr:uid="{D7E118B7-0008-46C2-95ED-CDBD1E802195}">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E3769757-D473-439F-98E7-D547CC2F671C}">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6DDBA043-532A-4229-9A98-D0E8848DFFDB}">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87024645-7637-4666-989B-57A2885A01C9}">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7F8BE353-53DE-4CF4-B3C9-A1480CF0F6E5}">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6FA56BF8-22C1-4067-B817-07A0468F8804}">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171F4234-AE0F-4580-829A-A50A0084DE75}">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C0CA0522-6D35-4A74-9FF7-8F947A2E5E06}">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CB4CF406-28CB-4C88-8587-6208F5246657}">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CFE7CBCE-D89C-41AA-8253-039764A125CA}">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11CD2C00-7014-49EC-8814-5DCA29ED8C3E}">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EBD2854F-7194-4E5E-90E3-3BD18D9EB6B8}">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T1" authorId="3" shapeId="0" xr:uid="{A35E4112-CA8A-4F67-8D85-2BEEC92FC36C}">
      <text>
        <t>[Threaded comment]
Your version of Excel allows you to read this threaded comment; however, any edits to it will get removed if the file is opened in a newer version of Excel. Learn more: https://go.microsoft.com/fwlink/?linkid=870924
Comment:
    Frequency occurrence of autograph reading per 10,000 words of text</t>
      </text>
    </comment>
    <comment ref="U1" authorId="4" shapeId="0" xr:uid="{CF15F1B8-D2F5-4088-A0D9-83FB8A7B86DA}">
      <text>
        <t>[Threaded comment]
Your version of Excel allows you to read this threaded comment; however, any edits to it will get removed if the file is opened in a newer version of Excel. Learn more: https://go.microsoft.com/fwlink/?linkid=870924
Comment:
    Frequency occurrence of apograph reading per 10,000 words of text</t>
      </text>
    </comment>
    <comment ref="V1" authorId="5" shapeId="0" xr:uid="{F3C012E5-868C-49D4-B004-C19A71439051}">
      <text>
        <t>[Threaded comment]
Your version of Excel allows you to read this threaded comment; however, any edits to it will get removed if the file is opened in a newer version of Excel. Learn more: https://go.microsoft.com/fwlink/?linkid=870924
Comment:
    Difference in the P10K frequency of the autograph and apograph readings. Difference = apograph - autograph. Thus, positive values indicate the apograph reading was a more common/frequent word; negative values indicate the apograph reading was a less common/frequent word</t>
      </text>
    </comment>
    <comment ref="Y1" authorId="0" shapeId="0" xr:uid="{2BD5F572-E266-4FA3-A321-07B8FF8224E3}">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Z1" authorId="0" shapeId="0" xr:uid="{5BB7E186-9AA6-40C2-B6D0-841C96943AFA}">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AA1" authorId="0" shapeId="0" xr:uid="{C89A9B11-DE08-47A1-8FB9-3D9D90A0E960}">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B1" authorId="0" shapeId="0" xr:uid="{232DF56D-A4F0-45E5-858C-0148B87B6768}">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D1" authorId="0" shapeId="0" xr:uid="{AA86EAFF-53E3-49C1-848C-2E90661FEA34}">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E1" authorId="0" shapeId="0" xr:uid="{2F156ACC-6C7A-4F7E-BA97-A56C412498B2}">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F1" authorId="0" shapeId="0" xr:uid="{C7A220F6-F0D9-4764-907C-F211B00C9B94}">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7" authorId="6" shapeId="0" xr:uid="{E860FD89-7EE1-459A-A620-F1C52B799C3A}">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10" authorId="7" shapeId="0" xr:uid="{016EF4D3-E5BA-4125-821C-C0C247BC4155}">
      <text>
        <t>[Threaded comment]
Your version of Excel allows you to read this threaded comment; however, any edits to it will get removed if the file is opened in a newer version of Excel. Learn more: https://go.microsoft.com/fwlink/?linkid=870924
Comment:
    Number of variants where the scribe used a more common/frequent word in place of a less common/frequent word</t>
      </text>
    </comment>
    <comment ref="D11" authorId="8" shapeId="0" xr:uid="{85A48D2D-D3E6-47E8-898C-2B94B06613DA}">
      <text>
        <t>[Threaded comment]
Your version of Excel allows you to read this threaded comment; however, any edits to it will get removed if the file is opened in a newer version of Excel. Learn more: https://go.microsoft.com/fwlink/?linkid=870924
Comment:
    Number of variants where the scribe used a less common/frequent word in place of a more  common/frequent word</t>
      </text>
    </comment>
    <comment ref="D12" authorId="9" shapeId="0" xr:uid="{C97CEB8F-FDBF-45B3-8C1C-02BC5304200D}">
      <text>
        <t>[Threaded comment]
Your version of Excel allows you to read this threaded comment; however, any edits to it will get removed if the file is opened in a newer version of Excel. Learn more: https://go.microsoft.com/fwlink/?linkid=870924
Comment:
    Probability based on 2-tailed sign test: probability of obtaining a result as extreme as or more extreme than that shown above</t>
      </text>
    </comment>
    <comment ref="D14" authorId="10" shapeId="0" xr:uid="{A67B4541-2E9D-4FD0-8AAD-1AF0E9CA122E}">
      <text>
        <t>[Threaded comment]
Your version of Excel allows you to read this threaded comment; however, any edits to it will get removed if the file is opened in a newer version of Excel. Learn more: https://go.microsoft.com/fwlink/?linkid=870924
Comment:
    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
      </text>
    </comment>
    <comment ref="D15" authorId="11" shapeId="0" xr:uid="{A8087E6B-C29B-4171-9AB2-3F5EA997F93E}">
      <text>
        <t>[Threaded comment]
Your version of Excel allows you to read this threaded comment; however, any edits to it will get removed if the file is opened in a newer version of Excel. Learn more: https://go.microsoft.com/fwlink/?linkid=870924
Comment:
    Standard deviation of the word frequency difference for substitutions</t>
      </text>
    </comment>
    <comment ref="D18" authorId="12" shapeId="0" xr:uid="{B2FBC8FF-176E-444E-8D77-76E656A6F4C3}">
      <text>
        <t>[Threaded comment]
Your version of Excel allows you to read this threaded comment; however, any edits to it will get removed if the file is opened in a newer version of Excel. Learn more: https://go.microsoft.com/fwlink/?linkid=870924
Comment:
    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
      </text>
    </comment>
    <comment ref="D19" authorId="13" shapeId="0" xr:uid="{E470BE5E-0B59-4772-8B4B-9D5B68EE55FE}">
      <text>
        <t>[Threaded comment]
Your version of Excel allows you to read this threaded comment; however, any edits to it will get removed if the file is opened in a newer version of Excel. Learn more: https://go.microsoft.com/fwlink/?linkid=870924
Comment:
    Standard deviation of the change in word frequency, using the frequency measure of "occurrences per 10,000 words"</t>
      </text>
    </comment>
    <comment ref="D22" authorId="14" shapeId="0" xr:uid="{8E67801C-EE43-4281-A6D8-71927B5984E6}">
      <text>
        <t>[Threaded comment]
Your version of Excel allows you to read this threaded comment; however, any edits to it will get removed if the file is opened in a newer version of Excel. Learn more: https://go.microsoft.com/fwlink/?linkid=870924
Comment:
    Total number of substitutions for which a word frequency difference could be calculated</t>
      </text>
    </comment>
    <comment ref="D23" authorId="15" shapeId="0" xr:uid="{0357AACB-D9A9-4FD1-A176-53B42D596CF7}">
      <text>
        <t>[Threaded comment]
Your version of Excel allows you to read this threaded comment; however, any edits to it will get removed if the file is opened in a newer version of Excel. Learn more: https://go.microsoft.com/fwlink/?linkid=870924
Comment:
    The standard deviation of word frequency difference scores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Jonathan Wilken</author>
    <author>tc={675121B4-51C6-45BE-AB26-BB8EEA508806}</author>
    <author>tc={0C7E5137-DD83-4DAC-8474-7EE5F5882023}</author>
    <author>tc={76FAFAD1-6EC0-4A30-9ACB-812427CB477E}</author>
    <author>tc={3F3DE51F-E097-4542-8820-9D77317020A4}</author>
    <author>tc={FEF04B0C-A8B3-467D-A075-DE68F3219A8F}</author>
  </authors>
  <commentList>
    <comment ref="B1" authorId="0" shapeId="0" xr:uid="{2E29B512-4B73-4E22-ABD5-7D99061F14FC}">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46903E9F-1F0F-4AD5-AC2F-C3D29A73EAA5}">
      <text>
        <r>
          <rPr>
            <b/>
            <sz val="9"/>
            <color indexed="81"/>
            <rFont val="Tahoma"/>
            <family val="2"/>
          </rPr>
          <t>Jonathan Wilken:</t>
        </r>
        <r>
          <rPr>
            <sz val="9"/>
            <color indexed="81"/>
            <rFont val="Tahoma"/>
            <family val="2"/>
          </rPr>
          <t xml:space="preserve">
Reading from apograph (i.e., younger copy)</t>
        </r>
      </text>
    </comment>
    <comment ref="D1" authorId="0" shapeId="0" xr:uid="{23A700A7-24AB-4DBC-816A-0A1F62BB141C}">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91CDEB70-0DB4-408F-BB56-757771EB766C}">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DBFDAF03-6392-4DF1-B31C-44464DB2078C}">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H1" authorId="0" shapeId="0" xr:uid="{E13CD721-EB30-45D3-8649-A34C811F0481}">
      <text>
        <r>
          <rPr>
            <b/>
            <sz val="9"/>
            <color indexed="81"/>
            <rFont val="Tahoma"/>
            <family val="2"/>
          </rPr>
          <t>Jonathan Wilken:</t>
        </r>
        <r>
          <rPr>
            <sz val="9"/>
            <color indexed="81"/>
            <rFont val="Tahoma"/>
            <family val="2"/>
          </rPr>
          <t xml:space="preserve">
Add, omit, transposition, substitution, combo</t>
        </r>
      </text>
    </comment>
    <comment ref="I1" authorId="0" shapeId="0" xr:uid="{8B17C4AB-8722-48FD-AA49-57F25E43BEF3}">
      <text>
        <r>
          <rPr>
            <b/>
            <sz val="9"/>
            <color indexed="81"/>
            <rFont val="Tahoma"/>
            <family val="2"/>
          </rPr>
          <t>Jonathan Wilken:</t>
        </r>
        <r>
          <rPr>
            <sz val="9"/>
            <color indexed="81"/>
            <rFont val="Tahoma"/>
            <family val="2"/>
          </rPr>
          <t xml:space="preserve">
For add/omits. Should only be used if complete phrases &gt;= 1. Set to 0 for &lt; 1.
</t>
        </r>
      </text>
    </comment>
    <comment ref="J1" authorId="0" shapeId="0" xr:uid="{6B0388BD-E16A-4CF4-8D25-F10E958A3ADA}">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K1" authorId="0" shapeId="0" xr:uid="{516A1605-CD59-4D4F-BBBD-BD701C2B35FC}">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L1" authorId="0" shapeId="0" xr:uid="{816FB445-E500-4D0A-8FB4-64CAE6500AF3}">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M1" authorId="0" shapeId="0" xr:uid="{D8A6B54F-1A31-4AB8-8554-3EF6EB79D709}">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N1" authorId="0" shapeId="0" xr:uid="{BF9F5267-3D24-461E-9D60-E332F6931607}">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O1" authorId="0" shapeId="0" xr:uid="{D718E906-FAD0-4131-A210-15D061CDC5C3}">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P1" authorId="0" shapeId="0" xr:uid="{168ABA69-304F-4A6C-B42D-DF1A7A39DA82}">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Q1" authorId="0" shapeId="0" xr:uid="{6E1BCD70-1207-451E-9FE6-DB197DEA2EE7}">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R1" authorId="0" shapeId="0" xr:uid="{1E483350-6F74-444F-ADA2-92BD3DF942C3}">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1" shapeId="0" xr:uid="{675121B4-51C6-45BE-AB26-BB8EEA508806}">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2" shapeId="0" xr:uid="{0C7E5137-DD83-4DAC-8474-7EE5F5882023}">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19E6B7B9-A2A5-41A0-9A6D-365238A748E8}">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951832B1-FCD9-4F1A-96AC-367D4C48761E}">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0" shapeId="0" xr:uid="{B867E4BC-6ACE-4DB8-A204-C88C06407647}">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592A2388-B21E-4881-83E9-894E7CF41411}">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F3D13D34-3C4D-4B9F-9B5B-8F7004EAFE33}">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39705D0E-6B11-4254-88BE-95CF831F2AF9}">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2509ECB3-C9BD-4043-8B0C-C97DDCC4BE0A}">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5" authorId="3" shapeId="0" xr:uid="{76FAFAD1-6EC0-4A30-9ACB-812427CB477E}">
      <text>
        <t>[Threaded comment]
Your version of Excel allows you to read this threaded comment; however, any edits to it will get removed if the file is opened in a newer version of Excel. Learn more: https://go.microsoft.com/fwlink/?linkid=870924
Comment:
    The number of variants that harmonized to parallel phrases in the near context</t>
      </text>
    </comment>
    <comment ref="D6" authorId="4" shapeId="0" xr:uid="{3F3DE51F-E097-4542-8820-9D77317020A4}">
      <text>
        <t>[Threaded comment]
Your version of Excel allows you to read this threaded comment; however, any edits to it will get removed if the file is opened in a newer version of Excel. Learn more: https://go.microsoft.com/fwlink/?linkid=870924
Comment:
    The number of variants that disharmonized from  parallel phrases in the near context</t>
      </text>
    </comment>
    <comment ref="D7" authorId="5" shapeId="0" xr:uid="{FEF04B0C-A8B3-467D-A075-DE68F3219A8F}">
      <text>
        <t>[Threaded comment]
Your version of Excel allows you to read this threaded comment; however, any edits to it will get removed if the file is opened in a newer version of Excel. Learn more: https://go.microsoft.com/fwlink/?linkid=870924
Comment:
    The ratio of harmonizations to disharmonizations; = harmonizations / (harmonizations + disharmonizations)</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tc={C44DD313-CC94-40BC-A23D-700E156B3A9B}</author>
    <author>tc={094DAE69-FFE1-4DC9-81F6-155544412A61}</author>
    <author>tc={3CA1F7DB-17BF-4A1B-881B-90EDD3017997}</author>
    <author>tc={01BFE859-9B1E-457B-8C3D-310EF295D228}</author>
    <author>tc={1F839008-12E3-457B-86AC-E5911618A40C}</author>
  </authors>
  <commentList>
    <comment ref="A1" authorId="0" shapeId="0" xr:uid="{C44DD313-CC94-40BC-A23D-700E156B3A9B}">
      <text>
        <t>[Threaded comment]
Your version of Excel allows you to read this threaded comment; however, any edits to it will get removed if the file is opened in a newer version of Excel. Learn more: https://go.microsoft.com/fwlink/?linkid=870924
Comment:
    Word count of the apograph, for the extent of text copied from the exemplar. Not necessarily equal to the word count of a corpus, or the exemplar. Apograph word count was chosen over autograph since it would remain stable across comparisons to other potential autographa, when the exemplar is not known.</t>
      </text>
    </comment>
    <comment ref="A2" authorId="1" shapeId="0" xr:uid="{094DAE69-FFE1-4DC9-81F6-155544412A61}">
      <text>
        <t>[Threaded comment]
Your version of Excel allows you to read this threaded comment; however, any edits to it will get removed if the file is opened in a newer version of Excel. Learn more: https://go.microsoft.com/fwlink/?linkid=870924
Comment:
    The number of total deviations from the exemplar. Includes itacisms, orthographic changes, nonsense readings etc.</t>
      </text>
    </comment>
    <comment ref="A3" authorId="2" shapeId="0" xr:uid="{3CA1F7DB-17BF-4A1B-881B-90EDD3017997}">
      <text>
        <t>[Threaded comment]
Your version of Excel allows you to read this threaded comment; however, any edits to it will get removed if the file is opened in a newer version of Excel. Learn more: https://go.microsoft.com/fwlink/?linkid=870924
Comment:
    The number of "meaningful" variants produced by the scribe. Should be based on the "general filters" page, with those readings excluded that have not been deemed fit for analysis (e.g., nonsense readings and corrections thereof, itacisms etc.)</t>
      </text>
    </comment>
    <comment ref="A5" authorId="3" shapeId="0" xr:uid="{01BFE859-9B1E-457B-8C3D-310EF295D228}">
      <text>
        <t>[Threaded comment]
Your version of Excel allows you to read this threaded comment; however, any edits to it will get removed if the file is opened in a newer version of Excel. Learn more: https://go.microsoft.com/fwlink/?linkid=870924
Comment:
    The rate of error generation per 1000 words in the apograph. Figure includes itacisms, orthographic changes, nonsense readings etc.</t>
      </text>
    </comment>
    <comment ref="A6" authorId="4" shapeId="0" xr:uid="{1F839008-12E3-457B-86AC-E5911618A40C}">
      <text>
        <t>[Threaded comment]
Your version of Excel allows you to read this threaded comment; however, any edits to it will get removed if the file is opened in a newer version of Excel. Learn more: https://go.microsoft.com/fwlink/?linkid=870924
Comment:
    Frequency of "meaningful" errors per 1000 words in the apograph. "Meaningful" errors are defined by the general filters applied to the raw data. (Here, this means the exclusion of such readings as itacisms, orthographic changes, variants involving nonsense readings etc.)</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Jonathan Wilken</author>
    <author>tc={3B3C42D7-D23A-4A13-961D-A51B33C4F812}</author>
    <author>tc={33503B61-D396-4CB6-B78C-738CF807F495}</author>
    <author>tc={578F9A70-DB86-4124-99A3-FB5E8B3F24F9}</author>
    <author>tc={CA332D3B-255C-4BFE-A327-192CC1243DCB}</author>
  </authors>
  <commentList>
    <comment ref="A1" authorId="0" shapeId="0" xr:uid="{05E51D34-2F76-4EA3-9756-10DC5A681CE6}">
      <text>
        <r>
          <rPr>
            <b/>
            <sz val="9"/>
            <color indexed="81"/>
            <rFont val="Tahoma"/>
            <family val="2"/>
          </rPr>
          <t>Jonathan Wilken:</t>
        </r>
        <r>
          <rPr>
            <sz val="9"/>
            <color indexed="81"/>
            <rFont val="Tahoma"/>
            <family val="2"/>
          </rPr>
          <t xml:space="preserve">
Potential reasons why this reading should not be included in data analysis</t>
        </r>
      </text>
    </comment>
    <comment ref="B1" authorId="0" shapeId="0" xr:uid="{C05D5664-63DA-4F1D-B1CC-B5C61DE8C6C6}">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C1" authorId="0" shapeId="0" xr:uid="{89632D27-797E-46CA-AAEB-D1B14C9982F6}">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D1" authorId="0" shapeId="0" xr:uid="{BB5CBAAC-C8B1-4656-96BC-D620C95C2E16}">
      <text>
        <r>
          <rPr>
            <b/>
            <sz val="9"/>
            <color indexed="81"/>
            <rFont val="Tahoma"/>
            <family val="2"/>
          </rPr>
          <t>Jonathan Wilken:</t>
        </r>
        <r>
          <rPr>
            <sz val="9"/>
            <color indexed="81"/>
            <rFont val="Tahoma"/>
            <family val="2"/>
          </rPr>
          <t xml:space="preserve">
Add, omit, transposition, substitution, combo</t>
        </r>
      </text>
    </comment>
    <comment ref="K3" authorId="1" shapeId="0" xr:uid="{3B3C42D7-D23A-4A13-961D-A51B33C4F812}">
      <text>
        <t>[Threaded comment]
Your version of Excel allows you to read this threaded comment; however, any edits to it will get removed if the file is opened in a newer version of Excel. Learn more: https://go.microsoft.com/fwlink/?linkid=870924
Comment:
    The apograph reading is singular and the autograph reading is not. The singular readings method would detect this variant</t>
      </text>
    </comment>
    <comment ref="K4" authorId="2" shapeId="0" xr:uid="{33503B61-D396-4CB6-B78C-738CF807F495}">
      <text>
        <t>[Threaded comment]
Your version of Excel allows you to read this threaded comment; however, any edits to it will get removed if the file is opened in a newer version of Excel. Learn more: https://go.microsoft.com/fwlink/?linkid=870924
Comment:
    That is, the autograph contains a singular reading and the apograph followed it</t>
      </text>
    </comment>
    <comment ref="K5" authorId="3" shapeId="0" xr:uid="{578F9A70-DB86-4124-99A3-FB5E8B3F24F9}">
      <text>
        <t>[Threaded comment]
Your version of Excel allows you to read this threaded comment; however, any edits to it will get removed if the file is opened in a newer version of Excel. Learn more: https://go.microsoft.com/fwlink/?linkid=870924
Comment:
    The apograph reading is not singular: other witnesses contain the same reading. These are real variants produced by the apograph scribe, but the singular readings method would not detect them</t>
      </text>
    </comment>
    <comment ref="M13" authorId="4" shapeId="0" xr:uid="{CA332D3B-255C-4BFE-A327-192CC1243DCB}">
      <text>
        <t>[Threaded comment]
Your version of Excel allows you to read this threaded comment; however, any edits to it will get removed if the file is opened in a newer version of Excel. Learn more: https://go.microsoft.com/fwlink/?linkid=870924
Comment:
    For words which have multiple common forms not impacting their inflection (e.g., ουκ-ουχ-ου, επι-επ-εφ)</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<sst xmlns="http://schemas.openxmlformats.org/spreadsheetml/2006/main" count="3753" uniqueCount="498">
  <si>
    <t>Verse Ref</t>
  </si>
  <si>
    <t>Phys Loc 1</t>
  </si>
  <si>
    <t>Phys Loc 2</t>
  </si>
  <si>
    <t>Basic Type</t>
  </si>
  <si>
    <t>Harmonizing</t>
  </si>
  <si>
    <t>Autograph</t>
  </si>
  <si>
    <t>Apograph</t>
  </si>
  <si>
    <t>Detail</t>
  </si>
  <si>
    <t>Exclusion grounds</t>
  </si>
  <si>
    <t>Corrector followed</t>
  </si>
  <si>
    <t>Apograph corrected</t>
  </si>
  <si>
    <t>Autograph unclear</t>
  </si>
  <si>
    <t>Autograph unclear (but clear enough)</t>
  </si>
  <si>
    <t>Autograph unclear (Apograph reading likely)</t>
  </si>
  <si>
    <t>Damage to autograph</t>
  </si>
  <si>
    <t>Not a variant: autograph transcript error</t>
  </si>
  <si>
    <t>Not a variant: apograph transcript error</t>
  </si>
  <si>
    <t>Apograph unclear</t>
  </si>
  <si>
    <t>Marked Regularization?</t>
  </si>
  <si>
    <t>Yes</t>
  </si>
  <si>
    <t>No</t>
  </si>
  <si>
    <t>Yes, but still an error</t>
  </si>
  <si>
    <t>Yes, partially</t>
  </si>
  <si>
    <t>Yes, to another error</t>
  </si>
  <si>
    <t>Addition</t>
  </si>
  <si>
    <t>Omission</t>
  </si>
  <si>
    <t>Transposition</t>
  </si>
  <si>
    <t>Multiple</t>
  </si>
  <si>
    <t>Apograph unclear (but clear enough)</t>
  </si>
  <si>
    <t>Apograph unclear (Autograph reading likely)</t>
  </si>
  <si>
    <t>Unclear due to correction</t>
  </si>
  <si>
    <t>Autograph transcript error, but still a variant</t>
  </si>
  <si>
    <t>Apograph transcript error, but still a variant</t>
  </si>
  <si>
    <t>Both transcripts in error, but still a variant</t>
  </si>
  <si>
    <t>Not a variant: error in both transcripts</t>
  </si>
  <si>
    <t>Not a variant, but correction is</t>
  </si>
  <si>
    <t>Other</t>
  </si>
  <si>
    <t>εγγρηγορες</t>
  </si>
  <si>
    <t>TLev.3.3</t>
  </si>
  <si>
    <t>TLev.3.4</t>
  </si>
  <si>
    <t>TLev.3.6</t>
  </si>
  <si>
    <t>ευωδιας</t>
  </si>
  <si>
    <t>ευοδιας</t>
  </si>
  <si>
    <t>TLev.3.8</t>
  </si>
  <si>
    <t>TLev.3.9</t>
  </si>
  <si>
    <t>TLev.3.10</t>
  </si>
  <si>
    <t>αναισθητουντες</t>
  </si>
  <si>
    <t>αναισθετουντες</t>
  </si>
  <si>
    <t>TLev.4.1</t>
  </si>
  <si>
    <t>TLev.18.11</t>
  </si>
  <si>
    <t>αγιωσυνης</t>
  </si>
  <si>
    <t>αγιoσυνης</t>
  </si>
  <si>
    <t>TLev.18.12</t>
  </si>
  <si>
    <t>δεθησεται</t>
  </si>
  <si>
    <t>δεθεσεται</t>
  </si>
  <si>
    <t>TLev.18.13</t>
  </si>
  <si>
    <t>TLev.18.14</t>
  </si>
  <si>
    <t>αγαλλιασεται</t>
  </si>
  <si>
    <t>αγαλλιαζεται</t>
  </si>
  <si>
    <t>χαρισομαι</t>
  </si>
  <si>
    <t>χαρησομαι</t>
  </si>
  <si>
    <t>TLev.19.1</t>
  </si>
  <si>
    <t>ηκουσατε</t>
  </si>
  <si>
    <t>ησουσατε</t>
  </si>
  <si>
    <t>TLev.19.2</t>
  </si>
  <si>
    <t>απεκριθημεν</t>
  </si>
  <si>
    <t>απεκριθομεν</t>
  </si>
  <si>
    <t>πορευσωμεθα</t>
  </si>
  <si>
    <t>πορευσομεθα</t>
  </si>
  <si>
    <t>TLev.19.3</t>
  </si>
  <si>
    <t>ειπωμεν</t>
  </si>
  <si>
    <t>ειπαμεν</t>
  </si>
  <si>
    <t>TJud.21.5</t>
  </si>
  <si>
    <t>TJud.21.6</t>
  </si>
  <si>
    <t>κινδυνευουσιν</t>
  </si>
  <si>
    <t>κινδυνευσουσιν</t>
  </si>
  <si>
    <t>πλουτισουσιν</t>
  </si>
  <si>
    <t>πλουτουσιν</t>
  </si>
  <si>
    <t>TJud.21.7</t>
  </si>
  <si>
    <t>καταδουλουσιν</t>
  </si>
  <si>
    <t>καταδουλωσσιν</t>
  </si>
  <si>
    <t>TJud.21.8</t>
  </si>
  <si>
    <t>TJud.22.2</t>
  </si>
  <si>
    <t>TJud.22.3</t>
  </si>
  <si>
    <t>τεσσαρακοστω</t>
  </si>
  <si>
    <t>TDan.6.7</t>
  </si>
  <si>
    <t>TDan.6.8</t>
  </si>
  <si>
    <t>διατηρησατε</t>
  </si>
  <si>
    <t>διατηρησαντε</t>
  </si>
  <si>
    <t>TDan.6.10</t>
  </si>
  <si>
    <t>TDan.7.2</t>
  </si>
  <si>
    <t>ανηνεγκαν</t>
  </si>
  <si>
    <t>ανενεγκαν</t>
  </si>
  <si>
    <t>TDan.7.3</t>
  </si>
  <si>
    <t>επιλαθωνται</t>
  </si>
  <si>
    <t>επιλαθονται</t>
  </si>
  <si>
    <t>TNaph.1.1</t>
  </si>
  <si>
    <t>TNaph.1.2</t>
  </si>
  <si>
    <t>TNaph.1.3</t>
  </si>
  <si>
    <t>TNaph.1.6</t>
  </si>
  <si>
    <t>TNaph.1.7</t>
  </si>
  <si>
    <t>κατεφιλει</t>
  </si>
  <si>
    <t>TNaph.1.8</t>
  </si>
  <si>
    <t>TNaph.1.9</t>
  </si>
  <si>
    <t>ρωθεου</t>
  </si>
  <si>
    <t>ρουθεου</t>
  </si>
  <si>
    <t>TNaph.1.10</t>
  </si>
  <si>
    <t>ροθεος</t>
  </si>
  <si>
    <t>ρουθεος</t>
  </si>
  <si>
    <t>TNaph.1.11</t>
  </si>
  <si>
    <t>αιναν</t>
  </si>
  <si>
    <t>ανναν</t>
  </si>
  <si>
    <t>TNaph.1.12</t>
  </si>
  <si>
    <t>καινοσπουδος</t>
  </si>
  <si>
    <t>καινοπουδος</t>
  </si>
  <si>
    <t>TNaph.2.1</t>
  </si>
  <si>
    <t>TNaph.2.2</t>
  </si>
  <si>
    <t>TNaph.2.3</t>
  </si>
  <si>
    <t>τριχος</t>
  </si>
  <si>
    <t>τρικος</t>
  </si>
  <si>
    <t>TNaph.2.4</t>
  </si>
  <si>
    <t>αρχεται</t>
  </si>
  <si>
    <t>αρχηται</t>
  </si>
  <si>
    <t>TNaph.2.6</t>
  </si>
  <si>
    <t>TNaph.2.7</t>
  </si>
  <si>
    <t>TNaph.2.8</t>
  </si>
  <si>
    <t>καλαμος</t>
  </si>
  <si>
    <t>νεφρους</t>
  </si>
  <si>
    <t>νεφους</t>
  </si>
  <si>
    <t>TNaph.2.10</t>
  </si>
  <si>
    <t>TNaph.3.1</t>
  </si>
  <si>
    <t>δυνησεται</t>
  </si>
  <si>
    <t>TNaph.3.2</t>
  </si>
  <si>
    <t>αλλοιωσετε</t>
  </si>
  <si>
    <t>αλλοιωσητε</t>
  </si>
  <si>
    <t>TNaph.3.3</t>
  </si>
  <si>
    <t>επηκολουθησαν</t>
  </si>
  <si>
    <t>επεικολουθησαν</t>
  </si>
  <si>
    <t>TNaph.3.4</t>
  </si>
  <si>
    <t>TNaph.3.5</t>
  </si>
  <si>
    <t>ερρηγορες</t>
  </si>
  <si>
    <t>TNaph.4.1</t>
  </si>
  <si>
    <t>TNaph.4.2</t>
  </si>
  <si>
    <t>TNaph.4.4</t>
  </si>
  <si>
    <t>TNaph.5.1</t>
  </si>
  <si>
    <t>τεσσακοστω</t>
  </si>
  <si>
    <t>TNaph.5.2</t>
  </si>
  <si>
    <t>TNaph.5.3</t>
  </si>
  <si>
    <t>επεδραμομεν</t>
  </si>
  <si>
    <t>επεδαμομεν</t>
  </si>
  <si>
    <t>υψωθησαν</t>
  </si>
  <si>
    <t>υπωθησαν</t>
  </si>
  <si>
    <t>TNaph.5.4</t>
  </si>
  <si>
    <t>TNaph.5.5</t>
  </si>
  <si>
    <t>TNaph.5.6</t>
  </si>
  <si>
    <t>πτερυγες</t>
  </si>
  <si>
    <t>πτερυγας</t>
  </si>
  <si>
    <t>TNaph.5.7</t>
  </si>
  <si>
    <t>εκδικησιν τοις πνευμασι</t>
  </si>
  <si>
    <t>οι δε εις τεταρτον</t>
  </si>
  <si>
    <t>οι δε εις τον τεταρτον</t>
  </si>
  <si>
    <t>εν ανωτερω</t>
  </si>
  <si>
    <t>εν τω ανωτερω</t>
  </si>
  <si>
    <t>η μεγαλη</t>
  </si>
  <si>
    <t>η μηγαλη</t>
  </si>
  <si>
    <t>εν ω αει υμνοι τω θεω</t>
  </si>
  <si>
    <t>εν ω υμνοι αει τω θεω</t>
  </si>
  <si>
    <t>επιβλεψη ο κυριος</t>
  </si>
  <si>
    <t>επιβλεψη κς</t>
  </si>
  <si>
    <t>και αι αβυσσοι</t>
  </si>
  <si>
    <t>και οι αβυσσοι</t>
  </si>
  <si>
    <t>οτε των πετρων</t>
  </si>
  <si>
    <t>οτι των πετρων</t>
  </si>
  <si>
    <t>εως αιωνος</t>
  </si>
  <si>
    <t>εως του αιωνος</t>
  </si>
  <si>
    <t>τεκνοις αυτου πατειν</t>
  </si>
  <si>
    <t>τεκνοις αυτου του πατειν</t>
  </si>
  <si>
    <t>τοις τεκνοις</t>
  </si>
  <si>
    <t>τοις αγαπητοις τεκνοις</t>
  </si>
  <si>
    <t>η νομον κυ</t>
  </si>
  <si>
    <r>
      <t xml:space="preserve">η </t>
    </r>
    <r>
      <rPr>
        <b/>
        <sz val="11"/>
        <color theme="1"/>
        <rFont val="Calibri"/>
        <family val="2"/>
        <scheme val="minor"/>
      </rPr>
      <t>τον</t>
    </r>
    <r>
      <rPr>
        <sz val="11"/>
        <color theme="1"/>
        <rFont val="Calibri"/>
        <family val="2"/>
        <scheme val="minor"/>
      </rPr>
      <t xml:space="preserve"> νομον του κυριου</t>
    </r>
  </si>
  <si>
    <r>
      <t xml:space="preserve">η τον νομον </t>
    </r>
    <r>
      <rPr>
        <b/>
        <sz val="11"/>
        <color theme="1"/>
        <rFont val="Calibri"/>
        <family val="2"/>
        <scheme val="minor"/>
      </rPr>
      <t>του</t>
    </r>
    <r>
      <rPr>
        <sz val="11"/>
        <color theme="1"/>
        <rFont val="Calibri"/>
        <family val="2"/>
        <scheme val="minor"/>
      </rPr>
      <t xml:space="preserve"> κυριου</t>
    </r>
  </si>
  <si>
    <t>εργα του βελιαρ</t>
  </si>
  <si>
    <t>εργα βελιαρ</t>
  </si>
  <si>
    <t>εντρυφηματα υιων</t>
  </si>
  <si>
    <t>εντρυφηματων υιων</t>
  </si>
  <si>
    <t>Queens firsthand = εντρυφηματα υιων, then corrects εντρυφηματα -&gt; εντρυφηματων</t>
  </si>
  <si>
    <t>ως θαλασσα</t>
  </si>
  <si>
    <t>ως η θαλασσα</t>
  </si>
  <si>
    <t>ουτως και</t>
  </si>
  <si>
    <t>ουτω και</t>
  </si>
  <si>
    <t>οτι οι βασιλευοντες</t>
  </si>
  <si>
    <t>οτι βασιλευοντες</t>
  </si>
  <si>
    <t>Queens firsthand = καταδουλουσιν, then corrects καταδουλουσιν -&gt; καταδουλωσσιν</t>
  </si>
  <si>
    <t>αγρους και ποιμνια</t>
  </si>
  <si>
    <t>αγρους ποιμνια</t>
  </si>
  <si>
    <t xml:space="preserve">(7) αρπαζουσι (8) και προκοψουσιν </t>
  </si>
  <si>
    <r>
      <t xml:space="preserve">(7) </t>
    </r>
    <r>
      <rPr>
        <b/>
        <sz val="11"/>
        <color theme="1"/>
        <rFont val="Calibri"/>
        <family val="2"/>
        <scheme val="minor"/>
      </rPr>
      <t>αρπασουσι</t>
    </r>
    <r>
      <rPr>
        <sz val="11"/>
        <color theme="1"/>
        <rFont val="Calibri"/>
        <family val="2"/>
        <scheme val="minor"/>
      </rPr>
      <t xml:space="preserve"> (8) και πολλων σαρκας αδικως κορακας και ιβεις χορτασουσι και προκοψουσιν</t>
    </r>
  </si>
  <si>
    <r>
      <t xml:space="preserve">(7) </t>
    </r>
    <r>
      <rPr>
        <b/>
        <sz val="11"/>
        <color theme="1"/>
        <rFont val="Calibri"/>
        <family val="2"/>
        <scheme val="minor"/>
      </rPr>
      <t>αρπαζουσι</t>
    </r>
    <r>
      <rPr>
        <sz val="11"/>
        <color theme="1"/>
        <rFont val="Calibri"/>
        <family val="2"/>
        <scheme val="minor"/>
      </rPr>
      <t xml:space="preserve"> (8) και προκοψουσιν </t>
    </r>
  </si>
  <si>
    <t>σωτηριον τω ισραηλ</t>
  </si>
  <si>
    <t>σριον ιηλ</t>
  </si>
  <si>
    <t>παντα τα εθνη</t>
  </si>
  <si>
    <t>παντα εθνη</t>
  </si>
  <si>
    <t>βασιλειον μου εκ του σπερματος</t>
  </si>
  <si>
    <t>βασιλειον μου και του σπερματος</t>
  </si>
  <si>
    <t>το ονομα</t>
  </si>
  <si>
    <t>το δε ονομα</t>
  </si>
  <si>
    <t>νομου κυ (11) και θαψατε</t>
  </si>
  <si>
    <r>
      <t xml:space="preserve">νομου </t>
    </r>
    <r>
      <rPr>
        <b/>
        <sz val="11"/>
        <color theme="1"/>
        <rFont val="Calibri"/>
        <family val="2"/>
        <scheme val="minor"/>
      </rPr>
      <t>του</t>
    </r>
    <r>
      <rPr>
        <sz val="11"/>
        <color theme="1"/>
        <rFont val="Calibri"/>
        <family val="2"/>
        <scheme val="minor"/>
      </rPr>
      <t xml:space="preserve"> θεου (11) και θαψατε</t>
    </r>
  </si>
  <si>
    <r>
      <t xml:space="preserve">νομου του </t>
    </r>
    <r>
      <rPr>
        <b/>
        <sz val="11"/>
        <color theme="1"/>
        <rFont val="Calibri"/>
        <family val="2"/>
        <scheme val="minor"/>
      </rPr>
      <t>θεου</t>
    </r>
    <r>
      <rPr>
        <sz val="11"/>
        <color theme="1"/>
        <rFont val="Calibri"/>
        <family val="2"/>
        <scheme val="minor"/>
      </rPr>
      <t xml:space="preserve"> (11) και θαψατε</t>
    </r>
  </si>
  <si>
    <r>
      <t xml:space="preserve">νομου </t>
    </r>
    <r>
      <rPr>
        <b/>
        <sz val="11"/>
        <color theme="1"/>
        <rFont val="Calibri"/>
        <family val="2"/>
        <scheme val="minor"/>
      </rPr>
      <t>κυ</t>
    </r>
    <r>
      <rPr>
        <sz val="11"/>
        <color theme="1"/>
        <rFont val="Calibri"/>
        <family val="2"/>
        <scheme val="minor"/>
      </rPr>
      <t xml:space="preserve"> (11) και θαψατε</t>
    </r>
  </si>
  <si>
    <t>νεφθαλειμ ης διεθετο</t>
  </si>
  <si>
    <t>νεφθαλειμ ων διεθετο</t>
  </si>
  <si>
    <t>εν ετει ρλ ζωης αυτου</t>
  </si>
  <si>
    <r>
      <t xml:space="preserve">εν ετει εκατοστω τριακοστω </t>
    </r>
    <r>
      <rPr>
        <b/>
        <sz val="11"/>
        <color theme="1"/>
        <rFont val="Calibri"/>
        <family val="2"/>
        <scheme val="minor"/>
      </rPr>
      <t>δευτερω</t>
    </r>
    <r>
      <rPr>
        <sz val="11"/>
        <color theme="1"/>
        <rFont val="Calibri"/>
        <family val="2"/>
        <scheme val="minor"/>
      </rPr>
      <t xml:space="preserve"> της ζωης αυτου</t>
    </r>
  </si>
  <si>
    <r>
      <t xml:space="preserve">εν ετει εκατοστω τριακοστω δευτερω </t>
    </r>
    <r>
      <rPr>
        <b/>
        <sz val="11"/>
        <color theme="1"/>
        <rFont val="Calibri"/>
        <family val="2"/>
        <scheme val="minor"/>
      </rPr>
      <t>της</t>
    </r>
    <r>
      <rPr>
        <sz val="11"/>
        <color theme="1"/>
        <rFont val="Calibri"/>
        <family val="2"/>
        <scheme val="minor"/>
      </rPr>
      <t xml:space="preserve"> ζωης αυτου</t>
    </r>
  </si>
  <si>
    <t>δειπνον αυτος</t>
  </si>
  <si>
    <t>δειπνον αυτοις</t>
  </si>
  <si>
    <t>μετα του εξυπνισθηναι</t>
  </si>
  <si>
    <t>μετα το εξυπνισθηναι</t>
  </si>
  <si>
    <t>εποιησε ραχηλ</t>
  </si>
  <si>
    <r>
      <rPr>
        <b/>
        <sz val="11"/>
        <color theme="1"/>
        <rFont val="Calibri"/>
        <family val="2"/>
        <scheme val="minor"/>
      </rPr>
      <t>εποιησε</t>
    </r>
    <r>
      <rPr>
        <sz val="11"/>
        <color theme="1"/>
        <rFont val="Calibri"/>
        <family val="2"/>
        <scheme val="minor"/>
      </rPr>
      <t xml:space="preserve"> ραχηλ</t>
    </r>
  </si>
  <si>
    <r>
      <rPr>
        <b/>
        <sz val="11"/>
        <color theme="1"/>
        <rFont val="Calibri"/>
        <family val="2"/>
        <scheme val="minor"/>
      </rPr>
      <t>εποιησεν</t>
    </r>
    <r>
      <rPr>
        <sz val="11"/>
        <color theme="1"/>
        <rFont val="Calibri"/>
        <family val="2"/>
        <scheme val="minor"/>
      </rPr>
      <t xml:space="preserve"> η ραχηλ</t>
    </r>
  </si>
  <si>
    <r>
      <t xml:space="preserve">εποιησεν </t>
    </r>
    <r>
      <rPr>
        <b/>
        <sz val="11"/>
        <color theme="1"/>
        <rFont val="Calibri"/>
        <family val="2"/>
        <scheme val="minor"/>
      </rPr>
      <t>η</t>
    </r>
    <r>
      <rPr>
        <sz val="11"/>
        <color theme="1"/>
        <rFont val="Calibri"/>
        <family val="2"/>
        <scheme val="minor"/>
      </rPr>
      <t xml:space="preserve"> ραχηλ</t>
    </r>
  </si>
  <si>
    <r>
      <rPr>
        <b/>
        <sz val="11"/>
        <color theme="1"/>
        <rFont val="Calibri"/>
        <family val="2"/>
        <scheme val="minor"/>
      </rPr>
      <t>ανθ</t>
    </r>
    <r>
      <rPr>
        <sz val="11"/>
        <color theme="1"/>
        <rFont val="Calibri"/>
        <family val="2"/>
        <scheme val="minor"/>
      </rPr>
      <t xml:space="preserve"> εαυτης</t>
    </r>
  </si>
  <si>
    <r>
      <rPr>
        <b/>
        <sz val="11"/>
        <color theme="1"/>
        <rFont val="Calibri"/>
        <family val="2"/>
        <scheme val="minor"/>
      </rPr>
      <t>αντ</t>
    </r>
    <r>
      <rPr>
        <sz val="11"/>
        <color theme="1"/>
        <rFont val="Calibri"/>
        <family val="2"/>
        <scheme val="minor"/>
      </rPr>
      <t xml:space="preserve"> αυτης</t>
    </r>
  </si>
  <si>
    <r>
      <t xml:space="preserve">αντ </t>
    </r>
    <r>
      <rPr>
        <b/>
        <sz val="11"/>
        <color theme="1"/>
        <rFont val="Calibri"/>
        <family val="2"/>
        <scheme val="minor"/>
      </rPr>
      <t>αυτης</t>
    </r>
  </si>
  <si>
    <r>
      <t xml:space="preserve">ανθ </t>
    </r>
    <r>
      <rPr>
        <b/>
        <sz val="11"/>
        <color theme="1"/>
        <rFont val="Calibri"/>
        <family val="2"/>
        <scheme val="minor"/>
      </rPr>
      <t>εαυτης</t>
    </r>
  </si>
  <si>
    <t>βαλλαν τω ιακωβ</t>
  </si>
  <si>
    <t>βαλλαν των ιακωβ</t>
  </si>
  <si>
    <r>
      <t xml:space="preserve">ιακωβ και επι των μηρων </t>
    </r>
    <r>
      <rPr>
        <b/>
        <sz val="11"/>
        <color theme="1"/>
        <rFont val="Calibri"/>
        <family val="2"/>
        <scheme val="minor"/>
      </rPr>
      <t>ραχηλ ετεκε με δια τουτο εκληθην νεφθαλειμ</t>
    </r>
    <r>
      <rPr>
        <sz val="11"/>
        <color theme="1"/>
        <rFont val="Calibri"/>
        <family val="2"/>
        <scheme val="minor"/>
      </rPr>
      <t xml:space="preserve"> (7) </t>
    </r>
    <r>
      <rPr>
        <b/>
        <sz val="11"/>
        <color theme="1"/>
        <rFont val="Calibri"/>
        <family val="2"/>
        <scheme val="minor"/>
      </rPr>
      <t>και ηγαπησε με ραχηλ οτι επι των μηρων</t>
    </r>
    <r>
      <rPr>
        <sz val="11"/>
        <color theme="1"/>
        <rFont val="Calibri"/>
        <family val="2"/>
        <scheme val="minor"/>
      </rPr>
      <t xml:space="preserve"> αυτης εγεννηθην</t>
    </r>
  </si>
  <si>
    <t>ιακωβ και επι των μηρων (7) αυτης εγενηθην</t>
  </si>
  <si>
    <r>
      <t xml:space="preserve">ιακωβ και επι των μηρων ραχηλ ετεκε με δια τουτο εκληθην νεφθαλειμ (7) και ηγαπησε με ραχηλ οτι επι των μηρων αυτης </t>
    </r>
    <r>
      <rPr>
        <b/>
        <sz val="11"/>
        <color theme="1"/>
        <rFont val="Calibri"/>
        <family val="2"/>
        <scheme val="minor"/>
      </rPr>
      <t>εγεννηθην</t>
    </r>
  </si>
  <si>
    <r>
      <t xml:space="preserve">ιακωβ και επι των μηρων (7) αυτης </t>
    </r>
    <r>
      <rPr>
        <b/>
        <sz val="11"/>
        <color theme="1"/>
        <rFont val="Calibri"/>
        <family val="2"/>
        <scheme val="minor"/>
      </rPr>
      <t>εγενηθην</t>
    </r>
  </si>
  <si>
    <t>καταφιλει</t>
  </si>
  <si>
    <t>πασιν ο ιωσηφ</t>
  </si>
  <si>
    <t>πασιν ιωσηφ</t>
  </si>
  <si>
    <t>και η ραχηλ</t>
  </si>
  <si>
    <t>και ραχηλ</t>
  </si>
  <si>
    <t>γενους ην αβρααμ</t>
  </si>
  <si>
    <t>γενους αβρααμ</t>
  </si>
  <si>
    <t>παιδισκην αυτου γυναικα</t>
  </si>
  <si>
    <t>παιδισκην αυτου εις γυναικα</t>
  </si>
  <si>
    <t>(11) ηχμαλωτευθη (12) και εξης ετεκε</t>
  </si>
  <si>
    <t>(11) ηχμαλωτευθη (12) εξ ης ετεκε</t>
  </si>
  <si>
    <t>επειδη κουφος</t>
  </si>
  <si>
    <t>επει δε κουφος</t>
  </si>
  <si>
    <t>τοις ποσιν ως ελαφος</t>
  </si>
  <si>
    <r>
      <t xml:space="preserve">τοις </t>
    </r>
    <r>
      <rPr>
        <b/>
        <sz val="11"/>
        <color theme="1"/>
        <rFont val="Calibri"/>
        <family val="2"/>
        <scheme val="minor"/>
      </rPr>
      <t>ποσι</t>
    </r>
    <r>
      <rPr>
        <sz val="11"/>
        <color theme="1"/>
        <rFont val="Calibri"/>
        <family val="2"/>
        <scheme val="minor"/>
      </rPr>
      <t xml:space="preserve"> μου ως ελαφος</t>
    </r>
  </si>
  <si>
    <r>
      <t xml:space="preserve">τοις </t>
    </r>
    <r>
      <rPr>
        <b/>
        <sz val="11"/>
        <color theme="1"/>
        <rFont val="Calibri"/>
        <family val="2"/>
        <scheme val="minor"/>
      </rPr>
      <t>ποσιν</t>
    </r>
    <r>
      <rPr>
        <sz val="11"/>
        <color theme="1"/>
        <rFont val="Calibri"/>
        <family val="2"/>
        <scheme val="minor"/>
      </rPr>
      <t xml:space="preserve"> ως ελαφος</t>
    </r>
  </si>
  <si>
    <r>
      <t xml:space="preserve">τοις ποσι </t>
    </r>
    <r>
      <rPr>
        <b/>
        <sz val="11"/>
        <color theme="1"/>
        <rFont val="Calibri"/>
        <family val="2"/>
        <scheme val="minor"/>
      </rPr>
      <t>μου</t>
    </r>
    <r>
      <rPr>
        <sz val="11"/>
        <color theme="1"/>
        <rFont val="Calibri"/>
        <family val="2"/>
        <scheme val="minor"/>
      </rPr>
      <t xml:space="preserve"> ως ελαφος</t>
    </r>
  </si>
  <si>
    <t>φερει πηλον</t>
  </si>
  <si>
    <t>Queens adds τον between these words</t>
  </si>
  <si>
    <t>διαρκεσει εν αγαθω</t>
  </si>
  <si>
    <t>διακρεσεν εν αγαθω</t>
  </si>
  <si>
    <t>Queens corrects διακρεσεν -&gt; διαρκεσεν</t>
  </si>
  <si>
    <t>εργον αυτου και</t>
  </si>
  <si>
    <t>εργον αυτους και</t>
  </si>
  <si>
    <t>ως κεχωρισται</t>
  </si>
  <si>
    <t>ως χκεχωρισται</t>
  </si>
  <si>
    <t>αισθησεις τη κεφαλη και τριχας</t>
  </si>
  <si>
    <t>αισθησεις εν τη κεφαλη και τον τραχηλον συναπτει τη κεφαλη και τριχας</t>
  </si>
  <si>
    <t>skips 1.5 lines (240v.1.16-18; visual cues present)</t>
  </si>
  <si>
    <t>Queens corrects to καλαμον</t>
  </si>
  <si>
    <t>(9) καιρου αυτου (10) οτι εαν ειπης τω οφθαλμω ακουσαι ου δυναται ουτως</t>
  </si>
  <si>
    <r>
      <t xml:space="preserve">(9) καιρου αυτου (10) </t>
    </r>
    <r>
      <rPr>
        <b/>
        <sz val="11"/>
        <color theme="1"/>
        <rFont val="Calibri"/>
        <family val="2"/>
        <scheme val="minor"/>
      </rPr>
      <t>οτι εαν ειπης τω οφθαλμω ακουσαι ου δυναται</t>
    </r>
    <r>
      <rPr>
        <sz val="11"/>
        <color theme="1"/>
        <rFont val="Calibri"/>
        <family val="2"/>
        <scheme val="minor"/>
      </rPr>
      <t xml:space="preserve"> ουτως</t>
    </r>
  </si>
  <si>
    <r>
      <t xml:space="preserve">(9) καιρου αυτου (10) </t>
    </r>
    <r>
      <rPr>
        <b/>
        <sz val="11"/>
        <color theme="1"/>
        <rFont val="Calibri"/>
        <family val="2"/>
        <scheme val="minor"/>
      </rPr>
      <t>ου δυναται ουν οτι εαν ειπης τω οφθαλμω ακουσασαι</t>
    </r>
    <r>
      <rPr>
        <sz val="11"/>
        <color theme="1"/>
        <rFont val="Calibri"/>
        <family val="2"/>
        <scheme val="minor"/>
      </rPr>
      <t xml:space="preserve"> ουτως</t>
    </r>
  </si>
  <si>
    <r>
      <t xml:space="preserve">(9) καιρου αυτου (10) ου δυναται </t>
    </r>
    <r>
      <rPr>
        <b/>
        <sz val="11"/>
        <color theme="1"/>
        <rFont val="Calibri"/>
        <family val="2"/>
        <scheme val="minor"/>
      </rPr>
      <t>ουν</t>
    </r>
    <r>
      <rPr>
        <sz val="11"/>
        <color theme="1"/>
        <rFont val="Calibri"/>
        <family val="2"/>
        <scheme val="minor"/>
      </rPr>
      <t xml:space="preserve"> οτι εαν ειπης τω οφθαλμω ακουσασαι ουτως</t>
    </r>
  </si>
  <si>
    <r>
      <t xml:space="preserve">(9) καιρου αυτου (10) ου δυναται ουν οτι εαν ειπης τω οφθαλμω </t>
    </r>
    <r>
      <rPr>
        <b/>
        <sz val="11"/>
        <color theme="1"/>
        <rFont val="Calibri"/>
        <family val="2"/>
        <scheme val="minor"/>
      </rPr>
      <t>ακουσασαι</t>
    </r>
    <r>
      <rPr>
        <sz val="11"/>
        <color theme="1"/>
        <rFont val="Calibri"/>
        <family val="2"/>
        <scheme val="minor"/>
      </rPr>
      <t xml:space="preserve"> ουτως</t>
    </r>
  </si>
  <si>
    <r>
      <t xml:space="preserve">(9) καιρου αυτου (10) οτι εαν ειπης τω οφθαλμω </t>
    </r>
    <r>
      <rPr>
        <b/>
        <sz val="11"/>
        <color theme="1"/>
        <rFont val="Calibri"/>
        <family val="2"/>
        <scheme val="minor"/>
      </rPr>
      <t>ακουσαι</t>
    </r>
    <r>
      <rPr>
        <sz val="11"/>
        <color theme="1"/>
        <rFont val="Calibri"/>
        <family val="2"/>
        <scheme val="minor"/>
      </rPr>
      <t xml:space="preserve"> ου δυναται ουτως</t>
    </r>
  </si>
  <si>
    <t>ουδε εν σκοτεις ποιειν εργα φωτος</t>
  </si>
  <si>
    <r>
      <t xml:space="preserve">ουδε εν </t>
    </r>
    <r>
      <rPr>
        <b/>
        <sz val="11"/>
        <color theme="1"/>
        <rFont val="Calibri"/>
        <family val="2"/>
        <scheme val="minor"/>
      </rPr>
      <t>σκοτει</t>
    </r>
    <r>
      <rPr>
        <sz val="11"/>
        <color theme="1"/>
        <rFont val="Calibri"/>
        <family val="2"/>
        <scheme val="minor"/>
      </rPr>
      <t xml:space="preserve"> δυνησεσθε ποιησαι εργα φωτος</t>
    </r>
  </si>
  <si>
    <r>
      <t xml:space="preserve">ουδε εν </t>
    </r>
    <r>
      <rPr>
        <b/>
        <sz val="11"/>
        <color theme="1"/>
        <rFont val="Calibri"/>
        <family val="2"/>
        <scheme val="minor"/>
      </rPr>
      <t>σκοτεις</t>
    </r>
    <r>
      <rPr>
        <sz val="11"/>
        <color theme="1"/>
        <rFont val="Calibri"/>
        <family val="2"/>
        <scheme val="minor"/>
      </rPr>
      <t xml:space="preserve"> ποιειν εργα φωτος</t>
    </r>
  </si>
  <si>
    <r>
      <t xml:space="preserve">ουδε εν σκοτει </t>
    </r>
    <r>
      <rPr>
        <b/>
        <sz val="11"/>
        <color theme="1"/>
        <rFont val="Calibri"/>
        <family val="2"/>
        <scheme val="minor"/>
      </rPr>
      <t>δυνησεσθε</t>
    </r>
    <r>
      <rPr>
        <sz val="11"/>
        <color theme="1"/>
        <rFont val="Calibri"/>
        <family val="2"/>
        <scheme val="minor"/>
      </rPr>
      <t xml:space="preserve"> ποιησαι εργα φωτος</t>
    </r>
  </si>
  <si>
    <r>
      <t xml:space="preserve">ουδε εν σκοτει δυνησεσθε </t>
    </r>
    <r>
      <rPr>
        <b/>
        <sz val="11"/>
        <color theme="1"/>
        <rFont val="Calibri"/>
        <family val="2"/>
        <scheme val="minor"/>
      </rPr>
      <t>ποιησαι</t>
    </r>
    <r>
      <rPr>
        <sz val="11"/>
        <color theme="1"/>
        <rFont val="Calibri"/>
        <family val="2"/>
        <scheme val="minor"/>
      </rPr>
      <t xml:space="preserve"> εργα φωτος</t>
    </r>
  </si>
  <si>
    <r>
      <t xml:space="preserve">ουδε εν σκοτεις </t>
    </r>
    <r>
      <rPr>
        <b/>
        <sz val="11"/>
        <color theme="1"/>
        <rFont val="Calibri"/>
        <family val="2"/>
        <scheme val="minor"/>
      </rPr>
      <t>ποιειν</t>
    </r>
    <r>
      <rPr>
        <sz val="11"/>
        <color theme="1"/>
        <rFont val="Calibri"/>
        <family val="2"/>
        <scheme val="minor"/>
      </rPr>
      <t xml:space="preserve"> εργα φωτος</t>
    </r>
  </si>
  <si>
    <t>δυνησετε</t>
  </si>
  <si>
    <t>αφεντα κυριον κλλοιωσαν</t>
  </si>
  <si>
    <r>
      <t xml:space="preserve">αφεντα </t>
    </r>
    <r>
      <rPr>
        <b/>
        <sz val="11"/>
        <color theme="1"/>
        <rFont val="Calibri"/>
        <family val="2"/>
        <scheme val="minor"/>
      </rPr>
      <t>τον</t>
    </r>
    <r>
      <rPr>
        <sz val="11"/>
        <color theme="1"/>
        <rFont val="Calibri"/>
        <family val="2"/>
        <scheme val="minor"/>
      </rPr>
      <t xml:space="preserve"> κν ηλλοιωσαν</t>
    </r>
  </si>
  <si>
    <r>
      <t xml:space="preserve">αφεντα τον κν </t>
    </r>
    <r>
      <rPr>
        <b/>
        <sz val="11"/>
        <color theme="1"/>
        <rFont val="Calibri"/>
        <family val="2"/>
        <scheme val="minor"/>
      </rPr>
      <t>ηλλοιωσαν</t>
    </r>
  </si>
  <si>
    <r>
      <t xml:space="preserve">αφεντα κυριον </t>
    </r>
    <r>
      <rPr>
        <b/>
        <sz val="11"/>
        <color theme="1"/>
        <rFont val="Calibri"/>
        <family val="2"/>
        <scheme val="minor"/>
      </rPr>
      <t>κλλοιωσαν</t>
    </r>
  </si>
  <si>
    <t>υμεις μη ουτως</t>
  </si>
  <si>
    <t>υμεις δε μη ουτως</t>
  </si>
  <si>
    <t>και θαλασση</t>
  </si>
  <si>
    <t>και εν θαλασση</t>
  </si>
  <si>
    <t>ποιησαντα τα παντα</t>
  </si>
  <si>
    <t>ποιησαντα ταυτα παντα</t>
  </si>
  <si>
    <t>Queens corrects to εγρηγορες</t>
  </si>
  <si>
    <t>ους κατηρασατο</t>
  </si>
  <si>
    <t>ους και κατηρασατο</t>
  </si>
  <si>
    <t>οτι ανεγνων</t>
  </si>
  <si>
    <t>οτι εγνων</t>
  </si>
  <si>
    <t>καιγε υμεις</t>
  </si>
  <si>
    <t>καιγε και υμεις</t>
  </si>
  <si>
    <t>εως αν αναλωση</t>
  </si>
  <si>
    <t>εως αναλωση</t>
  </si>
  <si>
    <t>εν γη πρων αυτων</t>
  </si>
  <si>
    <t>εν γη πατρωση αυτων</t>
  </si>
  <si>
    <t>Queens corrects πατρωση -&gt; πατρωη; this error looks familiar, was it made in other copies?</t>
  </si>
  <si>
    <t>επιλαθωνται κυριον και</t>
  </si>
  <si>
    <t>επιλαθωνται κυ και</t>
  </si>
  <si>
    <t>I feel like this correcting-error also occurred in other copies</t>
  </si>
  <si>
    <t>ημιν προσδραμοντες</t>
  </si>
  <si>
    <t>ημινν προσδραμοντες</t>
  </si>
  <si>
    <t>και λευι</t>
  </si>
  <si>
    <t>και ο λευι</t>
  </si>
  <si>
    <t>και ο ιουδας</t>
  </si>
  <si>
    <t>και ιουδας</t>
  </si>
  <si>
    <t>του λευι ως ηλιου</t>
  </si>
  <si>
    <t>του λευι εκρατησε τον ηλιον ως ηλιου</t>
  </si>
  <si>
    <t>ποδας αυτου ησαν</t>
  </si>
  <si>
    <t>ποδας αυτων ησαν</t>
  </si>
  <si>
    <t>θελοντες αυτον πιασαι ουκ ηδυνηθημεν</t>
  </si>
  <si>
    <t>θελοντες πιασαι αυτον ουκ ηδυνηθημεν</t>
  </si>
  <si>
    <t>φθασας δε ιωσηφ</t>
  </si>
  <si>
    <t>φθασας γαρ ιωσηφ</t>
  </si>
  <si>
    <r>
      <rPr>
        <b/>
        <sz val="11"/>
        <color theme="1"/>
        <rFont val="Calibri"/>
        <family val="2"/>
        <scheme val="minor"/>
      </rPr>
      <t>συνανηλθεν</t>
    </r>
    <r>
      <rPr>
        <sz val="11"/>
        <color theme="1"/>
        <rFont val="Calibri"/>
        <family val="2"/>
        <scheme val="minor"/>
      </rPr>
      <t xml:space="preserve"> αυτω εις υψος (8) και ειδον </t>
    </r>
  </si>
  <si>
    <r>
      <rPr>
        <b/>
        <sz val="11"/>
        <color theme="1"/>
        <rFont val="Calibri"/>
        <family val="2"/>
        <scheme val="minor"/>
      </rPr>
      <t>συνηλθεν</t>
    </r>
    <r>
      <rPr>
        <sz val="11"/>
        <color theme="1"/>
        <rFont val="Calibri"/>
        <family val="2"/>
        <scheme val="minor"/>
      </rPr>
      <t xml:space="preserve"> αυτω εις υψος εις υψος (8) και ειδον </t>
    </r>
  </si>
  <si>
    <t>Speech part add/omitted</t>
  </si>
  <si>
    <t>Visual Cues</t>
  </si>
  <si>
    <t>Duplicate Material</t>
  </si>
  <si>
    <t>Singularity</t>
  </si>
  <si>
    <t>Secondary</t>
  </si>
  <si>
    <t>Minutiae</t>
  </si>
  <si>
    <t>Nonsense</t>
  </si>
  <si>
    <t>Adjective</t>
  </si>
  <si>
    <t>Present</t>
  </si>
  <si>
    <t>Dittography</t>
  </si>
  <si>
    <t>Singular</t>
  </si>
  <si>
    <t>Itacism</t>
  </si>
  <si>
    <t>Generated - strict</t>
  </si>
  <si>
    <t>Article</t>
  </si>
  <si>
    <t>Absent</t>
  </si>
  <si>
    <t>Repetition</t>
  </si>
  <si>
    <t>Non-singular</t>
  </si>
  <si>
    <t>Movable ν</t>
  </si>
  <si>
    <t>Generated - contextual</t>
  </si>
  <si>
    <t>Adverb</t>
  </si>
  <si>
    <t>Dual</t>
  </si>
  <si>
    <t>Iota Adscript</t>
  </si>
  <si>
    <t>Removed - strict</t>
  </si>
  <si>
    <t>Conjunction</t>
  </si>
  <si>
    <t>Iota Subscript</t>
  </si>
  <si>
    <t>Removed - contextual</t>
  </si>
  <si>
    <t>Compound word</t>
  </si>
  <si>
    <t>Abbreviation</t>
  </si>
  <si>
    <t>Noun</t>
  </si>
  <si>
    <t>Breathings</t>
  </si>
  <si>
    <t>Pronoun</t>
  </si>
  <si>
    <t>Accents</t>
  </si>
  <si>
    <t>Preposition</t>
  </si>
  <si>
    <t>Punctuation</t>
  </si>
  <si>
    <t>Participle</t>
  </si>
  <si>
    <t>Vocative</t>
  </si>
  <si>
    <t>Exclusion Grounds</t>
  </si>
  <si>
    <t>Corrector Followed</t>
  </si>
  <si>
    <t>Apograph Corrected</t>
  </si>
  <si>
    <t>Phrase Length</t>
  </si>
  <si>
    <t>Words Length</t>
  </si>
  <si>
    <t>Letters Length</t>
  </si>
  <si>
    <t>Speech Part Add/Omitted</t>
  </si>
  <si>
    <t>Cue Regions</t>
  </si>
  <si>
    <t>Cue Length</t>
  </si>
  <si>
    <t>AO Word Frequency</t>
  </si>
  <si>
    <t>SUB Frequency Difference</t>
  </si>
  <si>
    <t>Orthographic - General</t>
  </si>
  <si>
    <t>Review</t>
  </si>
  <si>
    <t>Harmonization - Context</t>
  </si>
  <si>
    <t>Parallel Present</t>
  </si>
  <si>
    <t>Harmonization - Parallel</t>
  </si>
  <si>
    <t>Mere Minutiae</t>
  </si>
  <si>
    <t>Disharmonizing</t>
  </si>
  <si>
    <t>Substitution - Word</t>
  </si>
  <si>
    <t>NA</t>
  </si>
  <si>
    <t>Substitution - Form</t>
  </si>
  <si>
    <t>Substitution - Both</t>
  </si>
  <si>
    <t>Below word level</t>
  </si>
  <si>
    <t>Particle</t>
  </si>
  <si>
    <t>Unfiltered variants:</t>
  </si>
  <si>
    <t>Total variants:</t>
  </si>
  <si>
    <t>Barocci</t>
  </si>
  <si>
    <t>Smith</t>
  </si>
  <si>
    <t>Oo.VI.9.8</t>
  </si>
  <si>
    <t>Verb</t>
  </si>
  <si>
    <t>ΝΑ</t>
  </si>
  <si>
    <t>ω-ο</t>
  </si>
  <si>
    <t>η-ε</t>
  </si>
  <si>
    <t>AB:AC</t>
  </si>
  <si>
    <t>3:3</t>
  </si>
  <si>
    <t>BD:CD</t>
  </si>
  <si>
    <t>Name Spelling</t>
  </si>
  <si>
    <t>AC</t>
  </si>
  <si>
    <t>1.0.1 transposition</t>
  </si>
  <si>
    <t>ε-η</t>
  </si>
  <si>
    <t>12</t>
  </si>
  <si>
    <t>AC:BD</t>
  </si>
  <si>
    <r>
      <t>(7) αρπασουσι (8) και</t>
    </r>
    <r>
      <rPr>
        <b/>
        <sz val="11"/>
        <color theme="1"/>
        <rFont val="Calibri"/>
        <family val="2"/>
        <scheme val="minor"/>
      </rPr>
      <t xml:space="preserve"> πολλων σαρκας αδικως κορακας και ιβεις χορτασουσι</t>
    </r>
    <r>
      <rPr>
        <sz val="11"/>
        <color theme="1"/>
        <rFont val="Calibri"/>
        <family val="2"/>
        <scheme val="minor"/>
      </rPr>
      <t xml:space="preserve"> </t>
    </r>
    <r>
      <rPr>
        <b/>
        <sz val="11"/>
        <color theme="1"/>
        <rFont val="Calibri"/>
        <family val="2"/>
        <scheme val="minor"/>
      </rPr>
      <t>και</t>
    </r>
    <r>
      <rPr>
        <sz val="11"/>
        <color theme="1"/>
        <rFont val="Calibri"/>
        <family val="2"/>
        <scheme val="minor"/>
      </rPr>
      <t xml:space="preserve"> προκοψουσιν</t>
    </r>
  </si>
  <si>
    <t>10:3</t>
  </si>
  <si>
    <t>freq = κοραξ</t>
  </si>
  <si>
    <t>phrase εως του αιωνος occurs twice in this verse, apograph omits του both times, therefore not counting as disharmonizing</t>
  </si>
  <si>
    <t>skips 3 lines (239v.2.3-5; visual cues present); freq = μηρος</t>
  </si>
  <si>
    <t>the phrase ουτω και occurs 6x more in the near context (cf. v. 6), always without the sigma; apograph disharmonizes</t>
  </si>
  <si>
    <t>3:12</t>
  </si>
  <si>
    <t>6.0.2 transposition</t>
  </si>
  <si>
    <t>Var Type</t>
  </si>
  <si>
    <t>Indpendent</t>
  </si>
  <si>
    <t>W/ Nons</t>
  </si>
  <si>
    <t>W/o Nons</t>
  </si>
  <si>
    <t>Adds:</t>
  </si>
  <si>
    <t>Omits:</t>
  </si>
  <si>
    <t>W/ ditt.</t>
  </si>
  <si>
    <t>W/o ditt.</t>
  </si>
  <si>
    <t>Non-Duals</t>
  </si>
  <si>
    <t>SimGem</t>
  </si>
  <si>
    <t>AspChan</t>
  </si>
  <si>
    <t>AB:AC:BD:CD</t>
  </si>
  <si>
    <t>4:4:4:4</t>
  </si>
  <si>
    <t>AltForm</t>
  </si>
  <si>
    <t>Contraction</t>
  </si>
  <si>
    <t>Dependent variant</t>
  </si>
  <si>
    <t>adds:</t>
  </si>
  <si>
    <t>omits:</t>
  </si>
  <si>
    <t>Add rate:</t>
  </si>
  <si>
    <t>LM</t>
  </si>
  <si>
    <t>HM</t>
  </si>
  <si>
    <t>LM-adds:</t>
  </si>
  <si>
    <t>LM-omits:</t>
  </si>
  <si>
    <t>LM-add rate:</t>
  </si>
  <si>
    <t>Length</t>
  </si>
  <si>
    <t>Adds</t>
  </si>
  <si>
    <t>Omits</t>
  </si>
  <si>
    <t>AddRate</t>
  </si>
  <si>
    <t>HM-adds:</t>
  </si>
  <si>
    <t>HM-omits:</t>
  </si>
  <si>
    <t>HM-add rate:</t>
  </si>
  <si>
    <t>Cues</t>
  </si>
  <si>
    <t>Not</t>
  </si>
  <si>
    <t>% present</t>
  </si>
  <si>
    <t>Total</t>
  </si>
  <si>
    <t>Add ratio diff.</t>
  </si>
  <si>
    <t>Cues Pres.</t>
  </si>
  <si>
    <t>Cues Abs.</t>
  </si>
  <si>
    <t>Add Ratio</t>
  </si>
  <si>
    <t>Non-ditt.</t>
  </si>
  <si>
    <t>Ditt.</t>
  </si>
  <si>
    <t>2-3</t>
  </si>
  <si>
    <t>4+</t>
  </si>
  <si>
    <t>&gt;=5</t>
  </si>
  <si>
    <t>Words in corpus (Genesis - Deuteronomy)</t>
  </si>
  <si>
    <t>SUB_Aut_Freq</t>
  </si>
  <si>
    <t>SUB_Apog_Freq</t>
  </si>
  <si>
    <t/>
  </si>
  <si>
    <t>Freq-per-10000</t>
  </si>
  <si>
    <t>Med-word-freq</t>
  </si>
  <si>
    <t>HF-adds</t>
  </si>
  <si>
    <t>HF-omits</t>
  </si>
  <si>
    <t>HF-add-ratio</t>
  </si>
  <si>
    <t>LF-adds</t>
  </si>
  <si>
    <t>LF-omits</t>
  </si>
  <si>
    <t>LF-add-ratio</t>
  </si>
  <si>
    <t>not enough data</t>
  </si>
  <si>
    <t>art-adds</t>
  </si>
  <si>
    <t>art-omits</t>
  </si>
  <si>
    <t>art-add-rate</t>
  </si>
  <si>
    <t>just articles</t>
  </si>
  <si>
    <t>Aut_P10K_Freq</t>
  </si>
  <si>
    <t>Apog_P10K_Freq</t>
  </si>
  <si>
    <t>P10K_Freq_Diff</t>
  </si>
  <si>
    <t>pos</t>
  </si>
  <si>
    <t>neg</t>
  </si>
  <si>
    <t>p =</t>
  </si>
  <si>
    <t>avg_diff</t>
  </si>
  <si>
    <t>stdv</t>
  </si>
  <si>
    <t>avg_P10K_diff</t>
  </si>
  <si>
    <t>P10K_stdv</t>
  </si>
  <si>
    <t>AddRatioDiff</t>
  </si>
  <si>
    <t>total_subs</t>
  </si>
  <si>
    <t>std_dev</t>
  </si>
  <si>
    <t>Harmonizations</t>
  </si>
  <si>
    <t>Disharmonizations</t>
  </si>
  <si>
    <t>Harm_Ratio</t>
  </si>
  <si>
    <t>Words copied</t>
  </si>
  <si>
    <t>Raw Errors</t>
  </si>
  <si>
    <t>Variants</t>
  </si>
  <si>
    <t>Raw PKW Error Rate</t>
  </si>
  <si>
    <t>PKW Meaningful Error Rate</t>
  </si>
  <si>
    <t>Pseudo-singular</t>
  </si>
  <si>
    <t>Correction Readings Followed</t>
  </si>
  <si>
    <t>% Yes</t>
  </si>
  <si>
    <t>Variant Corrected</t>
  </si>
  <si>
    <t>Count</t>
  </si>
  <si>
    <t>Proportion of "Corrections"</t>
  </si>
  <si>
    <t>Partially</t>
  </si>
  <si>
    <t>To Other Variant</t>
  </si>
  <si>
    <t>% of Variants</t>
  </si>
  <si>
    <t>Diff.:</t>
  </si>
  <si>
    <t>εκδικησιν εν τοις πνασι</t>
  </si>
  <si>
    <t>freq = κρατεω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</si>
</sst>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theme="1"/>
      <name val="Arial Unicode MS"/>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3" borderId="0" xfId="0" applyFill="1"/>
    <xf numFmtId="0" fontId="0" fillId="2" borderId="0" xfId="0" applyFill="1" applyAlignment="1">
      <alignment wrapText="1"/>
    </xf>
    <xf numFmtId="49" fontId="1" fillId="0" borderId="0" xfId="0" applyNumberFormat="1" applyFont="1"/>
    <xf numFmtId="0" fontId="0" fillId="4" borderId="1" xfId="0" applyFill="1" applyBorder="1"/>
    <xf numFmtId="49" fontId="0" fillId="4" borderId="1" xfId="0" applyNumberFormat="1" applyFill="1" applyBorder="1"/>
    <xf numFmtId="49" fontId="0" fillId="0" borderId="0" xfId="0" applyNumberFormat="1"/>
    <xf numFmtId="0" fontId="4" fillId="0" borderId="0" xfId="0" applyFont="1" applyAlignment="1">
      <alignment vertical="center"/>
    </xf>
    <xf numFmtId="0" fontId="0" fillId="0" borderId="0" xfId="0" applyAlignment="1">
      <alignment horizontal="center"/>
    </xf>
  </cellXfs>
  <cellStyles count="1">
    <cellStyle name="Normal" xfId="0" builtinId="0"/>
  </cellStyles>
  <dxfs count="326">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Histogram: Word Frequencies of Added &amp; Omitted Words</a:t>
            </a:r>
            <a:endParaRPr lang="en-US" sz="1400">
              <a:effectLst/>
            </a:endParaRPr>
          </a:p>
        </cx:rich>
      </cx:tx>
    </cx:title>
    <cx:plotArea>
      <cx:plotAreaRegion>
        <cx:series layoutId="clusteredColumn" uniqueId="{0D1B6058-E436-406C-BCAF-620D717DA562}">
          <cx:tx>
            <cx:txData>
              <cx:f>_xlchart.v1.0</cx:f>
              <cx:v>Freq-per-10000</cx:v>
            </cx:txData>
          </cx:tx>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0</xdr:colOff>
      <xdr:row>96</xdr:row>
      <xdr:rowOff>0</xdr:rowOff>
    </xdr:from>
    <xdr:to>
      <xdr:col>9</xdr:col>
      <xdr:colOff>304800</xdr:colOff>
      <xdr:row>111</xdr:row>
      <xdr:rowOff>30480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15A7988-D9D7-433A-A3FD-8C43665D868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28800" y="41802050"/>
              <a:ext cx="3962400" cy="27927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Jonathan Wilken" id="{5D048A0C-9405-47F1-A020-6E53793B23CD}" userId="186593bc330ab858"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1-16T10:00:06.98" personId="{5D048A0C-9405-47F1-A020-6E53793B23CD}" id="{1295550F-18B4-4208-B229-3CC307F81BF3}">
    <text>For substitutions, the word frequency of the apograph reading</text>
  </threadedComment>
  <threadedComment ref="V1" dT="2024-01-16T09:59:48.08" personId="{5D048A0C-9405-47F1-A020-6E53793B23CD}" id="{906783B8-8FDC-4437-9899-4595B5C2F718}">
    <text>For substitutions, the word frequency of the autograph reading</text>
  </threadedComment>
</ThreadedComments>
</file>

<file path=xl/threadedComments/threadedComment2.xml><?xml version="1.0" encoding="utf-8"?>
<ThreadedComments xmlns="http://schemas.microsoft.com/office/spreadsheetml/2018/threadedcomments" xmlns:x="http://schemas.openxmlformats.org/spreadsheetml/2006/main">
  <threadedComment ref="R1" dT="2024-01-16T10:00:06.98" personId="{5D048A0C-9405-47F1-A020-6E53793B23CD}" id="{8656DBC0-9333-474A-A01E-BE62FF5E8AC5}">
    <text>For substitutions, the word frequency of the apograph reading</text>
  </threadedComment>
  <threadedComment ref="S1" dT="2024-01-16T09:59:48.08" personId="{5D048A0C-9405-47F1-A020-6E53793B23CD}" id="{D85CA71F-7EA9-4B52-A4FF-63E8FA32310B}">
    <text>For substitutions, the word frequency of the autograph reading</text>
  </threadedComment>
</ThreadedComments>
</file>

<file path=xl/threadedComments/threadedComment3.xml><?xml version="1.0" encoding="utf-8"?>
<ThreadedComments xmlns="http://schemas.microsoft.com/office/spreadsheetml/2018/threadedcomments" xmlns:x="http://schemas.openxmlformats.org/spreadsheetml/2006/main">
  <threadedComment ref="Q1" dT="2024-01-15T15:51:08.85" personId="{5D048A0C-9405-47F1-A020-6E53793B23CD}" id="{C7A238F4-6555-42D5-A07D-9E5F5E236FFE}">
    <text>Derived variable indicating the number of times per 1000 words the added or omitted word occurs. Thus, Freq-per-10,000 = (AO Word Frequency / Words in Corpus) * 10,000</text>
  </threadedComment>
  <threadedComment ref="S1" dT="2024-01-16T10:00:06.98" personId="{5D048A0C-9405-47F1-A020-6E53793B23CD}" id="{C3DC2A29-D3E9-41C8-9BCE-4716589D38A4}">
    <text>For substitutions, the word frequency of the apograph reading</text>
  </threadedComment>
  <threadedComment ref="T1" dT="2024-01-16T09:59:48.08" personId="{5D048A0C-9405-47F1-A020-6E53793B23CD}" id="{A0C5AEA4-E287-4121-90D6-E5CD5A94C523}">
    <text>For substitutions, the word frequency of the autograph reading</text>
  </threadedComment>
  <threadedComment ref="F46" dT="2023-09-09T16:20:24.92" personId="{5D048A0C-9405-47F1-A020-6E53793B23CD}" id="{7DF388AD-7D6A-4FD0-B12A-86457E3A9AC7}">
    <text>Raw number of additions</text>
  </threadedComment>
  <threadedComment ref="B47" dT="2023-09-09T13:15:24.43" personId="{5D048A0C-9405-47F1-A020-6E53793B23CD}" id="{67763217-6F84-40A9-B4B6-7C5CDABD5081}">
    <text>"Low Meaning" words</text>
  </threadedComment>
  <threadedComment ref="C47" dT="2023-09-09T13:15:40.92" personId="{5D048A0C-9405-47F1-A020-6E53793B23CD}" id="{F2679EB7-5DEA-4116-B248-298274655C2A}">
    <text>"High Meaning" words</text>
  </threadedComment>
  <threadedComment ref="F47" dT="2023-09-09T16:20:41.93" personId="{5D048A0C-9405-47F1-A020-6E53793B23CD}" id="{459CD7D7-6F54-4B4D-9BDA-CC398D131284}">
    <text>Raw number of omissions</text>
  </threadedComment>
  <threadedComment ref="F48" dT="2023-09-09T16:21:30.82" personId="{5D048A0C-9405-47F1-A020-6E53793B23CD}" id="{52258C89-60E5-423C-9EBC-0DF834B2E467}">
    <text>% of add-omits that are additions</text>
  </threadedComment>
  <threadedComment ref="F51" dT="2023-09-09T16:22:43.13" personId="{5D048A0C-9405-47F1-A020-6E53793B23CD}" id="{4A3E83C3-73C0-4475-A34E-3E28023A5C11}">
    <text>Raw number of additions of "low meaning" words. See LM column for included word types (and adjust equation as necessary)</text>
  </threadedComment>
  <threadedComment ref="F52" dT="2023-09-09T16:23:00.73" personId="{5D048A0C-9405-47F1-A020-6E53793B23CD}" id="{1BAF8408-7936-4613-8B4D-F9C84F1A485B}">
    <text>Raw number of omissions of "low meaning" words. See LM column for included word types (and adjust equation as necessary)</text>
  </threadedComment>
  <threadedComment ref="F53" dT="2023-09-09T16:23:25.50" personId="{5D048A0C-9405-47F1-A020-6E53793B23CD}" id="{F7BD53D5-4C2E-4307-84C0-DB07D3873B64}">
    <text>Addition rate for "low meaning" words. See LM column for included word types (and adjust equation as necessary)</text>
  </threadedComment>
  <threadedComment ref="F56" dT="2023-09-09T16:26:23.57" personId="{5D048A0C-9405-47F1-A020-6E53793B23CD}" id="{83C4D338-B58C-4A73-9843-756D972F2AB2}">
    <text>Raw number of additions of "high meaning" words. See HM column for included word types (and adjust equation as necessary)</text>
  </threadedComment>
  <threadedComment ref="F57" dT="2023-09-09T16:26:53.68" personId="{5D048A0C-9405-47F1-A020-6E53793B23CD}" id="{F6F00964-D42A-45E2-9842-D62D1170DE9A}">
    <text>Raw number of omissions of "high meaning" words. See HM column for included word types (and adjust equation as necessary)</text>
  </threadedComment>
  <threadedComment ref="F58" dT="2023-09-09T16:27:24.75" personId="{5D048A0C-9405-47F1-A020-6E53793B23CD}" id="{8A11F87A-C45F-4741-86D6-850B50DCEE04}">
    <text>Addition rate for "high meaning" words. See HM column for included word types (and adjust equation as necessary)</text>
  </threadedComment>
  <threadedComment ref="D64" dT="2023-09-09T16:31:02.72" personId="{5D048A0C-9405-47F1-A020-6E53793B23CD}" id="{50003FFC-79BA-4419-9309-B5A96CCA0EA0}">
    <text>The number of add-omits where visual cues are present that are, in fact, additions. I.e., the number of additions that result in the presence of visual cues</text>
  </threadedComment>
  <threadedComment ref="E64" dT="2023-09-09T16:31:50.60" personId="{5D048A0C-9405-47F1-A020-6E53793B23CD}" id="{04C4F110-5A33-4220-8377-B02E934B35F4}">
    <text>The number of add-omits where visual cues are NOT present that are, in fact, additions. I.e., the number of additions that generate no visual cues</text>
  </threadedComment>
  <threadedComment ref="F64" dT="2023-09-09T16:33:25.83" personId="{5D048A0C-9405-47F1-A020-6E53793B23CD}" id="{B76551D4-DB92-43F9-B2E2-B6A2EB9BDB23}">
    <text>The percentage of add-omits where visual cues are present that are, in fact, additions. I.e., a percent frequency indicating how often an addition generates visual cues</text>
  </threadedComment>
  <threadedComment ref="D65" dT="2023-09-09T16:34:19.48" personId="{5D048A0C-9405-47F1-A020-6E53793B23CD}" id="{2D357EEB-E8F3-40AB-95F7-9D1305680014}">
    <text>The number of add-omits where visual cues are present that are, in fact, omissions. I.e., the number of times that omissions occurred in the presence of visual cues</text>
  </threadedComment>
  <threadedComment ref="E65" dT="2023-09-09T16:34:51.06" personId="{5D048A0C-9405-47F1-A020-6E53793B23CD}" id="{D3164E85-4A9A-47E0-95F6-CD8DCCEF75A5}">
    <text>The number of add-omits where visual cues are NOT present that are, in fact, omissions. I.e., the number of times that omissions occurred in the absence of visual cues</text>
  </threadedComment>
  <threadedComment ref="F65" dT="2023-09-09T16:35:41.16" personId="{5D048A0C-9405-47F1-A020-6E53793B23CD}" id="{C69F0086-E698-4985-9E60-04C9A171BE7C}">
    <text>The percentage of add-omits where visual cues are present that are, in fact, omissions. I.e., the percentage of omissions that could plausibly be due to visual cues</text>
  </threadedComment>
  <threadedComment ref="D66" dT="2023-09-09T16:36:05.81" personId="{5D048A0C-9405-47F1-A020-6E53793B23CD}" id="{9810D138-89B2-492C-AB39-1BAC8E7CD8C4}">
    <text>The total number of add-omits that involve visual cues</text>
  </threadedComment>
  <threadedComment ref="E66" dT="2023-09-09T16:38:54.43" personId="{5D048A0C-9405-47F1-A020-6E53793B23CD}" id="{9CE5A9E7-A10D-4A88-9C28-B6CE673BBF77}">
    <text>The total number of add-omits that involve NO visual cues (given the definition of this project, i.e., 3-character minimum similarity in critical regions)</text>
  </threadedComment>
  <threadedComment ref="F66" dT="2023-09-09T16:39:12.76" personId="{5D048A0C-9405-47F1-A020-6E53793B23CD}" id="{432184A7-8B60-4F3A-9ECB-23975EAA332E}">
    <text>The percentage of all add-omits that involve visual cues</text>
  </threadedComment>
  <threadedComment ref="D70" dT="2023-09-09T16:31:50.60" personId="{5D048A0C-9405-47F1-A020-6E53793B23CD}" id="{7E2D32E7-5600-4996-873E-20CE5B66179E}">
    <text>The number of add-omits where visual cues are NOT present that are, in fact, additions. I.e., the number of additions that generate no visual cues</text>
  </threadedComment>
  <threadedComment ref="E70" dT="2023-09-09T16:34:51.06" personId="{5D048A0C-9405-47F1-A020-6E53793B23CD}" id="{C1D27EA9-E44C-46FC-BBC7-52D7431F832E}">
    <text>The number of add-omits where visual cues are NOT present that are, in fact, omissions. I.e., the number of times that omissions occurred in the absence of visual cues</text>
  </threadedComment>
  <threadedComment ref="D71" dT="2023-09-09T16:31:02.72" personId="{5D048A0C-9405-47F1-A020-6E53793B23CD}" id="{D24040B0-D3F3-4424-8114-00998F87170D}">
    <text>The number of add-omits where visual cues are present that are, in fact, additions. I.e., the number of additions that result in the presence of visual cues</text>
  </threadedComment>
  <threadedComment ref="E71" dT="2023-09-09T16:34:19.48" personId="{5D048A0C-9405-47F1-A020-6E53793B23CD}" id="{8F21D48E-87F2-44DE-8646-9DB096C9C716}">
    <text>The number of add-omits where visual cues are present that are, in fact, omissions. I.e., the number of times that omissions occurred in the presence of visual cues</text>
  </threadedComment>
  <threadedComment ref="D76" dT="2023-09-09T16:31:50.60" personId="{5D048A0C-9405-47F1-A020-6E53793B23CD}" id="{B39FD29C-2572-42D3-9DF2-A1DB2AE3BB52}">
    <text>The number of non-dittographic add-omits that are, in fact, additions. I.e., the number of additions that do not result in dittography</text>
  </threadedComment>
  <threadedComment ref="E76" dT="2023-09-09T16:34:51.06" personId="{5D048A0C-9405-47F1-A020-6E53793B23CD}" id="{A77A4C98-C2AB-4F51-B3C6-B0578D673CC5}">
    <text>The number of non-dittographic add-omits that are, in fact, omissions. I.e., the number of omissions that did not undo a dittographic reading</text>
  </threadedComment>
  <threadedComment ref="D77" dT="2023-09-09T16:31:02.72" personId="{5D048A0C-9405-47F1-A020-6E53793B23CD}" id="{7F2DC0B2-AAD3-41DA-9BBF-5DA6BFE0BEDE}">
    <text>The number of dittographic add-omits that are, in fact, additions. I.e., the number of additions that result in dittography</text>
  </threadedComment>
  <threadedComment ref="E77" dT="2023-09-09T16:34:19.48" personId="{5D048A0C-9405-47F1-A020-6E53793B23CD}" id="{6EA326B3-601C-4132-A7A6-29A1F37CF10D}">
    <text>The number of dittographic add-omits that are, in fact, omissions. I.e., the number omissions where the omitted word(s) is/are dittographies</text>
  </threadedComment>
  <threadedComment ref="D82" dT="2024-01-06T19:48:13.17" personId="{5D048A0C-9405-47F1-A020-6E53793B23CD}" id="{02E40950-F296-4218-9AF8-5BF663CCF730}">
    <text>Additions of one word</text>
  </threadedComment>
  <threadedComment ref="E82" dT="2024-01-06T19:48:24.08" personId="{5D048A0C-9405-47F1-A020-6E53793B23CD}" id="{31927EA5-37C1-40DA-B305-987256B0B274}">
    <text>Omissions of one word</text>
  </threadedComment>
  <threadedComment ref="F82" dT="2024-01-06T19:49:49.67" personId="{5D048A0C-9405-47F1-A020-6E53793B23CD}" id="{8D69A18E-68C8-42C8-9CC5-A661BA28FD8F}">
    <text>Add ratio for single-word variants</text>
  </threadedComment>
  <threadedComment ref="D83" dT="2024-01-06T19:48:46.30" personId="{5D048A0C-9405-47F1-A020-6E53793B23CD}" id="{38A842C6-6AFF-457F-99A9-D56B6ED76F94}">
    <text>Additions of 2-3 words</text>
  </threadedComment>
  <threadedComment ref="E83" dT="2024-01-06T19:49:11.26" personId="{5D048A0C-9405-47F1-A020-6E53793B23CD}" id="{DCA1E499-4113-47A6-B956-D8CFFEBF0E34}">
    <text>Omissions of 2-3 words</text>
  </threadedComment>
  <threadedComment ref="F83" dT="2024-01-06T19:50:08.15" personId="{5D048A0C-9405-47F1-A020-6E53793B23CD}" id="{1A7A13DC-55AE-4202-871B-391E047420C2}">
    <text>Add ratio for variants of 2-3 words</text>
  </threadedComment>
  <threadedComment ref="D84" dT="2024-01-06T19:48:58.81" personId="{5D048A0C-9405-47F1-A020-6E53793B23CD}" id="{3633FF61-3D8E-46E7-A580-E48BFC6C04A5}">
    <text>Additions of 4 or more words</text>
  </threadedComment>
  <threadedComment ref="E84" dT="2024-01-06T19:49:22.83" personId="{5D048A0C-9405-47F1-A020-6E53793B23CD}" id="{B51A34A0-D662-4154-98C1-70F6E71A6838}">
    <text>Omissions of 4 or more words</text>
  </threadedComment>
  <threadedComment ref="F84" dT="2024-01-06T19:50:20.70" personId="{5D048A0C-9405-47F1-A020-6E53793B23CD}" id="{F7ED4AE3-EE2D-4322-A83C-8EC24B3CCD7E}">
    <text>Add ratio for variants of 4 or more words</text>
  </threadedComment>
  <threadedComment ref="C87" dT="2023-09-09T16:27:49.68" personId="{5D048A0C-9405-47F1-A020-6E53793B23CD}" id="{62F28502-C264-4DC8-803E-45DF73F281E6}">
    <text>Number of words added or omitted</text>
  </threadedComment>
  <threadedComment ref="D87" dT="2023-09-09T16:28:21.63" personId="{5D048A0C-9405-47F1-A020-6E53793B23CD}" id="{59716150-9AC7-494B-8D50-D99FA4CC6E59}">
    <text>Number of additions involving the number of words specified in the "Length" column</text>
  </threadedComment>
  <threadedComment ref="E87" dT="2023-09-09T16:28:41.21" personId="{5D048A0C-9405-47F1-A020-6E53793B23CD}" id="{45FDF59E-822A-4375-9578-5F1987F77971}">
    <text>Number of omissions involving the number of words specified in the "Length" column</text>
  </threadedComment>
  <threadedComment ref="F87" dT="2023-09-09T16:29:25.88" personId="{5D048A0C-9405-47F1-A020-6E53793B23CD}" id="{128EE70A-36CF-417F-84C3-909AEA9BD8F1}">
    <text>The addition rate for add-omits involving the number of words indicated in the "Length" column</text>
  </threadedComment>
  <threadedComment ref="E95" dT="2024-01-15T11:53:38.99" personId="{5D048A0C-9405-47F1-A020-6E53793B23CD}" id="{DC95024B-1A7B-433B-8C30-A285987B89DB}">
    <text>Total word count for corpus. Figure taken from Accordance "Word Count Totals" analysis. Search for word "*" specifying [RANGE &lt;CONTENT&gt;]. E.g., for 1 Samuel - 2 Kings in Alexandrinus, search for "* [RANGE 1 Sam - 2 Kings]" in LXX Rahlfs.</text>
  </threadedComment>
</ThreadedComments>
</file>

<file path=xl/threadedComments/threadedComment4.xml><?xml version="1.0" encoding="utf-8"?>
<ThreadedComments xmlns="http://schemas.microsoft.com/office/spreadsheetml/2018/threadedcomments" xmlns:x="http://schemas.openxmlformats.org/spreadsheetml/2006/main">
  <threadedComment ref="Q1" dT="2024-01-15T15:51:08.85" personId="{5D048A0C-9405-47F1-A020-6E53793B23CD}" id="{40985946-8AAA-44F1-B106-51F71C93B5C9}">
    <text>Derived variable indicating the number of times per 1000 words the added or omitted word occurs. Thus, Freq-per-10,000 = (AO Word Frequency / Words in Corpus) * 10,000</text>
  </threadedComment>
  <threadedComment ref="S1" dT="2024-01-16T10:00:06.98" personId="{5D048A0C-9405-47F1-A020-6E53793B23CD}" id="{0D90EDC3-36A5-4667-B0CC-EB38EAB7332D}">
    <text>For substitutions, the word frequency of the apograph reading</text>
  </threadedComment>
  <threadedComment ref="T1" dT="2024-01-16T09:59:48.08" personId="{5D048A0C-9405-47F1-A020-6E53793B23CD}" id="{A94C5A18-B195-4F1B-90D4-C7CD18962E32}">
    <text>For substitutions, the word frequency of the autograph reading</text>
  </threadedComment>
  <threadedComment ref="D40" dT="2024-01-15T11:53:38.99" personId="{5D048A0C-9405-47F1-A020-6E53793B23CD}" id="{41076321-9D03-4D10-9681-5146619F95B0}">
    <text>Total word count for corpus. Figure taken from Accordance "Word Count Totals" analysis. Search for word "*" specifying [RANGE &lt;CONTENT&gt;]. E.g., for 1 Samuel - 2 Kings in Alexandrinus, search for "* [RANGE 1 Sam - 2 Kings]" in LXX Rahlfs.</text>
  </threadedComment>
  <threadedComment ref="D41" dT="2024-01-15T16:09:47.97" personId="{5D048A0C-9405-47F1-A020-6E53793B23CD}" id="{C0906B58-2C42-436F-92C8-D387F3CC33D1}">
    <text>Median word frequency</text>
  </threadedComment>
  <threadedComment ref="D44" dT="2024-01-16T15:49:15.06" personId="{5D048A0C-9405-47F1-A020-6E53793B23CD}" id="{31271ADB-AB77-4A15-8377-1610425DA144}">
    <text>Higher-frequency additions: the number of additions among variants whose word frequency was equal to or above the median</text>
  </threadedComment>
  <threadedComment ref="D45" dT="2024-01-16T15:49:42.55" personId="{5D048A0C-9405-47F1-A020-6E53793B23CD}" id="{88C06FF4-45EA-47C3-B5E6-61679BD9CF68}">
    <text xml:space="preserve">Higher-frequency omissions: the number of omissions among variants whose word frequency was equal to or above the median
</text>
  </threadedComment>
  <threadedComment ref="D46" dT="2024-01-16T15:50:17.80" personId="{5D048A0C-9405-47F1-A020-6E53793B23CD}" id="{56988C74-498F-4D23-A95B-520D1176FC3B}">
    <text>Higher-frequency add ratio: the add ratio among variants whose word frequency was equal to or above the median</text>
  </threadedComment>
  <threadedComment ref="D47" dT="2024-01-16T15:50:43.11" personId="{5D048A0C-9405-47F1-A020-6E53793B23CD}" id="{39374EE6-8853-40BD-A89D-AB6E4AB9A28D}">
    <text xml:space="preserve">Lower-frequency additions: the number of additions among variants whose word frequency was below the median
</text>
  </threadedComment>
  <threadedComment ref="D48" dT="2024-01-16T15:52:18.36" personId="{5D048A0C-9405-47F1-A020-6E53793B23CD}" id="{0C91193C-9282-4EBD-B73A-97349316B8F5}">
    <text>Higher-frequency omissions: the number of omissions among variants whose word frequency was below  the median</text>
  </threadedComment>
  <threadedComment ref="D49" dT="2024-01-16T15:51:50.24" personId="{5D048A0C-9405-47F1-A020-6E53793B23CD}" id="{CE82762C-1067-496C-8452-6F9B74BD5635}">
    <text xml:space="preserve">Lower-frequency add ratio: the add ratio among variants whose word frequency was below the median
</text>
  </threadedComment>
  <threadedComment ref="D52" dT="2024-01-16T15:56:55.41" personId="{5D048A0C-9405-47F1-A020-6E53793B23CD}" id="{2D35D08D-AF80-49C9-8529-1BF08AE176BB}">
    <text>Articular additions: the number of additions of an article</text>
  </threadedComment>
  <threadedComment ref="D53" dT="2024-01-16T16:01:25.48" personId="{5D048A0C-9405-47F1-A020-6E53793B23CD}" id="{98D0053C-03FD-4511-B88B-3E5357642C60}">
    <text>Articular omissions: the number of omissions of an article</text>
  </threadedComment>
  <threadedComment ref="D54" dT="2024-01-16T16:01:49.04" personId="{5D048A0C-9405-47F1-A020-6E53793B23CD}" id="{C90383C7-1E54-4B18-963C-F0CC13E360BF}">
    <text>Articular add ratio: the add ratio for the definite article</text>
  </threadedComment>
</ThreadedComments>
</file>

<file path=xl/threadedComments/threadedComment5.xml><?xml version="1.0" encoding="utf-8"?>
<ThreadedComments xmlns="http://schemas.microsoft.com/office/spreadsheetml/2018/threadedcomments" xmlns:x="http://schemas.openxmlformats.org/spreadsheetml/2006/main">
  <threadedComment ref="Q1" dT="2024-01-15T15:51:08.85" personId="{5D048A0C-9405-47F1-A020-6E53793B23CD}" id="{E6D50A38-542C-44BA-A219-0EF71D61EC55}">
    <text>Derived variable indicating the number of times per 1000 words the added or omitted word occurs. Thus, Freq-per-10,000 = (AO Word Frequency / Words in Corpus) * 10,000</text>
  </threadedComment>
  <threadedComment ref="S1" dT="2024-01-16T10:00:06.98" personId="{5D048A0C-9405-47F1-A020-6E53793B23CD}" id="{E0FB622C-68DA-412D-B5A9-B66346EBB9B5}">
    <text>For substitutions, the word frequency of the apograph reading</text>
  </threadedComment>
  <threadedComment ref="T1" dT="2024-01-16T09:59:48.08" personId="{5D048A0C-9405-47F1-A020-6E53793B23CD}" id="{3A50490D-6FAA-4499-B122-046D61CD0A39}">
    <text>For substitutions, the word frequency of the autograph reading</text>
  </threadedComment>
  <threadedComment ref="D8" dT="2024-01-15T11:53:38.99" personId="{5D048A0C-9405-47F1-A020-6E53793B23CD}" id="{845C4C18-E06C-4C9D-B19B-97D5F913C3A2}">
    <text>Total word count for corpus. Figure taken from Accordance "Word Count Totals" analysis. Search for word "*" specifying [RANGE &lt;CONTENT&gt;]. E.g., for 1 Samuel - 2 Kings in Alexandrinus, search for "* [RANGE 1 Sam - 2 Kings]" in LXX Rahlfs.</text>
  </threadedComment>
  <threadedComment ref="D9" dT="2024-01-15T16:09:47.97" personId="{5D048A0C-9405-47F1-A020-6E53793B23CD}" id="{9A1FABF7-C10C-4AB0-B46A-E7534CFC49D0}">
    <text>Median word frequency</text>
  </threadedComment>
  <threadedComment ref="D12" dT="2024-01-16T15:49:15.06" personId="{5D048A0C-9405-47F1-A020-6E53793B23CD}" id="{73E51AB7-C409-44D7-94DC-668E90D103C2}">
    <text>Higher-frequency additions: the number of additions among variants whose word frequency was equal to or above the median</text>
  </threadedComment>
  <threadedComment ref="D13" dT="2024-01-16T15:49:42.55" personId="{5D048A0C-9405-47F1-A020-6E53793B23CD}" id="{9BD4B099-63ED-4395-983C-DF1FA6127B65}">
    <text xml:space="preserve">Higher-frequency omissions: the number of omissions among variants whose word frequency was equal to or above the median
</text>
  </threadedComment>
  <threadedComment ref="D14" dT="2024-01-16T15:50:17.80" personId="{5D048A0C-9405-47F1-A020-6E53793B23CD}" id="{B0AEF4CA-81E3-4CC4-A10C-87E56A0A8583}">
    <text>Higher-frequency add ratio: the add ratio among variants whose word frequency was equal to or above the median</text>
  </threadedComment>
  <threadedComment ref="D15" dT="2024-01-16T15:50:43.11" personId="{5D048A0C-9405-47F1-A020-6E53793B23CD}" id="{EAA39BE9-B8EF-42AB-9D1D-024416597F6B}">
    <text xml:space="preserve">Lower-frequency additions: the number of additions among variants whose word frequency was below the median
</text>
  </threadedComment>
  <threadedComment ref="D16" dT="2024-01-16T15:52:18.36" personId="{5D048A0C-9405-47F1-A020-6E53793B23CD}" id="{C92BC8E2-04F0-4B95-82A1-882BF359440F}">
    <text>Higher-frequency omissions: the number of omissions among variants whose word frequency was below  the median</text>
  </threadedComment>
  <threadedComment ref="D17" dT="2024-01-16T15:51:50.24" personId="{5D048A0C-9405-47F1-A020-6E53793B23CD}" id="{67F2CFBF-F53B-4A04-9415-D1F5B6BAB187}">
    <text xml:space="preserve">Lower-frequency add ratio: the add ratio among variants whose word frequency was below the median
</text>
  </threadedComment>
  <threadedComment ref="D18" dT="2024-01-22T14:15:25.14" personId="{5D048A0C-9405-47F1-A020-6E53793B23CD}" id="{C14B06A9-D1F6-4DD7-A504-94177752CBD7}">
    <text>The difference in add ratio based on word frequency category. If scribes exhibit preference for the familiar, the HF add ratio should usually be higher than the LF add ratio (thus, the Add Ratio Difference should be positive)</text>
  </threadedComment>
</ThreadedComments>
</file>

<file path=xl/threadedComments/threadedComment6.xml><?xml version="1.0" encoding="utf-8"?>
<ThreadedComments xmlns="http://schemas.microsoft.com/office/spreadsheetml/2018/threadedcomments" xmlns:x="http://schemas.openxmlformats.org/spreadsheetml/2006/main">
  <threadedComment ref="R1" dT="2024-01-16T10:00:06.98" personId="{5D048A0C-9405-47F1-A020-6E53793B23CD}" id="{5DEEB9F5-2367-4DFD-B6E2-DA0E02D66663}">
    <text>For substitutions, the word frequency of the apograph reading</text>
  </threadedComment>
  <threadedComment ref="S1" dT="2024-01-16T09:59:48.08" personId="{5D048A0C-9405-47F1-A020-6E53793B23CD}" id="{23D568AF-4C88-4C47-9258-97710A5F5B2A}">
    <text>For substitutions, the word frequency of the autograph reading</text>
  </threadedComment>
  <threadedComment ref="T1" dT="2024-01-16T12:04:07.25" personId="{5D048A0C-9405-47F1-A020-6E53793B23CD}" id="{9BB9E5C8-B75E-4052-AD5B-E1AD17B5C881}">
    <text>Frequency occurrence of autograph reading per 10,000 words of text</text>
  </threadedComment>
  <threadedComment ref="U1" dT="2024-01-16T12:04:21.22" personId="{5D048A0C-9405-47F1-A020-6E53793B23CD}" id="{B4DE25A9-0AFB-4D20-864E-65AEB1600F70}">
    <text>Frequency occurrence of apograph reading per 10,000 words of text</text>
  </threadedComment>
  <threadedComment ref="V1" dT="2024-01-16T12:05:32.46" personId="{5D048A0C-9405-47F1-A020-6E53793B23CD}" id="{B9436083-1C6D-455F-A7C5-7A374E8927C1}">
    <text>Difference in the P10K frequency of the autograph and apograph readings. Difference = apograph - autograph. Thus, positive values indicate the apograph reading was a more common/frequent word; negative values indicate the apograph reading was a less common/frequent word</text>
  </threadedComment>
  <threadedComment ref="D14" dT="2024-01-15T11:53:38.99" personId="{5D048A0C-9405-47F1-A020-6E53793B23CD}" id="{DA5FD98A-29BA-4713-9484-36C7ED7F1294}">
    <text>Total word count for corpus. Figure taken from Accordance "Word Count Totals" analysis. Search for word "*" specifying [RANGE &lt;CONTENT&gt;]. E.g., for 1 Samuel - 2 Kings in Alexandrinus, search for "* [RANGE 1 Sam - 2 Kings]" in LXX Rahlfs.</text>
  </threadedComment>
  <threadedComment ref="D17" dT="2024-01-16T16:24:54.84" personId="{5D048A0C-9405-47F1-A020-6E53793B23CD}" id="{A17B52C0-BC2C-4C41-B690-1441E1DC23E2}">
    <text>Number of variants where the scribe used a more common/frequent word in place of a less common/frequent word</text>
  </threadedComment>
  <threadedComment ref="D18" dT="2024-01-16T16:25:18.29" personId="{5D048A0C-9405-47F1-A020-6E53793B23CD}" id="{425FDAD5-7727-4F12-AE64-387F1EB11E43}">
    <text>Number of variants where the scribe used a less common/frequent word in place of a more  common/frequent word</text>
  </threadedComment>
  <threadedComment ref="D19" dT="2024-01-16T16:26:16.57" personId="{5D048A0C-9405-47F1-A020-6E53793B23CD}" id="{08F41B84-B474-4203-8F54-D41745875986}">
    <text>Probability based on 2-tailed sign test: probability of obtaining a result as extreme as or more extreme than that shown above</text>
  </threadedComment>
  <threadedComment ref="D21" dT="2024-01-16T16:28:22.68" personId="{5D048A0C-9405-47F1-A020-6E53793B23CD}" id="{90EFFFD6-735C-48E5-B2C6-3EC10C13CF7D}">
    <text>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ext>
  </threadedComment>
  <threadedComment ref="D22" dT="2024-01-16T16:28:51.78" personId="{5D048A0C-9405-47F1-A020-6E53793B23CD}" id="{96277455-95C8-4A6B-9C92-77518836092F}">
    <text>Standard deviation of the word frequency difference for substitutions</text>
  </threadedComment>
  <threadedComment ref="D25" dT="2024-01-16T16:30:57.18" personId="{5D048A0C-9405-47F1-A020-6E53793B23CD}" id="{1119B9CA-6727-4D82-967A-F0A3CA5AE3E2}">
    <text>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ext>
  </threadedComment>
  <threadedComment ref="D26" dT="2024-01-16T16:31:30.62" personId="{5D048A0C-9405-47F1-A020-6E53793B23CD}" id="{915388AA-0541-47E7-B9A7-EE023F17F7CF}">
    <text>Standard deviation of the change in word frequency, using the frequency measure of "occurrences per 10,000 words"</text>
  </threadedComment>
  <threadedComment ref="D29" dT="2024-01-22T16:14:41.99" personId="{5D048A0C-9405-47F1-A020-6E53793B23CD}" id="{12782F10-AACC-4D39-830D-97753BB4816A}">
    <text>Total number of substitutions for which a word frequency difference could be calculated</text>
  </threadedComment>
  <threadedComment ref="D30" dT="2024-01-22T17:13:39.02" personId="{5D048A0C-9405-47F1-A020-6E53793B23CD}" id="{4FEAA160-9845-4D51-AAD2-A6034B9E4BBD}">
    <text>The standard deviation of word frequency difference scores</text>
  </threadedComment>
</ThreadedComments>
</file>

<file path=xl/threadedComments/threadedComment7.xml><?xml version="1.0" encoding="utf-8"?>
<ThreadedComments xmlns="http://schemas.microsoft.com/office/spreadsheetml/2018/threadedcomments" xmlns:x="http://schemas.openxmlformats.org/spreadsheetml/2006/main">
  <threadedComment ref="S1" dT="2024-01-16T10:00:06.98" personId="{5D048A0C-9405-47F1-A020-6E53793B23CD}" id="{85AA4C45-32AC-4A1C-B038-4EB0B4C98768}">
    <text>For substitutions, the word frequency of the apograph reading</text>
  </threadedComment>
  <threadedComment ref="T1" dT="2024-01-16T09:59:48.08" personId="{5D048A0C-9405-47F1-A020-6E53793B23CD}" id="{62770A04-36ED-4C62-A783-083CF8F464A3}">
    <text>For substitutions, the word frequency of the autograph reading</text>
  </threadedComment>
  <threadedComment ref="D5" dT="2024-01-24T17:15:11.25" personId="{5D048A0C-9405-47F1-A020-6E53793B23CD}" id="{40BA1C46-D4FA-48E4-AC15-E2EEAF6EB295}">
    <text>The number of variants that harmonized to parallel phrases in the near context</text>
  </threadedComment>
  <threadedComment ref="D6" dT="2024-01-24T17:15:35.01" personId="{5D048A0C-9405-47F1-A020-6E53793B23CD}" id="{23BFB271-F88E-4353-BA05-D7370260B9D2}">
    <text>The number of variants that disharmonized from  parallel phrases in the near context</text>
  </threadedComment>
  <threadedComment ref="D7" dT="2024-01-24T17:16:15.06" personId="{5D048A0C-9405-47F1-A020-6E53793B23CD}" id="{0AD6D9F9-2F1D-44BE-A953-FBE9B8E07C12}">
    <text>The ratio of harmonizations to disharmonizations; = harmonizations / (harmonizations + disharmonizations)</text>
  </threadedComment>
</ThreadedComments>
</file>

<file path=xl/threadedComments/threadedComment8.xml><?xml version="1.0" encoding="utf-8"?>
<ThreadedComments xmlns="http://schemas.microsoft.com/office/spreadsheetml/2018/threadedcomments" xmlns:x="http://schemas.openxmlformats.org/spreadsheetml/2006/main">
  <threadedComment ref="R1" dT="2024-01-16T10:00:06.98" personId="{5D048A0C-9405-47F1-A020-6E53793B23CD}" id="{9C3AC299-3484-4B71-BB78-75E4FEF34C58}">
    <text>For substitutions, the word frequency of the apograph reading</text>
  </threadedComment>
  <threadedComment ref="S1" dT="2024-01-16T09:59:48.08" personId="{5D048A0C-9405-47F1-A020-6E53793B23CD}" id="{561B561B-6F62-4297-BCEF-CBABAB40B73C}">
    <text>For substitutions, the word frequency of the autograph reading</text>
  </threadedComment>
</ThreadedComments>
</file>

<file path=xl/threadedComments/threadedComment9.xml><?xml version="1.0" encoding="utf-8"?>
<ThreadedComments xmlns="http://schemas.microsoft.com/office/spreadsheetml/2018/threadedcomments" xmlns:x="http://schemas.openxmlformats.org/spreadsheetml/2006/main">
  <threadedComment ref="Q1" dT="2024-01-15T15:51:08.85" personId="{5D048A0C-9405-47F1-A020-6E53793B23CD}" id="{B2A29070-278A-4D3F-8F5A-00B938027A95}">
    <text>Derived variable indicating the number of times per 1000 words the added or omitted word occurs. Thus, Freq-per-10,000 = (AO Word Frequency / Words in Corpus) * 10,000</text>
  </threadedComment>
  <threadedComment ref="S1" dT="2024-01-16T10:00:06.98" personId="{5D048A0C-9405-47F1-A020-6E53793B23CD}" id="{B0648072-91E8-4FE4-A89E-68720C38AA2E}">
    <text>For substitutions, the word frequency of the apograph reading</text>
  </threadedComment>
  <threadedComment ref="T1" dT="2024-01-16T09:59:48.08" personId="{5D048A0C-9405-47F1-A020-6E53793B23CD}" id="{7F773ACE-231F-4BC4-8B24-0312CE6A9363}">
    <text>For substitutions, the word frequency of the autograph reading</text>
  </threadedComment>
  <threadedComment ref="F24" dT="2023-09-09T16:20:24.92" personId="{5D048A0C-9405-47F1-A020-6E53793B23CD}" id="{23BBE514-BB88-4D01-9D78-2765C81E441E}">
    <text>Raw number of additions</text>
  </threadedComment>
  <threadedComment ref="B25" dT="2023-09-09T13:15:24.43" personId="{5D048A0C-9405-47F1-A020-6E53793B23CD}" id="{3C1966DF-3BA0-466E-A0CB-BD1D245BF9BD}">
    <text>"Low Meaning" words</text>
  </threadedComment>
  <threadedComment ref="C25" dT="2023-09-09T13:15:40.92" personId="{5D048A0C-9405-47F1-A020-6E53793B23CD}" id="{E31EC728-5B9C-4F5C-846D-E68114CFE8B8}">
    <text>"High Meaning" words</text>
  </threadedComment>
  <threadedComment ref="F25" dT="2023-09-09T16:20:41.93" personId="{5D048A0C-9405-47F1-A020-6E53793B23CD}" id="{1C0DE799-BCD9-4F5D-9790-F546F5952941}">
    <text>Raw number of omissions</text>
  </threadedComment>
  <threadedComment ref="F26" dT="2023-09-09T16:21:30.82" personId="{5D048A0C-9405-47F1-A020-6E53793B23CD}" id="{0184449C-E3B0-48DA-BE6D-CB0C0F758DEE}">
    <text>% of add-omits that are additions</text>
  </threadedComment>
  <threadedComment ref="F29" dT="2023-09-09T16:22:43.13" personId="{5D048A0C-9405-47F1-A020-6E53793B23CD}" id="{6777854F-30AA-4D22-94DC-37C1811F5D67}">
    <text>Raw number of additions of "low meaning" words. See LM column for included word types (and adjust equation as necessary)</text>
  </threadedComment>
  <threadedComment ref="F30" dT="2023-09-09T16:23:00.73" personId="{5D048A0C-9405-47F1-A020-6E53793B23CD}" id="{AA3B34B0-E0E3-4FDE-BF1D-16512B5F7355}">
    <text>Raw number of omissions of "low meaning" words. See LM column for included word types (and adjust equation as necessary)</text>
  </threadedComment>
  <threadedComment ref="F31" dT="2023-09-09T16:23:25.50" personId="{5D048A0C-9405-47F1-A020-6E53793B23CD}" id="{AFB598AE-C6C7-4055-A0EB-A208D52F29EA}">
    <text>Addition rate for "low meaning" words. See LM column for included word types (and adjust equation as necessary)</text>
  </threadedComment>
  <threadedComment ref="F34" dT="2023-09-09T16:26:23.57" personId="{5D048A0C-9405-47F1-A020-6E53793B23CD}" id="{831439A3-7714-43F3-B241-2F4820892EF1}">
    <text>Raw number of additions of "high meaning" words. See HM column for included word types (and adjust equation as necessary)</text>
  </threadedComment>
  <threadedComment ref="F35" dT="2023-09-09T16:26:53.68" personId="{5D048A0C-9405-47F1-A020-6E53793B23CD}" id="{091A1B2A-3D35-482A-815D-CBACFDD96BF3}">
    <text>Raw number of omissions of "high meaning" words. See HM column for included word types (and adjust equation as necessary)</text>
  </threadedComment>
  <threadedComment ref="F36" dT="2023-09-09T16:27:24.75" personId="{5D048A0C-9405-47F1-A020-6E53793B23CD}" id="{CCE3DA2D-0193-441A-8D6D-B080E9003015}">
    <text>Addition rate for "high meaning" words. See HM column for included word types (and adjust equation as necessary)</text>
  </threadedComment>
  <threadedComment ref="D42" dT="2023-09-09T16:31:02.72" personId="{5D048A0C-9405-47F1-A020-6E53793B23CD}" id="{3DAED7DE-1AC7-48AF-9214-B42E71B3E5EE}">
    <text>The number of add-omits where visual cues are present that are, in fact, additions. I.e., the number of additions that result in the presence of visual cues</text>
  </threadedComment>
  <threadedComment ref="E42" dT="2023-09-09T16:31:50.60" personId="{5D048A0C-9405-47F1-A020-6E53793B23CD}" id="{83598833-AB13-40F7-A381-A9AE69F866D0}">
    <text>The number of add-omits where visual cues are NOT present that are, in fact, additions. I.e., the number of additions that generate no visual cues</text>
  </threadedComment>
  <threadedComment ref="F42" dT="2023-09-09T16:33:25.83" personId="{5D048A0C-9405-47F1-A020-6E53793B23CD}" id="{E9A58B1E-08A0-40E5-B9BD-219ED90502AA}">
    <text>The percentage of add-omits where visual cues are present that are, in fact, additions. I.e., a percent frequency indicating how often an addition generates visual cues</text>
  </threadedComment>
  <threadedComment ref="D43" dT="2023-09-09T16:34:19.48" personId="{5D048A0C-9405-47F1-A020-6E53793B23CD}" id="{AC43DFAB-B73A-42C2-B4B4-614AE8C0A33D}">
    <text>The number of add-omits where visual cues are present that are, in fact, omissions. I.e., the number of times that omissions occurred in the presence of visual cues</text>
  </threadedComment>
  <threadedComment ref="E43" dT="2023-09-09T16:34:51.06" personId="{5D048A0C-9405-47F1-A020-6E53793B23CD}" id="{A3413DF0-96E7-4E95-A22F-7B7BC8E50633}">
    <text>The number of add-omits where visual cues are NOT present that are, in fact, omissions. I.e., the number of times that omissions occurred in the absence of visual cues</text>
  </threadedComment>
  <threadedComment ref="F43" dT="2023-09-09T16:35:41.16" personId="{5D048A0C-9405-47F1-A020-6E53793B23CD}" id="{53D45101-ED6A-4333-905A-7698BC7F3C7A}">
    <text>The percentage of add-omits where visual cues are present that are, in fact, omissions. I.e., the percentage of omissions that could plausibly be due to visual cues</text>
  </threadedComment>
  <threadedComment ref="D44" dT="2023-09-09T16:36:05.81" personId="{5D048A0C-9405-47F1-A020-6E53793B23CD}" id="{CDEFF3B4-1EBA-4736-B698-9E0EF674B7B9}">
    <text>The total number of add-omits that involve visual cues</text>
  </threadedComment>
  <threadedComment ref="E44" dT="2023-09-09T16:38:54.43" personId="{5D048A0C-9405-47F1-A020-6E53793B23CD}" id="{595AFD6B-67CF-451C-B8AD-BCF08F07A72E}">
    <text>The total number of add-omits that involve NO visual cues (given the definition of this project, i.e., 3-character minimum similarity in critical regions)</text>
  </threadedComment>
  <threadedComment ref="F44" dT="2023-09-09T16:39:12.76" personId="{5D048A0C-9405-47F1-A020-6E53793B23CD}" id="{24DE2804-2679-408C-915C-10DEFA4CC191}">
    <text>The percentage of all add-omits that involve visual cues</text>
  </threadedComment>
  <threadedComment ref="D48" dT="2023-09-09T16:31:50.60" personId="{5D048A0C-9405-47F1-A020-6E53793B23CD}" id="{DC2AFEB1-8B6F-47E7-9821-6E8D87B11A4B}">
    <text>The number of add-omits where visual cues are NOT present that are, in fact, additions. I.e., the number of additions that generate no visual cues</text>
  </threadedComment>
  <threadedComment ref="E48" dT="2023-09-09T16:34:51.06" personId="{5D048A0C-9405-47F1-A020-6E53793B23CD}" id="{2C484BA6-1AFB-43A6-AF52-A6C57883282D}">
    <text>The number of add-omits where visual cues are NOT present that are, in fact, omissions. I.e., the number of times that omissions occurred in the absence of visual cues</text>
  </threadedComment>
  <threadedComment ref="D49" dT="2023-09-09T16:31:02.72" personId="{5D048A0C-9405-47F1-A020-6E53793B23CD}" id="{6F1471E9-8466-463B-AE41-523A8F3E95D9}">
    <text>The number of add-omits where visual cues are present that are, in fact, additions. I.e., the number of additions that result in the presence of visual cues</text>
  </threadedComment>
  <threadedComment ref="E49" dT="2023-09-09T16:34:19.48" personId="{5D048A0C-9405-47F1-A020-6E53793B23CD}" id="{9A8E3A60-66DC-45C7-89FB-416C7CD8F8A7}">
    <text>The number of add-omits where visual cues are present that are, in fact, omissions. I.e., the number of times that omissions occurred in the presence of visual cues</text>
  </threadedComment>
  <threadedComment ref="D54" dT="2023-09-09T16:31:50.60" personId="{5D048A0C-9405-47F1-A020-6E53793B23CD}" id="{0D11DF7E-36B9-4C4B-B158-CEFECFEA0EB7}">
    <text>The number of non-dittographic add-omits that are, in fact, additions. I.e., the number of additions that do not result in dittography</text>
  </threadedComment>
  <threadedComment ref="E54" dT="2023-09-09T16:34:51.06" personId="{5D048A0C-9405-47F1-A020-6E53793B23CD}" id="{4BA0A7B4-B994-4139-BEDF-B6FD21FFF529}">
    <text>The number of non-dittographic add-omits that are, in fact, omissions. I.e., the number of omissions that did not undo a dittographic reading</text>
  </threadedComment>
  <threadedComment ref="D55" dT="2023-09-09T16:31:02.72" personId="{5D048A0C-9405-47F1-A020-6E53793B23CD}" id="{F4A6BBCC-CF63-45F7-B88D-D4E08EC9B9C6}">
    <text>The number of dittographic add-omits that are, in fact, additions. I.e., the number of additions that result in dittography</text>
  </threadedComment>
  <threadedComment ref="E55" dT="2023-09-09T16:34:19.48" personId="{5D048A0C-9405-47F1-A020-6E53793B23CD}" id="{B478EF87-643D-4150-8A9F-3423590A24CD}">
    <text>The number of dittographic add-omits that are, in fact, omissions. I.e., the number omissions where the omitted word(s) is/are dittographies</text>
  </threadedComment>
  <threadedComment ref="D60" dT="2024-01-06T19:48:13.17" personId="{5D048A0C-9405-47F1-A020-6E53793B23CD}" id="{5B320420-1584-4E0A-8A77-A90635757443}">
    <text>Additions of one word</text>
  </threadedComment>
  <threadedComment ref="E60" dT="2024-01-06T19:48:24.08" personId="{5D048A0C-9405-47F1-A020-6E53793B23CD}" id="{8D0B90E2-25D6-4B5F-8EA0-3267C54BC049}">
    <text>Omissions of one word</text>
  </threadedComment>
  <threadedComment ref="F60" dT="2024-01-06T19:49:49.67" personId="{5D048A0C-9405-47F1-A020-6E53793B23CD}" id="{FBB4BA68-BC1D-41CC-90F1-ACD432577D86}">
    <text>Add ratio for single-word variants</text>
  </threadedComment>
  <threadedComment ref="D61" dT="2024-01-06T19:48:46.30" personId="{5D048A0C-9405-47F1-A020-6E53793B23CD}" id="{ADBC29EF-E532-4AAE-96A7-3AEDD14A44DA}">
    <text>Additions of 2-3 words</text>
  </threadedComment>
  <threadedComment ref="E61" dT="2024-01-06T19:49:11.26" personId="{5D048A0C-9405-47F1-A020-6E53793B23CD}" id="{B22C5A75-E0CB-4EFF-B9B9-020DD1580140}">
    <text>Omissions of 2-3 words</text>
  </threadedComment>
  <threadedComment ref="F61" dT="2024-01-06T19:50:08.15" personId="{5D048A0C-9405-47F1-A020-6E53793B23CD}" id="{62AE258C-0F58-4954-9235-3ED1B25F3A06}">
    <text>Add ratio for variants of 2-3 words</text>
  </threadedComment>
  <threadedComment ref="D62" dT="2024-01-06T19:48:58.81" personId="{5D048A0C-9405-47F1-A020-6E53793B23CD}" id="{4C2CFD85-C74A-4400-80BE-24E50429D914}">
    <text>Additions of 4 or more words</text>
  </threadedComment>
  <threadedComment ref="E62" dT="2024-01-06T19:49:22.83" personId="{5D048A0C-9405-47F1-A020-6E53793B23CD}" id="{BAC68385-2161-40EE-928D-456373584B96}">
    <text>Omissions of 4 or more words</text>
  </threadedComment>
  <threadedComment ref="F62" dT="2024-01-06T19:50:20.70" personId="{5D048A0C-9405-47F1-A020-6E53793B23CD}" id="{0BB06ACB-8194-4AC9-9E1A-1CFD8C0729AA}">
    <text>Add ratio for variants of 4 or more words</text>
  </threadedComment>
  <threadedComment ref="C65" dT="2023-09-09T16:27:49.68" personId="{5D048A0C-9405-47F1-A020-6E53793B23CD}" id="{700EE5E9-AEB9-42C3-AA94-07D02F59FB0B}">
    <text>Number of words added or omitted</text>
  </threadedComment>
  <threadedComment ref="D65" dT="2023-09-09T16:28:21.63" personId="{5D048A0C-9405-47F1-A020-6E53793B23CD}" id="{D8746F60-4A10-4EA3-887D-B9F047BC433E}">
    <text>Number of additions involving the number of words specified in the "Length" column</text>
  </threadedComment>
  <threadedComment ref="E65" dT="2023-09-09T16:28:41.21" personId="{5D048A0C-9405-47F1-A020-6E53793B23CD}" id="{AD1354D4-D169-42AC-89C2-D882C3AFD6DA}">
    <text>Number of omissions involving the number of words specified in the "Length" column</text>
  </threadedComment>
  <threadedComment ref="F65" dT="2023-09-09T16:29:25.88" personId="{5D048A0C-9405-47F1-A020-6E53793B23CD}" id="{935DA078-07EE-4F64-929E-143AEB3AE4BC}">
    <text>The addition rate for add-omits involving the number of words indicated in the "Length" column</text>
  </threadedComment>
  <threadedComment ref="E73" dT="2024-01-15T11:53:38.99" personId="{5D048A0C-9405-47F1-A020-6E53793B23CD}" id="{FB1B08E2-7BD8-4CC9-A06A-6EA233DEDFA7}">
    <text>Total word count for corpus. Figure taken from Accordance "Word Count Totals" analysis. Search for word "*" specifying [RANGE &lt;CONTENT&gt;]. E.g., for 1 Samuel - 2 Kings in Alexandrinus, search for "* [RANGE 1 Sam - 2 Kings]" in LXX Rahlfs.</text>
  </threadedComment>
</ThreadedComments>
</file>

<file path=xl/threadedComments/threadedComment10.xml><?xml version="1.0" encoding="utf-8"?>
<ThreadedComments xmlns="http://schemas.microsoft.com/office/spreadsheetml/2018/threadedcomments" xmlns:x="http://schemas.openxmlformats.org/spreadsheetml/2006/main">
  <threadedComment ref="Q1" dT="2024-01-15T15:51:08.85" personId="{5D048A0C-9405-47F1-A020-6E53793B23CD}" id="{AC6FD6B5-E239-4635-B79B-3D3CA04DDCB3}">
    <text>Derived variable indicating the number of times per 1000 words the added or omitted word occurs. Thus, Freq-per-10,000 = (AO Word Frequency / Words in Corpus) * 10,000</text>
  </threadedComment>
  <threadedComment ref="S1" dT="2024-01-16T10:00:06.98" personId="{5D048A0C-9405-47F1-A020-6E53793B23CD}" id="{CB3DACF4-01D2-4609-AF31-7CA2C436F5EB}">
    <text>For substitutions, the word frequency of the apograph reading</text>
  </threadedComment>
  <threadedComment ref="T1" dT="2024-01-16T09:59:48.08" personId="{5D048A0C-9405-47F1-A020-6E53793B23CD}" id="{251D3B6A-D75A-45E9-A077-96B473AE4E85}">
    <text>For substitutions, the word frequency of the autograph reading</text>
  </threadedComment>
  <threadedComment ref="D18" dT="2024-01-15T11:53:38.99" personId="{5D048A0C-9405-47F1-A020-6E53793B23CD}" id="{C4AECCD7-6322-4F99-8FE9-CE98B9018960}">
    <text>Total word count for corpus. Figure taken from Accordance "Word Count Totals" analysis. Search for word "*" specifying [RANGE &lt;CONTENT&gt;]. E.g., for 1 Samuel - 2 Kings in Alexandrinus, search for "* [RANGE 1 Sam - 2 Kings]" in LXX Rahlfs.</text>
  </threadedComment>
  <threadedComment ref="D19" dT="2024-01-15T16:09:47.97" personId="{5D048A0C-9405-47F1-A020-6E53793B23CD}" id="{0A71431A-F58F-4910-A121-0B231FD5B844}">
    <text>Median word frequency</text>
  </threadedComment>
  <threadedComment ref="D22" dT="2024-01-16T15:49:15.06" personId="{5D048A0C-9405-47F1-A020-6E53793B23CD}" id="{01CF5DD2-C98C-4C79-B2E7-1FE10DBA5E35}">
    <text>Higher-frequency additions: the number of additions among variants whose word frequency was equal to or above the median</text>
  </threadedComment>
  <threadedComment ref="D23" dT="2024-01-16T15:49:42.55" personId="{5D048A0C-9405-47F1-A020-6E53793B23CD}" id="{D267BA2B-0B68-4FBC-91C7-E6033577A715}">
    <text xml:space="preserve">Higher-frequency omissions: the number of omissions among variants whose word frequency was equal to or above the median
</text>
  </threadedComment>
  <threadedComment ref="D24" dT="2024-01-16T15:50:17.80" personId="{5D048A0C-9405-47F1-A020-6E53793B23CD}" id="{D1D544B8-E5FB-46E9-9F44-5BC7086CE04E}">
    <text>Higher-frequency add ratio: the add ratio among variants whose word frequency was equal to or above the median</text>
  </threadedComment>
  <threadedComment ref="D25" dT="2024-01-16T15:50:43.11" personId="{5D048A0C-9405-47F1-A020-6E53793B23CD}" id="{EBC0144B-2C5E-4069-A5C9-413D83114725}">
    <text xml:space="preserve">Lower-frequency additions: the number of additions among variants whose word frequency was below the median
</text>
  </threadedComment>
  <threadedComment ref="D26" dT="2024-01-16T15:52:18.36" personId="{5D048A0C-9405-47F1-A020-6E53793B23CD}" id="{00DDA8FE-578C-4635-A7DF-A7EE1B60E413}">
    <text>Higher-frequency omissions: the number of omissions among variants whose word frequency was below  the median</text>
  </threadedComment>
  <threadedComment ref="D27" dT="2024-01-16T15:51:50.24" personId="{5D048A0C-9405-47F1-A020-6E53793B23CD}" id="{221E682E-17E6-4ECD-9481-E247834CD275}">
    <text xml:space="preserve">Lower-frequency add ratio: the add ratio among variants whose word frequency was below the median
</text>
  </threadedComment>
  <threadedComment ref="D30" dT="2024-01-16T15:56:55.41" personId="{5D048A0C-9405-47F1-A020-6E53793B23CD}" id="{395FD905-61D1-4E38-826B-F4A992BEBD15}">
    <text>Articular additions: the number of additions of an article</text>
  </threadedComment>
  <threadedComment ref="D31" dT="2024-01-16T16:01:25.48" personId="{5D048A0C-9405-47F1-A020-6E53793B23CD}" id="{1964B74A-3E1C-4F4F-999D-A695FEC40C49}">
    <text>Articular omissions: the number of omissions of an article</text>
  </threadedComment>
  <threadedComment ref="D32" dT="2024-01-16T16:01:49.04" personId="{5D048A0C-9405-47F1-A020-6E53793B23CD}" id="{818329BE-8575-4CD5-8B28-C2599A9F1394}">
    <text>Articular add ratio: the add ratio for the definite article</text>
  </threadedComment>
</ThreadedComments>
</file>

<file path=xl/threadedComments/threadedComment11.xml><?xml version="1.0" encoding="utf-8"?>
<ThreadedComments xmlns="http://schemas.microsoft.com/office/spreadsheetml/2018/threadedcomments" xmlns:x="http://schemas.openxmlformats.org/spreadsheetml/2006/main">
  <threadedComment ref="Q1" dT="2024-01-15T15:51:08.85" personId="{5D048A0C-9405-47F1-A020-6E53793B23CD}" id="{F77C7AD7-2A05-45F6-971E-8A4008E59446}">
    <text>Derived variable indicating the number of times per 1000 words the added or omitted word occurs. Thus, Freq-per-10,000 = (AO Word Frequency / Words in Corpus) * 10,000</text>
  </threadedComment>
  <threadedComment ref="S1" dT="2024-01-16T10:00:06.98" personId="{5D048A0C-9405-47F1-A020-6E53793B23CD}" id="{D25BC73A-EB71-4409-A578-B2CBF80AF351}">
    <text>For substitutions, the word frequency of the apograph reading</text>
  </threadedComment>
  <threadedComment ref="T1" dT="2024-01-16T09:59:48.08" personId="{5D048A0C-9405-47F1-A020-6E53793B23CD}" id="{5406D1FD-4255-4FBB-9FA6-D1C67FB1307B}">
    <text>For substitutions, the word frequency of the autograph reading</text>
  </threadedComment>
  <threadedComment ref="D6" dT="2024-01-15T11:53:38.99" personId="{5D048A0C-9405-47F1-A020-6E53793B23CD}" id="{1A1DD2C3-B8BA-4820-ADD6-D1670FF1F7CC}">
    <text>Total word count for corpus. Figure taken from Accordance "Word Count Totals" analysis. Search for word "*" specifying [RANGE &lt;CONTENT&gt;]. E.g., for 1 Samuel - 2 Kings in Alexandrinus, search for "* [RANGE 1 Sam - 2 Kings]" in LXX Rahlfs.</text>
  </threadedComment>
  <threadedComment ref="D7" dT="2024-01-15T16:09:47.97" personId="{5D048A0C-9405-47F1-A020-6E53793B23CD}" id="{9DB09A4B-3283-4302-BE73-DA922BFE6076}">
    <text>Median word frequency</text>
  </threadedComment>
  <threadedComment ref="D10" dT="2024-01-16T15:49:15.06" personId="{5D048A0C-9405-47F1-A020-6E53793B23CD}" id="{AAB3AD72-D989-4B7D-A110-81FCEAA235A5}">
    <text>Higher-frequency additions: the number of additions among variants whose word frequency was equal to or above the median</text>
  </threadedComment>
  <threadedComment ref="D11" dT="2024-01-16T15:49:42.55" personId="{5D048A0C-9405-47F1-A020-6E53793B23CD}" id="{9A0EF367-49C7-4ED3-81A8-45AF46A1E1B4}">
    <text xml:space="preserve">Higher-frequency omissions: the number of omissions among variants whose word frequency was equal to or above the median
</text>
  </threadedComment>
  <threadedComment ref="D12" dT="2024-01-16T15:50:17.80" personId="{5D048A0C-9405-47F1-A020-6E53793B23CD}" id="{C073905E-C8AC-47E7-83FC-3FB36DC40507}">
    <text>Higher-frequency add ratio: the add ratio among variants whose word frequency was equal to or above the median</text>
  </threadedComment>
  <threadedComment ref="D13" dT="2024-01-16T15:50:43.11" personId="{5D048A0C-9405-47F1-A020-6E53793B23CD}" id="{4833F7B2-A43F-400F-9FA6-CBE59999EA04}">
    <text xml:space="preserve">Lower-frequency additions: the number of additions among variants whose word frequency was below the median
</text>
  </threadedComment>
  <threadedComment ref="D14" dT="2024-01-16T15:52:18.36" personId="{5D048A0C-9405-47F1-A020-6E53793B23CD}" id="{BAB4F6D8-18AA-4F5F-8B93-8DA422070717}">
    <text>Higher-frequency omissions: the number of omissions among variants whose word frequency was below  the median</text>
  </threadedComment>
  <threadedComment ref="D15" dT="2024-01-16T15:51:50.24" personId="{5D048A0C-9405-47F1-A020-6E53793B23CD}" id="{935A54EB-FD0D-4581-8330-90B45F29BDE1}">
    <text xml:space="preserve">Lower-frequency add ratio: the add ratio among variants whose word frequency was below the median
</text>
  </threadedComment>
  <threadedComment ref="D16" dT="2024-01-22T14:15:25.14" personId="{5D048A0C-9405-47F1-A020-6E53793B23CD}" id="{D00651B5-74E0-4E91-B3D1-8466FE116AC3}">
    <text>The difference in add ratio based on word frequency category. If scribes exhibit preference for the familiar, the HF add ratio should usually be higher than the LF add ratio (thus, the Add Ratio Difference should be positive)</text>
  </threadedComment>
</ThreadedComments>
</file>

<file path=xl/threadedComments/threadedComment12.xml><?xml version="1.0" encoding="utf-8"?>
<ThreadedComments xmlns="http://schemas.microsoft.com/office/spreadsheetml/2018/threadedcomments" xmlns:x="http://schemas.openxmlformats.org/spreadsheetml/2006/main">
  <threadedComment ref="R1" dT="2024-01-16T10:00:06.98" personId="{5D048A0C-9405-47F1-A020-6E53793B23CD}" id="{11CD2C00-7014-49EC-8814-5DCA29ED8C3E}">
    <text>For substitutions, the word frequency of the apograph reading</text>
  </threadedComment>
  <threadedComment ref="S1" dT="2024-01-16T09:59:48.08" personId="{5D048A0C-9405-47F1-A020-6E53793B23CD}" id="{EBD2854F-7194-4E5E-90E3-3BD18D9EB6B8}">
    <text>For substitutions, the word frequency of the autograph reading</text>
  </threadedComment>
  <threadedComment ref="T1" dT="2024-01-16T12:04:07.25" personId="{5D048A0C-9405-47F1-A020-6E53793B23CD}" id="{A35E4112-CA8A-4F67-8D85-2BEEC92FC36C}">
    <text>Frequency occurrence of autograph reading per 10,000 words of text</text>
  </threadedComment>
  <threadedComment ref="U1" dT="2024-01-16T12:04:21.22" personId="{5D048A0C-9405-47F1-A020-6E53793B23CD}" id="{CF15F1B8-D2F5-4088-A0D9-83FB8A7B86DA}">
    <text>Frequency occurrence of apograph reading per 10,000 words of text</text>
  </threadedComment>
  <threadedComment ref="V1" dT="2024-01-16T12:05:32.46" personId="{5D048A0C-9405-47F1-A020-6E53793B23CD}" id="{F3C012E5-868C-49D4-B004-C19A71439051}">
    <text>Difference in the P10K frequency of the autograph and apograph readings. Difference = apograph - autograph. Thus, positive values indicate the apograph reading was a more common/frequent word; negative values indicate the apograph reading was a less common/frequent word</text>
  </threadedComment>
  <threadedComment ref="D7" dT="2024-01-15T11:53:38.99" personId="{5D048A0C-9405-47F1-A020-6E53793B23CD}" id="{E860FD89-7EE1-459A-A620-F1C52B799C3A}">
    <text>Total word count for corpus. Figure taken from Accordance "Word Count Totals" analysis. Search for word "*" specifying [RANGE &lt;CONTENT&gt;]. E.g., for 1 Samuel - 2 Kings in Alexandrinus, search for "* [RANGE 1 Sam - 2 Kings]" in LXX Rahlfs.</text>
  </threadedComment>
  <threadedComment ref="D10" dT="2024-01-16T16:24:54.84" personId="{5D048A0C-9405-47F1-A020-6E53793B23CD}" id="{016EF4D3-E5BA-4125-821C-C0C247BC4155}">
    <text>Number of variants where the scribe used a more common/frequent word in place of a less common/frequent word</text>
  </threadedComment>
  <threadedComment ref="D11" dT="2024-01-16T16:25:18.29" personId="{5D048A0C-9405-47F1-A020-6E53793B23CD}" id="{85A48D2D-D3E6-47E8-898C-2B94B06613DA}">
    <text>Number of variants where the scribe used a less common/frequent word in place of a more  common/frequent word</text>
  </threadedComment>
  <threadedComment ref="D12" dT="2024-01-16T16:26:16.57" personId="{5D048A0C-9405-47F1-A020-6E53793B23CD}" id="{C97CEB8F-FDBF-45B3-8C1C-02BC5304200D}">
    <text>Probability based on 2-tailed sign test: probability of obtaining a result as extreme as or more extreme than that shown above</text>
  </threadedComment>
  <threadedComment ref="D14" dT="2024-01-16T16:28:22.68" personId="{5D048A0C-9405-47F1-A020-6E53793B23CD}" id="{A67B4541-2E9D-4FD0-8AAD-1AF0E9CA122E}">
    <text>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ext>
  </threadedComment>
  <threadedComment ref="D15" dT="2024-01-16T16:28:51.78" personId="{5D048A0C-9405-47F1-A020-6E53793B23CD}" id="{A8087E6B-C29B-4171-9AB2-3F5EA997F93E}">
    <text>Standard deviation of the word frequency difference for substitutions</text>
  </threadedComment>
  <threadedComment ref="D18" dT="2024-01-16T16:30:57.18" personId="{5D048A0C-9405-47F1-A020-6E53793B23CD}" id="{B2FBC8FF-176E-444E-8D77-76E656A6F4C3}">
    <text>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ext>
  </threadedComment>
  <threadedComment ref="D19" dT="2024-01-16T16:31:30.62" personId="{5D048A0C-9405-47F1-A020-6E53793B23CD}" id="{E470BE5E-0B59-4772-8B4B-9D5B68EE55FE}">
    <text>Standard deviation of the change in word frequency, using the frequency measure of "occurrences per 10,000 words"</text>
  </threadedComment>
  <threadedComment ref="D22" dT="2024-01-22T16:14:41.99" personId="{5D048A0C-9405-47F1-A020-6E53793B23CD}" id="{8E67801C-EE43-4281-A6D8-71927B5984E6}">
    <text>Total number of substitutions for which a word frequency difference could be calculated</text>
  </threadedComment>
  <threadedComment ref="D23" dT="2024-01-22T17:13:39.02" personId="{5D048A0C-9405-47F1-A020-6E53793B23CD}" id="{0357AACB-D9A9-4FD1-A176-53B42D596CF7}">
    <text>The standard deviation of word frequency difference scores</text>
  </threadedComment>
</ThreadedComments>
</file>

<file path=xl/threadedComments/threadedComment13.xml><?xml version="1.0" encoding="utf-8"?>
<ThreadedComments xmlns="http://schemas.microsoft.com/office/spreadsheetml/2018/threadedcomments" xmlns:x="http://schemas.openxmlformats.org/spreadsheetml/2006/main">
  <threadedComment ref="S1" dT="2024-01-16T10:00:06.98" personId="{5D048A0C-9405-47F1-A020-6E53793B23CD}" id="{675121B4-51C6-45BE-AB26-BB8EEA508806}">
    <text>For substitutions, the word frequency of the apograph reading</text>
  </threadedComment>
  <threadedComment ref="T1" dT="2024-01-16T09:59:48.08" personId="{5D048A0C-9405-47F1-A020-6E53793B23CD}" id="{0C7E5137-DD83-4DAC-8474-7EE5F5882023}">
    <text>For substitutions, the word frequency of the autograph reading</text>
  </threadedComment>
  <threadedComment ref="D5" dT="2024-01-24T17:15:11.25" personId="{5D048A0C-9405-47F1-A020-6E53793B23CD}" id="{76FAFAD1-6EC0-4A30-9ACB-812427CB477E}">
    <text>The number of variants that harmonized to parallel phrases in the near context</text>
  </threadedComment>
  <threadedComment ref="D6" dT="2024-01-24T17:15:35.01" personId="{5D048A0C-9405-47F1-A020-6E53793B23CD}" id="{3F3DE51F-E097-4542-8820-9D77317020A4}">
    <text>The number of variants that disharmonized from  parallel phrases in the near context</text>
  </threadedComment>
  <threadedComment ref="D7" dT="2024-01-24T17:16:15.06" personId="{5D048A0C-9405-47F1-A020-6E53793B23CD}" id="{FEF04B0C-A8B3-467D-A075-DE68F3219A8F}">
    <text>The ratio of harmonizations to disharmonizations; = harmonizations / (harmonizations + disharmonizations)</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4-01-30T16:42:58.97" personId="{5D048A0C-9405-47F1-A020-6E53793B23CD}" id="{C44DD313-CC94-40BC-A23D-700E156B3A9B}">
    <text>Word count of the apograph, for the extent of text copied from the exemplar. Not necessarily equal to the word count of a corpus, or the exemplar. Apograph word count was chosen over autograph since it would remain stable across comparisons to other potential autographa, when the exemplar is not known.</text>
  </threadedComment>
  <threadedComment ref="A2" dT="2024-01-30T16:43:29.06" personId="{5D048A0C-9405-47F1-A020-6E53793B23CD}" id="{094DAE69-FFE1-4DC9-81F6-155544412A61}">
    <text>The number of total deviations from the exemplar. Includes itacisms, orthographic changes, nonsense readings etc.</text>
  </threadedComment>
  <threadedComment ref="A3" dT="2024-01-30T16:44:34.54" personId="{5D048A0C-9405-47F1-A020-6E53793B23CD}" id="{3CA1F7DB-17BF-4A1B-881B-90EDD3017997}">
    <text>The number of "meaningful" variants produced by the scribe. Should be based on the "general filters" page, with those readings excluded that have not been deemed fit for analysis (e.g., nonsense readings and corrections thereof, itacisms etc.)</text>
  </threadedComment>
  <threadedComment ref="A5" dT="2024-01-31T15:17:30.66" personId="{5D048A0C-9405-47F1-A020-6E53793B23CD}" id="{01BFE859-9B1E-457B-8C3D-310EF295D228}">
    <text>The rate of error generation per 1000 words in the apograph. Figure includes itacisms, orthographic changes, nonsense readings etc.</text>
  </threadedComment>
  <threadedComment ref="A6" dT="2024-01-31T15:18:45.83" personId="{5D048A0C-9405-47F1-A020-6E53793B23CD}" id="{1F839008-12E3-457B-86AC-E5911618A40C}">
    <text>Frequency of "meaningful" errors per 1000 words in the apograph. "Meaningful" errors are defined by the general filters applied to the raw data. (Here, this means the exclusion of such readings as itacisms, orthographic changes, variants involving nonsense readings etc.)</text>
  </threadedComment>
</ThreadedComments>
</file>

<file path=xl/threadedComments/threadedComment15.xml><?xml version="1.0" encoding="utf-8"?>
<ThreadedComments xmlns="http://schemas.microsoft.com/office/spreadsheetml/2018/threadedcomments" xmlns:x="http://schemas.openxmlformats.org/spreadsheetml/2006/main">
  <threadedComment ref="K3" dT="2023-08-03T13:34:30.53" personId="{5D048A0C-9405-47F1-A020-6E53793B23CD}" id="{3B3C42D7-D23A-4A13-961D-A51B33C4F812}">
    <text>The apograph reading is singular and the autograph reading is not. The singular readings method would detect this variant</text>
  </threadedComment>
  <threadedComment ref="K4" dT="2023-08-03T13:33:28.57" personId="{5D048A0C-9405-47F1-A020-6E53793B23CD}" id="{33503B61-D396-4CB6-B78C-738CF807F495}">
    <text>That is, the autograph contains a singular reading and the apograph followed it</text>
  </threadedComment>
  <threadedComment ref="K5" dT="2023-08-03T13:35:10.13" personId="{5D048A0C-9405-47F1-A020-6E53793B23CD}" id="{578F9A70-DB86-4124-99A3-FB5E8B3F24F9}">
    <text>The apograph reading is not singular: other witnesses contain the same reading. These are real variants produced by the apograph scribe, but the singular readings method would not detect them</text>
  </threadedComment>
  <threadedComment ref="M13" dT="2023-08-14T14:21:11.11" personId="{5D048A0C-9405-47F1-A020-6E53793B23CD}" id="{CA332D3B-255C-4BFE-A327-192CC1243DCB}">
    <text>For words which have multiple common forms not impacting their inflection (e.g., ουκ-ουχ-ου, επι-επ-εφ)</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8.bin"/><Relationship Id="rId4" Type="http://schemas.microsoft.com/office/2017/10/relationships/threadedComment" Target="../threadedComments/threadedComment12.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9.bin"/><Relationship Id="rId4" Type="http://schemas.microsoft.com/office/2017/10/relationships/threadedComment" Target="../threadedComments/threadedComment14.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5.xml"/><Relationship Id="rId2" Type="http://schemas.openxmlformats.org/officeDocument/2006/relationships/comments" Target="../comments15.xml"/><Relationship Id="rId1"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498E-60FE-47CE-98CB-DF81F2BD960C}">
  <dimension ref="A1:AL123"/>
  <sheetViews>
    <sheetView tabSelected="1" workbookViewId="0">
      <pane xSplit="5" ySplit="1" topLeftCell="F2" activePane="bottomRight" state="frozen"/>
      <selection pane="topRight" activeCell="F1" sqref="F1"/>
      <selection pane="bottomLeft" activeCell="A2" sqref="A2"/>
      <selection pane="bottomRight" activeCell="F2" sqref="F2"/>
    </sheetView>
  </sheetViews>
  <sheetFormatPr defaultRowHeight="14.5"/>
  <cols>
    <col min="1" max="1" width="10.81640625" customWidth="1"/>
    <col min="2" max="3" width="8.90625" hidden="1" customWidth="1"/>
    <col min="4" max="4" width="20.81640625" customWidth="1"/>
    <col min="5" max="5" width="16.36328125" style="3" customWidth="1"/>
    <col min="6" max="6" width="10.81640625" customWidth="1"/>
    <col min="7" max="8" width="16.36328125" customWidth="1"/>
    <col min="9" max="9" width="10.81640625" customWidth="1"/>
    <col min="10" max="10" width="16.90625" style="7" bestFit="1" customWidth="1"/>
    <col min="11" max="16" width="8.90625" style="7"/>
    <col min="17" max="17" width="8.90625" style="8"/>
    <col min="18" max="18" width="8.90625" style="7"/>
    <col min="19" max="19" width="8.81640625" style="7" customWidth="1"/>
    <col min="20" max="22" width="8.90625" style="7"/>
    <col min="23" max="27" width="5.81640625" style="7" customWidth="1"/>
    <col min="28" max="32" width="8.90625" style="7"/>
    <col min="36" max="36" width="11.08984375" bestFit="1" customWidth="1"/>
  </cols>
  <sheetData>
    <row r="1" spans="1:36" s="1" customFormat="1">
      <c r="A1" s="1" t="s">
        <v>0</v>
      </c>
      <c r="B1" s="1" t="s">
        <v>1</v>
      </c>
      <c r="C1" s="1" t="s">
        <v>2</v>
      </c>
      <c r="D1" s="1" t="s">
        <v>5</v>
      </c>
      <c r="E1" s="2" t="s">
        <v>6</v>
      </c>
      <c r="F1" s="1" t="s">
        <v>354</v>
      </c>
      <c r="G1" s="1" t="s">
        <v>355</v>
      </c>
      <c r="H1" s="1" t="s">
        <v>356</v>
      </c>
      <c r="I1" s="1" t="s">
        <v>7</v>
      </c>
      <c r="J1" s="1" t="s">
        <v>3</v>
      </c>
      <c r="K1" s="1" t="s">
        <v>357</v>
      </c>
      <c r="L1" s="1" t="s">
        <v>358</v>
      </c>
      <c r="M1" s="1" t="s">
        <v>359</v>
      </c>
      <c r="N1" s="1" t="s">
        <v>360</v>
      </c>
      <c r="O1" s="1" t="s">
        <v>319</v>
      </c>
      <c r="P1" s="1" t="s">
        <v>361</v>
      </c>
      <c r="Q1" s="6" t="s">
        <v>362</v>
      </c>
      <c r="R1" s="1" t="s">
        <v>320</v>
      </c>
      <c r="S1" s="1" t="s">
        <v>363</v>
      </c>
      <c r="T1" s="1" t="s">
        <v>364</v>
      </c>
      <c r="U1" s="1" t="s">
        <v>449</v>
      </c>
      <c r="V1" s="1" t="s">
        <v>450</v>
      </c>
      <c r="W1" s="1" t="s">
        <v>367</v>
      </c>
      <c r="X1" s="1" t="s">
        <v>368</v>
      </c>
      <c r="Y1" s="1" t="s">
        <v>369</v>
      </c>
      <c r="Z1" s="1" t="s">
        <v>321</v>
      </c>
      <c r="AA1" s="1" t="s">
        <v>322</v>
      </c>
      <c r="AB1" s="1" t="s">
        <v>323</v>
      </c>
      <c r="AC1" s="1" t="s">
        <v>365</v>
      </c>
      <c r="AD1" s="1" t="s">
        <v>370</v>
      </c>
      <c r="AE1" s="1" t="s">
        <v>324</v>
      </c>
      <c r="AF1" s="1" t="s">
        <v>366</v>
      </c>
      <c r="AG1" s="1" t="s">
        <v>382</v>
      </c>
      <c r="AH1" s="1" t="s">
        <v>380</v>
      </c>
      <c r="AI1" s="1" t="s">
        <v>381</v>
      </c>
    </row>
    <row r="2" spans="1:36" ht="29">
      <c r="A2" t="s">
        <v>38</v>
      </c>
      <c r="D2" s="3" t="s">
        <v>496</v>
      </c>
      <c r="E2" s="3" t="s">
        <v>158</v>
      </c>
      <c r="J2" s="7" t="s">
        <v>25</v>
      </c>
      <c r="L2" s="7">
        <v>1</v>
      </c>
      <c r="M2" s="7">
        <v>2</v>
      </c>
      <c r="N2" s="7" t="s">
        <v>350</v>
      </c>
      <c r="O2" s="7" t="s">
        <v>373</v>
      </c>
      <c r="S2" s="7">
        <v>613</v>
      </c>
      <c r="U2" s="7" t="str">
        <f t="shared" ref="U2" ca="1" si="0">IF(ISNUMBER(T2),VALUE(MID(_xlfn.FORMULATEXT(T2),SEARCH("-",_xlfn.FORMULATEXT(T2))+1,LEN(_xlfn.FORMULATEXT(T2))-SEARCH("-",_xlfn.FORMULATEXT(T2)))), "")</f>
        <v/>
      </c>
      <c r="V2" s="7" t="str">
        <f t="shared" ref="V2" ca="1" si="1">IF(ISNUMBER(T2), VALUE(MID(_xlfn.FORMULATEXT(T2), 2, SEARCH("-", _xlfn.FORMULATEXT(T2)) - 2)), "")</f>
        <v/>
      </c>
      <c r="AG2" t="s">
        <v>19</v>
      </c>
      <c r="AJ2" cm="1">
        <f t="array" ref="AJ2">_xlfn.IFS(AG2="Yes",1,AG2="No",0,AG2="","")</f>
        <v>1</v>
      </c>
    </row>
    <row r="3" spans="1:36">
      <c r="A3" t="s">
        <v>38</v>
      </c>
      <c r="D3" s="3" t="s">
        <v>160</v>
      </c>
      <c r="E3" s="3" t="s">
        <v>159</v>
      </c>
      <c r="J3" s="7" t="s">
        <v>25</v>
      </c>
      <c r="L3" s="7">
        <v>1</v>
      </c>
      <c r="M3" s="7">
        <v>3</v>
      </c>
      <c r="N3" s="7" t="s">
        <v>331</v>
      </c>
      <c r="O3" s="7" t="s">
        <v>326</v>
      </c>
      <c r="P3" s="7" t="s">
        <v>389</v>
      </c>
      <c r="Q3" s="8" t="s">
        <v>388</v>
      </c>
      <c r="S3" s="7">
        <v>2475</v>
      </c>
      <c r="U3" s="7" t="str">
        <f t="shared" ref="U3:U58" ca="1" si="2">IF(ISNUMBER(T3),VALUE(MID(_xlfn.FORMULATEXT(T3),SEARCH("-",_xlfn.FORMULATEXT(T3))+1,LEN(_xlfn.FORMULATEXT(T3))-SEARCH("-",_xlfn.FORMULATEXT(T3)))), "")</f>
        <v/>
      </c>
      <c r="V3" s="7" t="str">
        <f t="shared" ref="V3:V58" ca="1" si="3">IF(ISNUMBER(T3), VALUE(MID(_xlfn.FORMULATEXT(T3), 2, SEARCH("-", _xlfn.FORMULATEXT(T3)) - 2)), "")</f>
        <v/>
      </c>
      <c r="AG3" t="s">
        <v>19</v>
      </c>
      <c r="AJ3" cm="1">
        <f t="array" ref="AJ3">_xlfn.IFS(AG3="Yes",1,AG3="No",0,AG3="","")</f>
        <v>1</v>
      </c>
    </row>
    <row r="4" spans="1:36">
      <c r="A4" t="s">
        <v>39</v>
      </c>
      <c r="D4" s="3" t="s">
        <v>162</v>
      </c>
      <c r="E4" s="3" t="s">
        <v>161</v>
      </c>
      <c r="J4" s="7" t="s">
        <v>25</v>
      </c>
      <c r="L4" s="7">
        <v>1</v>
      </c>
      <c r="M4" s="7">
        <v>2</v>
      </c>
      <c r="N4" s="7" t="s">
        <v>331</v>
      </c>
      <c r="O4" s="7" t="s">
        <v>373</v>
      </c>
      <c r="S4" s="7">
        <v>2475</v>
      </c>
      <c r="U4" s="7" t="str">
        <f t="shared" ca="1" si="2"/>
        <v/>
      </c>
      <c r="V4" s="7" t="str">
        <f t="shared" ca="1" si="3"/>
        <v/>
      </c>
      <c r="AG4" t="s">
        <v>19</v>
      </c>
      <c r="AJ4" cm="1">
        <f t="array" ref="AJ4">_xlfn.IFS(AG4="Yes",1,AG4="No",0,AG4="","")</f>
        <v>1</v>
      </c>
    </row>
    <row r="5" spans="1:36">
      <c r="A5" t="s">
        <v>39</v>
      </c>
      <c r="D5" s="3" t="s">
        <v>163</v>
      </c>
      <c r="E5" s="3" t="s">
        <v>164</v>
      </c>
      <c r="H5" t="s">
        <v>19</v>
      </c>
      <c r="J5" s="7" t="s">
        <v>372</v>
      </c>
      <c r="T5" s="7" t="s">
        <v>373</v>
      </c>
      <c r="U5" s="7" t="str">
        <f t="shared" ca="1" si="2"/>
        <v/>
      </c>
      <c r="V5" s="7" t="str">
        <f t="shared" ca="1" si="3"/>
        <v/>
      </c>
      <c r="AC5" s="7" t="s">
        <v>393</v>
      </c>
      <c r="AD5" s="7" t="s">
        <v>19</v>
      </c>
      <c r="AE5" s="7" t="s">
        <v>330</v>
      </c>
      <c r="AG5" t="s">
        <v>20</v>
      </c>
      <c r="AJ5" cm="1">
        <f t="array" ref="AJ5">_xlfn.IFS(AG5="Yes",1,AG5="No",0,AG5="","")</f>
        <v>0</v>
      </c>
    </row>
    <row r="6" spans="1:36">
      <c r="A6" t="s">
        <v>40</v>
      </c>
      <c r="D6" s="3" t="s">
        <v>41</v>
      </c>
      <c r="E6" s="3" t="s">
        <v>42</v>
      </c>
      <c r="F6" t="s">
        <v>17</v>
      </c>
      <c r="H6" t="s">
        <v>19</v>
      </c>
      <c r="J6" s="7" t="s">
        <v>372</v>
      </c>
      <c r="T6" s="7">
        <f>0-1</f>
        <v>-1</v>
      </c>
      <c r="U6" s="7">
        <f t="shared" ca="1" si="2"/>
        <v>1</v>
      </c>
      <c r="V6" s="7">
        <f t="shared" ca="1" si="3"/>
        <v>0</v>
      </c>
      <c r="AC6" s="7" t="s">
        <v>385</v>
      </c>
      <c r="AD6" s="7" t="s">
        <v>19</v>
      </c>
      <c r="AG6" t="s">
        <v>19</v>
      </c>
      <c r="AJ6" cm="1">
        <f t="array" ref="AJ6">_xlfn.IFS(AG6="Yes",1,AG6="No",0,AG6="","")</f>
        <v>1</v>
      </c>
    </row>
    <row r="7" spans="1:36" ht="29">
      <c r="A7" t="s">
        <v>43</v>
      </c>
      <c r="D7" s="3" t="s">
        <v>166</v>
      </c>
      <c r="E7" s="3" t="s">
        <v>165</v>
      </c>
      <c r="I7" t="s">
        <v>392</v>
      </c>
      <c r="J7" s="7" t="s">
        <v>26</v>
      </c>
      <c r="U7" s="7" t="str">
        <f t="shared" ca="1" si="2"/>
        <v/>
      </c>
      <c r="V7" s="7" t="str">
        <f t="shared" ca="1" si="3"/>
        <v/>
      </c>
      <c r="AG7" t="s">
        <v>19</v>
      </c>
      <c r="AJ7" cm="1">
        <f t="array" ref="AJ7">_xlfn.IFS(AG7="Yes",1,AG7="No",0,AG7="","")</f>
        <v>1</v>
      </c>
    </row>
    <row r="8" spans="1:36">
      <c r="A8" t="s">
        <v>44</v>
      </c>
      <c r="D8" s="3" t="s">
        <v>168</v>
      </c>
      <c r="E8" s="3" t="s">
        <v>167</v>
      </c>
      <c r="J8" s="7" t="s">
        <v>24</v>
      </c>
      <c r="L8" s="7">
        <v>1</v>
      </c>
      <c r="M8" s="7">
        <v>1</v>
      </c>
      <c r="N8" s="7" t="s">
        <v>331</v>
      </c>
      <c r="O8" s="7" t="s">
        <v>373</v>
      </c>
      <c r="S8" s="7">
        <v>2475</v>
      </c>
      <c r="U8" s="7" t="str">
        <f t="shared" ca="1" si="2"/>
        <v/>
      </c>
      <c r="V8" s="7" t="str">
        <f t="shared" ca="1" si="3"/>
        <v/>
      </c>
      <c r="AG8" t="s">
        <v>19</v>
      </c>
      <c r="AJ8" cm="1">
        <f t="array" ref="AJ8">_xlfn.IFS(AG8="Yes",1,AG8="No",0,AG8="","")</f>
        <v>1</v>
      </c>
    </row>
    <row r="9" spans="1:36">
      <c r="A9" t="s">
        <v>44</v>
      </c>
      <c r="D9" s="3" t="s">
        <v>170</v>
      </c>
      <c r="E9" s="3" t="s">
        <v>169</v>
      </c>
      <c r="I9" s="4"/>
      <c r="J9" s="7" t="s">
        <v>374</v>
      </c>
      <c r="U9" s="7" t="str">
        <f t="shared" ca="1" si="2"/>
        <v/>
      </c>
      <c r="V9" s="7" t="str">
        <f t="shared" ca="1" si="3"/>
        <v/>
      </c>
      <c r="AE9" s="7" t="s">
        <v>343</v>
      </c>
      <c r="AG9" t="s">
        <v>19</v>
      </c>
      <c r="AJ9" cm="1">
        <f t="array" ref="AJ9">_xlfn.IFS(AG9="Yes",1,AG9="No",0,AG9="","")</f>
        <v>1</v>
      </c>
    </row>
    <row r="10" spans="1:36">
      <c r="A10" t="s">
        <v>45</v>
      </c>
      <c r="D10" s="3" t="s">
        <v>46</v>
      </c>
      <c r="E10" s="3" t="s">
        <v>47</v>
      </c>
      <c r="H10" t="s">
        <v>19</v>
      </c>
      <c r="J10" s="7" t="s">
        <v>372</v>
      </c>
      <c r="T10" s="7" t="s">
        <v>373</v>
      </c>
      <c r="U10" s="7" t="str">
        <f t="shared" ca="1" si="2"/>
        <v/>
      </c>
      <c r="V10" s="7" t="str">
        <f t="shared" ca="1" si="3"/>
        <v/>
      </c>
      <c r="AC10" s="7" t="s">
        <v>386</v>
      </c>
      <c r="AD10" s="7" t="s">
        <v>19</v>
      </c>
      <c r="AE10" s="7" t="s">
        <v>330</v>
      </c>
      <c r="AG10" t="s">
        <v>20</v>
      </c>
      <c r="AJ10" cm="1">
        <f t="array" ref="AJ10">_xlfn.IFS(AG10="Yes",1,AG10="No",0,AG10="","")</f>
        <v>0</v>
      </c>
    </row>
    <row r="11" spans="1:36">
      <c r="A11" t="s">
        <v>48</v>
      </c>
      <c r="D11" s="3" t="s">
        <v>172</v>
      </c>
      <c r="E11" s="3" t="s">
        <v>171</v>
      </c>
      <c r="J11" s="7" t="s">
        <v>372</v>
      </c>
      <c r="T11" s="7">
        <f>31-280</f>
        <v>-249</v>
      </c>
      <c r="U11" s="7">
        <f t="shared" ca="1" si="2"/>
        <v>280</v>
      </c>
      <c r="V11" s="7">
        <f t="shared" ca="1" si="3"/>
        <v>31</v>
      </c>
      <c r="AG11" t="s">
        <v>19</v>
      </c>
      <c r="AJ11" cm="1">
        <f t="array" ref="AJ11">_xlfn.IFS(AG11="Yes",1,AG11="No",0,AG11="","")</f>
        <v>1</v>
      </c>
    </row>
    <row r="12" spans="1:36">
      <c r="A12" t="s">
        <v>49</v>
      </c>
      <c r="D12" s="3" t="s">
        <v>50</v>
      </c>
      <c r="E12" s="3" t="s">
        <v>51</v>
      </c>
      <c r="H12" t="s">
        <v>19</v>
      </c>
      <c r="J12" s="7" t="s">
        <v>372</v>
      </c>
      <c r="T12" s="7" t="s">
        <v>384</v>
      </c>
      <c r="U12" s="7" t="str">
        <f t="shared" ca="1" si="2"/>
        <v/>
      </c>
      <c r="V12" s="7" t="str">
        <f t="shared" ca="1" si="3"/>
        <v/>
      </c>
      <c r="AC12" s="7" t="s">
        <v>385</v>
      </c>
      <c r="AD12" s="7" t="s">
        <v>19</v>
      </c>
      <c r="AE12" s="7" t="s">
        <v>330</v>
      </c>
      <c r="AG12" t="s">
        <v>20</v>
      </c>
      <c r="AJ12" cm="1">
        <f t="array" ref="AJ12">_xlfn.IFS(AG12="Yes",1,AG12="No",0,AG12="","")</f>
        <v>0</v>
      </c>
    </row>
    <row r="13" spans="1:36">
      <c r="A13" t="s">
        <v>52</v>
      </c>
      <c r="D13" s="3" t="s">
        <v>53</v>
      </c>
      <c r="E13" s="3" t="s">
        <v>54</v>
      </c>
      <c r="H13" t="s">
        <v>19</v>
      </c>
      <c r="J13" s="7" t="s">
        <v>372</v>
      </c>
      <c r="T13" s="7" t="s">
        <v>384</v>
      </c>
      <c r="U13" s="7" t="str">
        <f t="shared" ca="1" si="2"/>
        <v/>
      </c>
      <c r="V13" s="7" t="str">
        <f t="shared" ca="1" si="3"/>
        <v/>
      </c>
      <c r="AC13" s="7" t="s">
        <v>386</v>
      </c>
      <c r="AD13" s="7" t="s">
        <v>19</v>
      </c>
      <c r="AE13" s="7" t="s">
        <v>330</v>
      </c>
      <c r="AG13" t="s">
        <v>20</v>
      </c>
      <c r="AJ13" cm="1">
        <f t="array" ref="AJ13">_xlfn.IFS(AG13="Yes",1,AG13="No",0,AG13="","")</f>
        <v>0</v>
      </c>
    </row>
    <row r="14" spans="1:36" ht="29">
      <c r="A14" t="s">
        <v>52</v>
      </c>
      <c r="D14" s="3" t="s">
        <v>176</v>
      </c>
      <c r="E14" s="3" t="s">
        <v>175</v>
      </c>
      <c r="J14" s="7" t="s">
        <v>25</v>
      </c>
      <c r="L14" s="7">
        <v>1</v>
      </c>
      <c r="M14" s="7">
        <v>3</v>
      </c>
      <c r="N14" s="7" t="s">
        <v>331</v>
      </c>
      <c r="O14" s="7" t="s">
        <v>326</v>
      </c>
      <c r="P14" s="7" t="s">
        <v>387</v>
      </c>
      <c r="Q14" s="8" t="s">
        <v>388</v>
      </c>
      <c r="S14" s="7">
        <v>2475</v>
      </c>
      <c r="U14" s="7" t="str">
        <f t="shared" ca="1" si="2"/>
        <v/>
      </c>
      <c r="V14" s="7" t="str">
        <f t="shared" ca="1" si="3"/>
        <v/>
      </c>
      <c r="AG14" t="s">
        <v>19</v>
      </c>
      <c r="AJ14" cm="1">
        <f t="array" ref="AJ14">_xlfn.IFS(AG14="Yes",1,AG14="No",0,AG14="","")</f>
        <v>1</v>
      </c>
    </row>
    <row r="15" spans="1:36" ht="29">
      <c r="A15" t="s">
        <v>55</v>
      </c>
      <c r="D15" s="3" t="s">
        <v>177</v>
      </c>
      <c r="E15" s="3" t="s">
        <v>178</v>
      </c>
      <c r="H15" t="s">
        <v>19</v>
      </c>
      <c r="J15" s="7" t="s">
        <v>24</v>
      </c>
      <c r="L15" s="7">
        <v>1</v>
      </c>
      <c r="M15" s="7">
        <v>9</v>
      </c>
      <c r="N15" s="7" t="s">
        <v>325</v>
      </c>
      <c r="O15" s="7" t="s">
        <v>326</v>
      </c>
      <c r="P15" s="7" t="s">
        <v>415</v>
      </c>
      <c r="Q15" s="8" t="s">
        <v>416</v>
      </c>
      <c r="S15" s="7">
        <v>4</v>
      </c>
      <c r="U15" s="7" t="str">
        <f t="shared" ca="1" si="2"/>
        <v/>
      </c>
      <c r="V15" s="7" t="str">
        <f t="shared" ca="1" si="3"/>
        <v/>
      </c>
      <c r="AG15" t="s">
        <v>20</v>
      </c>
      <c r="AJ15" cm="1">
        <f t="array" ref="AJ15">_xlfn.IFS(AG15="Yes",1,AG15="No",0,AG15="","")</f>
        <v>0</v>
      </c>
    </row>
    <row r="16" spans="1:36">
      <c r="A16" t="s">
        <v>56</v>
      </c>
      <c r="D16" s="3" t="s">
        <v>57</v>
      </c>
      <c r="E16" s="3" t="s">
        <v>58</v>
      </c>
      <c r="H16" t="s">
        <v>19</v>
      </c>
      <c r="J16" s="7" t="s">
        <v>372</v>
      </c>
      <c r="T16" s="7" t="s">
        <v>384</v>
      </c>
      <c r="U16" s="7" t="str">
        <f t="shared" ca="1" si="2"/>
        <v/>
      </c>
      <c r="V16" s="7" t="str">
        <f t="shared" ca="1" si="3"/>
        <v/>
      </c>
      <c r="AE16" s="7" t="s">
        <v>330</v>
      </c>
      <c r="AG16" t="s">
        <v>20</v>
      </c>
      <c r="AJ16" cm="1">
        <f t="array" ref="AJ16">_xlfn.IFS(AG16="Yes",1,AG16="No",0,AG16="","")</f>
        <v>0</v>
      </c>
    </row>
    <row r="17" spans="1:36">
      <c r="A17" t="s">
        <v>56</v>
      </c>
      <c r="D17" s="3" t="s">
        <v>59</v>
      </c>
      <c r="E17" s="3" t="s">
        <v>60</v>
      </c>
      <c r="J17" s="7" t="s">
        <v>372</v>
      </c>
      <c r="T17" s="7">
        <f>8-1</f>
        <v>7</v>
      </c>
      <c r="U17" s="7">
        <f t="shared" ca="1" si="2"/>
        <v>1</v>
      </c>
      <c r="V17" s="7">
        <f t="shared" ca="1" si="3"/>
        <v>8</v>
      </c>
      <c r="AG17" t="s">
        <v>20</v>
      </c>
      <c r="AJ17" cm="1">
        <f t="array" ref="AJ17">_xlfn.IFS(AG17="Yes",1,AG17="No",0,AG17="","")</f>
        <v>0</v>
      </c>
    </row>
    <row r="18" spans="1:36">
      <c r="A18" t="s">
        <v>61</v>
      </c>
      <c r="D18" s="3" t="s">
        <v>62</v>
      </c>
      <c r="E18" s="3" t="s">
        <v>63</v>
      </c>
      <c r="J18" s="7" t="s">
        <v>372</v>
      </c>
      <c r="T18" s="7" t="s">
        <v>384</v>
      </c>
      <c r="U18" s="7" t="str">
        <f t="shared" ca="1" si="2"/>
        <v/>
      </c>
      <c r="V18" s="7" t="str">
        <f t="shared" ca="1" si="3"/>
        <v/>
      </c>
      <c r="AE18" s="7" t="s">
        <v>330</v>
      </c>
      <c r="AG18" t="s">
        <v>20</v>
      </c>
      <c r="AJ18" cm="1">
        <f t="array" ref="AJ18">_xlfn.IFS(AG18="Yes",1,AG18="No",0,AG18="","")</f>
        <v>0</v>
      </c>
    </row>
    <row r="19" spans="1:36" ht="29">
      <c r="A19" t="s">
        <v>61</v>
      </c>
      <c r="D19" s="3" t="s">
        <v>179</v>
      </c>
      <c r="E19" s="3" t="s">
        <v>180</v>
      </c>
      <c r="J19" s="7" t="s">
        <v>24</v>
      </c>
      <c r="L19" s="7">
        <v>1</v>
      </c>
      <c r="M19" s="7">
        <v>3</v>
      </c>
      <c r="N19" s="7" t="s">
        <v>331</v>
      </c>
      <c r="O19" s="7" t="s">
        <v>332</v>
      </c>
      <c r="S19" s="7">
        <v>2475</v>
      </c>
      <c r="U19" s="7" t="str">
        <f t="shared" ca="1" si="2"/>
        <v/>
      </c>
      <c r="V19" s="7" t="str">
        <f t="shared" ca="1" si="3"/>
        <v/>
      </c>
      <c r="AG19" t="s">
        <v>19</v>
      </c>
      <c r="AJ19" cm="1">
        <f t="array" ref="AJ19">_xlfn.IFS(AG19="Yes",1,AG19="No",0,AG19="","")</f>
        <v>1</v>
      </c>
    </row>
    <row r="20" spans="1:36" ht="29">
      <c r="A20" t="s">
        <v>61</v>
      </c>
      <c r="D20" s="3" t="s">
        <v>179</v>
      </c>
      <c r="E20" s="3" t="s">
        <v>181</v>
      </c>
      <c r="J20" s="7" t="s">
        <v>24</v>
      </c>
      <c r="L20" s="7">
        <v>1</v>
      </c>
      <c r="M20" s="7">
        <v>3</v>
      </c>
      <c r="N20" s="7" t="s">
        <v>331</v>
      </c>
      <c r="O20" s="7" t="s">
        <v>332</v>
      </c>
      <c r="S20" s="7">
        <v>2475</v>
      </c>
      <c r="U20" s="7" t="str">
        <f t="shared" ca="1" si="2"/>
        <v/>
      </c>
      <c r="V20" s="7" t="str">
        <f t="shared" ca="1" si="3"/>
        <v/>
      </c>
      <c r="AG20" t="s">
        <v>19</v>
      </c>
      <c r="AJ20" cm="1">
        <f t="array" ref="AJ20">_xlfn.IFS(AG20="Yes",1,AG20="No",0,AG20="","")</f>
        <v>1</v>
      </c>
    </row>
    <row r="21" spans="1:36">
      <c r="A21" t="s">
        <v>61</v>
      </c>
      <c r="D21" s="3" t="s">
        <v>183</v>
      </c>
      <c r="E21" s="3" t="s">
        <v>182</v>
      </c>
      <c r="J21" s="7" t="s">
        <v>24</v>
      </c>
      <c r="L21" s="7">
        <v>1</v>
      </c>
      <c r="M21" s="7">
        <v>3</v>
      </c>
      <c r="N21" s="7" t="s">
        <v>331</v>
      </c>
      <c r="O21" s="7" t="s">
        <v>332</v>
      </c>
      <c r="S21" s="7">
        <v>2475</v>
      </c>
      <c r="U21" s="7" t="str">
        <f t="shared" ca="1" si="2"/>
        <v/>
      </c>
      <c r="V21" s="7" t="str">
        <f t="shared" ca="1" si="3"/>
        <v/>
      </c>
      <c r="AG21" t="s">
        <v>19</v>
      </c>
      <c r="AJ21" cm="1">
        <f t="array" ref="AJ21">_xlfn.IFS(AG21="Yes",1,AG21="No",0,AG21="","")</f>
        <v>1</v>
      </c>
    </row>
    <row r="22" spans="1:36">
      <c r="A22" t="s">
        <v>64</v>
      </c>
      <c r="D22" s="3" t="s">
        <v>65</v>
      </c>
      <c r="E22" s="3" t="s">
        <v>66</v>
      </c>
      <c r="J22" s="7" t="s">
        <v>374</v>
      </c>
      <c r="U22" s="7" t="str">
        <f t="shared" ca="1" si="2"/>
        <v/>
      </c>
      <c r="V22" s="7" t="str">
        <f t="shared" ca="1" si="3"/>
        <v/>
      </c>
      <c r="AE22" s="7" t="s">
        <v>330</v>
      </c>
      <c r="AG22" t="s">
        <v>19</v>
      </c>
      <c r="AJ22" cm="1">
        <f t="array" ref="AJ22">_xlfn.IFS(AG22="Yes",1,AG22="No",0,AG22="","")</f>
        <v>1</v>
      </c>
    </row>
    <row r="23" spans="1:36">
      <c r="A23" t="s">
        <v>64</v>
      </c>
      <c r="D23" s="3" t="s">
        <v>67</v>
      </c>
      <c r="E23" s="3" t="s">
        <v>68</v>
      </c>
      <c r="J23" s="7" t="s">
        <v>374</v>
      </c>
      <c r="U23" s="7" t="str">
        <f t="shared" ca="1" si="2"/>
        <v/>
      </c>
      <c r="V23" s="7" t="str">
        <f t="shared" ca="1" si="3"/>
        <v/>
      </c>
      <c r="AC23" s="7" t="s">
        <v>385</v>
      </c>
      <c r="AD23" s="7" t="s">
        <v>19</v>
      </c>
      <c r="AG23" t="s">
        <v>19</v>
      </c>
      <c r="AJ23" cm="1">
        <f t="array" ref="AJ23">_xlfn.IFS(AG23="Yes",1,AG23="No",0,AG23="","")</f>
        <v>1</v>
      </c>
    </row>
    <row r="24" spans="1:36">
      <c r="A24" t="s">
        <v>69</v>
      </c>
      <c r="D24" s="3" t="s">
        <v>70</v>
      </c>
      <c r="E24" s="3" t="s">
        <v>71</v>
      </c>
      <c r="J24" s="7" t="s">
        <v>374</v>
      </c>
      <c r="U24" s="7" t="str">
        <f t="shared" ca="1" si="2"/>
        <v/>
      </c>
      <c r="V24" s="7" t="str">
        <f t="shared" ca="1" si="3"/>
        <v/>
      </c>
      <c r="AG24" t="s">
        <v>19</v>
      </c>
      <c r="AJ24" cm="1">
        <f t="array" ref="AJ24">_xlfn.IFS(AG24="Yes",1,AG24="No",0,AG24="","")</f>
        <v>1</v>
      </c>
    </row>
    <row r="25" spans="1:36" ht="29">
      <c r="A25" t="s">
        <v>72</v>
      </c>
      <c r="D25" s="3" t="s">
        <v>184</v>
      </c>
      <c r="E25" s="5" t="s">
        <v>185</v>
      </c>
      <c r="F25" t="s">
        <v>16</v>
      </c>
      <c r="I25" t="s">
        <v>186</v>
      </c>
      <c r="U25" s="7" t="str">
        <f t="shared" ca="1" si="2"/>
        <v/>
      </c>
      <c r="V25" s="7" t="str">
        <f t="shared" ca="1" si="3"/>
        <v/>
      </c>
      <c r="AJ25" t="str" cm="1">
        <f t="array" ref="AJ25">_xlfn.IFS(AG25="Yes",1,AG25="No",0,AG25="","")</f>
        <v/>
      </c>
    </row>
    <row r="26" spans="1:36">
      <c r="A26" t="s">
        <v>73</v>
      </c>
      <c r="D26" s="3" t="s">
        <v>187</v>
      </c>
      <c r="E26" s="3" t="s">
        <v>188</v>
      </c>
      <c r="J26" s="7" t="s">
        <v>24</v>
      </c>
      <c r="L26" s="7">
        <v>1</v>
      </c>
      <c r="M26" s="7">
        <v>1</v>
      </c>
      <c r="N26" s="7" t="s">
        <v>331</v>
      </c>
      <c r="O26" s="7" t="s">
        <v>373</v>
      </c>
      <c r="S26" s="7">
        <v>2475</v>
      </c>
      <c r="U26" s="7" t="str">
        <f t="shared" ca="1" si="2"/>
        <v/>
      </c>
      <c r="V26" s="7" t="str">
        <f t="shared" ca="1" si="3"/>
        <v/>
      </c>
      <c r="AG26" t="s">
        <v>19</v>
      </c>
      <c r="AJ26" cm="1">
        <f t="array" ref="AJ26">_xlfn.IFS(AG26="Yes",1,AG26="No",0,AG26="","")</f>
        <v>1</v>
      </c>
    </row>
    <row r="27" spans="1:36">
      <c r="A27" t="s">
        <v>73</v>
      </c>
      <c r="D27" s="3" t="s">
        <v>189</v>
      </c>
      <c r="E27" s="3" t="s">
        <v>190</v>
      </c>
      <c r="J27" s="7" t="s">
        <v>374</v>
      </c>
      <c r="U27" s="7" t="str">
        <f t="shared" ca="1" si="2"/>
        <v/>
      </c>
      <c r="V27" s="7" t="str">
        <f t="shared" ca="1" si="3"/>
        <v/>
      </c>
      <c r="AG27" t="s">
        <v>20</v>
      </c>
      <c r="AJ27" cm="1">
        <f t="array" ref="AJ27">_xlfn.IFS(AG27="Yes",1,AG27="No",0,AG27="","")</f>
        <v>0</v>
      </c>
    </row>
    <row r="28" spans="1:36">
      <c r="A28" t="s">
        <v>73</v>
      </c>
      <c r="D28" s="3" t="s">
        <v>74</v>
      </c>
      <c r="E28" s="3" t="s">
        <v>75</v>
      </c>
      <c r="J28" s="7" t="s">
        <v>374</v>
      </c>
      <c r="U28" s="7" t="str">
        <f t="shared" ca="1" si="2"/>
        <v/>
      </c>
      <c r="V28" s="7" t="str">
        <f t="shared" ca="1" si="3"/>
        <v/>
      </c>
      <c r="AG28" t="s">
        <v>19</v>
      </c>
      <c r="AJ28" cm="1">
        <f t="array" ref="AJ28">_xlfn.IFS(AG28="Yes",1,AG28="No",0,AG28="","")</f>
        <v>1</v>
      </c>
    </row>
    <row r="29" spans="1:36">
      <c r="A29" t="s">
        <v>73</v>
      </c>
      <c r="D29" s="3" t="s">
        <v>76</v>
      </c>
      <c r="E29" s="3" t="s">
        <v>77</v>
      </c>
      <c r="J29" s="7" t="s">
        <v>374</v>
      </c>
      <c r="U29" s="7" t="str">
        <f t="shared" ca="1" si="2"/>
        <v/>
      </c>
      <c r="V29" s="7" t="str">
        <f t="shared" ca="1" si="3"/>
        <v/>
      </c>
      <c r="AG29" t="s">
        <v>19</v>
      </c>
      <c r="AJ29" cm="1">
        <f t="array" ref="AJ29">_xlfn.IFS(AG29="Yes",1,AG29="No",0,AG29="","")</f>
        <v>1</v>
      </c>
    </row>
    <row r="30" spans="1:36">
      <c r="A30" t="s">
        <v>78</v>
      </c>
      <c r="D30" s="3" t="s">
        <v>191</v>
      </c>
      <c r="E30" s="3" t="s">
        <v>192</v>
      </c>
      <c r="J30" s="7" t="s">
        <v>25</v>
      </c>
      <c r="L30" s="7">
        <v>1</v>
      </c>
      <c r="M30" s="7">
        <v>2</v>
      </c>
      <c r="N30" s="7" t="s">
        <v>331</v>
      </c>
      <c r="O30" s="7" t="s">
        <v>373</v>
      </c>
      <c r="S30" s="7">
        <v>2475</v>
      </c>
      <c r="U30" s="7" t="str">
        <f t="shared" ca="1" si="2"/>
        <v/>
      </c>
      <c r="V30" s="7" t="str">
        <f t="shared" ca="1" si="3"/>
        <v/>
      </c>
      <c r="AG30" t="s">
        <v>19</v>
      </c>
      <c r="AJ30" cm="1">
        <f t="array" ref="AJ30">_xlfn.IFS(AG30="Yes",1,AG30="No",0,AG30="","")</f>
        <v>1</v>
      </c>
    </row>
    <row r="31" spans="1:36">
      <c r="A31" t="s">
        <v>78</v>
      </c>
      <c r="D31" s="3" t="s">
        <v>79</v>
      </c>
      <c r="E31" s="5" t="s">
        <v>80</v>
      </c>
      <c r="F31" t="s">
        <v>16</v>
      </c>
      <c r="I31" t="s">
        <v>193</v>
      </c>
      <c r="U31" s="7" t="str">
        <f t="shared" ca="1" si="2"/>
        <v/>
      </c>
      <c r="V31" s="7" t="str">
        <f t="shared" ca="1" si="3"/>
        <v/>
      </c>
      <c r="AJ31" t="str" cm="1">
        <f t="array" ref="AJ31">_xlfn.IFS(AG31="Yes",1,AG31="No",0,AG31="","")</f>
        <v/>
      </c>
    </row>
    <row r="32" spans="1:36" ht="29">
      <c r="A32" t="s">
        <v>78</v>
      </c>
      <c r="D32" s="3" t="s">
        <v>195</v>
      </c>
      <c r="E32" s="3" t="s">
        <v>194</v>
      </c>
      <c r="J32" s="7" t="s">
        <v>24</v>
      </c>
      <c r="L32" s="7">
        <v>1</v>
      </c>
      <c r="M32" s="7">
        <v>3</v>
      </c>
      <c r="N32" s="7" t="s">
        <v>341</v>
      </c>
      <c r="O32" s="7" t="s">
        <v>332</v>
      </c>
      <c r="S32" s="7">
        <v>1701</v>
      </c>
      <c r="U32" s="7" t="str">
        <f t="shared" ca="1" si="2"/>
        <v/>
      </c>
      <c r="V32" s="7" t="str">
        <f t="shared" ca="1" si="3"/>
        <v/>
      </c>
      <c r="AG32" t="s">
        <v>19</v>
      </c>
      <c r="AJ32" cm="1">
        <f t="array" ref="AJ32">_xlfn.IFS(AG32="Yes",1,AG32="No",0,AG32="","")</f>
        <v>1</v>
      </c>
    </row>
    <row r="33" spans="1:36" ht="72.5">
      <c r="A33" t="s">
        <v>78</v>
      </c>
      <c r="D33" s="3" t="s">
        <v>197</v>
      </c>
      <c r="E33" s="3" t="s">
        <v>198</v>
      </c>
      <c r="H33" t="s">
        <v>19</v>
      </c>
      <c r="J33" s="7" t="s">
        <v>374</v>
      </c>
      <c r="U33" s="7" t="str">
        <f t="shared" ca="1" si="2"/>
        <v/>
      </c>
      <c r="V33" s="7" t="str">
        <f t="shared" ca="1" si="3"/>
        <v/>
      </c>
      <c r="AG33" t="s">
        <v>19</v>
      </c>
      <c r="AJ33" cm="1">
        <f t="array" ref="AJ33">_xlfn.IFS(AG33="Yes",1,AG33="No",0,AG33="","")</f>
        <v>1</v>
      </c>
    </row>
    <row r="34" spans="1:36" ht="72.5">
      <c r="A34" t="s">
        <v>81</v>
      </c>
      <c r="D34" s="3" t="s">
        <v>396</v>
      </c>
      <c r="E34" s="3" t="s">
        <v>196</v>
      </c>
      <c r="H34" t="s">
        <v>19</v>
      </c>
      <c r="I34" t="s">
        <v>398</v>
      </c>
      <c r="J34" s="7" t="s">
        <v>25</v>
      </c>
      <c r="L34" s="7">
        <v>8</v>
      </c>
      <c r="M34" s="7">
        <v>46</v>
      </c>
      <c r="O34" s="7" t="s">
        <v>326</v>
      </c>
      <c r="P34" s="7" t="s">
        <v>395</v>
      </c>
      <c r="Q34" s="8" t="s">
        <v>397</v>
      </c>
      <c r="S34" s="7">
        <v>1</v>
      </c>
      <c r="U34" s="7" t="str">
        <f t="shared" ca="1" si="2"/>
        <v/>
      </c>
      <c r="V34" s="7" t="str">
        <f t="shared" ca="1" si="3"/>
        <v/>
      </c>
      <c r="AG34" t="s">
        <v>20</v>
      </c>
      <c r="AJ34" cm="1">
        <f t="array" ref="AJ34">_xlfn.IFS(AG34="Yes",1,AG34="No",0,AG34="","")</f>
        <v>0</v>
      </c>
    </row>
    <row r="35" spans="1:36" ht="29">
      <c r="A35" t="s">
        <v>82</v>
      </c>
      <c r="D35" s="3" t="s">
        <v>200</v>
      </c>
      <c r="E35" s="3" t="s">
        <v>199</v>
      </c>
      <c r="J35" s="7" t="s">
        <v>24</v>
      </c>
      <c r="L35" s="7">
        <v>1</v>
      </c>
      <c r="M35" s="7">
        <v>2</v>
      </c>
      <c r="N35" s="7" t="s">
        <v>331</v>
      </c>
      <c r="O35" s="7" t="s">
        <v>373</v>
      </c>
      <c r="S35" s="7">
        <v>2475</v>
      </c>
      <c r="U35" s="7" t="str">
        <f t="shared" ca="1" si="2"/>
        <v/>
      </c>
      <c r="V35" s="7" t="str">
        <f t="shared" ca="1" si="3"/>
        <v/>
      </c>
      <c r="AG35" t="s">
        <v>19</v>
      </c>
      <c r="AJ35" cm="1">
        <f t="array" ref="AJ35">_xlfn.IFS(AG35="Yes",1,AG35="No",0,AG35="","")</f>
        <v>1</v>
      </c>
    </row>
    <row r="36" spans="1:36">
      <c r="A36" t="s">
        <v>82</v>
      </c>
      <c r="D36" s="3" t="s">
        <v>201</v>
      </c>
      <c r="E36" s="3" t="s">
        <v>202</v>
      </c>
      <c r="J36" s="7" t="s">
        <v>25</v>
      </c>
      <c r="L36" s="7">
        <v>1</v>
      </c>
      <c r="M36" s="7">
        <v>2</v>
      </c>
      <c r="N36" s="7" t="s">
        <v>331</v>
      </c>
      <c r="O36" s="7" t="s">
        <v>373</v>
      </c>
      <c r="R36" s="7" t="s">
        <v>327</v>
      </c>
      <c r="S36" s="7">
        <v>2475</v>
      </c>
      <c r="U36" s="7" t="str">
        <f t="shared" ca="1" si="2"/>
        <v/>
      </c>
      <c r="V36" s="7" t="str">
        <f t="shared" ca="1" si="3"/>
        <v/>
      </c>
      <c r="AG36" t="s">
        <v>19</v>
      </c>
      <c r="AJ36" cm="1">
        <f t="array" ref="AJ36">_xlfn.IFS(AG36="Yes",1,AG36="No",0,AG36="","")</f>
        <v>1</v>
      </c>
    </row>
    <row r="37" spans="1:36">
      <c r="A37" t="s">
        <v>83</v>
      </c>
      <c r="D37" s="3" t="s">
        <v>174</v>
      </c>
      <c r="E37" s="3" t="s">
        <v>173</v>
      </c>
      <c r="I37" t="s">
        <v>399</v>
      </c>
      <c r="J37" s="7" t="s">
        <v>25</v>
      </c>
      <c r="L37" s="7">
        <v>1</v>
      </c>
      <c r="M37" s="7">
        <v>3</v>
      </c>
      <c r="N37" s="7" t="s">
        <v>331</v>
      </c>
      <c r="O37" s="7" t="s">
        <v>332</v>
      </c>
      <c r="S37" s="7">
        <v>2475</v>
      </c>
      <c r="U37" s="7" t="str">
        <f t="shared" ca="1" si="2"/>
        <v/>
      </c>
      <c r="V37" s="7" t="str">
        <f t="shared" ca="1" si="3"/>
        <v/>
      </c>
      <c r="AG37" t="s">
        <v>19</v>
      </c>
      <c r="AJ37" cm="1">
        <f t="array" ref="AJ37">_xlfn.IFS(AG37="Yes",1,AG37="No",0,AG37="","")</f>
        <v>1</v>
      </c>
    </row>
    <row r="38" spans="1:36" ht="29">
      <c r="A38" t="s">
        <v>83</v>
      </c>
      <c r="D38" s="3" t="s">
        <v>204</v>
      </c>
      <c r="E38" s="3" t="s">
        <v>203</v>
      </c>
      <c r="J38" s="7" t="s">
        <v>372</v>
      </c>
      <c r="T38" s="7">
        <f>79-1701</f>
        <v>-1622</v>
      </c>
      <c r="U38" s="7">
        <f t="shared" ca="1" si="2"/>
        <v>1701</v>
      </c>
      <c r="V38" s="7">
        <f t="shared" ca="1" si="3"/>
        <v>79</v>
      </c>
      <c r="AG38" t="s">
        <v>19</v>
      </c>
      <c r="AJ38" cm="1">
        <f t="array" ref="AJ38">_xlfn.IFS(AG38="Yes",1,AG38="No",0,AG38="","")</f>
        <v>1</v>
      </c>
    </row>
    <row r="39" spans="1:36">
      <c r="A39" t="s">
        <v>83</v>
      </c>
      <c r="D39" s="3" t="s">
        <v>174</v>
      </c>
      <c r="E39" s="3" t="s">
        <v>173</v>
      </c>
      <c r="J39" s="7" t="s">
        <v>25</v>
      </c>
      <c r="L39" s="7">
        <v>1</v>
      </c>
      <c r="M39" s="7">
        <v>3</v>
      </c>
      <c r="N39" s="7" t="s">
        <v>331</v>
      </c>
      <c r="O39" s="7" t="s">
        <v>332</v>
      </c>
      <c r="S39" s="7">
        <v>2475</v>
      </c>
      <c r="U39" s="7" t="str">
        <f t="shared" ca="1" si="2"/>
        <v/>
      </c>
      <c r="V39" s="7" t="str">
        <f t="shared" ca="1" si="3"/>
        <v/>
      </c>
      <c r="AG39" t="s">
        <v>19</v>
      </c>
      <c r="AJ39" cm="1">
        <f t="array" ref="AJ39">_xlfn.IFS(AG39="Yes",1,AG39="No",0,AG39="","")</f>
        <v>1</v>
      </c>
    </row>
    <row r="40" spans="1:36">
      <c r="A40" t="s">
        <v>85</v>
      </c>
      <c r="D40" s="3" t="s">
        <v>206</v>
      </c>
      <c r="E40" s="3" t="s">
        <v>205</v>
      </c>
      <c r="J40" s="7" t="s">
        <v>25</v>
      </c>
      <c r="L40" s="7">
        <v>1</v>
      </c>
      <c r="M40" s="7">
        <v>2</v>
      </c>
      <c r="N40" s="7" t="s">
        <v>341</v>
      </c>
      <c r="O40" s="7" t="s">
        <v>373</v>
      </c>
      <c r="S40" s="7">
        <v>171</v>
      </c>
      <c r="U40" s="7" t="str">
        <f t="shared" ca="1" si="2"/>
        <v/>
      </c>
      <c r="V40" s="7" t="str">
        <f t="shared" ca="1" si="3"/>
        <v/>
      </c>
      <c r="AG40" t="s">
        <v>19</v>
      </c>
      <c r="AJ40" cm="1">
        <f t="array" ref="AJ40">_xlfn.IFS(AG40="Yes",1,AG40="No",0,AG40="","")</f>
        <v>1</v>
      </c>
    </row>
    <row r="41" spans="1:36">
      <c r="A41" t="s">
        <v>86</v>
      </c>
      <c r="D41" s="3" t="s">
        <v>87</v>
      </c>
      <c r="E41" s="3" t="s">
        <v>88</v>
      </c>
      <c r="H41" t="s">
        <v>19</v>
      </c>
      <c r="J41" s="7" t="s">
        <v>374</v>
      </c>
      <c r="U41" s="7" t="str">
        <f t="shared" ca="1" si="2"/>
        <v/>
      </c>
      <c r="V41" s="7" t="str">
        <f t="shared" ca="1" si="3"/>
        <v/>
      </c>
      <c r="AE41" s="7" t="s">
        <v>330</v>
      </c>
      <c r="AG41" t="s">
        <v>20</v>
      </c>
      <c r="AJ41" cm="1">
        <f t="array" ref="AJ41">_xlfn.IFS(AG41="Yes",1,AG41="No",0,AG41="","")</f>
        <v>0</v>
      </c>
    </row>
    <row r="42" spans="1:36" ht="29">
      <c r="A42" t="s">
        <v>89</v>
      </c>
      <c r="D42" s="3" t="s">
        <v>207</v>
      </c>
      <c r="E42" s="3" t="s">
        <v>208</v>
      </c>
      <c r="J42" s="7" t="s">
        <v>24</v>
      </c>
      <c r="L42" s="7">
        <v>1</v>
      </c>
      <c r="M42" s="7">
        <v>3</v>
      </c>
      <c r="N42" s="7" t="s">
        <v>331</v>
      </c>
      <c r="O42" s="7" t="s">
        <v>332</v>
      </c>
      <c r="S42" s="7">
        <v>2475</v>
      </c>
      <c r="U42" s="7" t="str">
        <f t="shared" ca="1" si="2"/>
        <v/>
      </c>
      <c r="V42" s="7" t="str">
        <f t="shared" ca="1" si="3"/>
        <v/>
      </c>
      <c r="AG42" t="s">
        <v>19</v>
      </c>
      <c r="AJ42" cm="1">
        <f t="array" ref="AJ42">_xlfn.IFS(AG42="Yes",1,AG42="No",0,AG42="","")</f>
        <v>1</v>
      </c>
    </row>
    <row r="43" spans="1:36" ht="29">
      <c r="A43" t="s">
        <v>89</v>
      </c>
      <c r="D43" s="3" t="s">
        <v>210</v>
      </c>
      <c r="E43" s="3" t="s">
        <v>209</v>
      </c>
      <c r="J43" s="7" t="s">
        <v>372</v>
      </c>
      <c r="T43" s="7">
        <f>132-250</f>
        <v>-118</v>
      </c>
      <c r="U43" s="7">
        <f t="shared" ca="1" si="2"/>
        <v>250</v>
      </c>
      <c r="V43" s="7">
        <f t="shared" ca="1" si="3"/>
        <v>132</v>
      </c>
      <c r="AG43" t="s">
        <v>19</v>
      </c>
      <c r="AJ43" cm="1">
        <f t="array" ref="AJ43">_xlfn.IFS(AG43="Yes",1,AG43="No",0,AG43="","")</f>
        <v>1</v>
      </c>
    </row>
    <row r="44" spans="1:36">
      <c r="A44" t="s">
        <v>90</v>
      </c>
      <c r="D44" s="3" t="s">
        <v>91</v>
      </c>
      <c r="E44" s="3" t="s">
        <v>92</v>
      </c>
      <c r="J44" s="7" t="s">
        <v>374</v>
      </c>
      <c r="U44" s="7" t="str">
        <f t="shared" ca="1" si="2"/>
        <v/>
      </c>
      <c r="V44" s="7" t="str">
        <f t="shared" ca="1" si="3"/>
        <v/>
      </c>
      <c r="AC44" s="7" t="s">
        <v>386</v>
      </c>
      <c r="AD44" s="7" t="s">
        <v>19</v>
      </c>
      <c r="AE44" s="7" t="s">
        <v>330</v>
      </c>
      <c r="AG44" t="s">
        <v>20</v>
      </c>
      <c r="AJ44" cm="1">
        <f t="array" ref="AJ44">_xlfn.IFS(AG44="Yes",1,AG44="No",0,AG44="","")</f>
        <v>0</v>
      </c>
    </row>
    <row r="45" spans="1:36">
      <c r="A45" t="s">
        <v>93</v>
      </c>
      <c r="D45" s="3" t="s">
        <v>94</v>
      </c>
      <c r="E45" s="3" t="s">
        <v>95</v>
      </c>
      <c r="H45" t="s">
        <v>19</v>
      </c>
      <c r="J45" s="7" t="s">
        <v>374</v>
      </c>
      <c r="U45" s="7" t="str">
        <f t="shared" ca="1" si="2"/>
        <v/>
      </c>
      <c r="V45" s="7" t="str">
        <f t="shared" ca="1" si="3"/>
        <v/>
      </c>
      <c r="AC45" s="7" t="s">
        <v>385</v>
      </c>
      <c r="AD45" s="7" t="s">
        <v>19</v>
      </c>
      <c r="AE45" s="7" t="s">
        <v>330</v>
      </c>
      <c r="AG45" t="s">
        <v>20</v>
      </c>
      <c r="AJ45" cm="1">
        <f t="array" ref="AJ45">_xlfn.IFS(AG45="Yes",1,AG45="No",0,AG45="","")</f>
        <v>0</v>
      </c>
    </row>
    <row r="46" spans="1:36" ht="29">
      <c r="A46" t="s">
        <v>96</v>
      </c>
      <c r="D46" s="3" t="s">
        <v>212</v>
      </c>
      <c r="E46" s="3" t="s">
        <v>211</v>
      </c>
      <c r="J46" s="7" t="s">
        <v>374</v>
      </c>
      <c r="U46" s="7" t="str">
        <f t="shared" ca="1" si="2"/>
        <v/>
      </c>
      <c r="V46" s="7" t="str">
        <f t="shared" ca="1" si="3"/>
        <v/>
      </c>
      <c r="AE46" s="7" t="s">
        <v>343</v>
      </c>
      <c r="AG46" t="s">
        <v>19</v>
      </c>
      <c r="AJ46" cm="1">
        <f t="array" ref="AJ46">_xlfn.IFS(AG46="Yes",1,AG46="No",0,AG46="","")</f>
        <v>1</v>
      </c>
    </row>
    <row r="47" spans="1:36" ht="43.5">
      <c r="A47" t="s">
        <v>96</v>
      </c>
      <c r="D47" s="3" t="s">
        <v>214</v>
      </c>
      <c r="E47" s="3" t="s">
        <v>213</v>
      </c>
      <c r="J47" s="7" t="s">
        <v>25</v>
      </c>
      <c r="L47" s="7">
        <v>1</v>
      </c>
      <c r="M47" s="7">
        <v>7</v>
      </c>
      <c r="N47" s="7" t="s">
        <v>325</v>
      </c>
      <c r="O47" s="7" t="s">
        <v>332</v>
      </c>
      <c r="S47" s="7">
        <v>13</v>
      </c>
      <c r="U47" s="7" t="str">
        <f t="shared" ca="1" si="2"/>
        <v/>
      </c>
      <c r="V47" s="7" t="str">
        <f t="shared" ca="1" si="3"/>
        <v/>
      </c>
      <c r="AG47" t="s">
        <v>19</v>
      </c>
      <c r="AJ47" cm="1">
        <f t="array" ref="AJ47">_xlfn.IFS(AG47="Yes",1,AG47="No",0,AG47="","")</f>
        <v>1</v>
      </c>
    </row>
    <row r="48" spans="1:36" ht="43.5">
      <c r="A48" t="s">
        <v>96</v>
      </c>
      <c r="D48" s="3" t="s">
        <v>215</v>
      </c>
      <c r="E48" s="3" t="s">
        <v>213</v>
      </c>
      <c r="J48" s="7" t="s">
        <v>25</v>
      </c>
      <c r="L48" s="7">
        <v>1</v>
      </c>
      <c r="M48" s="7">
        <v>3</v>
      </c>
      <c r="N48" s="7" t="s">
        <v>331</v>
      </c>
      <c r="O48" s="7" t="s">
        <v>332</v>
      </c>
      <c r="S48" s="7">
        <v>2475</v>
      </c>
      <c r="U48" s="7" t="str">
        <f t="shared" ca="1" si="2"/>
        <v/>
      </c>
      <c r="V48" s="7" t="str">
        <f t="shared" ca="1" si="3"/>
        <v/>
      </c>
      <c r="AG48" t="s">
        <v>19</v>
      </c>
      <c r="AJ48" cm="1">
        <f t="array" ref="AJ48">_xlfn.IFS(AG48="Yes",1,AG48="No",0,AG48="","")</f>
        <v>1</v>
      </c>
    </row>
    <row r="49" spans="1:36">
      <c r="A49" t="s">
        <v>97</v>
      </c>
      <c r="D49" s="3" t="s">
        <v>216</v>
      </c>
      <c r="E49" s="3" t="s">
        <v>217</v>
      </c>
      <c r="J49" s="7" t="s">
        <v>374</v>
      </c>
      <c r="U49" s="7" t="str">
        <f t="shared" ca="1" si="2"/>
        <v/>
      </c>
      <c r="V49" s="7" t="str">
        <f t="shared" ca="1" si="3"/>
        <v/>
      </c>
      <c r="AG49" t="s">
        <v>19</v>
      </c>
      <c r="AJ49" cm="1">
        <f t="array" ref="AJ49">_xlfn.IFS(AG49="Yes",1,AG49="No",0,AG49="","")</f>
        <v>1</v>
      </c>
    </row>
    <row r="50" spans="1:36" ht="29">
      <c r="A50" t="s">
        <v>98</v>
      </c>
      <c r="D50" s="3" t="s">
        <v>219</v>
      </c>
      <c r="E50" s="3" t="s">
        <v>218</v>
      </c>
      <c r="J50" s="7" t="s">
        <v>374</v>
      </c>
      <c r="U50" s="7" t="str">
        <f t="shared" ca="1" si="2"/>
        <v/>
      </c>
      <c r="V50" s="7" t="str">
        <f t="shared" ca="1" si="3"/>
        <v/>
      </c>
      <c r="AG50" t="s">
        <v>19</v>
      </c>
      <c r="AJ50" cm="1">
        <f t="array" ref="AJ50">_xlfn.IFS(AG50="Yes",1,AG50="No",0,AG50="","")</f>
        <v>1</v>
      </c>
    </row>
    <row r="51" spans="1:36">
      <c r="A51" t="s">
        <v>99</v>
      </c>
      <c r="D51" s="3" t="s">
        <v>221</v>
      </c>
      <c r="E51" s="3" t="s">
        <v>222</v>
      </c>
      <c r="J51" s="7" t="s">
        <v>374</v>
      </c>
      <c r="U51" s="7" t="str">
        <f t="shared" ca="1" si="2"/>
        <v/>
      </c>
      <c r="V51" s="7" t="str">
        <f t="shared" ca="1" si="3"/>
        <v/>
      </c>
      <c r="AB51" s="7" t="s">
        <v>335</v>
      </c>
      <c r="AD51" s="7" t="s">
        <v>19</v>
      </c>
      <c r="AG51" t="s">
        <v>19</v>
      </c>
      <c r="AJ51" cm="1">
        <f t="array" ref="AJ51">_xlfn.IFS(AG51="Yes",1,AG51="No",0,AG51="","")</f>
        <v>1</v>
      </c>
    </row>
    <row r="52" spans="1:36">
      <c r="A52" t="s">
        <v>99</v>
      </c>
      <c r="D52" s="3" t="s">
        <v>220</v>
      </c>
      <c r="E52" s="3" t="s">
        <v>223</v>
      </c>
      <c r="J52" s="7" t="s">
        <v>24</v>
      </c>
      <c r="L52" s="7">
        <v>1</v>
      </c>
      <c r="M52" s="7">
        <v>1</v>
      </c>
      <c r="N52" s="7" t="s">
        <v>331</v>
      </c>
      <c r="O52" s="7" t="s">
        <v>373</v>
      </c>
      <c r="S52" s="7">
        <v>2475</v>
      </c>
      <c r="U52" s="7" t="str">
        <f t="shared" ca="1" si="2"/>
        <v/>
      </c>
      <c r="V52" s="7" t="str">
        <f t="shared" ca="1" si="3"/>
        <v/>
      </c>
      <c r="AG52" t="s">
        <v>19</v>
      </c>
      <c r="AJ52" cm="1">
        <f t="array" ref="AJ52">_xlfn.IFS(AG52="Yes",1,AG52="No",0,AG52="","")</f>
        <v>1</v>
      </c>
    </row>
    <row r="53" spans="1:36">
      <c r="A53" t="s">
        <v>99</v>
      </c>
      <c r="D53" s="3" t="s">
        <v>224</v>
      </c>
      <c r="E53" s="3" t="s">
        <v>225</v>
      </c>
      <c r="J53" s="7" t="s">
        <v>374</v>
      </c>
      <c r="U53" s="7" t="str">
        <f t="shared" ca="1" si="2"/>
        <v/>
      </c>
      <c r="V53" s="7" t="str">
        <f t="shared" ca="1" si="3"/>
        <v/>
      </c>
      <c r="AB53" s="7" t="s">
        <v>417</v>
      </c>
      <c r="AD53" s="7" t="s">
        <v>19</v>
      </c>
      <c r="AG53" t="s">
        <v>19</v>
      </c>
      <c r="AJ53" cm="1">
        <f t="array" ref="AJ53">_xlfn.IFS(AG53="Yes",1,AG53="No",0,AG53="","")</f>
        <v>1</v>
      </c>
    </row>
    <row r="54" spans="1:36">
      <c r="A54" t="s">
        <v>99</v>
      </c>
      <c r="D54" s="3" t="s">
        <v>227</v>
      </c>
      <c r="E54" s="3" t="s">
        <v>226</v>
      </c>
      <c r="J54" s="7" t="s">
        <v>372</v>
      </c>
      <c r="T54" s="7">
        <f>830-17</f>
        <v>813</v>
      </c>
      <c r="U54" s="7">
        <f t="shared" ca="1" si="2"/>
        <v>17</v>
      </c>
      <c r="V54" s="7">
        <f t="shared" ca="1" si="3"/>
        <v>830</v>
      </c>
      <c r="AG54" t="s">
        <v>19</v>
      </c>
      <c r="AJ54" cm="1">
        <f t="array" ref="AJ54">_xlfn.IFS(AG54="Yes",1,AG54="No",0,AG54="","")</f>
        <v>1</v>
      </c>
    </row>
    <row r="55" spans="1:36">
      <c r="A55" t="s">
        <v>99</v>
      </c>
      <c r="D55" s="3" t="s">
        <v>228</v>
      </c>
      <c r="E55" s="3" t="s">
        <v>229</v>
      </c>
      <c r="H55" t="s">
        <v>19</v>
      </c>
      <c r="J55" s="7" t="s">
        <v>374</v>
      </c>
      <c r="U55" s="7" t="str">
        <f t="shared" ca="1" si="2"/>
        <v/>
      </c>
      <c r="V55" s="7" t="str">
        <f t="shared" ca="1" si="3"/>
        <v/>
      </c>
      <c r="AE55" s="7" t="s">
        <v>336</v>
      </c>
      <c r="AG55" t="s">
        <v>20</v>
      </c>
      <c r="AJ55" cm="1">
        <f t="array" ref="AJ55">_xlfn.IFS(AG55="Yes",1,AG55="No",0,AG55="","")</f>
        <v>0</v>
      </c>
    </row>
    <row r="56" spans="1:36" ht="101.5">
      <c r="A56" t="s">
        <v>99</v>
      </c>
      <c r="D56" s="3" t="s">
        <v>230</v>
      </c>
      <c r="E56" s="3" t="s">
        <v>231</v>
      </c>
      <c r="H56" t="s">
        <v>19</v>
      </c>
      <c r="I56" t="s">
        <v>400</v>
      </c>
      <c r="J56" s="7" t="s">
        <v>25</v>
      </c>
      <c r="L56" s="7">
        <v>15</v>
      </c>
      <c r="M56" s="7">
        <v>67</v>
      </c>
      <c r="O56" s="7" t="s">
        <v>326</v>
      </c>
      <c r="P56" s="7" t="s">
        <v>391</v>
      </c>
      <c r="Q56" s="8" t="s">
        <v>394</v>
      </c>
      <c r="S56" s="7">
        <v>2</v>
      </c>
      <c r="U56" s="7" t="str">
        <f t="shared" ca="1" si="2"/>
        <v/>
      </c>
      <c r="V56" s="7" t="str">
        <f t="shared" ca="1" si="3"/>
        <v/>
      </c>
      <c r="AG56" t="s">
        <v>20</v>
      </c>
      <c r="AJ56" cm="1">
        <f t="array" ref="AJ56">_xlfn.IFS(AG56="Yes",1,AG56="No",0,AG56="","")</f>
        <v>0</v>
      </c>
    </row>
    <row r="57" spans="1:36" ht="101.5">
      <c r="A57" t="s">
        <v>100</v>
      </c>
      <c r="D57" s="3" t="s">
        <v>232</v>
      </c>
      <c r="E57" s="3" t="s">
        <v>233</v>
      </c>
      <c r="F57" t="s">
        <v>16</v>
      </c>
      <c r="J57" s="7" t="s">
        <v>372</v>
      </c>
      <c r="T57" s="7">
        <f>49-9</f>
        <v>40</v>
      </c>
      <c r="U57" s="7">
        <f t="shared" ca="1" si="2"/>
        <v>9</v>
      </c>
      <c r="V57" s="7">
        <f t="shared" ca="1" si="3"/>
        <v>49</v>
      </c>
      <c r="AC57" s="7" t="s">
        <v>413</v>
      </c>
      <c r="AD57" s="7" t="s">
        <v>19</v>
      </c>
      <c r="AG57" t="s">
        <v>19</v>
      </c>
      <c r="AJ57" cm="1">
        <f t="array" ref="AJ57">_xlfn.IFS(AG57="Yes",1,AG57="No",0,AG57="","")</f>
        <v>1</v>
      </c>
    </row>
    <row r="58" spans="1:36">
      <c r="A58" t="s">
        <v>100</v>
      </c>
      <c r="D58" s="3" t="s">
        <v>101</v>
      </c>
      <c r="E58" s="3" t="s">
        <v>234</v>
      </c>
      <c r="H58" t="s">
        <v>19</v>
      </c>
      <c r="J58" s="7" t="s">
        <v>374</v>
      </c>
      <c r="U58" s="7" t="str">
        <f t="shared" ca="1" si="2"/>
        <v/>
      </c>
      <c r="V58" s="7" t="str">
        <f t="shared" ca="1" si="3"/>
        <v/>
      </c>
      <c r="AG58" t="s">
        <v>20</v>
      </c>
      <c r="AJ58" cm="1">
        <f t="array" ref="AJ58">_xlfn.IFS(AG58="Yes",1,AG58="No",0,AG58="","")</f>
        <v>0</v>
      </c>
    </row>
    <row r="59" spans="1:36">
      <c r="A59" t="s">
        <v>102</v>
      </c>
      <c r="D59" s="3" t="s">
        <v>235</v>
      </c>
      <c r="E59" s="3" t="s">
        <v>236</v>
      </c>
      <c r="J59" s="7" t="s">
        <v>25</v>
      </c>
      <c r="L59" s="7">
        <v>1</v>
      </c>
      <c r="M59" s="7">
        <v>1</v>
      </c>
      <c r="N59" s="7" t="s">
        <v>331</v>
      </c>
      <c r="O59" s="7" t="s">
        <v>373</v>
      </c>
      <c r="S59" s="7">
        <v>2475</v>
      </c>
      <c r="U59" s="7" t="str">
        <f t="shared" ref="U59:U114" ca="1" si="4">IF(ISNUMBER(T59),VALUE(MID(_xlfn.FORMULATEXT(T59),SEARCH("-",_xlfn.FORMULATEXT(T59))+1,LEN(_xlfn.FORMULATEXT(T59))-SEARCH("-",_xlfn.FORMULATEXT(T59)))), "")</f>
        <v/>
      </c>
      <c r="V59" s="7" t="str">
        <f t="shared" ref="V59:V114" ca="1" si="5">IF(ISNUMBER(T59), VALUE(MID(_xlfn.FORMULATEXT(T59), 2, SEARCH("-", _xlfn.FORMULATEXT(T59)) - 2)), "")</f>
        <v/>
      </c>
      <c r="AG59" t="s">
        <v>19</v>
      </c>
      <c r="AJ59" cm="1">
        <f t="array" ref="AJ59">_xlfn.IFS(AG59="Yes",1,AG59="No",0,AG59="","")</f>
        <v>1</v>
      </c>
    </row>
    <row r="60" spans="1:36">
      <c r="A60" t="s">
        <v>103</v>
      </c>
      <c r="D60" s="3" t="s">
        <v>104</v>
      </c>
      <c r="E60" s="3" t="s">
        <v>105</v>
      </c>
      <c r="J60" s="7" t="s">
        <v>372</v>
      </c>
      <c r="T60" s="7" t="s">
        <v>384</v>
      </c>
      <c r="U60" s="7" t="str">
        <f t="shared" ca="1" si="4"/>
        <v/>
      </c>
      <c r="V60" s="7" t="str">
        <f t="shared" ca="1" si="5"/>
        <v/>
      </c>
      <c r="AB60" s="7" t="s">
        <v>390</v>
      </c>
      <c r="AD60" s="7" t="s">
        <v>19</v>
      </c>
      <c r="AG60" t="s">
        <v>19</v>
      </c>
      <c r="AJ60" cm="1">
        <f t="array" ref="AJ60">_xlfn.IFS(AG60="Yes",1,AG60="No",0,AG60="","")</f>
        <v>1</v>
      </c>
    </row>
    <row r="61" spans="1:36">
      <c r="A61" t="s">
        <v>103</v>
      </c>
      <c r="D61" s="3" t="s">
        <v>237</v>
      </c>
      <c r="E61" s="3" t="s">
        <v>238</v>
      </c>
      <c r="J61" s="7" t="s">
        <v>25</v>
      </c>
      <c r="L61" s="7">
        <v>1</v>
      </c>
      <c r="M61" s="7">
        <v>1</v>
      </c>
      <c r="N61" s="7" t="s">
        <v>331</v>
      </c>
      <c r="O61" s="7" t="s">
        <v>373</v>
      </c>
      <c r="S61" s="7">
        <v>2475</v>
      </c>
      <c r="U61" s="7" t="str">
        <f t="shared" ca="1" si="4"/>
        <v/>
      </c>
      <c r="V61" s="7" t="str">
        <f t="shared" ca="1" si="5"/>
        <v/>
      </c>
      <c r="AG61" t="s">
        <v>19</v>
      </c>
      <c r="AJ61" cm="1">
        <f t="array" ref="AJ61">_xlfn.IFS(AG61="Yes",1,AG61="No",0,AG61="","")</f>
        <v>1</v>
      </c>
    </row>
    <row r="62" spans="1:36">
      <c r="A62" t="s">
        <v>106</v>
      </c>
      <c r="D62" s="3" t="s">
        <v>107</v>
      </c>
      <c r="E62" s="3" t="s">
        <v>108</v>
      </c>
      <c r="J62" s="7" t="s">
        <v>372</v>
      </c>
      <c r="T62" s="7" t="s">
        <v>384</v>
      </c>
      <c r="U62" s="7" t="str">
        <f t="shared" ca="1" si="4"/>
        <v/>
      </c>
      <c r="V62" s="7" t="str">
        <f t="shared" ca="1" si="5"/>
        <v/>
      </c>
      <c r="AB62" s="7" t="s">
        <v>390</v>
      </c>
      <c r="AD62" s="7" t="s">
        <v>19</v>
      </c>
      <c r="AG62" t="s">
        <v>19</v>
      </c>
      <c r="AJ62" cm="1">
        <f t="array" ref="AJ62">_xlfn.IFS(AG62="Yes",1,AG62="No",0,AG62="","")</f>
        <v>1</v>
      </c>
    </row>
    <row r="63" spans="1:36">
      <c r="A63" t="s">
        <v>106</v>
      </c>
      <c r="D63" s="3" t="s">
        <v>239</v>
      </c>
      <c r="E63" s="3" t="s">
        <v>240</v>
      </c>
      <c r="J63" s="7" t="s">
        <v>25</v>
      </c>
      <c r="L63" s="7">
        <v>1</v>
      </c>
      <c r="M63" s="7">
        <v>2</v>
      </c>
      <c r="N63" s="7" t="s">
        <v>383</v>
      </c>
      <c r="O63" s="7" t="s">
        <v>373</v>
      </c>
      <c r="S63" s="7">
        <v>295</v>
      </c>
      <c r="U63" s="7" t="str">
        <f t="shared" ca="1" si="4"/>
        <v/>
      </c>
      <c r="V63" s="7" t="str">
        <f t="shared" ca="1" si="5"/>
        <v/>
      </c>
      <c r="AG63" t="s">
        <v>19</v>
      </c>
      <c r="AJ63" cm="1">
        <f t="array" ref="AJ63">_xlfn.IFS(AG63="Yes",1,AG63="No",0,AG63="","")</f>
        <v>1</v>
      </c>
    </row>
    <row r="64" spans="1:36">
      <c r="A64" t="s">
        <v>109</v>
      </c>
      <c r="D64" s="3" t="s">
        <v>110</v>
      </c>
      <c r="E64" s="3" t="s">
        <v>111</v>
      </c>
      <c r="H64" t="s">
        <v>19</v>
      </c>
      <c r="J64" s="7" t="s">
        <v>372</v>
      </c>
      <c r="T64" s="7" t="s">
        <v>373</v>
      </c>
      <c r="U64" s="7" t="str">
        <f t="shared" ca="1" si="4"/>
        <v/>
      </c>
      <c r="V64" s="7" t="str">
        <f t="shared" ca="1" si="5"/>
        <v/>
      </c>
      <c r="AB64" s="7" t="s">
        <v>390</v>
      </c>
      <c r="AD64" s="7" t="s">
        <v>19</v>
      </c>
      <c r="AG64" t="s">
        <v>20</v>
      </c>
      <c r="AJ64" cm="1">
        <f t="array" ref="AJ64">_xlfn.IFS(AG64="Yes",1,AG64="No",0,AG64="","")</f>
        <v>0</v>
      </c>
    </row>
    <row r="65" spans="1:36" ht="29">
      <c r="A65" t="s">
        <v>109</v>
      </c>
      <c r="D65" s="3" t="s">
        <v>242</v>
      </c>
      <c r="E65" s="3" t="s">
        <v>241</v>
      </c>
      <c r="J65" s="7" t="s">
        <v>25</v>
      </c>
      <c r="L65" s="7">
        <v>1</v>
      </c>
      <c r="M65" s="7">
        <v>3</v>
      </c>
      <c r="N65" s="7" t="s">
        <v>350</v>
      </c>
      <c r="O65" s="7" t="s">
        <v>332</v>
      </c>
      <c r="S65" s="7">
        <v>210</v>
      </c>
      <c r="U65" s="7" t="str">
        <f t="shared" ca="1" si="4"/>
        <v/>
      </c>
      <c r="V65" s="7" t="str">
        <f t="shared" ca="1" si="5"/>
        <v/>
      </c>
      <c r="AG65" t="s">
        <v>19</v>
      </c>
      <c r="AJ65" cm="1">
        <f t="array" ref="AJ65">_xlfn.IFS(AG65="Yes",1,AG65="No",0,AG65="","")</f>
        <v>1</v>
      </c>
    </row>
    <row r="66" spans="1:36" ht="29">
      <c r="A66" t="s">
        <v>112</v>
      </c>
      <c r="D66" s="3" t="s">
        <v>244</v>
      </c>
      <c r="E66" s="3" t="s">
        <v>243</v>
      </c>
      <c r="J66" s="7" t="s">
        <v>24</v>
      </c>
      <c r="L66" s="7">
        <v>1</v>
      </c>
      <c r="M66" s="7">
        <v>3</v>
      </c>
      <c r="N66" s="7" t="s">
        <v>341</v>
      </c>
      <c r="O66" s="7" t="s">
        <v>332</v>
      </c>
      <c r="S66" s="7">
        <v>1701</v>
      </c>
      <c r="U66" s="7" t="str">
        <f t="shared" ca="1" si="4"/>
        <v/>
      </c>
      <c r="V66" s="7" t="str">
        <f t="shared" ca="1" si="5"/>
        <v/>
      </c>
      <c r="AG66" t="s">
        <v>19</v>
      </c>
      <c r="AJ66" cm="1">
        <f t="array" ref="AJ66">_xlfn.IFS(AG66="Yes",1,AG66="No",0,AG66="","")</f>
        <v>1</v>
      </c>
    </row>
    <row r="67" spans="1:36">
      <c r="A67" t="s">
        <v>112</v>
      </c>
      <c r="D67" s="3" t="s">
        <v>113</v>
      </c>
      <c r="E67" s="3" t="s">
        <v>114</v>
      </c>
      <c r="H67" t="s">
        <v>19</v>
      </c>
      <c r="J67" s="7" t="s">
        <v>372</v>
      </c>
      <c r="T67" s="7" t="s">
        <v>384</v>
      </c>
      <c r="U67" s="7" t="str">
        <f t="shared" ca="1" si="4"/>
        <v/>
      </c>
      <c r="V67" s="7" t="str">
        <f t="shared" ca="1" si="5"/>
        <v/>
      </c>
      <c r="AE67" s="7" t="s">
        <v>330</v>
      </c>
      <c r="AG67" t="s">
        <v>20</v>
      </c>
      <c r="AJ67" cm="1">
        <f t="array" ref="AJ67">_xlfn.IFS(AG67="Yes",1,AG67="No",0,AG67="","")</f>
        <v>0</v>
      </c>
    </row>
    <row r="68" spans="1:36">
      <c r="A68" t="s">
        <v>115</v>
      </c>
      <c r="D68" s="3" t="s">
        <v>245</v>
      </c>
      <c r="E68" s="3" t="s">
        <v>246</v>
      </c>
      <c r="J68" s="7" t="s">
        <v>372</v>
      </c>
      <c r="T68" s="7">
        <f>1-8</f>
        <v>-7</v>
      </c>
      <c r="U68" s="7">
        <f t="shared" ca="1" si="4"/>
        <v>8</v>
      </c>
      <c r="V68" s="7">
        <f t="shared" ca="1" si="5"/>
        <v>1</v>
      </c>
      <c r="AC68" s="7" t="s">
        <v>386</v>
      </c>
      <c r="AD68" s="7" t="s">
        <v>19</v>
      </c>
      <c r="AG68" t="s">
        <v>19</v>
      </c>
      <c r="AJ68" cm="1">
        <f t="array" ref="AJ68">_xlfn.IFS(AG68="Yes",1,AG68="No",0,AG68="","")</f>
        <v>1</v>
      </c>
    </row>
    <row r="69" spans="1:36" ht="29">
      <c r="A69" t="s">
        <v>115</v>
      </c>
      <c r="D69" s="3" t="s">
        <v>248</v>
      </c>
      <c r="E69" s="3" t="s">
        <v>249</v>
      </c>
      <c r="J69" s="7" t="s">
        <v>374</v>
      </c>
      <c r="U69" s="7" t="str">
        <f t="shared" ca="1" si="4"/>
        <v/>
      </c>
      <c r="V69" s="7" t="str">
        <f t="shared" ca="1" si="5"/>
        <v/>
      </c>
      <c r="AB69" s="7" t="s">
        <v>335</v>
      </c>
      <c r="AD69" s="7" t="s">
        <v>19</v>
      </c>
      <c r="AG69" t="s">
        <v>19</v>
      </c>
      <c r="AJ69" cm="1">
        <f t="array" ref="AJ69">_xlfn.IFS(AG69="Yes",1,AG69="No",0,AG69="","")</f>
        <v>1</v>
      </c>
    </row>
    <row r="70" spans="1:36" ht="29">
      <c r="A70" t="s">
        <v>115</v>
      </c>
      <c r="D70" s="3" t="s">
        <v>250</v>
      </c>
      <c r="E70" s="3" t="s">
        <v>247</v>
      </c>
      <c r="J70" s="7" t="s">
        <v>25</v>
      </c>
      <c r="L70" s="7">
        <v>1</v>
      </c>
      <c r="M70" s="7">
        <v>3</v>
      </c>
      <c r="N70" s="7" t="s">
        <v>348</v>
      </c>
      <c r="O70" s="7" t="s">
        <v>332</v>
      </c>
      <c r="S70" s="7">
        <v>743</v>
      </c>
      <c r="U70" s="7" t="str">
        <f t="shared" ca="1" si="4"/>
        <v/>
      </c>
      <c r="V70" s="7" t="str">
        <f t="shared" ca="1" si="5"/>
        <v/>
      </c>
      <c r="AG70" t="s">
        <v>19</v>
      </c>
      <c r="AJ70" cm="1">
        <f t="array" ref="AJ70">_xlfn.IFS(AG70="Yes",1,AG70="No",0,AG70="","")</f>
        <v>1</v>
      </c>
    </row>
    <row r="71" spans="1:36">
      <c r="A71" t="s">
        <v>116</v>
      </c>
      <c r="D71" s="3" t="s">
        <v>251</v>
      </c>
      <c r="E71" s="3" t="s">
        <v>251</v>
      </c>
      <c r="F71" t="s">
        <v>35</v>
      </c>
      <c r="I71" t="s">
        <v>252</v>
      </c>
      <c r="U71" s="7" t="str">
        <f t="shared" ca="1" si="4"/>
        <v/>
      </c>
      <c r="V71" s="7" t="str">
        <f t="shared" ca="1" si="5"/>
        <v/>
      </c>
      <c r="AJ71" t="str" cm="1">
        <f t="array" ref="AJ71">_xlfn.IFS(AG71="Yes",1,AG71="No",0,AG71="","")</f>
        <v/>
      </c>
    </row>
    <row r="72" spans="1:36">
      <c r="A72" t="s">
        <v>117</v>
      </c>
      <c r="D72" s="3" t="s">
        <v>118</v>
      </c>
      <c r="E72" s="3" t="s">
        <v>119</v>
      </c>
      <c r="H72" t="s">
        <v>19</v>
      </c>
      <c r="J72" s="7" t="s">
        <v>372</v>
      </c>
      <c r="T72" s="7" t="s">
        <v>384</v>
      </c>
      <c r="U72" s="7" t="str">
        <f t="shared" ca="1" si="4"/>
        <v/>
      </c>
      <c r="V72" s="7" t="str">
        <f t="shared" ca="1" si="5"/>
        <v/>
      </c>
      <c r="AC72" s="7" t="s">
        <v>414</v>
      </c>
      <c r="AD72" s="7" t="s">
        <v>19</v>
      </c>
      <c r="AE72" s="7" t="s">
        <v>330</v>
      </c>
      <c r="AG72" t="s">
        <v>19</v>
      </c>
      <c r="AJ72" cm="1">
        <f t="array" ref="AJ72">_xlfn.IFS(AG72="Yes",1,AG72="No",0,AG72="","")</f>
        <v>1</v>
      </c>
    </row>
    <row r="73" spans="1:36">
      <c r="A73" t="s">
        <v>120</v>
      </c>
      <c r="D73" s="3" t="s">
        <v>190</v>
      </c>
      <c r="E73" s="3" t="s">
        <v>189</v>
      </c>
      <c r="I73" t="s">
        <v>401</v>
      </c>
      <c r="J73" s="7" t="s">
        <v>374</v>
      </c>
      <c r="U73" s="7" t="str">
        <f t="shared" ca="1" si="4"/>
        <v/>
      </c>
      <c r="V73" s="7" t="str">
        <f t="shared" ca="1" si="5"/>
        <v/>
      </c>
      <c r="W73" s="7" t="s">
        <v>371</v>
      </c>
      <c r="AG73" t="s">
        <v>19</v>
      </c>
      <c r="AJ73" cm="1">
        <f t="array" ref="AJ73">_xlfn.IFS(AG73="Yes",1,AG73="No",0,AG73="","")</f>
        <v>1</v>
      </c>
    </row>
    <row r="74" spans="1:36" ht="29">
      <c r="A74" t="s">
        <v>120</v>
      </c>
      <c r="D74" s="3" t="s">
        <v>253</v>
      </c>
      <c r="E74" s="3" t="s">
        <v>254</v>
      </c>
      <c r="H74" t="s">
        <v>22</v>
      </c>
      <c r="I74" t="s">
        <v>255</v>
      </c>
      <c r="J74" s="7" t="s">
        <v>374</v>
      </c>
      <c r="U74" s="7" t="str">
        <f t="shared" ca="1" si="4"/>
        <v/>
      </c>
      <c r="V74" s="7" t="str">
        <f t="shared" ca="1" si="5"/>
        <v/>
      </c>
      <c r="AE74" s="7" t="s">
        <v>330</v>
      </c>
      <c r="AG74" t="s">
        <v>19</v>
      </c>
      <c r="AJ74" cm="1">
        <f t="array" ref="AJ74">_xlfn.IFS(AG74="Yes",1,AG74="No",0,AG74="","")</f>
        <v>1</v>
      </c>
    </row>
    <row r="75" spans="1:36">
      <c r="A75" t="s">
        <v>120</v>
      </c>
      <c r="D75" s="3" t="s">
        <v>121</v>
      </c>
      <c r="E75" s="3" t="s">
        <v>122</v>
      </c>
      <c r="H75" t="s">
        <v>19</v>
      </c>
      <c r="J75" s="7" t="s">
        <v>374</v>
      </c>
      <c r="Q75" s="7"/>
      <c r="U75" s="7" t="str">
        <f t="shared" ca="1" si="4"/>
        <v/>
      </c>
      <c r="V75" s="7" t="str">
        <f t="shared" ca="1" si="5"/>
        <v/>
      </c>
      <c r="AC75" s="7" t="s">
        <v>393</v>
      </c>
      <c r="AD75" s="7" t="s">
        <v>19</v>
      </c>
      <c r="AG75" t="s">
        <v>20</v>
      </c>
      <c r="AJ75" cm="1">
        <f t="array" ref="AJ75">_xlfn.IFS(AG75="Yes",1,AG75="No",0,AG75="","")</f>
        <v>0</v>
      </c>
    </row>
    <row r="76" spans="1:36">
      <c r="A76" t="s">
        <v>123</v>
      </c>
      <c r="D76" s="3" t="s">
        <v>256</v>
      </c>
      <c r="E76" s="3" t="s">
        <v>257</v>
      </c>
      <c r="H76" t="s">
        <v>19</v>
      </c>
      <c r="J76" s="7" t="s">
        <v>374</v>
      </c>
      <c r="U76" s="7" t="str">
        <f t="shared" ca="1" si="4"/>
        <v/>
      </c>
      <c r="V76" s="7" t="str">
        <f t="shared" ca="1" si="5"/>
        <v/>
      </c>
      <c r="AE76" s="7" t="s">
        <v>336</v>
      </c>
      <c r="AG76" t="s">
        <v>20</v>
      </c>
      <c r="AJ76" cm="1">
        <f t="array" ref="AJ76">_xlfn.IFS(AG76="Yes",1,AG76="No",0,AG76="","")</f>
        <v>0</v>
      </c>
    </row>
    <row r="77" spans="1:36">
      <c r="A77" t="s">
        <v>124</v>
      </c>
      <c r="D77" s="3" t="s">
        <v>258</v>
      </c>
      <c r="E77" s="3" t="s">
        <v>259</v>
      </c>
      <c r="H77" t="s">
        <v>19</v>
      </c>
      <c r="J77" s="7" t="s">
        <v>374</v>
      </c>
      <c r="U77" s="7" t="str">
        <f t="shared" ca="1" si="4"/>
        <v/>
      </c>
      <c r="V77" s="7" t="str">
        <f t="shared" ca="1" si="5"/>
        <v/>
      </c>
      <c r="AE77" s="7" t="s">
        <v>330</v>
      </c>
      <c r="AG77" t="s">
        <v>20</v>
      </c>
      <c r="AJ77" cm="1">
        <f t="array" ref="AJ77">_xlfn.IFS(AG77="Yes",1,AG77="No",0,AG77="","")</f>
        <v>0</v>
      </c>
    </row>
    <row r="78" spans="1:36" ht="58">
      <c r="A78" t="s">
        <v>125</v>
      </c>
      <c r="D78" s="3" t="s">
        <v>261</v>
      </c>
      <c r="E78" s="3" t="s">
        <v>260</v>
      </c>
      <c r="I78" t="s">
        <v>262</v>
      </c>
      <c r="J78" s="7" t="s">
        <v>25</v>
      </c>
      <c r="L78" s="7">
        <v>7</v>
      </c>
      <c r="M78" s="7">
        <v>32</v>
      </c>
      <c r="O78" s="7" t="s">
        <v>326</v>
      </c>
      <c r="P78" s="7" t="s">
        <v>395</v>
      </c>
      <c r="Q78" s="8" t="s">
        <v>402</v>
      </c>
      <c r="U78" s="7" t="str">
        <f t="shared" ca="1" si="4"/>
        <v/>
      </c>
      <c r="V78" s="7" t="str">
        <f t="shared" ca="1" si="5"/>
        <v/>
      </c>
      <c r="AG78" t="s">
        <v>20</v>
      </c>
      <c r="AJ78" cm="1">
        <f t="array" ref="AJ78">_xlfn.IFS(AG78="Yes",1,AG78="No",0,AG78="","")</f>
        <v>0</v>
      </c>
    </row>
    <row r="79" spans="1:36">
      <c r="A79" t="s">
        <v>125</v>
      </c>
      <c r="D79" s="3" t="s">
        <v>126</v>
      </c>
      <c r="E79" s="3" t="s">
        <v>126</v>
      </c>
      <c r="F79" t="s">
        <v>35</v>
      </c>
      <c r="I79" t="s">
        <v>263</v>
      </c>
      <c r="U79" s="7" t="str">
        <f t="shared" ca="1" si="4"/>
        <v/>
      </c>
      <c r="V79" s="7" t="str">
        <f t="shared" ca="1" si="5"/>
        <v/>
      </c>
      <c r="AJ79" t="str" cm="1">
        <f t="array" ref="AJ79">_xlfn.IFS(AG79="Yes",1,AG79="No",0,AG79="","")</f>
        <v/>
      </c>
    </row>
    <row r="80" spans="1:36">
      <c r="A80" t="s">
        <v>125</v>
      </c>
      <c r="D80" s="3" t="s">
        <v>127</v>
      </c>
      <c r="E80" s="3" t="s">
        <v>128</v>
      </c>
      <c r="H80" t="s">
        <v>19</v>
      </c>
      <c r="J80" s="7" t="s">
        <v>372</v>
      </c>
      <c r="T80" s="7">
        <f>0-1</f>
        <v>-1</v>
      </c>
      <c r="U80" s="7">
        <f t="shared" ca="1" si="4"/>
        <v>1</v>
      </c>
      <c r="V80" s="7">
        <f t="shared" ca="1" si="5"/>
        <v>0</v>
      </c>
      <c r="AG80" t="s">
        <v>19</v>
      </c>
      <c r="AJ80" cm="1">
        <f t="array" ref="AJ80">_xlfn.IFS(AG80="Yes",1,AG80="No",0,AG80="","")</f>
        <v>1</v>
      </c>
    </row>
    <row r="81" spans="1:36" ht="72.5">
      <c r="A81" t="s">
        <v>129</v>
      </c>
      <c r="D81" s="3" t="s">
        <v>265</v>
      </c>
      <c r="E81" s="3" t="s">
        <v>266</v>
      </c>
      <c r="I81" t="s">
        <v>403</v>
      </c>
      <c r="J81" s="7" t="s">
        <v>26</v>
      </c>
      <c r="U81" s="7" t="str">
        <f t="shared" ca="1" si="4"/>
        <v/>
      </c>
      <c r="V81" s="7" t="str">
        <f t="shared" ca="1" si="5"/>
        <v/>
      </c>
      <c r="AG81" t="s">
        <v>19</v>
      </c>
      <c r="AJ81" cm="1">
        <f t="array" ref="AJ81">_xlfn.IFS(AG81="Yes",1,AG81="No",0,AG81="","")</f>
        <v>1</v>
      </c>
    </row>
    <row r="82" spans="1:36" ht="72.5">
      <c r="A82" t="s">
        <v>129</v>
      </c>
      <c r="D82" s="3" t="s">
        <v>264</v>
      </c>
      <c r="E82" s="3" t="s">
        <v>267</v>
      </c>
      <c r="J82" s="7" t="s">
        <v>24</v>
      </c>
      <c r="L82" s="7">
        <v>1</v>
      </c>
      <c r="M82" s="7">
        <v>3</v>
      </c>
      <c r="N82" s="7" t="s">
        <v>341</v>
      </c>
      <c r="O82" s="7" t="s">
        <v>332</v>
      </c>
      <c r="S82" s="7">
        <v>86</v>
      </c>
      <c r="U82" s="7" t="str">
        <f t="shared" ca="1" si="4"/>
        <v/>
      </c>
      <c r="V82" s="7" t="str">
        <f t="shared" ca="1" si="5"/>
        <v/>
      </c>
      <c r="AG82" t="s">
        <v>19</v>
      </c>
      <c r="AJ82" cm="1">
        <f t="array" ref="AJ82">_xlfn.IFS(AG82="Yes",1,AG82="No",0,AG82="","")</f>
        <v>1</v>
      </c>
    </row>
    <row r="83" spans="1:36" ht="72.5">
      <c r="A83" t="s">
        <v>129</v>
      </c>
      <c r="D83" s="3" t="s">
        <v>269</v>
      </c>
      <c r="E83" s="3" t="s">
        <v>268</v>
      </c>
      <c r="H83" t="s">
        <v>19</v>
      </c>
      <c r="J83" s="7" t="s">
        <v>374</v>
      </c>
      <c r="U83" s="7" t="str">
        <f t="shared" ca="1" si="4"/>
        <v/>
      </c>
      <c r="V83" s="7" t="str">
        <f t="shared" ca="1" si="5"/>
        <v/>
      </c>
      <c r="AE83" s="7" t="s">
        <v>336</v>
      </c>
      <c r="AG83" t="s">
        <v>20</v>
      </c>
      <c r="AJ83" cm="1">
        <f t="array" ref="AJ83">_xlfn.IFS(AG83="Yes",1,AG83="No",0,AG83="","")</f>
        <v>0</v>
      </c>
    </row>
    <row r="84" spans="1:36" ht="43.5">
      <c r="A84" t="s">
        <v>129</v>
      </c>
      <c r="D84" s="3" t="s">
        <v>271</v>
      </c>
      <c r="E84" s="3" t="s">
        <v>272</v>
      </c>
      <c r="J84" s="7" t="s">
        <v>374</v>
      </c>
      <c r="U84" s="7" t="str">
        <f t="shared" ca="1" si="4"/>
        <v/>
      </c>
      <c r="V84" s="7" t="str">
        <f t="shared" ca="1" si="5"/>
        <v/>
      </c>
      <c r="AE84" s="7" t="s">
        <v>336</v>
      </c>
      <c r="AG84" t="s">
        <v>20</v>
      </c>
      <c r="AJ84" cm="1">
        <f t="array" ref="AJ84">_xlfn.IFS(AG84="Yes",1,AG84="No",0,AG84="","")</f>
        <v>0</v>
      </c>
    </row>
    <row r="85" spans="1:36" ht="43.5">
      <c r="A85" t="s">
        <v>129</v>
      </c>
      <c r="D85" s="3" t="s">
        <v>273</v>
      </c>
      <c r="E85" s="3" t="s">
        <v>270</v>
      </c>
      <c r="J85" s="7" t="s">
        <v>25</v>
      </c>
      <c r="L85" s="7">
        <v>1</v>
      </c>
      <c r="M85" s="7">
        <v>9</v>
      </c>
      <c r="N85" s="7" t="s">
        <v>383</v>
      </c>
      <c r="O85" s="7" t="s">
        <v>332</v>
      </c>
      <c r="S85" s="7">
        <v>18</v>
      </c>
      <c r="U85" s="7" t="str">
        <f t="shared" ca="1" si="4"/>
        <v/>
      </c>
      <c r="V85" s="7" t="str">
        <f t="shared" ca="1" si="5"/>
        <v/>
      </c>
      <c r="AG85" t="s">
        <v>19</v>
      </c>
      <c r="AJ85" cm="1">
        <f t="array" ref="AJ85">_xlfn.IFS(AG85="Yes",1,AG85="No",0,AG85="","")</f>
        <v>1</v>
      </c>
    </row>
    <row r="86" spans="1:36" ht="43.5">
      <c r="A86" t="s">
        <v>129</v>
      </c>
      <c r="D86" s="3" t="s">
        <v>274</v>
      </c>
      <c r="E86" s="3" t="s">
        <v>275</v>
      </c>
      <c r="J86" s="7" t="s">
        <v>374</v>
      </c>
      <c r="U86" s="7" t="str">
        <f t="shared" ca="1" si="4"/>
        <v/>
      </c>
      <c r="V86" s="7" t="str">
        <f t="shared" ca="1" si="5"/>
        <v/>
      </c>
      <c r="AG86" t="s">
        <v>19</v>
      </c>
      <c r="AJ86" cm="1">
        <f t="array" ref="AJ86">_xlfn.IFS(AG86="Yes",1,AG86="No",0,AG86="","")</f>
        <v>1</v>
      </c>
    </row>
    <row r="87" spans="1:36">
      <c r="A87" t="s">
        <v>130</v>
      </c>
      <c r="D87" s="3" t="s">
        <v>131</v>
      </c>
      <c r="E87" s="3" t="s">
        <v>276</v>
      </c>
      <c r="G87" t="s">
        <v>19</v>
      </c>
      <c r="J87" s="7" t="s">
        <v>374</v>
      </c>
      <c r="U87" s="7" t="str">
        <f t="shared" ca="1" si="4"/>
        <v/>
      </c>
      <c r="V87" s="7" t="str">
        <f t="shared" ca="1" si="5"/>
        <v/>
      </c>
      <c r="AG87" t="s">
        <v>19</v>
      </c>
      <c r="AJ87" cm="1">
        <f t="array" ref="AJ87">_xlfn.IFS(AG87="Yes",1,AG87="No",0,AG87="","")</f>
        <v>1</v>
      </c>
    </row>
    <row r="88" spans="1:36">
      <c r="A88" t="s">
        <v>132</v>
      </c>
      <c r="D88" s="3" t="s">
        <v>133</v>
      </c>
      <c r="E88" s="3" t="s">
        <v>134</v>
      </c>
      <c r="J88" s="7" t="s">
        <v>374</v>
      </c>
      <c r="U88" s="7" t="str">
        <f t="shared" ca="1" si="4"/>
        <v/>
      </c>
      <c r="V88" s="7" t="str">
        <f t="shared" ca="1" si="5"/>
        <v/>
      </c>
      <c r="AC88" s="7" t="s">
        <v>393</v>
      </c>
      <c r="AD88" s="7" t="s">
        <v>19</v>
      </c>
      <c r="AG88" t="s">
        <v>19</v>
      </c>
      <c r="AJ88" cm="1">
        <f t="array" ref="AJ88">_xlfn.IFS(AG88="Yes",1,AG88="No",0,AG88="","")</f>
        <v>1</v>
      </c>
    </row>
    <row r="89" spans="1:36" ht="29">
      <c r="A89" t="s">
        <v>135</v>
      </c>
      <c r="D89" s="3" t="s">
        <v>278</v>
      </c>
      <c r="E89" s="3" t="s">
        <v>277</v>
      </c>
      <c r="J89" s="7" t="s">
        <v>25</v>
      </c>
      <c r="L89" s="7">
        <v>1</v>
      </c>
      <c r="M89" s="7">
        <v>3</v>
      </c>
      <c r="N89" s="7" t="s">
        <v>331</v>
      </c>
      <c r="O89" s="7" t="s">
        <v>332</v>
      </c>
      <c r="S89" s="7">
        <v>2475</v>
      </c>
      <c r="U89" s="7" t="str">
        <f t="shared" ca="1" si="4"/>
        <v/>
      </c>
      <c r="V89" s="7" t="str">
        <f t="shared" ca="1" si="5"/>
        <v/>
      </c>
      <c r="AG89" t="s">
        <v>19</v>
      </c>
      <c r="AJ89" cm="1">
        <f t="array" ref="AJ89">_xlfn.IFS(AG89="Yes",1,AG89="No",0,AG89="","")</f>
        <v>1</v>
      </c>
    </row>
    <row r="90" spans="1:36" ht="29">
      <c r="A90" t="s">
        <v>135</v>
      </c>
      <c r="D90" s="3" t="s">
        <v>279</v>
      </c>
      <c r="E90" s="3" t="s">
        <v>280</v>
      </c>
      <c r="F90" t="s">
        <v>28</v>
      </c>
      <c r="H90" t="s">
        <v>19</v>
      </c>
      <c r="J90" s="7" t="s">
        <v>372</v>
      </c>
      <c r="T90" s="7" t="s">
        <v>373</v>
      </c>
      <c r="U90" s="7" t="str">
        <f t="shared" ca="1" si="4"/>
        <v/>
      </c>
      <c r="V90" s="7" t="str">
        <f t="shared" ca="1" si="5"/>
        <v/>
      </c>
      <c r="AE90" s="7" t="s">
        <v>330</v>
      </c>
      <c r="AG90" t="s">
        <v>20</v>
      </c>
      <c r="AJ90" cm="1">
        <f t="array" ref="AJ90">_xlfn.IFS(AG90="Yes",1,AG90="No",0,AG90="","")</f>
        <v>0</v>
      </c>
    </row>
    <row r="91" spans="1:36">
      <c r="A91" t="s">
        <v>135</v>
      </c>
      <c r="D91" s="3" t="s">
        <v>136</v>
      </c>
      <c r="E91" s="3" t="s">
        <v>137</v>
      </c>
      <c r="H91" t="s">
        <v>19</v>
      </c>
      <c r="J91" s="7" t="s">
        <v>372</v>
      </c>
      <c r="U91" s="7" t="str">
        <f t="shared" ca="1" si="4"/>
        <v/>
      </c>
      <c r="V91" s="7" t="str">
        <f t="shared" ca="1" si="5"/>
        <v/>
      </c>
      <c r="AE91" s="7" t="s">
        <v>330</v>
      </c>
      <c r="AG91" t="s">
        <v>20</v>
      </c>
      <c r="AJ91" cm="1">
        <f t="array" ref="AJ91">_xlfn.IFS(AG91="Yes",1,AG91="No",0,AG91="","")</f>
        <v>0</v>
      </c>
    </row>
    <row r="92" spans="1:36">
      <c r="A92" t="s">
        <v>138</v>
      </c>
      <c r="D92" s="3" t="s">
        <v>282</v>
      </c>
      <c r="E92" s="3" t="s">
        <v>281</v>
      </c>
      <c r="J92" s="7" t="s">
        <v>25</v>
      </c>
      <c r="L92" s="7">
        <v>1</v>
      </c>
      <c r="M92" s="7">
        <v>2</v>
      </c>
      <c r="N92" s="7" t="s">
        <v>341</v>
      </c>
      <c r="O92" s="7" t="s">
        <v>373</v>
      </c>
      <c r="S92" s="7">
        <v>171</v>
      </c>
      <c r="U92" s="7" t="str">
        <f t="shared" ca="1" si="4"/>
        <v/>
      </c>
      <c r="V92" s="7" t="str">
        <f t="shared" ca="1" si="5"/>
        <v/>
      </c>
      <c r="AG92" t="s">
        <v>19</v>
      </c>
      <c r="AJ92" cm="1">
        <f t="array" ref="AJ92">_xlfn.IFS(AG92="Yes",1,AG92="No",0,AG92="","")</f>
        <v>1</v>
      </c>
    </row>
    <row r="93" spans="1:36">
      <c r="A93" t="s">
        <v>138</v>
      </c>
      <c r="D93" s="3" t="s">
        <v>284</v>
      </c>
      <c r="E93" s="3" t="s">
        <v>283</v>
      </c>
      <c r="J93" s="7" t="s">
        <v>25</v>
      </c>
      <c r="L93" s="7">
        <v>1</v>
      </c>
      <c r="M93" s="7">
        <v>2</v>
      </c>
      <c r="N93" s="7" t="s">
        <v>350</v>
      </c>
      <c r="O93" s="7" t="s">
        <v>373</v>
      </c>
      <c r="S93" s="7">
        <v>613</v>
      </c>
      <c r="U93" s="7" t="str">
        <f t="shared" ca="1" si="4"/>
        <v/>
      </c>
      <c r="V93" s="7" t="str">
        <f t="shared" ca="1" si="5"/>
        <v/>
      </c>
      <c r="AG93" t="s">
        <v>19</v>
      </c>
      <c r="AJ93" cm="1">
        <f t="array" ref="AJ93">_xlfn.IFS(AG93="Yes",1,AG93="No",0,AG93="","")</f>
        <v>1</v>
      </c>
    </row>
    <row r="94" spans="1:36" ht="29">
      <c r="A94" t="s">
        <v>138</v>
      </c>
      <c r="D94" s="3" t="s">
        <v>286</v>
      </c>
      <c r="E94" s="3" t="s">
        <v>285</v>
      </c>
      <c r="J94" s="7" t="s">
        <v>372</v>
      </c>
      <c r="T94" s="7">
        <f>2475-150</f>
        <v>2325</v>
      </c>
      <c r="U94" s="7">
        <f t="shared" ca="1" si="4"/>
        <v>150</v>
      </c>
      <c r="V94" s="7">
        <f t="shared" ca="1" si="5"/>
        <v>2475</v>
      </c>
      <c r="AG94" t="s">
        <v>19</v>
      </c>
      <c r="AJ94" cm="1">
        <f t="array" ref="AJ94">_xlfn.IFS(AG94="Yes",1,AG94="No",0,AG94="","")</f>
        <v>1</v>
      </c>
    </row>
    <row r="95" spans="1:36">
      <c r="A95" t="s">
        <v>139</v>
      </c>
      <c r="D95" s="3" t="s">
        <v>37</v>
      </c>
      <c r="E95" s="3" t="s">
        <v>140</v>
      </c>
      <c r="H95" t="s">
        <v>22</v>
      </c>
      <c r="I95" t="s">
        <v>287</v>
      </c>
      <c r="J95" s="7" t="s">
        <v>372</v>
      </c>
      <c r="T95" s="7" t="s">
        <v>384</v>
      </c>
      <c r="U95" s="7" t="str">
        <f t="shared" ca="1" si="4"/>
        <v/>
      </c>
      <c r="V95" s="7" t="str">
        <f t="shared" ca="1" si="5"/>
        <v/>
      </c>
      <c r="AE95" s="7" t="s">
        <v>330</v>
      </c>
      <c r="AG95" t="s">
        <v>20</v>
      </c>
      <c r="AJ95" cm="1">
        <f t="array" ref="AJ95">_xlfn.IFS(AG95="Yes",1,AG95="No",0,AG95="","")</f>
        <v>0</v>
      </c>
    </row>
    <row r="96" spans="1:36">
      <c r="A96" t="s">
        <v>139</v>
      </c>
      <c r="D96" s="3" t="s">
        <v>289</v>
      </c>
      <c r="E96" s="3" t="s">
        <v>288</v>
      </c>
      <c r="J96" s="7" t="s">
        <v>25</v>
      </c>
      <c r="L96" s="7">
        <v>1</v>
      </c>
      <c r="M96" s="7">
        <v>3</v>
      </c>
      <c r="N96" s="7" t="s">
        <v>341</v>
      </c>
      <c r="O96" s="7" t="s">
        <v>332</v>
      </c>
      <c r="S96" s="7">
        <v>1701</v>
      </c>
      <c r="U96" s="7" t="str">
        <f t="shared" ca="1" si="4"/>
        <v/>
      </c>
      <c r="V96" s="7" t="str">
        <f t="shared" ca="1" si="5"/>
        <v/>
      </c>
      <c r="AG96" t="s">
        <v>19</v>
      </c>
      <c r="AJ96" cm="1">
        <f t="array" ref="AJ96">_xlfn.IFS(AG96="Yes",1,AG96="No",0,AG96="","")</f>
        <v>1</v>
      </c>
    </row>
    <row r="97" spans="1:36">
      <c r="A97" t="s">
        <v>141</v>
      </c>
      <c r="D97" s="3" t="s">
        <v>290</v>
      </c>
      <c r="E97" s="3" t="s">
        <v>291</v>
      </c>
      <c r="J97" s="7" t="s">
        <v>372</v>
      </c>
      <c r="T97" s="7">
        <f>31-5</f>
        <v>26</v>
      </c>
      <c r="U97" s="7">
        <f t="shared" ca="1" si="4"/>
        <v>5</v>
      </c>
      <c r="V97" s="7">
        <f t="shared" ca="1" si="5"/>
        <v>31</v>
      </c>
      <c r="AG97" t="s">
        <v>19</v>
      </c>
      <c r="AJ97" cm="1">
        <f t="array" ref="AJ97">_xlfn.IFS(AG97="Yes",1,AG97="No",0,AG97="","")</f>
        <v>1</v>
      </c>
    </row>
    <row r="98" spans="1:36">
      <c r="A98" t="s">
        <v>141</v>
      </c>
      <c r="D98" s="3" t="s">
        <v>293</v>
      </c>
      <c r="E98" s="3" t="s">
        <v>292</v>
      </c>
      <c r="J98" s="7" t="s">
        <v>25</v>
      </c>
      <c r="L98" s="7">
        <v>1</v>
      </c>
      <c r="M98" s="7">
        <v>3</v>
      </c>
      <c r="N98" s="7" t="s">
        <v>341</v>
      </c>
      <c r="O98" s="7" t="s">
        <v>332</v>
      </c>
      <c r="S98" s="7">
        <v>1701</v>
      </c>
      <c r="U98" s="7" t="str">
        <f t="shared" ca="1" si="4"/>
        <v/>
      </c>
      <c r="V98" s="7" t="str">
        <f t="shared" ca="1" si="5"/>
        <v/>
      </c>
      <c r="AG98" t="s">
        <v>19</v>
      </c>
      <c r="AJ98" cm="1">
        <f t="array" ref="AJ98">_xlfn.IFS(AG98="Yes",1,AG98="No",0,AG98="","")</f>
        <v>1</v>
      </c>
    </row>
    <row r="99" spans="1:36">
      <c r="A99" t="s">
        <v>142</v>
      </c>
      <c r="D99" s="3" t="s">
        <v>294</v>
      </c>
      <c r="E99" s="3" t="s">
        <v>295</v>
      </c>
      <c r="J99" s="7" t="s">
        <v>25</v>
      </c>
      <c r="L99" s="7">
        <v>1</v>
      </c>
      <c r="M99" s="7">
        <v>2</v>
      </c>
      <c r="N99" s="7" t="s">
        <v>377</v>
      </c>
      <c r="O99" s="7" t="s">
        <v>373</v>
      </c>
      <c r="S99" s="7">
        <v>10</v>
      </c>
      <c r="U99" s="7" t="str">
        <f t="shared" ca="1" si="4"/>
        <v/>
      </c>
      <c r="V99" s="7" t="str">
        <f t="shared" ca="1" si="5"/>
        <v/>
      </c>
      <c r="AG99" t="s">
        <v>19</v>
      </c>
      <c r="AJ99" cm="1">
        <f t="array" ref="AJ99">_xlfn.IFS(AG99="Yes",1,AG99="No",0,AG99="","")</f>
        <v>1</v>
      </c>
    </row>
    <row r="100" spans="1:36" ht="29">
      <c r="A100" t="s">
        <v>143</v>
      </c>
      <c r="D100" s="3" t="s">
        <v>296</v>
      </c>
      <c r="E100" s="3" t="s">
        <v>297</v>
      </c>
      <c r="H100" t="s">
        <v>23</v>
      </c>
      <c r="I100" s="4" t="s">
        <v>298</v>
      </c>
      <c r="J100" s="7" t="s">
        <v>372</v>
      </c>
      <c r="T100" s="7" t="s">
        <v>384</v>
      </c>
      <c r="U100" s="7" t="str">
        <f t="shared" ca="1" si="4"/>
        <v/>
      </c>
      <c r="V100" s="7" t="str">
        <f t="shared" ca="1" si="5"/>
        <v/>
      </c>
      <c r="AE100" s="7" t="s">
        <v>330</v>
      </c>
      <c r="AG100" t="s">
        <v>20</v>
      </c>
      <c r="AJ100" cm="1">
        <f t="array" ref="AJ100">_xlfn.IFS(AG100="Yes",1,AG100="No",0,AG100="","")</f>
        <v>0</v>
      </c>
    </row>
    <row r="101" spans="1:36" ht="29">
      <c r="A101" t="s">
        <v>143</v>
      </c>
      <c r="D101" s="3" t="s">
        <v>300</v>
      </c>
      <c r="E101" s="3" t="s">
        <v>299</v>
      </c>
      <c r="J101" s="7" t="s">
        <v>374</v>
      </c>
      <c r="U101" s="7" t="str">
        <f t="shared" ca="1" si="4"/>
        <v/>
      </c>
      <c r="V101" s="7" t="str">
        <f t="shared" ca="1" si="5"/>
        <v/>
      </c>
      <c r="AG101" t="s">
        <v>19</v>
      </c>
      <c r="AJ101" cm="1">
        <f t="array" ref="AJ101">_xlfn.IFS(AG101="Yes",1,AG101="No",0,AG101="","")</f>
        <v>1</v>
      </c>
    </row>
    <row r="102" spans="1:36">
      <c r="A102" t="s">
        <v>144</v>
      </c>
      <c r="D102" s="3" t="s">
        <v>145</v>
      </c>
      <c r="E102" s="3" t="s">
        <v>84</v>
      </c>
      <c r="I102" s="4" t="s">
        <v>301</v>
      </c>
      <c r="J102" s="7" t="s">
        <v>372</v>
      </c>
      <c r="T102" s="7" t="s">
        <v>384</v>
      </c>
      <c r="U102" s="7" t="str">
        <f t="shared" ca="1" si="4"/>
        <v/>
      </c>
      <c r="V102" s="7" t="str">
        <f t="shared" ca="1" si="5"/>
        <v/>
      </c>
      <c r="AE102" s="7" t="s">
        <v>340</v>
      </c>
      <c r="AG102" t="s">
        <v>19</v>
      </c>
      <c r="AJ102" cm="1">
        <f t="array" ref="AJ102">_xlfn.IFS(AG102="Yes",1,AG102="No",0,AG102="","")</f>
        <v>1</v>
      </c>
    </row>
    <row r="103" spans="1:36" ht="29">
      <c r="A103" t="s">
        <v>146</v>
      </c>
      <c r="D103" s="3" t="s">
        <v>302</v>
      </c>
      <c r="E103" s="3" t="s">
        <v>303</v>
      </c>
      <c r="H103" t="s">
        <v>19</v>
      </c>
      <c r="J103" s="7" t="s">
        <v>372</v>
      </c>
      <c r="T103" s="7" t="s">
        <v>384</v>
      </c>
      <c r="U103" s="7" t="str">
        <f t="shared" ca="1" si="4"/>
        <v/>
      </c>
      <c r="V103" s="7" t="str">
        <f t="shared" ca="1" si="5"/>
        <v/>
      </c>
      <c r="AC103" s="7" t="s">
        <v>413</v>
      </c>
      <c r="AD103" s="7" t="s">
        <v>19</v>
      </c>
      <c r="AE103" s="7" t="s">
        <v>330</v>
      </c>
      <c r="AG103" t="s">
        <v>20</v>
      </c>
      <c r="AJ103" cm="1">
        <f t="array" ref="AJ103">_xlfn.IFS(AG103="Yes",1,AG103="No",0,AG103="","")</f>
        <v>0</v>
      </c>
    </row>
    <row r="104" spans="1:36">
      <c r="A104" t="s">
        <v>147</v>
      </c>
      <c r="D104" s="3" t="s">
        <v>148</v>
      </c>
      <c r="E104" s="3" t="s">
        <v>149</v>
      </c>
      <c r="H104" t="s">
        <v>19</v>
      </c>
      <c r="J104" s="7" t="s">
        <v>372</v>
      </c>
      <c r="T104" s="7" t="s">
        <v>384</v>
      </c>
      <c r="U104" s="7" t="str">
        <f t="shared" ca="1" si="4"/>
        <v/>
      </c>
      <c r="V104" s="7" t="str">
        <f t="shared" ca="1" si="5"/>
        <v/>
      </c>
      <c r="AE104" s="7" t="s">
        <v>330</v>
      </c>
      <c r="AG104" t="s">
        <v>20</v>
      </c>
      <c r="AJ104" cm="1">
        <f t="array" ref="AJ104">_xlfn.IFS(AG104="Yes",1,AG104="No",0,AG104="","")</f>
        <v>0</v>
      </c>
    </row>
    <row r="105" spans="1:36">
      <c r="A105" t="s">
        <v>147</v>
      </c>
      <c r="D105" s="3" t="s">
        <v>305</v>
      </c>
      <c r="E105" s="3" t="s">
        <v>304</v>
      </c>
      <c r="J105" s="7" t="s">
        <v>25</v>
      </c>
      <c r="L105" s="7">
        <v>1</v>
      </c>
      <c r="M105" s="7">
        <v>1</v>
      </c>
      <c r="N105" s="7" t="s">
        <v>331</v>
      </c>
      <c r="O105" s="7" t="s">
        <v>373</v>
      </c>
      <c r="S105" s="7">
        <v>2475</v>
      </c>
      <c r="U105" s="7" t="str">
        <f t="shared" ca="1" si="4"/>
        <v/>
      </c>
      <c r="V105" s="7" t="str">
        <f t="shared" ca="1" si="5"/>
        <v/>
      </c>
      <c r="AG105" t="s">
        <v>19</v>
      </c>
      <c r="AJ105" cm="1">
        <f t="array" ref="AJ105">_xlfn.IFS(AG105="Yes",1,AG105="No",0,AG105="","")</f>
        <v>1</v>
      </c>
    </row>
    <row r="106" spans="1:36">
      <c r="A106" t="s">
        <v>147</v>
      </c>
      <c r="D106" s="3" t="s">
        <v>306</v>
      </c>
      <c r="E106" s="3" t="s">
        <v>307</v>
      </c>
      <c r="J106" s="7" t="s">
        <v>25</v>
      </c>
      <c r="L106" s="7">
        <v>1</v>
      </c>
      <c r="M106" s="7">
        <v>1</v>
      </c>
      <c r="N106" s="7" t="s">
        <v>331</v>
      </c>
      <c r="O106" s="7" t="s">
        <v>373</v>
      </c>
      <c r="S106" s="7">
        <v>2475</v>
      </c>
      <c r="U106" s="7" t="str">
        <f t="shared" ca="1" si="4"/>
        <v/>
      </c>
      <c r="V106" s="7" t="str">
        <f t="shared" ca="1" si="5"/>
        <v/>
      </c>
      <c r="AG106" t="s">
        <v>19</v>
      </c>
      <c r="AJ106" cm="1">
        <f t="array" ref="AJ106">_xlfn.IFS(AG106="Yes",1,AG106="No",0,AG106="","")</f>
        <v>1</v>
      </c>
    </row>
    <row r="107" spans="1:36">
      <c r="A107" t="s">
        <v>147</v>
      </c>
      <c r="D107" s="3" t="s">
        <v>150</v>
      </c>
      <c r="E107" s="3" t="s">
        <v>151</v>
      </c>
      <c r="H107" t="s">
        <v>19</v>
      </c>
      <c r="J107" s="7" t="s">
        <v>372</v>
      </c>
      <c r="T107" s="7" t="s">
        <v>384</v>
      </c>
      <c r="U107" s="7" t="str">
        <f t="shared" ca="1" si="4"/>
        <v/>
      </c>
      <c r="V107" s="7" t="str">
        <f t="shared" ca="1" si="5"/>
        <v/>
      </c>
      <c r="AE107" s="7" t="s">
        <v>330</v>
      </c>
      <c r="AG107" t="s">
        <v>20</v>
      </c>
      <c r="AJ107" cm="1">
        <f t="array" ref="AJ107">_xlfn.IFS(AG107="Yes",1,AG107="No",0,AG107="","")</f>
        <v>0</v>
      </c>
    </row>
    <row r="108" spans="1:36" ht="43.5">
      <c r="A108" t="s">
        <v>152</v>
      </c>
      <c r="D108" s="3" t="s">
        <v>308</v>
      </c>
      <c r="E108" s="3" t="s">
        <v>309</v>
      </c>
      <c r="H108" t="s">
        <v>19</v>
      </c>
      <c r="I108" t="s">
        <v>497</v>
      </c>
      <c r="J108" s="7" t="s">
        <v>24</v>
      </c>
      <c r="L108" s="7">
        <v>3</v>
      </c>
      <c r="M108" s="7">
        <v>16</v>
      </c>
      <c r="O108" s="7" t="s">
        <v>332</v>
      </c>
      <c r="R108" s="7" t="s">
        <v>333</v>
      </c>
      <c r="S108" s="7">
        <v>9</v>
      </c>
      <c r="U108" s="7" t="str">
        <f t="shared" ca="1" si="4"/>
        <v/>
      </c>
      <c r="V108" s="7" t="str">
        <f t="shared" ca="1" si="5"/>
        <v/>
      </c>
      <c r="AG108" t="s">
        <v>20</v>
      </c>
      <c r="AJ108" cm="1">
        <f t="array" ref="AJ108">_xlfn.IFS(AG108="Yes",1,AG108="No",0,AG108="","")</f>
        <v>0</v>
      </c>
    </row>
    <row r="109" spans="1:36" ht="29">
      <c r="A109" t="s">
        <v>152</v>
      </c>
      <c r="D109" s="3" t="s">
        <v>310</v>
      </c>
      <c r="E109" s="3" t="s">
        <v>311</v>
      </c>
      <c r="J109" s="7" t="s">
        <v>374</v>
      </c>
      <c r="U109" s="7" t="str">
        <f t="shared" ca="1" si="4"/>
        <v/>
      </c>
      <c r="V109" s="7" t="str">
        <f t="shared" ca="1" si="5"/>
        <v/>
      </c>
      <c r="AG109" t="s">
        <v>19</v>
      </c>
      <c r="AJ109" cm="1">
        <f t="array" ref="AJ109">_xlfn.IFS(AG109="Yes",1,AG109="No",0,AG109="","")</f>
        <v>1</v>
      </c>
    </row>
    <row r="110" spans="1:36">
      <c r="A110" t="s">
        <v>153</v>
      </c>
      <c r="D110" s="3" t="s">
        <v>307</v>
      </c>
      <c r="E110" s="3" t="s">
        <v>306</v>
      </c>
      <c r="J110" s="7" t="s">
        <v>24</v>
      </c>
      <c r="L110" s="7">
        <v>1</v>
      </c>
      <c r="M110" s="7">
        <v>1</v>
      </c>
      <c r="N110" s="7" t="s">
        <v>331</v>
      </c>
      <c r="O110" s="7" t="s">
        <v>373</v>
      </c>
      <c r="S110" s="7">
        <v>2475</v>
      </c>
      <c r="U110" s="7" t="str">
        <f t="shared" ca="1" si="4"/>
        <v/>
      </c>
      <c r="V110" s="7" t="str">
        <f t="shared" ca="1" si="5"/>
        <v/>
      </c>
      <c r="AG110" t="s">
        <v>19</v>
      </c>
      <c r="AJ110" cm="1">
        <f t="array" ref="AJ110">_xlfn.IFS(AG110="Yes",1,AG110="No",0,AG110="","")</f>
        <v>1</v>
      </c>
    </row>
    <row r="111" spans="1:36">
      <c r="A111" t="s">
        <v>154</v>
      </c>
      <c r="D111" s="3" t="s">
        <v>155</v>
      </c>
      <c r="E111" s="3" t="s">
        <v>156</v>
      </c>
      <c r="J111" s="7" t="s">
        <v>374</v>
      </c>
      <c r="U111" s="7" t="str">
        <f t="shared" ca="1" si="4"/>
        <v/>
      </c>
      <c r="V111" s="7" t="str">
        <f t="shared" ca="1" si="5"/>
        <v/>
      </c>
      <c r="AG111" t="s">
        <v>19</v>
      </c>
      <c r="AJ111" cm="1">
        <f t="array" ref="AJ111">_xlfn.IFS(AG111="Yes",1,AG111="No",0,AG111="","")</f>
        <v>1</v>
      </c>
    </row>
    <row r="112" spans="1:36" ht="43.5">
      <c r="A112" t="s">
        <v>154</v>
      </c>
      <c r="D112" s="3" t="s">
        <v>313</v>
      </c>
      <c r="E112" s="3" t="s">
        <v>312</v>
      </c>
      <c r="I112" t="s">
        <v>392</v>
      </c>
      <c r="J112" s="7" t="s">
        <v>26</v>
      </c>
      <c r="U112" s="7" t="str">
        <f t="shared" ca="1" si="4"/>
        <v/>
      </c>
      <c r="V112" s="7" t="str">
        <f t="shared" ca="1" si="5"/>
        <v/>
      </c>
      <c r="AG112" t="s">
        <v>19</v>
      </c>
      <c r="AJ112" cm="1">
        <f t="array" ref="AJ112">_xlfn.IFS(AG112="Yes",1,AG112="No",0,AG112="","")</f>
        <v>1</v>
      </c>
    </row>
    <row r="113" spans="1:38">
      <c r="A113" t="s">
        <v>157</v>
      </c>
      <c r="D113" s="3" t="s">
        <v>315</v>
      </c>
      <c r="E113" s="3" t="s">
        <v>314</v>
      </c>
      <c r="J113" s="7" t="s">
        <v>372</v>
      </c>
      <c r="T113" s="7">
        <f>171-186</f>
        <v>-15</v>
      </c>
      <c r="U113" s="7">
        <f t="shared" ca="1" si="4"/>
        <v>186</v>
      </c>
      <c r="V113" s="7">
        <f t="shared" ca="1" si="5"/>
        <v>171</v>
      </c>
      <c r="AG113" t="s">
        <v>19</v>
      </c>
      <c r="AJ113" cm="1">
        <f t="array" ref="AJ113">_xlfn.IFS(AG113="Yes",1,AG113="No",0,AG113="","")</f>
        <v>1</v>
      </c>
    </row>
    <row r="114" spans="1:38" ht="43.5">
      <c r="A114" t="s">
        <v>157</v>
      </c>
      <c r="D114" s="3" t="s">
        <v>316</v>
      </c>
      <c r="E114" s="3" t="s">
        <v>317</v>
      </c>
      <c r="J114" s="7" t="s">
        <v>372</v>
      </c>
      <c r="T114" s="7">
        <f>4-1</f>
        <v>3</v>
      </c>
      <c r="U114" s="7">
        <f t="shared" ca="1" si="4"/>
        <v>1</v>
      </c>
      <c r="V114" s="7">
        <f t="shared" ca="1" si="5"/>
        <v>4</v>
      </c>
      <c r="AG114" t="s">
        <v>19</v>
      </c>
      <c r="AJ114" cm="1">
        <f t="array" ref="AJ114">_xlfn.IFS(AG114="Yes",1,AG114="No",0,AG114="","")</f>
        <v>1</v>
      </c>
    </row>
    <row r="116" spans="1:38">
      <c r="D116" s="3" t="s">
        <v>378</v>
      </c>
      <c r="E116" s="3">
        <f>SUBTOTAL(3,A2:A114)</f>
        <v>113</v>
      </c>
    </row>
    <row r="117" spans="1:38">
      <c r="D117" s="3" t="s">
        <v>379</v>
      </c>
      <c r="E117" s="3">
        <f>COUNTA(A2:A114)</f>
        <v>113</v>
      </c>
      <c r="AJ117" t="s">
        <v>404</v>
      </c>
      <c r="AK117" t="s">
        <v>406</v>
      </c>
      <c r="AL117" t="s">
        <v>407</v>
      </c>
    </row>
    <row r="118" spans="1:38">
      <c r="D118" s="3"/>
    </row>
    <row r="119" spans="1:38">
      <c r="D119" s="3" t="s">
        <v>412</v>
      </c>
      <c r="E119" s="3" t="s">
        <v>410</v>
      </c>
      <c r="AJ119" t="s">
        <v>405</v>
      </c>
      <c r="AK119">
        <f>COUNTIF(AG2:AG114,"No")</f>
        <v>32</v>
      </c>
      <c r="AL119">
        <f>SUBTOTAL(2,AJ2:AJ114)-AL120</f>
        <v>32</v>
      </c>
    </row>
    <row r="120" spans="1:38">
      <c r="D120" s="3" t="s">
        <v>408</v>
      </c>
      <c r="E120" s="3">
        <v>27</v>
      </c>
      <c r="AJ120" t="s">
        <v>338</v>
      </c>
      <c r="AK120">
        <f>COUNTIF(AG2:AG114,"Yes")</f>
        <v>77</v>
      </c>
      <c r="AL120">
        <f>SUBTOTAL(9,AJ2:AJ114)</f>
        <v>77</v>
      </c>
    </row>
    <row r="121" spans="1:38">
      <c r="E121" s="3" t="s">
        <v>411</v>
      </c>
    </row>
    <row r="122" spans="1:38">
      <c r="D122" s="3" t="s">
        <v>408</v>
      </c>
      <c r="E122" s="3">
        <v>24</v>
      </c>
    </row>
    <row r="123" spans="1:38">
      <c r="D123" s="3" t="s">
        <v>409</v>
      </c>
      <c r="E123" s="3">
        <v>20</v>
      </c>
    </row>
  </sheetData>
  <conditionalFormatting sqref="J2:J1048576">
    <cfRule type="expression" dxfId="325" priority="7">
      <formula>$J2&lt;&gt;""</formula>
    </cfRule>
    <cfRule type="expression" dxfId="324" priority="8">
      <formula>$J2=""</formula>
    </cfRule>
  </conditionalFormatting>
  <conditionalFormatting sqref="K2:O1048576 R2:S1048576">
    <cfRule type="expression" dxfId="323" priority="30">
      <formula>AND(OR($J2="Addition",$J2="Omission"), K2="")</formula>
    </cfRule>
    <cfRule type="expression" dxfId="322" priority="31">
      <formula>AND($J2&lt;&gt;"Addition",$J2&lt;&gt;"Omission",$J2&lt;&gt;"Substitution - Word")</formula>
    </cfRule>
  </conditionalFormatting>
  <conditionalFormatting sqref="K2:S1048576">
    <cfRule type="expression" dxfId="321" priority="29">
      <formula>AND(OR($J2="Addition",$J2="Omission"), K2&lt;&gt;"")</formula>
    </cfRule>
  </conditionalFormatting>
  <conditionalFormatting sqref="N2:N1048576">
    <cfRule type="expression" dxfId="320" priority="24">
      <formula>AND($L2&lt;&gt;"",$L2&gt;1)</formula>
    </cfRule>
  </conditionalFormatting>
  <conditionalFormatting sqref="P2:Q1048576">
    <cfRule type="expression" dxfId="319" priority="20">
      <formula>$O2="Absent"</formula>
    </cfRule>
    <cfRule type="expression" dxfId="318" priority="21">
      <formula>$O2="NA"</formula>
    </cfRule>
    <cfRule type="expression" dxfId="317" priority="22">
      <formula>AND(OR($J2="Addition",$J2="Omission"), P2="")</formula>
    </cfRule>
    <cfRule type="expression" dxfId="316" priority="23">
      <formula>AND($J2&lt;&gt;"Addition",$J2&lt;&gt;"Omission")</formula>
    </cfRule>
  </conditionalFormatting>
  <conditionalFormatting sqref="R2:R1048576">
    <cfRule type="expression" dxfId="315" priority="25">
      <formula>OR($J2="Addition",$J2="Omission",$J2 = "Substitution - Word")</formula>
    </cfRule>
  </conditionalFormatting>
  <conditionalFormatting sqref="T2:V1048576">
    <cfRule type="expression" dxfId="314" priority="1">
      <formula>AND(AND(LEFT($J2,3)="Sub", RIGHT($J2,4)&lt;&gt;"Form"),$T2&lt;&gt;"")</formula>
    </cfRule>
    <cfRule type="expression" dxfId="313" priority="2">
      <formula>AND(AND(LEFT($J2,3)="Sub", RIGHT($J2,4)&lt;&gt;"Form"),$T2="")</formula>
    </cfRule>
    <cfRule type="expression" dxfId="312" priority="3">
      <formula>"&lt;&gt;AND(LEFT($J2,3)=""Sub"", RIGHT($J2,4)&lt;&gt;""Form"")"</formula>
    </cfRule>
  </conditionalFormatting>
  <conditionalFormatting sqref="W2:W1048576">
    <cfRule type="expression" dxfId="311" priority="12">
      <formula>AND($W2&lt;&gt;"",OR($AD2="Yes",$AE2&lt;&gt;""))</formula>
    </cfRule>
    <cfRule type="expression" dxfId="310" priority="13">
      <formula>OR($AD2="Yes",$AE2&lt;&gt;"")</formula>
    </cfRule>
    <cfRule type="expression" dxfId="309" priority="43">
      <formula>AND($AD2&lt;&gt;"Yes",$AE2="")</formula>
    </cfRule>
  </conditionalFormatting>
  <conditionalFormatting sqref="W2:AF1048576">
    <cfRule type="expression" dxfId="308" priority="39">
      <formula>AND($J2&lt;&gt;"",$J2&lt;&gt;"Unclear due to correction")</formula>
    </cfRule>
    <cfRule type="expression" dxfId="307" priority="42">
      <formula>OR($J2="",$J2="Unclear due to correction")</formula>
    </cfRule>
  </conditionalFormatting>
  <conditionalFormatting sqref="X2:X1048576">
    <cfRule type="expression" dxfId="306" priority="11">
      <formula>AND($J2&lt;&gt;"",$J2&lt;&gt;"Unclear due to correction",$X2="")</formula>
    </cfRule>
  </conditionalFormatting>
  <conditionalFormatting sqref="Y2:Y1048576">
    <cfRule type="expression" dxfId="305" priority="15">
      <formula>AND($X2="Yes",$Y2="")</formula>
    </cfRule>
    <cfRule type="expression" dxfId="304" priority="16">
      <formula>$X2=""</formula>
    </cfRule>
  </conditionalFormatting>
  <conditionalFormatting sqref="AD2:AD1048576">
    <cfRule type="expression" dxfId="303" priority="88">
      <formula>AND(OR($AB2&lt;&gt;"",$AC2&lt;&gt;""),$AD2="")</formula>
    </cfRule>
  </conditionalFormatting>
  <dataValidations count="1">
    <dataValidation allowBlank="1" showInputMessage="1" sqref="X2:X1048576" xr:uid="{89449E29-5D6F-4A03-AB0A-802981CB0C94}"/>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F296372A-82D7-4C15-8DFD-7B6F0274E2CD}">
          <x14:formula1>
            <xm:f>'Data Regularization'!$D$2:$D$1048576</xm:f>
          </x14:formula1>
          <xm:sqref>J2:J1048576</xm:sqref>
        </x14:dataValidation>
        <x14:dataValidation type="list" allowBlank="1" showInputMessage="1" showErrorMessage="1" xr:uid="{BD70BFA8-C89B-4065-9EFE-D228E46E94FC}">
          <x14:formula1>
            <xm:f>'Data Regularization'!$E$2:$E$1048576</xm:f>
          </x14:formula1>
          <xm:sqref>N2:N1048576</xm:sqref>
        </x14:dataValidation>
        <x14:dataValidation type="list" allowBlank="1" showInputMessage="1" showErrorMessage="1" xr:uid="{CD4577D9-C171-4C4C-BCBD-9DDF732DBFEF}">
          <x14:formula1>
            <xm:f>'Data Regularization'!$F$2:$F$1048576</xm:f>
          </x14:formula1>
          <xm:sqref>O2:O1048576</xm:sqref>
        </x14:dataValidation>
        <x14:dataValidation type="list" allowBlank="1" showInputMessage="1" showErrorMessage="1" xr:uid="{281D2E34-3ACE-4DC7-8DEB-5F140C42F358}">
          <x14:formula1>
            <xm:f>'Data Regularization'!$G$2:$G$1048576</xm:f>
          </x14:formula1>
          <xm:sqref>R2:R1048576</xm:sqref>
        </x14:dataValidation>
        <x14:dataValidation type="list" allowBlank="1" showInputMessage="1" showErrorMessage="1" xr:uid="{E58C8269-85C1-4954-94AF-53AEB6BB3AF2}">
          <x14:formula1>
            <xm:f>'Data Regularization'!$J$2:$J$1048576</xm:f>
          </x14:formula1>
          <xm:sqref>W2:W1048576 Y2:Y1048576</xm:sqref>
        </x14:dataValidation>
        <x14:dataValidation type="list" allowBlank="1" showInputMessage="1" showErrorMessage="1" xr:uid="{1551F1B6-52BD-424E-BAE3-B6C43C345BE1}">
          <x14:formula1>
            <xm:f>'Data Regularization'!$K$2:$K$1048576</xm:f>
          </x14:formula1>
          <xm:sqref>Z2:Z1048576</xm:sqref>
        </x14:dataValidation>
        <x14:dataValidation type="list" allowBlank="1" showInputMessage="1" showErrorMessage="1" xr:uid="{A2A165D6-3E6F-4690-8799-A94019E3C6D5}">
          <x14:formula1>
            <xm:f>'Data Regularization'!$L$2:$L$1048576</xm:f>
          </x14:formula1>
          <xm:sqref>AA2:AA1048576</xm:sqref>
        </x14:dataValidation>
        <x14:dataValidation type="list" allowBlank="1" showInputMessage="1" showErrorMessage="1" xr:uid="{C2D49E17-5064-4A0C-91D6-C555B2458E2D}">
          <x14:formula1>
            <xm:f>'Data Regularization'!$M$2:$M$1048576</xm:f>
          </x14:formula1>
          <xm:sqref>AB2:AB1048576</xm:sqref>
        </x14:dataValidation>
        <x14:dataValidation type="list" allowBlank="1" showInputMessage="1" showErrorMessage="1" xr:uid="{C86CB294-184E-427F-AD99-9FE4540AAE92}">
          <x14:formula1>
            <xm:f>'Data Regularization'!$N$2:$N$1048576</xm:f>
          </x14:formula1>
          <xm:sqref>AD2:AD1048576</xm:sqref>
        </x14:dataValidation>
        <x14:dataValidation type="list" allowBlank="1" showInputMessage="1" showErrorMessage="1" xr:uid="{E6D4003E-6DB7-4E6F-87F4-36990610CF3F}">
          <x14:formula1>
            <xm:f>'Data Regularization'!$O$2:$O$1048576</xm:f>
          </x14:formula1>
          <xm:sqref>AE2:AE1048576</xm:sqref>
        </x14:dataValidation>
        <x14:dataValidation type="list" allowBlank="1" showInputMessage="1" showErrorMessage="1" xr:uid="{B5AD62D9-B213-4CA5-A230-16E4ED092956}">
          <x14:formula1>
            <xm:f>'Data Regularization'!$P$2:$P$1048576</xm:f>
          </x14:formula1>
          <xm:sqref>AF2:AF1048576</xm:sqref>
        </x14:dataValidation>
        <x14:dataValidation type="list" allowBlank="1" showInputMessage="1" showErrorMessage="1" xr:uid="{2E62E8AD-BAD3-4EB9-AFBF-45839D0B1E9E}">
          <x14:formula1>
            <xm:f>'Data Regularization'!$C$2:$C$50</xm:f>
          </x14:formula1>
          <xm:sqref>H2:H1048576</xm:sqref>
        </x14:dataValidation>
        <x14:dataValidation type="list" allowBlank="1" showInputMessage="1" showErrorMessage="1" xr:uid="{313D895C-DA90-4E1F-BA69-96C849A61552}">
          <x14:formula1>
            <xm:f>'Data Regularization'!$A$2:$A$1048576</xm:f>
          </x14:formula1>
          <xm:sqref>F2:F1048576</xm:sqref>
        </x14:dataValidation>
        <x14:dataValidation type="list" allowBlank="1" showInputMessage="1" showErrorMessage="1" xr:uid="{CF2233FB-2B28-4DCB-AE62-73C026274D66}">
          <x14:formula1>
            <xm:f>'Data Regularization'!$B$2:$B$1048576</xm:f>
          </x14:formula1>
          <xm:sqref>G2:G1048576</xm:sqref>
        </x14:dataValidation>
        <x14:dataValidation type="list" allowBlank="1" showInputMessage="1" showErrorMessage="1" xr:uid="{7301F58A-7842-47E1-A459-B74EC9D1D65F}">
          <x14:formula1>
            <xm:f>'Data Regularization'!$P$2:$P$4</xm:f>
          </x14:formula1>
          <xm:sqref>AG2:AI1048576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AA501-5C31-4DF1-B0EE-7C895471879E}">
  <dimension ref="A1:AG87"/>
  <sheetViews>
    <sheetView workbookViewId="0">
      <pane xSplit="3" ySplit="1" topLeftCell="G2" activePane="bottomRight" state="frozen"/>
      <selection pane="topRight" activeCell="D1" sqref="D1"/>
      <selection pane="bottomLeft" activeCell="A2" sqref="A2"/>
      <selection pane="bottomRight" activeCell="G2" sqref="G2"/>
    </sheetView>
  </sheetViews>
  <sheetFormatPr defaultRowHeight="14.5"/>
  <cols>
    <col min="1" max="1" width="10.453125" bestFit="1" customWidth="1"/>
    <col min="2" max="3" width="20.81640625" customWidth="1"/>
    <col min="4" max="6" width="8.90625" hidden="1" customWidth="1"/>
    <col min="7" max="30" width="8.90625" customWidth="1"/>
    <col min="34" max="34" width="19" bestFit="1" customWidth="1"/>
  </cols>
  <sheetData>
    <row r="1" spans="1:33" s="1" customFormat="1">
      <c r="A1" s="1" t="s">
        <v>0</v>
      </c>
      <c r="B1" s="1" t="s">
        <v>5</v>
      </c>
      <c r="C1" s="2" t="s">
        <v>6</v>
      </c>
      <c r="D1" s="1" t="s">
        <v>354</v>
      </c>
      <c r="E1" s="1" t="s">
        <v>355</v>
      </c>
      <c r="F1" s="1" t="s">
        <v>356</v>
      </c>
      <c r="G1" s="1" t="s">
        <v>3</v>
      </c>
      <c r="H1" s="1" t="s">
        <v>357</v>
      </c>
      <c r="I1" s="1" t="s">
        <v>358</v>
      </c>
      <c r="J1" s="1" t="s">
        <v>359</v>
      </c>
      <c r="K1" s="1" t="s">
        <v>360</v>
      </c>
      <c r="L1" s="1" t="s">
        <v>319</v>
      </c>
      <c r="M1" s="1" t="s">
        <v>361</v>
      </c>
      <c r="N1" s="6" t="s">
        <v>362</v>
      </c>
      <c r="O1" s="1" t="s">
        <v>320</v>
      </c>
      <c r="P1" s="1" t="s">
        <v>363</v>
      </c>
      <c r="Q1" s="1" t="s">
        <v>364</v>
      </c>
      <c r="R1" s="1" t="s">
        <v>449</v>
      </c>
      <c r="S1" s="1" t="s">
        <v>450</v>
      </c>
      <c r="T1" s="1" t="s">
        <v>367</v>
      </c>
      <c r="U1" s="1" t="s">
        <v>368</v>
      </c>
      <c r="V1" s="1" t="s">
        <v>369</v>
      </c>
      <c r="W1" s="1" t="s">
        <v>321</v>
      </c>
      <c r="X1" s="1" t="s">
        <v>322</v>
      </c>
      <c r="Y1" s="1" t="s">
        <v>323</v>
      </c>
      <c r="Z1" s="1" t="s">
        <v>365</v>
      </c>
      <c r="AA1" s="1" t="s">
        <v>370</v>
      </c>
      <c r="AB1" s="1" t="s">
        <v>324</v>
      </c>
      <c r="AC1" s="1" t="s">
        <v>366</v>
      </c>
      <c r="AD1" s="1" t="s">
        <v>382</v>
      </c>
      <c r="AE1" s="1" t="s">
        <v>380</v>
      </c>
      <c r="AF1" s="1" t="s">
        <v>381</v>
      </c>
    </row>
    <row r="2" spans="1:33" ht="29">
      <c r="A2" t="s">
        <v>38</v>
      </c>
      <c r="B2" s="3" t="s">
        <v>496</v>
      </c>
      <c r="C2" s="3" t="s">
        <v>158</v>
      </c>
      <c r="G2" s="7" t="s">
        <v>25</v>
      </c>
      <c r="H2" s="7"/>
      <c r="I2" s="7">
        <v>1</v>
      </c>
      <c r="J2" s="7">
        <v>2</v>
      </c>
      <c r="K2" s="7" t="s">
        <v>350</v>
      </c>
      <c r="L2" s="7" t="s">
        <v>373</v>
      </c>
      <c r="M2" s="7"/>
      <c r="N2" s="8"/>
      <c r="O2" s="7"/>
      <c r="P2" s="7">
        <v>613</v>
      </c>
      <c r="Q2" s="7"/>
      <c r="R2" s="7" t="s">
        <v>451</v>
      </c>
      <c r="S2" s="7" t="s">
        <v>451</v>
      </c>
      <c r="T2" s="7"/>
      <c r="U2" s="7"/>
      <c r="V2" s="7"/>
      <c r="W2" s="7"/>
      <c r="X2" s="7"/>
      <c r="Y2" s="7"/>
      <c r="Z2" s="7"/>
      <c r="AA2" s="7"/>
      <c r="AB2" s="7"/>
      <c r="AC2" s="7"/>
      <c r="AD2" t="s">
        <v>19</v>
      </c>
      <c r="AE2" t="s">
        <v>19</v>
      </c>
      <c r="AG2">
        <v>1</v>
      </c>
    </row>
    <row r="3" spans="1:33">
      <c r="A3" t="s">
        <v>38</v>
      </c>
      <c r="B3" s="3" t="s">
        <v>160</v>
      </c>
      <c r="C3" s="3" t="s">
        <v>159</v>
      </c>
      <c r="G3" s="7" t="s">
        <v>25</v>
      </c>
      <c r="H3" s="7"/>
      <c r="I3" s="7">
        <v>1</v>
      </c>
      <c r="J3" s="7">
        <v>3</v>
      </c>
      <c r="K3" s="7" t="s">
        <v>331</v>
      </c>
      <c r="L3" s="7" t="s">
        <v>326</v>
      </c>
      <c r="M3" s="7" t="s">
        <v>389</v>
      </c>
      <c r="N3" s="8" t="s">
        <v>388</v>
      </c>
      <c r="O3" s="7"/>
      <c r="P3" s="7">
        <v>2475</v>
      </c>
      <c r="Q3" s="7"/>
      <c r="R3" s="7" t="s">
        <v>451</v>
      </c>
      <c r="S3" s="7" t="s">
        <v>451</v>
      </c>
      <c r="T3" s="7"/>
      <c r="U3" s="7"/>
      <c r="V3" s="7"/>
      <c r="W3" s="7"/>
      <c r="X3" s="7"/>
      <c r="Y3" s="7"/>
      <c r="Z3" s="7"/>
      <c r="AA3" s="7"/>
      <c r="AB3" s="7"/>
      <c r="AC3" s="7"/>
      <c r="AD3" t="s">
        <v>19</v>
      </c>
      <c r="AE3" t="s">
        <v>20</v>
      </c>
      <c r="AG3">
        <v>1</v>
      </c>
    </row>
    <row r="4" spans="1:33">
      <c r="A4" t="s">
        <v>39</v>
      </c>
      <c r="B4" s="3" t="s">
        <v>162</v>
      </c>
      <c r="C4" s="3" t="s">
        <v>161</v>
      </c>
      <c r="G4" s="7" t="s">
        <v>25</v>
      </c>
      <c r="H4" s="7"/>
      <c r="I4" s="7">
        <v>1</v>
      </c>
      <c r="J4" s="7">
        <v>2</v>
      </c>
      <c r="K4" s="7" t="s">
        <v>331</v>
      </c>
      <c r="L4" s="7" t="s">
        <v>373</v>
      </c>
      <c r="M4" s="7"/>
      <c r="N4" s="8"/>
      <c r="O4" s="7"/>
      <c r="P4" s="7">
        <v>2475</v>
      </c>
      <c r="Q4" s="7"/>
      <c r="R4" s="7" t="s">
        <v>451</v>
      </c>
      <c r="S4" s="7" t="s">
        <v>451</v>
      </c>
      <c r="T4" s="7"/>
      <c r="U4" s="7"/>
      <c r="V4" s="7"/>
      <c r="W4" s="7"/>
      <c r="X4" s="7"/>
      <c r="Y4" s="7"/>
      <c r="Z4" s="7"/>
      <c r="AA4" s="7"/>
      <c r="AB4" s="7"/>
      <c r="AC4" s="7"/>
      <c r="AD4" t="s">
        <v>19</v>
      </c>
      <c r="AE4" t="s">
        <v>20</v>
      </c>
      <c r="AG4">
        <v>1</v>
      </c>
    </row>
    <row r="5" spans="1:33">
      <c r="A5" t="s">
        <v>43</v>
      </c>
      <c r="B5" s="3" t="s">
        <v>166</v>
      </c>
      <c r="C5" s="3" t="s">
        <v>165</v>
      </c>
      <c r="G5" s="7" t="s">
        <v>26</v>
      </c>
      <c r="H5" s="7"/>
      <c r="I5" s="7"/>
      <c r="J5" s="7"/>
      <c r="K5" s="7"/>
      <c r="L5" s="7"/>
      <c r="M5" s="7"/>
      <c r="N5" s="8"/>
      <c r="O5" s="7"/>
      <c r="P5" s="7"/>
      <c r="Q5" s="7"/>
      <c r="R5" s="7" t="s">
        <v>451</v>
      </c>
      <c r="S5" s="7" t="s">
        <v>451</v>
      </c>
      <c r="T5" s="7"/>
      <c r="U5" s="7"/>
      <c r="V5" s="7"/>
      <c r="W5" s="7"/>
      <c r="X5" s="7"/>
      <c r="Y5" s="7"/>
      <c r="Z5" s="7"/>
      <c r="AA5" s="7"/>
      <c r="AB5" s="7"/>
      <c r="AC5" s="7"/>
      <c r="AD5" t="s">
        <v>19</v>
      </c>
      <c r="AE5" t="s">
        <v>19</v>
      </c>
      <c r="AG5">
        <v>1</v>
      </c>
    </row>
    <row r="6" spans="1:33">
      <c r="A6" t="s">
        <v>44</v>
      </c>
      <c r="B6" s="3" t="s">
        <v>168</v>
      </c>
      <c r="C6" s="3" t="s">
        <v>167</v>
      </c>
      <c r="G6" s="7" t="s">
        <v>24</v>
      </c>
      <c r="H6" s="7"/>
      <c r="I6" s="7">
        <v>1</v>
      </c>
      <c r="J6" s="7">
        <v>1</v>
      </c>
      <c r="K6" s="7" t="s">
        <v>331</v>
      </c>
      <c r="L6" s="7" t="s">
        <v>373</v>
      </c>
      <c r="M6" s="7"/>
      <c r="N6" s="8"/>
      <c r="O6" s="7"/>
      <c r="P6" s="7">
        <v>2475</v>
      </c>
      <c r="Q6" s="7"/>
      <c r="R6" s="7" t="s">
        <v>451</v>
      </c>
      <c r="S6" s="7" t="s">
        <v>451</v>
      </c>
      <c r="T6" s="7"/>
      <c r="U6" s="7"/>
      <c r="V6" s="7"/>
      <c r="W6" s="7"/>
      <c r="X6" s="7"/>
      <c r="Y6" s="7"/>
      <c r="Z6" s="7"/>
      <c r="AA6" s="7"/>
      <c r="AB6" s="7"/>
      <c r="AC6" s="7"/>
      <c r="AD6" t="s">
        <v>19</v>
      </c>
      <c r="AE6" t="s">
        <v>20</v>
      </c>
      <c r="AG6">
        <v>1</v>
      </c>
    </row>
    <row r="7" spans="1:33">
      <c r="A7" t="s">
        <v>48</v>
      </c>
      <c r="B7" s="3" t="s">
        <v>172</v>
      </c>
      <c r="C7" s="3" t="s">
        <v>171</v>
      </c>
      <c r="G7" s="7" t="s">
        <v>372</v>
      </c>
      <c r="H7" s="7"/>
      <c r="I7" s="7"/>
      <c r="J7" s="7"/>
      <c r="K7" s="7"/>
      <c r="L7" s="7"/>
      <c r="M7" s="7"/>
      <c r="N7" s="8"/>
      <c r="O7" s="7"/>
      <c r="P7" s="7"/>
      <c r="Q7" s="7">
        <v>-249</v>
      </c>
      <c r="R7" s="7">
        <v>280</v>
      </c>
      <c r="S7" s="7">
        <v>31</v>
      </c>
      <c r="T7" s="7"/>
      <c r="U7" s="7"/>
      <c r="V7" s="7"/>
      <c r="W7" s="7"/>
      <c r="X7" s="7"/>
      <c r="Y7" s="7"/>
      <c r="Z7" s="7"/>
      <c r="AA7" s="7"/>
      <c r="AB7" s="7"/>
      <c r="AC7" s="7"/>
      <c r="AD7" t="s">
        <v>19</v>
      </c>
      <c r="AE7" t="s">
        <v>20</v>
      </c>
      <c r="AG7">
        <v>1</v>
      </c>
    </row>
    <row r="8" spans="1:33" ht="29">
      <c r="A8" t="s">
        <v>52</v>
      </c>
      <c r="B8" s="3" t="s">
        <v>176</v>
      </c>
      <c r="C8" s="3" t="s">
        <v>175</v>
      </c>
      <c r="G8" s="7" t="s">
        <v>25</v>
      </c>
      <c r="H8" s="7"/>
      <c r="I8" s="7">
        <v>1</v>
      </c>
      <c r="J8" s="7">
        <v>3</v>
      </c>
      <c r="K8" s="7" t="s">
        <v>331</v>
      </c>
      <c r="L8" s="7" t="s">
        <v>326</v>
      </c>
      <c r="M8" s="7" t="s">
        <v>387</v>
      </c>
      <c r="N8" s="8" t="s">
        <v>388</v>
      </c>
      <c r="O8" s="7"/>
      <c r="P8" s="7">
        <v>2475</v>
      </c>
      <c r="Q8" s="7"/>
      <c r="R8" s="7" t="s">
        <v>451</v>
      </c>
      <c r="S8" s="7" t="s">
        <v>451</v>
      </c>
      <c r="T8" s="7"/>
      <c r="U8" s="7"/>
      <c r="V8" s="7"/>
      <c r="W8" s="7"/>
      <c r="X8" s="7"/>
      <c r="Y8" s="7"/>
      <c r="Z8" s="7"/>
      <c r="AA8" s="7"/>
      <c r="AB8" s="7"/>
      <c r="AC8" s="7"/>
      <c r="AD8" t="s">
        <v>19</v>
      </c>
      <c r="AE8" t="s">
        <v>20</v>
      </c>
      <c r="AG8">
        <v>1</v>
      </c>
    </row>
    <row r="9" spans="1:33">
      <c r="A9" t="s">
        <v>55</v>
      </c>
      <c r="B9" s="3" t="s">
        <v>177</v>
      </c>
      <c r="C9" s="3" t="s">
        <v>178</v>
      </c>
      <c r="F9" t="s">
        <v>19</v>
      </c>
      <c r="G9" s="7" t="s">
        <v>24</v>
      </c>
      <c r="H9" s="7"/>
      <c r="I9" s="7">
        <v>1</v>
      </c>
      <c r="J9" s="7">
        <v>9</v>
      </c>
      <c r="K9" s="7" t="s">
        <v>325</v>
      </c>
      <c r="L9" s="7" t="s">
        <v>326</v>
      </c>
      <c r="M9" s="7" t="s">
        <v>415</v>
      </c>
      <c r="N9" s="8" t="s">
        <v>416</v>
      </c>
      <c r="O9" s="7"/>
      <c r="P9" s="7">
        <v>4</v>
      </c>
      <c r="Q9" s="7"/>
      <c r="R9" s="7" t="s">
        <v>451</v>
      </c>
      <c r="S9" s="7" t="s">
        <v>451</v>
      </c>
      <c r="T9" s="7"/>
      <c r="U9" s="7"/>
      <c r="V9" s="7"/>
      <c r="W9" s="7"/>
      <c r="X9" s="7"/>
      <c r="Y9" s="7"/>
      <c r="Z9" s="7"/>
      <c r="AA9" s="7"/>
      <c r="AB9" s="7"/>
      <c r="AC9" s="7"/>
      <c r="AD9" t="s">
        <v>20</v>
      </c>
      <c r="AE9" t="s">
        <v>20</v>
      </c>
      <c r="AG9">
        <v>0</v>
      </c>
    </row>
    <row r="10" spans="1:33">
      <c r="A10" t="s">
        <v>56</v>
      </c>
      <c r="B10" s="3" t="s">
        <v>59</v>
      </c>
      <c r="C10" s="3" t="s">
        <v>60</v>
      </c>
      <c r="G10" s="7" t="s">
        <v>372</v>
      </c>
      <c r="H10" s="7"/>
      <c r="I10" s="7"/>
      <c r="J10" s="7"/>
      <c r="K10" s="7"/>
      <c r="L10" s="7"/>
      <c r="M10" s="7"/>
      <c r="N10" s="8"/>
      <c r="O10" s="7"/>
      <c r="P10" s="7"/>
      <c r="Q10" s="7">
        <v>7</v>
      </c>
      <c r="R10" s="7">
        <v>1</v>
      </c>
      <c r="S10" s="7">
        <v>8</v>
      </c>
      <c r="T10" s="7"/>
      <c r="U10" s="7"/>
      <c r="V10" s="7"/>
      <c r="W10" s="7"/>
      <c r="X10" s="7"/>
      <c r="Y10" s="7"/>
      <c r="Z10" s="7"/>
      <c r="AA10" s="7"/>
      <c r="AB10" s="7"/>
      <c r="AC10" s="7"/>
      <c r="AD10" t="s">
        <v>20</v>
      </c>
      <c r="AE10" t="s">
        <v>20</v>
      </c>
      <c r="AG10">
        <v>0</v>
      </c>
    </row>
    <row r="11" spans="1:33">
      <c r="A11" t="s">
        <v>61</v>
      </c>
      <c r="B11" s="3" t="s">
        <v>179</v>
      </c>
      <c r="C11" s="3" t="s">
        <v>180</v>
      </c>
      <c r="G11" s="7" t="s">
        <v>24</v>
      </c>
      <c r="H11" s="7"/>
      <c r="I11" s="7">
        <v>1</v>
      </c>
      <c r="J11" s="7">
        <v>3</v>
      </c>
      <c r="K11" s="7" t="s">
        <v>331</v>
      </c>
      <c r="L11" s="7" t="s">
        <v>332</v>
      </c>
      <c r="M11" s="7"/>
      <c r="N11" s="8"/>
      <c r="O11" s="7"/>
      <c r="P11" s="7">
        <v>2475</v>
      </c>
      <c r="Q11" s="7"/>
      <c r="R11" s="7" t="s">
        <v>451</v>
      </c>
      <c r="S11" s="7" t="s">
        <v>451</v>
      </c>
      <c r="T11" s="7"/>
      <c r="U11" s="7"/>
      <c r="V11" s="7"/>
      <c r="W11" s="7"/>
      <c r="X11" s="7"/>
      <c r="Y11" s="7"/>
      <c r="Z11" s="7"/>
      <c r="AA11" s="7"/>
      <c r="AB11" s="7"/>
      <c r="AC11" s="7"/>
      <c r="AD11" t="s">
        <v>19</v>
      </c>
      <c r="AE11" t="s">
        <v>19</v>
      </c>
      <c r="AG11">
        <v>1</v>
      </c>
    </row>
    <row r="12" spans="1:33">
      <c r="A12" t="s">
        <v>61</v>
      </c>
      <c r="B12" s="3" t="s">
        <v>179</v>
      </c>
      <c r="C12" s="3" t="s">
        <v>181</v>
      </c>
      <c r="G12" s="7" t="s">
        <v>24</v>
      </c>
      <c r="H12" s="7"/>
      <c r="I12" s="7">
        <v>1</v>
      </c>
      <c r="J12" s="7">
        <v>3</v>
      </c>
      <c r="K12" s="7" t="s">
        <v>331</v>
      </c>
      <c r="L12" s="7" t="s">
        <v>332</v>
      </c>
      <c r="M12" s="7"/>
      <c r="N12" s="8"/>
      <c r="O12" s="7"/>
      <c r="P12" s="7">
        <v>2475</v>
      </c>
      <c r="Q12" s="7"/>
      <c r="R12" s="7" t="s">
        <v>451</v>
      </c>
      <c r="S12" s="7" t="s">
        <v>451</v>
      </c>
      <c r="T12" s="7"/>
      <c r="U12" s="7"/>
      <c r="V12" s="7"/>
      <c r="W12" s="7"/>
      <c r="X12" s="7"/>
      <c r="Y12" s="7"/>
      <c r="Z12" s="7"/>
      <c r="AA12" s="7"/>
      <c r="AB12" s="7"/>
      <c r="AC12" s="7"/>
      <c r="AD12" t="s">
        <v>19</v>
      </c>
      <c r="AE12" t="s">
        <v>20</v>
      </c>
      <c r="AG12">
        <v>1</v>
      </c>
    </row>
    <row r="13" spans="1:33">
      <c r="A13" t="s">
        <v>61</v>
      </c>
      <c r="B13" s="3" t="s">
        <v>183</v>
      </c>
      <c r="C13" s="3" t="s">
        <v>182</v>
      </c>
      <c r="G13" s="7" t="s">
        <v>24</v>
      </c>
      <c r="H13" s="7"/>
      <c r="I13" s="7">
        <v>1</v>
      </c>
      <c r="J13" s="7">
        <v>3</v>
      </c>
      <c r="K13" s="7" t="s">
        <v>331</v>
      </c>
      <c r="L13" s="7" t="s">
        <v>332</v>
      </c>
      <c r="M13" s="7"/>
      <c r="N13" s="8"/>
      <c r="O13" s="7"/>
      <c r="P13" s="7">
        <v>2475</v>
      </c>
      <c r="Q13" s="7"/>
      <c r="R13" s="7" t="s">
        <v>451</v>
      </c>
      <c r="S13" s="7" t="s">
        <v>451</v>
      </c>
      <c r="T13" s="7"/>
      <c r="U13" s="7"/>
      <c r="V13" s="7"/>
      <c r="W13" s="7"/>
      <c r="X13" s="7"/>
      <c r="Y13" s="7"/>
      <c r="Z13" s="7"/>
      <c r="AA13" s="7"/>
      <c r="AB13" s="7"/>
      <c r="AC13" s="7"/>
      <c r="AD13" t="s">
        <v>19</v>
      </c>
      <c r="AE13" t="s">
        <v>19</v>
      </c>
      <c r="AG13">
        <v>1</v>
      </c>
    </row>
    <row r="14" spans="1:33">
      <c r="A14" t="s">
        <v>69</v>
      </c>
      <c r="B14" s="3" t="s">
        <v>70</v>
      </c>
      <c r="C14" s="3" t="s">
        <v>71</v>
      </c>
      <c r="G14" s="7" t="s">
        <v>374</v>
      </c>
      <c r="H14" s="7"/>
      <c r="I14" s="7"/>
      <c r="J14" s="7"/>
      <c r="K14" s="7"/>
      <c r="L14" s="7"/>
      <c r="M14" s="7"/>
      <c r="N14" s="8"/>
      <c r="O14" s="7"/>
      <c r="P14" s="7"/>
      <c r="Q14" s="7"/>
      <c r="R14" s="7" t="s">
        <v>451</v>
      </c>
      <c r="S14" s="7" t="s">
        <v>451</v>
      </c>
      <c r="T14" s="7"/>
      <c r="U14" s="7"/>
      <c r="V14" s="7"/>
      <c r="W14" s="7"/>
      <c r="X14" s="7"/>
      <c r="Y14" s="7"/>
      <c r="Z14" s="7"/>
      <c r="AA14" s="7"/>
      <c r="AB14" s="7"/>
      <c r="AC14" s="7"/>
      <c r="AD14" t="s">
        <v>19</v>
      </c>
      <c r="AE14" t="s">
        <v>20</v>
      </c>
      <c r="AG14">
        <v>1</v>
      </c>
    </row>
    <row r="15" spans="1:33">
      <c r="A15" t="s">
        <v>73</v>
      </c>
      <c r="B15" s="3" t="s">
        <v>187</v>
      </c>
      <c r="C15" s="3" t="s">
        <v>188</v>
      </c>
      <c r="G15" s="7" t="s">
        <v>24</v>
      </c>
      <c r="H15" s="7"/>
      <c r="I15" s="7">
        <v>1</v>
      </c>
      <c r="J15" s="7">
        <v>1</v>
      </c>
      <c r="K15" s="7" t="s">
        <v>331</v>
      </c>
      <c r="L15" s="7" t="s">
        <v>373</v>
      </c>
      <c r="M15" s="7"/>
      <c r="N15" s="8"/>
      <c r="O15" s="7"/>
      <c r="P15" s="7">
        <v>2475</v>
      </c>
      <c r="Q15" s="7"/>
      <c r="R15" s="7" t="s">
        <v>451</v>
      </c>
      <c r="S15" s="7" t="s">
        <v>451</v>
      </c>
      <c r="T15" s="7"/>
      <c r="U15" s="7"/>
      <c r="V15" s="7"/>
      <c r="W15" s="7"/>
      <c r="X15" s="7"/>
      <c r="Y15" s="7"/>
      <c r="Z15" s="7"/>
      <c r="AA15" s="7"/>
      <c r="AB15" s="7"/>
      <c r="AC15" s="7"/>
      <c r="AD15" t="s">
        <v>19</v>
      </c>
      <c r="AE15" t="s">
        <v>19</v>
      </c>
      <c r="AG15">
        <v>1</v>
      </c>
    </row>
    <row r="16" spans="1:33">
      <c r="A16" t="s">
        <v>73</v>
      </c>
      <c r="B16" s="3" t="s">
        <v>189</v>
      </c>
      <c r="C16" s="3" t="s">
        <v>190</v>
      </c>
      <c r="G16" s="7" t="s">
        <v>374</v>
      </c>
      <c r="H16" s="7"/>
      <c r="I16" s="7"/>
      <c r="J16" s="7"/>
      <c r="K16" s="7"/>
      <c r="L16" s="7"/>
      <c r="M16" s="7"/>
      <c r="N16" s="8"/>
      <c r="O16" s="7"/>
      <c r="P16" s="7"/>
      <c r="Q16" s="7"/>
      <c r="R16" s="7" t="s">
        <v>451</v>
      </c>
      <c r="S16" s="7" t="s">
        <v>451</v>
      </c>
      <c r="T16" s="7"/>
      <c r="U16" s="7"/>
      <c r="V16" s="7"/>
      <c r="W16" s="7"/>
      <c r="X16" s="7"/>
      <c r="Y16" s="7"/>
      <c r="Z16" s="7"/>
      <c r="AA16" s="7"/>
      <c r="AB16" s="7"/>
      <c r="AC16" s="7"/>
      <c r="AD16" t="s">
        <v>20</v>
      </c>
      <c r="AE16" t="s">
        <v>19</v>
      </c>
      <c r="AG16">
        <v>0</v>
      </c>
    </row>
    <row r="17" spans="1:33">
      <c r="A17" t="s">
        <v>73</v>
      </c>
      <c r="B17" s="3" t="s">
        <v>74</v>
      </c>
      <c r="C17" s="3" t="s">
        <v>75</v>
      </c>
      <c r="G17" s="7" t="s">
        <v>374</v>
      </c>
      <c r="H17" s="7"/>
      <c r="I17" s="7"/>
      <c r="J17" s="7"/>
      <c r="K17" s="7"/>
      <c r="L17" s="7"/>
      <c r="M17" s="7"/>
      <c r="N17" s="8"/>
      <c r="O17" s="7"/>
      <c r="P17" s="7"/>
      <c r="Q17" s="7"/>
      <c r="R17" s="7" t="s">
        <v>451</v>
      </c>
      <c r="S17" s="7" t="s">
        <v>451</v>
      </c>
      <c r="T17" s="7"/>
      <c r="U17" s="7"/>
      <c r="V17" s="7"/>
      <c r="W17" s="7"/>
      <c r="X17" s="7"/>
      <c r="Y17" s="7"/>
      <c r="Z17" s="7"/>
      <c r="AA17" s="7"/>
      <c r="AB17" s="7"/>
      <c r="AC17" s="7"/>
      <c r="AD17" t="s">
        <v>19</v>
      </c>
      <c r="AE17" t="s">
        <v>19</v>
      </c>
      <c r="AG17">
        <v>1</v>
      </c>
    </row>
    <row r="18" spans="1:33">
      <c r="A18" t="s">
        <v>73</v>
      </c>
      <c r="B18" s="3" t="s">
        <v>76</v>
      </c>
      <c r="C18" s="3" t="s">
        <v>77</v>
      </c>
      <c r="G18" s="7" t="s">
        <v>374</v>
      </c>
      <c r="H18" s="7"/>
      <c r="I18" s="7"/>
      <c r="J18" s="7"/>
      <c r="K18" s="7"/>
      <c r="L18" s="7"/>
      <c r="M18" s="7"/>
      <c r="N18" s="8"/>
      <c r="O18" s="7"/>
      <c r="P18" s="7"/>
      <c r="Q18" s="7"/>
      <c r="R18" s="7" t="s">
        <v>451</v>
      </c>
      <c r="S18" s="7" t="s">
        <v>451</v>
      </c>
      <c r="T18" s="7"/>
      <c r="U18" s="7"/>
      <c r="V18" s="7"/>
      <c r="W18" s="7"/>
      <c r="X18" s="7"/>
      <c r="Y18" s="7"/>
      <c r="Z18" s="7"/>
      <c r="AA18" s="7"/>
      <c r="AB18" s="7"/>
      <c r="AC18" s="7"/>
      <c r="AD18" t="s">
        <v>19</v>
      </c>
      <c r="AE18" t="s">
        <v>19</v>
      </c>
      <c r="AG18">
        <v>1</v>
      </c>
    </row>
    <row r="19" spans="1:33">
      <c r="A19" t="s">
        <v>78</v>
      </c>
      <c r="B19" s="3" t="s">
        <v>191</v>
      </c>
      <c r="C19" s="3" t="s">
        <v>192</v>
      </c>
      <c r="G19" s="7" t="s">
        <v>25</v>
      </c>
      <c r="H19" s="7"/>
      <c r="I19" s="7">
        <v>1</v>
      </c>
      <c r="J19" s="7">
        <v>2</v>
      </c>
      <c r="K19" s="7" t="s">
        <v>331</v>
      </c>
      <c r="L19" s="7" t="s">
        <v>373</v>
      </c>
      <c r="M19" s="7"/>
      <c r="N19" s="8"/>
      <c r="O19" s="7"/>
      <c r="P19" s="7">
        <v>2475</v>
      </c>
      <c r="Q19" s="7"/>
      <c r="R19" s="7" t="s">
        <v>451</v>
      </c>
      <c r="S19" s="7" t="s">
        <v>451</v>
      </c>
      <c r="T19" s="7"/>
      <c r="U19" s="7"/>
      <c r="V19" s="7"/>
      <c r="W19" s="7"/>
      <c r="X19" s="7"/>
      <c r="Y19" s="7"/>
      <c r="Z19" s="7"/>
      <c r="AA19" s="7"/>
      <c r="AB19" s="7"/>
      <c r="AC19" s="7"/>
      <c r="AD19" t="s">
        <v>19</v>
      </c>
      <c r="AE19" t="s">
        <v>19</v>
      </c>
      <c r="AG19">
        <v>1</v>
      </c>
    </row>
    <row r="20" spans="1:33">
      <c r="A20" t="s">
        <v>78</v>
      </c>
      <c r="B20" s="3" t="s">
        <v>195</v>
      </c>
      <c r="C20" s="3" t="s">
        <v>194</v>
      </c>
      <c r="G20" s="7" t="s">
        <v>24</v>
      </c>
      <c r="H20" s="7"/>
      <c r="I20" s="7">
        <v>1</v>
      </c>
      <c r="J20" s="7">
        <v>3</v>
      </c>
      <c r="K20" s="7" t="s">
        <v>341</v>
      </c>
      <c r="L20" s="7" t="s">
        <v>332</v>
      </c>
      <c r="M20" s="7"/>
      <c r="N20" s="8"/>
      <c r="O20" s="7"/>
      <c r="P20" s="7">
        <v>1701</v>
      </c>
      <c r="Q20" s="7"/>
      <c r="R20" s="7" t="s">
        <v>451</v>
      </c>
      <c r="S20" s="7" t="s">
        <v>451</v>
      </c>
      <c r="T20" s="7"/>
      <c r="U20" s="7"/>
      <c r="V20" s="7"/>
      <c r="W20" s="7"/>
      <c r="X20" s="7"/>
      <c r="Y20" s="7"/>
      <c r="Z20" s="7"/>
      <c r="AA20" s="7"/>
      <c r="AB20" s="7"/>
      <c r="AC20" s="7"/>
      <c r="AD20" t="s">
        <v>19</v>
      </c>
      <c r="AE20" t="s">
        <v>20</v>
      </c>
      <c r="AG20">
        <v>1</v>
      </c>
    </row>
    <row r="21" spans="1:33" ht="72.5">
      <c r="A21" t="s">
        <v>78</v>
      </c>
      <c r="B21" s="3" t="s">
        <v>197</v>
      </c>
      <c r="C21" s="3" t="s">
        <v>198</v>
      </c>
      <c r="F21" t="s">
        <v>19</v>
      </c>
      <c r="G21" s="7" t="s">
        <v>374</v>
      </c>
      <c r="H21" s="7"/>
      <c r="I21" s="7"/>
      <c r="J21" s="7"/>
      <c r="K21" s="7"/>
      <c r="L21" s="7"/>
      <c r="M21" s="7"/>
      <c r="N21" s="8"/>
      <c r="O21" s="7"/>
      <c r="P21" s="7"/>
      <c r="Q21" s="7"/>
      <c r="R21" s="7" t="s">
        <v>451</v>
      </c>
      <c r="S21" s="7" t="s">
        <v>451</v>
      </c>
      <c r="T21" s="7"/>
      <c r="U21" s="7"/>
      <c r="V21" s="7"/>
      <c r="W21" s="7"/>
      <c r="X21" s="7"/>
      <c r="Y21" s="7"/>
      <c r="Z21" s="7"/>
      <c r="AA21" s="7"/>
      <c r="AB21" s="7"/>
      <c r="AC21" s="7"/>
      <c r="AD21" t="s">
        <v>19</v>
      </c>
      <c r="AE21" t="s">
        <v>20</v>
      </c>
      <c r="AG21">
        <v>1</v>
      </c>
    </row>
    <row r="22" spans="1:33" ht="72.5">
      <c r="A22" t="s">
        <v>81</v>
      </c>
      <c r="B22" s="3" t="s">
        <v>396</v>
      </c>
      <c r="C22" s="3" t="s">
        <v>196</v>
      </c>
      <c r="F22" t="s">
        <v>19</v>
      </c>
      <c r="G22" s="7" t="s">
        <v>25</v>
      </c>
      <c r="H22" s="7"/>
      <c r="I22" s="7">
        <v>8</v>
      </c>
      <c r="J22" s="7">
        <v>46</v>
      </c>
      <c r="K22" s="7"/>
      <c r="L22" s="7" t="s">
        <v>326</v>
      </c>
      <c r="M22" s="7" t="s">
        <v>395</v>
      </c>
      <c r="N22" s="8" t="s">
        <v>397</v>
      </c>
      <c r="O22" s="7"/>
      <c r="P22" s="7">
        <v>1</v>
      </c>
      <c r="Q22" s="7"/>
      <c r="R22" s="7" t="s">
        <v>451</v>
      </c>
      <c r="S22" s="7" t="s">
        <v>451</v>
      </c>
      <c r="T22" s="7"/>
      <c r="U22" s="7"/>
      <c r="V22" s="7"/>
      <c r="W22" s="7"/>
      <c r="X22" s="7"/>
      <c r="Y22" s="7"/>
      <c r="Z22" s="7"/>
      <c r="AA22" s="7"/>
      <c r="AB22" s="7"/>
      <c r="AC22" s="7"/>
      <c r="AD22" t="s">
        <v>20</v>
      </c>
      <c r="AE22" t="s">
        <v>20</v>
      </c>
      <c r="AG22">
        <v>0</v>
      </c>
    </row>
    <row r="23" spans="1:33">
      <c r="A23" t="s">
        <v>82</v>
      </c>
      <c r="B23" s="3" t="s">
        <v>200</v>
      </c>
      <c r="C23" s="3" t="s">
        <v>199</v>
      </c>
      <c r="G23" s="7" t="s">
        <v>24</v>
      </c>
      <c r="H23" s="7"/>
      <c r="I23" s="7">
        <v>1</v>
      </c>
      <c r="J23" s="7">
        <v>2</v>
      </c>
      <c r="K23" s="7" t="s">
        <v>331</v>
      </c>
      <c r="L23" s="7" t="s">
        <v>373</v>
      </c>
      <c r="M23" s="7"/>
      <c r="N23" s="8"/>
      <c r="O23" s="7"/>
      <c r="P23" s="7">
        <v>2475</v>
      </c>
      <c r="Q23" s="7"/>
      <c r="R23" s="7" t="s">
        <v>451</v>
      </c>
      <c r="S23" s="7" t="s">
        <v>451</v>
      </c>
      <c r="T23" s="7"/>
      <c r="U23" s="7"/>
      <c r="V23" s="7"/>
      <c r="W23" s="7"/>
      <c r="X23" s="7"/>
      <c r="Y23" s="7"/>
      <c r="Z23" s="7"/>
      <c r="AA23" s="7"/>
      <c r="AB23" s="7"/>
      <c r="AC23" s="7"/>
      <c r="AD23" t="s">
        <v>19</v>
      </c>
      <c r="AE23" t="s">
        <v>20</v>
      </c>
      <c r="AG23">
        <v>1</v>
      </c>
    </row>
    <row r="24" spans="1:33">
      <c r="A24" t="s">
        <v>82</v>
      </c>
      <c r="B24" s="3" t="s">
        <v>201</v>
      </c>
      <c r="C24" s="3" t="s">
        <v>202</v>
      </c>
      <c r="G24" s="7" t="s">
        <v>25</v>
      </c>
      <c r="H24" s="7"/>
      <c r="I24" s="7">
        <v>1</v>
      </c>
      <c r="J24" s="7">
        <v>2</v>
      </c>
      <c r="K24" s="7" t="s">
        <v>331</v>
      </c>
      <c r="L24" s="7" t="s">
        <v>373</v>
      </c>
      <c r="M24" s="7"/>
      <c r="N24" s="8"/>
      <c r="O24" s="7" t="s">
        <v>327</v>
      </c>
      <c r="P24" s="7">
        <v>2475</v>
      </c>
      <c r="Q24" s="7"/>
      <c r="R24" s="7" t="s">
        <v>451</v>
      </c>
      <c r="S24" s="7" t="s">
        <v>451</v>
      </c>
      <c r="T24" s="7"/>
      <c r="U24" s="7"/>
      <c r="V24" s="7"/>
      <c r="W24" s="7"/>
      <c r="X24" s="7"/>
      <c r="Y24" s="7"/>
      <c r="Z24" s="7"/>
      <c r="AA24" s="7"/>
      <c r="AB24" s="7"/>
      <c r="AC24" s="7"/>
      <c r="AD24" t="s">
        <v>19</v>
      </c>
      <c r="AE24" t="s">
        <v>20</v>
      </c>
      <c r="AG24">
        <v>1</v>
      </c>
    </row>
    <row r="25" spans="1:33">
      <c r="A25" t="s">
        <v>83</v>
      </c>
      <c r="B25" s="3" t="s">
        <v>174</v>
      </c>
      <c r="C25" s="3" t="s">
        <v>173</v>
      </c>
      <c r="G25" s="7" t="s">
        <v>25</v>
      </c>
      <c r="H25" s="7"/>
      <c r="I25" s="7">
        <v>1</v>
      </c>
      <c r="J25" s="7">
        <v>3</v>
      </c>
      <c r="K25" s="7" t="s">
        <v>331</v>
      </c>
      <c r="L25" s="7" t="s">
        <v>332</v>
      </c>
      <c r="M25" s="7"/>
      <c r="N25" s="8"/>
      <c r="O25" s="7"/>
      <c r="P25" s="7">
        <v>2475</v>
      </c>
      <c r="Q25" s="7"/>
      <c r="R25" s="7" t="s">
        <v>451</v>
      </c>
      <c r="S25" s="7" t="s">
        <v>451</v>
      </c>
      <c r="T25" s="7"/>
      <c r="U25" s="7"/>
      <c r="V25" s="7"/>
      <c r="W25" s="7"/>
      <c r="X25" s="7"/>
      <c r="Y25" s="7"/>
      <c r="Z25" s="7"/>
      <c r="AA25" s="7"/>
      <c r="AB25" s="7"/>
      <c r="AC25" s="7"/>
      <c r="AD25" t="s">
        <v>19</v>
      </c>
      <c r="AE25" t="s">
        <v>19</v>
      </c>
      <c r="AG25">
        <v>1</v>
      </c>
    </row>
    <row r="26" spans="1:33" ht="29">
      <c r="A26" t="s">
        <v>83</v>
      </c>
      <c r="B26" s="3" t="s">
        <v>204</v>
      </c>
      <c r="C26" s="3" t="s">
        <v>203</v>
      </c>
      <c r="G26" s="7" t="s">
        <v>372</v>
      </c>
      <c r="H26" s="7"/>
      <c r="I26" s="7"/>
      <c r="J26" s="7"/>
      <c r="K26" s="7"/>
      <c r="L26" s="7"/>
      <c r="M26" s="7"/>
      <c r="N26" s="8"/>
      <c r="O26" s="7"/>
      <c r="P26" s="7"/>
      <c r="Q26" s="7">
        <v>-1622</v>
      </c>
      <c r="R26" s="7">
        <v>1701</v>
      </c>
      <c r="S26" s="7">
        <v>79</v>
      </c>
      <c r="T26" s="7"/>
      <c r="U26" s="7"/>
      <c r="V26" s="7"/>
      <c r="W26" s="7"/>
      <c r="X26" s="7"/>
      <c r="Y26" s="7"/>
      <c r="Z26" s="7"/>
      <c r="AA26" s="7"/>
      <c r="AB26" s="7"/>
      <c r="AC26" s="7"/>
      <c r="AD26" t="s">
        <v>19</v>
      </c>
      <c r="AE26" t="s">
        <v>19</v>
      </c>
      <c r="AG26">
        <v>1</v>
      </c>
    </row>
    <row r="27" spans="1:33">
      <c r="A27" t="s">
        <v>83</v>
      </c>
      <c r="B27" s="3" t="s">
        <v>174</v>
      </c>
      <c r="C27" s="3" t="s">
        <v>173</v>
      </c>
      <c r="G27" s="7" t="s">
        <v>25</v>
      </c>
      <c r="H27" s="7"/>
      <c r="I27" s="7">
        <v>1</v>
      </c>
      <c r="J27" s="7">
        <v>3</v>
      </c>
      <c r="K27" s="7" t="s">
        <v>331</v>
      </c>
      <c r="L27" s="7" t="s">
        <v>332</v>
      </c>
      <c r="M27" s="7"/>
      <c r="N27" s="8"/>
      <c r="O27" s="7"/>
      <c r="P27" s="7">
        <v>2475</v>
      </c>
      <c r="Q27" s="7"/>
      <c r="R27" s="7" t="s">
        <v>451</v>
      </c>
      <c r="S27" s="7" t="s">
        <v>451</v>
      </c>
      <c r="T27" s="7"/>
      <c r="U27" s="7"/>
      <c r="V27" s="7"/>
      <c r="W27" s="7"/>
      <c r="X27" s="7"/>
      <c r="Y27" s="7"/>
      <c r="Z27" s="7"/>
      <c r="AA27" s="7"/>
      <c r="AB27" s="7"/>
      <c r="AC27" s="7"/>
      <c r="AD27" t="s">
        <v>19</v>
      </c>
      <c r="AE27" t="s">
        <v>19</v>
      </c>
      <c r="AG27">
        <v>1</v>
      </c>
    </row>
    <row r="28" spans="1:33">
      <c r="A28" t="s">
        <v>85</v>
      </c>
      <c r="B28" s="3" t="s">
        <v>206</v>
      </c>
      <c r="C28" s="3" t="s">
        <v>205</v>
      </c>
      <c r="G28" s="7" t="s">
        <v>25</v>
      </c>
      <c r="H28" s="7"/>
      <c r="I28" s="7">
        <v>1</v>
      </c>
      <c r="J28" s="7">
        <v>2</v>
      </c>
      <c r="K28" s="7" t="s">
        <v>341</v>
      </c>
      <c r="L28" s="7" t="s">
        <v>373</v>
      </c>
      <c r="M28" s="7"/>
      <c r="N28" s="8"/>
      <c r="O28" s="7"/>
      <c r="P28" s="7">
        <v>171</v>
      </c>
      <c r="Q28" s="7"/>
      <c r="R28" s="7" t="s">
        <v>451</v>
      </c>
      <c r="S28" s="7" t="s">
        <v>451</v>
      </c>
      <c r="T28" s="7"/>
      <c r="U28" s="7"/>
      <c r="V28" s="7"/>
      <c r="W28" s="7"/>
      <c r="X28" s="7"/>
      <c r="Y28" s="7"/>
      <c r="Z28" s="7"/>
      <c r="AA28" s="7"/>
      <c r="AB28" s="7"/>
      <c r="AC28" s="7"/>
      <c r="AD28" t="s">
        <v>19</v>
      </c>
      <c r="AE28" t="s">
        <v>20</v>
      </c>
      <c r="AG28">
        <v>1</v>
      </c>
    </row>
    <row r="29" spans="1:33" ht="29">
      <c r="A29" t="s">
        <v>89</v>
      </c>
      <c r="B29" s="3" t="s">
        <v>207</v>
      </c>
      <c r="C29" s="3" t="s">
        <v>208</v>
      </c>
      <c r="G29" s="7" t="s">
        <v>24</v>
      </c>
      <c r="H29" s="7"/>
      <c r="I29" s="7">
        <v>1</v>
      </c>
      <c r="J29" s="7">
        <v>3</v>
      </c>
      <c r="K29" s="7" t="s">
        <v>331</v>
      </c>
      <c r="L29" s="7" t="s">
        <v>332</v>
      </c>
      <c r="M29" s="7"/>
      <c r="N29" s="8"/>
      <c r="O29" s="7"/>
      <c r="P29" s="7">
        <v>2475</v>
      </c>
      <c r="Q29" s="7"/>
      <c r="R29" s="7" t="s">
        <v>451</v>
      </c>
      <c r="S29" s="7" t="s">
        <v>451</v>
      </c>
      <c r="T29" s="7"/>
      <c r="U29" s="7"/>
      <c r="V29" s="7"/>
      <c r="W29" s="7"/>
      <c r="X29" s="7"/>
      <c r="Y29" s="7"/>
      <c r="Z29" s="7"/>
      <c r="AA29" s="7"/>
      <c r="AB29" s="7"/>
      <c r="AC29" s="7"/>
      <c r="AD29" t="s">
        <v>19</v>
      </c>
      <c r="AE29" t="s">
        <v>20</v>
      </c>
      <c r="AG29">
        <v>1</v>
      </c>
    </row>
    <row r="30" spans="1:33" ht="29">
      <c r="A30" t="s">
        <v>89</v>
      </c>
      <c r="B30" s="3" t="s">
        <v>210</v>
      </c>
      <c r="C30" s="3" t="s">
        <v>209</v>
      </c>
      <c r="G30" s="7" t="s">
        <v>372</v>
      </c>
      <c r="H30" s="7"/>
      <c r="I30" s="7"/>
      <c r="J30" s="7"/>
      <c r="K30" s="7"/>
      <c r="L30" s="7"/>
      <c r="M30" s="7"/>
      <c r="N30" s="8"/>
      <c r="O30" s="7"/>
      <c r="P30" s="7"/>
      <c r="Q30" s="7">
        <v>-118</v>
      </c>
      <c r="R30" s="7">
        <v>250</v>
      </c>
      <c r="S30" s="7">
        <v>132</v>
      </c>
      <c r="T30" s="7"/>
      <c r="U30" s="7"/>
      <c r="V30" s="7"/>
      <c r="W30" s="7"/>
      <c r="X30" s="7"/>
      <c r="Y30" s="7"/>
      <c r="Z30" s="7"/>
      <c r="AA30" s="7"/>
      <c r="AB30" s="7"/>
      <c r="AC30" s="7"/>
      <c r="AD30" t="s">
        <v>19</v>
      </c>
      <c r="AE30" t="s">
        <v>19</v>
      </c>
      <c r="AG30">
        <v>1</v>
      </c>
    </row>
    <row r="31" spans="1:33" ht="43.5">
      <c r="A31" t="s">
        <v>96</v>
      </c>
      <c r="B31" s="3" t="s">
        <v>214</v>
      </c>
      <c r="C31" s="3" t="s">
        <v>213</v>
      </c>
      <c r="G31" s="7" t="s">
        <v>25</v>
      </c>
      <c r="H31" s="7"/>
      <c r="I31" s="7">
        <v>1</v>
      </c>
      <c r="J31" s="7">
        <v>7</v>
      </c>
      <c r="K31" s="7" t="s">
        <v>325</v>
      </c>
      <c r="L31" s="7" t="s">
        <v>332</v>
      </c>
      <c r="M31" s="7"/>
      <c r="N31" s="8"/>
      <c r="O31" s="7"/>
      <c r="P31" s="7">
        <v>13</v>
      </c>
      <c r="Q31" s="7"/>
      <c r="R31" s="7" t="s">
        <v>451</v>
      </c>
      <c r="S31" s="7" t="s">
        <v>451</v>
      </c>
      <c r="T31" s="7"/>
      <c r="U31" s="7"/>
      <c r="V31" s="7"/>
      <c r="W31" s="7"/>
      <c r="X31" s="7"/>
      <c r="Y31" s="7"/>
      <c r="Z31" s="7"/>
      <c r="AA31" s="7"/>
      <c r="AB31" s="7"/>
      <c r="AC31" s="7"/>
      <c r="AD31" t="s">
        <v>19</v>
      </c>
      <c r="AE31" t="s">
        <v>19</v>
      </c>
      <c r="AG31">
        <v>1</v>
      </c>
    </row>
    <row r="32" spans="1:33" ht="43.5">
      <c r="A32" t="s">
        <v>96</v>
      </c>
      <c r="B32" s="3" t="s">
        <v>215</v>
      </c>
      <c r="C32" s="3" t="s">
        <v>213</v>
      </c>
      <c r="G32" s="7" t="s">
        <v>25</v>
      </c>
      <c r="H32" s="7"/>
      <c r="I32" s="7">
        <v>1</v>
      </c>
      <c r="J32" s="7">
        <v>3</v>
      </c>
      <c r="K32" s="7" t="s">
        <v>331</v>
      </c>
      <c r="L32" s="7" t="s">
        <v>332</v>
      </c>
      <c r="M32" s="7"/>
      <c r="N32" s="8"/>
      <c r="O32" s="7"/>
      <c r="P32" s="7">
        <v>2475</v>
      </c>
      <c r="Q32" s="7"/>
      <c r="R32" s="7" t="s">
        <v>451</v>
      </c>
      <c r="S32" s="7" t="s">
        <v>451</v>
      </c>
      <c r="T32" s="7"/>
      <c r="U32" s="7"/>
      <c r="V32" s="7"/>
      <c r="W32" s="7"/>
      <c r="X32" s="7"/>
      <c r="Y32" s="7"/>
      <c r="Z32" s="7"/>
      <c r="AA32" s="7"/>
      <c r="AB32" s="7"/>
      <c r="AC32" s="7"/>
      <c r="AD32" t="s">
        <v>19</v>
      </c>
      <c r="AE32" t="s">
        <v>19</v>
      </c>
      <c r="AG32">
        <v>1</v>
      </c>
    </row>
    <row r="33" spans="1:33">
      <c r="A33" t="s">
        <v>97</v>
      </c>
      <c r="B33" s="3" t="s">
        <v>216</v>
      </c>
      <c r="C33" s="3" t="s">
        <v>217</v>
      </c>
      <c r="G33" s="7" t="s">
        <v>374</v>
      </c>
      <c r="H33" s="7"/>
      <c r="I33" s="7"/>
      <c r="J33" s="7"/>
      <c r="K33" s="7"/>
      <c r="L33" s="7"/>
      <c r="M33" s="7"/>
      <c r="N33" s="8"/>
      <c r="O33" s="7"/>
      <c r="P33" s="7"/>
      <c r="Q33" s="7"/>
      <c r="R33" s="7" t="s">
        <v>451</v>
      </c>
      <c r="S33" s="7" t="s">
        <v>451</v>
      </c>
      <c r="T33" s="7"/>
      <c r="U33" s="7"/>
      <c r="V33" s="7"/>
      <c r="W33" s="7"/>
      <c r="X33" s="7"/>
      <c r="Y33" s="7"/>
      <c r="Z33" s="7"/>
      <c r="AA33" s="7"/>
      <c r="AB33" s="7"/>
      <c r="AC33" s="7"/>
      <c r="AD33" t="s">
        <v>19</v>
      </c>
      <c r="AE33" t="s">
        <v>19</v>
      </c>
      <c r="AG33">
        <v>1</v>
      </c>
    </row>
    <row r="34" spans="1:33">
      <c r="A34" t="s">
        <v>98</v>
      </c>
      <c r="B34" s="3" t="s">
        <v>219</v>
      </c>
      <c r="C34" s="3" t="s">
        <v>218</v>
      </c>
      <c r="G34" s="7" t="s">
        <v>374</v>
      </c>
      <c r="H34" s="7"/>
      <c r="I34" s="7"/>
      <c r="J34" s="7"/>
      <c r="K34" s="7"/>
      <c r="L34" s="7"/>
      <c r="M34" s="7"/>
      <c r="N34" s="8"/>
      <c r="O34" s="7"/>
      <c r="P34" s="7"/>
      <c r="Q34" s="7"/>
      <c r="R34" s="7" t="s">
        <v>451</v>
      </c>
      <c r="S34" s="7" t="s">
        <v>451</v>
      </c>
      <c r="T34" s="7"/>
      <c r="U34" s="7"/>
      <c r="V34" s="7"/>
      <c r="W34" s="7"/>
      <c r="X34" s="7"/>
      <c r="Y34" s="7"/>
      <c r="Z34" s="7"/>
      <c r="AA34" s="7"/>
      <c r="AB34" s="7"/>
      <c r="AC34" s="7"/>
      <c r="AD34" t="s">
        <v>19</v>
      </c>
      <c r="AE34" t="s">
        <v>20</v>
      </c>
      <c r="AG34">
        <v>1</v>
      </c>
    </row>
    <row r="35" spans="1:33">
      <c r="A35" t="s">
        <v>99</v>
      </c>
      <c r="B35" s="3" t="s">
        <v>220</v>
      </c>
      <c r="C35" s="3" t="s">
        <v>223</v>
      </c>
      <c r="G35" s="7" t="s">
        <v>24</v>
      </c>
      <c r="H35" s="7"/>
      <c r="I35" s="7">
        <v>1</v>
      </c>
      <c r="J35" s="7">
        <v>1</v>
      </c>
      <c r="K35" s="7" t="s">
        <v>331</v>
      </c>
      <c r="L35" s="7" t="s">
        <v>373</v>
      </c>
      <c r="M35" s="7"/>
      <c r="N35" s="8"/>
      <c r="O35" s="7"/>
      <c r="P35" s="7">
        <v>2475</v>
      </c>
      <c r="Q35" s="7"/>
      <c r="R35" s="7" t="s">
        <v>451</v>
      </c>
      <c r="S35" s="7" t="s">
        <v>451</v>
      </c>
      <c r="T35" s="7"/>
      <c r="U35" s="7"/>
      <c r="V35" s="7"/>
      <c r="W35" s="7"/>
      <c r="X35" s="7"/>
      <c r="Y35" s="7"/>
      <c r="Z35" s="7"/>
      <c r="AA35" s="7"/>
      <c r="AB35" s="7"/>
      <c r="AC35" s="7"/>
      <c r="AD35" t="s">
        <v>19</v>
      </c>
      <c r="AE35" t="s">
        <v>19</v>
      </c>
      <c r="AG35">
        <v>1</v>
      </c>
    </row>
    <row r="36" spans="1:33">
      <c r="A36" t="s">
        <v>99</v>
      </c>
      <c r="B36" s="3" t="s">
        <v>227</v>
      </c>
      <c r="C36" s="3" t="s">
        <v>226</v>
      </c>
      <c r="G36" s="7" t="s">
        <v>372</v>
      </c>
      <c r="H36" s="7"/>
      <c r="I36" s="7"/>
      <c r="J36" s="7"/>
      <c r="K36" s="7"/>
      <c r="L36" s="7"/>
      <c r="M36" s="7"/>
      <c r="N36" s="8"/>
      <c r="O36" s="7"/>
      <c r="P36" s="7"/>
      <c r="Q36" s="7">
        <v>813</v>
      </c>
      <c r="R36" s="7">
        <v>17</v>
      </c>
      <c r="S36" s="7">
        <v>830</v>
      </c>
      <c r="T36" s="7"/>
      <c r="U36" s="7"/>
      <c r="V36" s="7"/>
      <c r="W36" s="7"/>
      <c r="X36" s="7"/>
      <c r="Y36" s="7"/>
      <c r="Z36" s="7"/>
      <c r="AA36" s="7"/>
      <c r="AB36" s="7"/>
      <c r="AC36" s="7"/>
      <c r="AD36" t="s">
        <v>19</v>
      </c>
      <c r="AE36" t="s">
        <v>19</v>
      </c>
      <c r="AG36">
        <v>1</v>
      </c>
    </row>
    <row r="37" spans="1:33" ht="101.5">
      <c r="A37" t="s">
        <v>99</v>
      </c>
      <c r="B37" s="3" t="s">
        <v>230</v>
      </c>
      <c r="C37" s="3" t="s">
        <v>231</v>
      </c>
      <c r="F37" t="s">
        <v>19</v>
      </c>
      <c r="G37" s="7" t="s">
        <v>25</v>
      </c>
      <c r="H37" s="7"/>
      <c r="I37" s="7">
        <v>15</v>
      </c>
      <c r="J37" s="7">
        <v>67</v>
      </c>
      <c r="K37" s="7"/>
      <c r="L37" s="7" t="s">
        <v>326</v>
      </c>
      <c r="M37" s="7" t="s">
        <v>391</v>
      </c>
      <c r="N37" s="8" t="s">
        <v>394</v>
      </c>
      <c r="O37" s="7"/>
      <c r="P37" s="7">
        <v>2</v>
      </c>
      <c r="Q37" s="7"/>
      <c r="R37" s="7" t="s">
        <v>451</v>
      </c>
      <c r="S37" s="7" t="s">
        <v>451</v>
      </c>
      <c r="T37" s="7"/>
      <c r="U37" s="7"/>
      <c r="V37" s="7"/>
      <c r="W37" s="7"/>
      <c r="X37" s="7"/>
      <c r="Y37" s="7"/>
      <c r="Z37" s="7"/>
      <c r="AA37" s="7"/>
      <c r="AB37" s="7"/>
      <c r="AC37" s="7"/>
      <c r="AD37" t="s">
        <v>20</v>
      </c>
      <c r="AE37" t="s">
        <v>20</v>
      </c>
      <c r="AG37">
        <v>0</v>
      </c>
    </row>
    <row r="38" spans="1:33">
      <c r="A38" t="s">
        <v>100</v>
      </c>
      <c r="B38" s="3" t="s">
        <v>101</v>
      </c>
      <c r="C38" s="3" t="s">
        <v>234</v>
      </c>
      <c r="F38" t="s">
        <v>19</v>
      </c>
      <c r="G38" s="7" t="s">
        <v>374</v>
      </c>
      <c r="H38" s="7"/>
      <c r="I38" s="7"/>
      <c r="J38" s="7"/>
      <c r="K38" s="7"/>
      <c r="L38" s="7"/>
      <c r="M38" s="7"/>
      <c r="N38" s="8"/>
      <c r="O38" s="7"/>
      <c r="P38" s="7"/>
      <c r="Q38" s="7"/>
      <c r="R38" s="7" t="s">
        <v>451</v>
      </c>
      <c r="S38" s="7" t="s">
        <v>451</v>
      </c>
      <c r="T38" s="7"/>
      <c r="U38" s="7"/>
      <c r="V38" s="7"/>
      <c r="W38" s="7"/>
      <c r="X38" s="7"/>
      <c r="Y38" s="7"/>
      <c r="Z38" s="7"/>
      <c r="AA38" s="7"/>
      <c r="AB38" s="7"/>
      <c r="AC38" s="7"/>
      <c r="AD38" t="s">
        <v>20</v>
      </c>
      <c r="AE38" t="s">
        <v>20</v>
      </c>
      <c r="AG38">
        <v>0</v>
      </c>
    </row>
    <row r="39" spans="1:33">
      <c r="A39" t="s">
        <v>102</v>
      </c>
      <c r="B39" s="3" t="s">
        <v>235</v>
      </c>
      <c r="C39" s="3" t="s">
        <v>236</v>
      </c>
      <c r="G39" s="7" t="s">
        <v>25</v>
      </c>
      <c r="H39" s="7"/>
      <c r="I39" s="7">
        <v>1</v>
      </c>
      <c r="J39" s="7">
        <v>1</v>
      </c>
      <c r="K39" s="7" t="s">
        <v>331</v>
      </c>
      <c r="L39" s="7" t="s">
        <v>373</v>
      </c>
      <c r="M39" s="7"/>
      <c r="N39" s="8"/>
      <c r="O39" s="7"/>
      <c r="P39" s="7">
        <v>2475</v>
      </c>
      <c r="Q39" s="7"/>
      <c r="R39" s="7" t="s">
        <v>451</v>
      </c>
      <c r="S39" s="7" t="s">
        <v>451</v>
      </c>
      <c r="T39" s="7"/>
      <c r="U39" s="7"/>
      <c r="V39" s="7"/>
      <c r="W39" s="7"/>
      <c r="X39" s="7"/>
      <c r="Y39" s="7"/>
      <c r="Z39" s="7"/>
      <c r="AA39" s="7"/>
      <c r="AB39" s="7"/>
      <c r="AC39" s="7"/>
      <c r="AD39" t="s">
        <v>19</v>
      </c>
      <c r="AE39" t="s">
        <v>19</v>
      </c>
      <c r="AG39">
        <v>1</v>
      </c>
    </row>
    <row r="40" spans="1:33">
      <c r="A40" t="s">
        <v>103</v>
      </c>
      <c r="B40" s="3" t="s">
        <v>237</v>
      </c>
      <c r="C40" s="3" t="s">
        <v>238</v>
      </c>
      <c r="G40" s="7" t="s">
        <v>25</v>
      </c>
      <c r="H40" s="7"/>
      <c r="I40" s="7">
        <v>1</v>
      </c>
      <c r="J40" s="7">
        <v>1</v>
      </c>
      <c r="K40" s="7" t="s">
        <v>331</v>
      </c>
      <c r="L40" s="7" t="s">
        <v>373</v>
      </c>
      <c r="M40" s="7"/>
      <c r="N40" s="8"/>
      <c r="O40" s="7"/>
      <c r="P40" s="7">
        <v>2475</v>
      </c>
      <c r="Q40" s="7"/>
      <c r="R40" s="7" t="s">
        <v>451</v>
      </c>
      <c r="S40" s="7" t="s">
        <v>451</v>
      </c>
      <c r="T40" s="7"/>
      <c r="U40" s="7"/>
      <c r="V40" s="7"/>
      <c r="W40" s="7"/>
      <c r="X40" s="7"/>
      <c r="Y40" s="7"/>
      <c r="Z40" s="7"/>
      <c r="AA40" s="7"/>
      <c r="AB40" s="7"/>
      <c r="AC40" s="7"/>
      <c r="AD40" t="s">
        <v>19</v>
      </c>
      <c r="AE40" t="s">
        <v>20</v>
      </c>
      <c r="AG40">
        <v>1</v>
      </c>
    </row>
    <row r="41" spans="1:33">
      <c r="A41" t="s">
        <v>106</v>
      </c>
      <c r="B41" s="3" t="s">
        <v>239</v>
      </c>
      <c r="C41" s="3" t="s">
        <v>240</v>
      </c>
      <c r="G41" s="7" t="s">
        <v>25</v>
      </c>
      <c r="H41" s="7"/>
      <c r="I41" s="7">
        <v>1</v>
      </c>
      <c r="J41" s="7">
        <v>2</v>
      </c>
      <c r="K41" s="7" t="s">
        <v>383</v>
      </c>
      <c r="L41" s="7" t="s">
        <v>373</v>
      </c>
      <c r="M41" s="7"/>
      <c r="N41" s="8"/>
      <c r="O41" s="7"/>
      <c r="P41" s="7">
        <v>295</v>
      </c>
      <c r="Q41" s="7"/>
      <c r="R41" s="7" t="s">
        <v>451</v>
      </c>
      <c r="S41" s="7" t="s">
        <v>451</v>
      </c>
      <c r="T41" s="7"/>
      <c r="U41" s="7"/>
      <c r="V41" s="7"/>
      <c r="W41" s="7"/>
      <c r="X41" s="7"/>
      <c r="Y41" s="7"/>
      <c r="Z41" s="7"/>
      <c r="AA41" s="7"/>
      <c r="AB41" s="7"/>
      <c r="AC41" s="7"/>
      <c r="AD41" t="s">
        <v>19</v>
      </c>
      <c r="AE41" t="s">
        <v>19</v>
      </c>
      <c r="AG41">
        <v>1</v>
      </c>
    </row>
    <row r="42" spans="1:33" ht="29">
      <c r="A42" t="s">
        <v>109</v>
      </c>
      <c r="B42" s="3" t="s">
        <v>242</v>
      </c>
      <c r="C42" s="3" t="s">
        <v>241</v>
      </c>
      <c r="G42" s="7" t="s">
        <v>25</v>
      </c>
      <c r="H42" s="7"/>
      <c r="I42" s="7">
        <v>1</v>
      </c>
      <c r="J42" s="7">
        <v>3</v>
      </c>
      <c r="K42" s="7" t="s">
        <v>350</v>
      </c>
      <c r="L42" s="7" t="s">
        <v>332</v>
      </c>
      <c r="M42" s="7"/>
      <c r="N42" s="8"/>
      <c r="O42" s="7"/>
      <c r="P42" s="7">
        <v>210</v>
      </c>
      <c r="Q42" s="7"/>
      <c r="R42" s="7" t="s">
        <v>451</v>
      </c>
      <c r="S42" s="7" t="s">
        <v>451</v>
      </c>
      <c r="T42" s="7"/>
      <c r="U42" s="7"/>
      <c r="V42" s="7"/>
      <c r="W42" s="7"/>
      <c r="X42" s="7"/>
      <c r="Y42" s="7"/>
      <c r="Z42" s="7"/>
      <c r="AA42" s="7"/>
      <c r="AB42" s="7"/>
      <c r="AC42" s="7"/>
      <c r="AD42" t="s">
        <v>19</v>
      </c>
      <c r="AE42" t="s">
        <v>20</v>
      </c>
      <c r="AG42">
        <v>1</v>
      </c>
    </row>
    <row r="43" spans="1:33" ht="29">
      <c r="A43" t="s">
        <v>112</v>
      </c>
      <c r="B43" s="3" t="s">
        <v>244</v>
      </c>
      <c r="C43" s="3" t="s">
        <v>243</v>
      </c>
      <c r="G43" s="7" t="s">
        <v>24</v>
      </c>
      <c r="H43" s="7"/>
      <c r="I43" s="7">
        <v>1</v>
      </c>
      <c r="J43" s="7">
        <v>3</v>
      </c>
      <c r="K43" s="7" t="s">
        <v>341</v>
      </c>
      <c r="L43" s="7" t="s">
        <v>332</v>
      </c>
      <c r="M43" s="7"/>
      <c r="N43" s="8"/>
      <c r="O43" s="7"/>
      <c r="P43" s="7">
        <v>1701</v>
      </c>
      <c r="Q43" s="7"/>
      <c r="R43" s="7" t="s">
        <v>451</v>
      </c>
      <c r="S43" s="7" t="s">
        <v>451</v>
      </c>
      <c r="T43" s="7"/>
      <c r="U43" s="7"/>
      <c r="V43" s="7"/>
      <c r="W43" s="7"/>
      <c r="X43" s="7"/>
      <c r="Y43" s="7"/>
      <c r="Z43" s="7"/>
      <c r="AA43" s="7"/>
      <c r="AB43" s="7"/>
      <c r="AC43" s="7"/>
      <c r="AD43" t="s">
        <v>19</v>
      </c>
      <c r="AE43" t="s">
        <v>19</v>
      </c>
      <c r="AG43">
        <v>1</v>
      </c>
    </row>
    <row r="44" spans="1:33" ht="29">
      <c r="A44" t="s">
        <v>115</v>
      </c>
      <c r="B44" s="3" t="s">
        <v>250</v>
      </c>
      <c r="C44" s="3" t="s">
        <v>247</v>
      </c>
      <c r="G44" s="7" t="s">
        <v>25</v>
      </c>
      <c r="H44" s="7"/>
      <c r="I44" s="7">
        <v>1</v>
      </c>
      <c r="J44" s="7">
        <v>3</v>
      </c>
      <c r="K44" s="7" t="s">
        <v>348</v>
      </c>
      <c r="L44" s="7" t="s">
        <v>332</v>
      </c>
      <c r="M44" s="7"/>
      <c r="N44" s="8"/>
      <c r="O44" s="7"/>
      <c r="P44" s="7">
        <v>743</v>
      </c>
      <c r="Q44" s="7"/>
      <c r="R44" s="7" t="s">
        <v>451</v>
      </c>
      <c r="S44" s="7" t="s">
        <v>451</v>
      </c>
      <c r="T44" s="7"/>
      <c r="U44" s="7"/>
      <c r="V44" s="7"/>
      <c r="W44" s="7"/>
      <c r="X44" s="7"/>
      <c r="Y44" s="7"/>
      <c r="Z44" s="7"/>
      <c r="AA44" s="7"/>
      <c r="AB44" s="7"/>
      <c r="AC44" s="7"/>
      <c r="AD44" t="s">
        <v>19</v>
      </c>
      <c r="AE44" t="s">
        <v>19</v>
      </c>
      <c r="AG44">
        <v>1</v>
      </c>
    </row>
    <row r="45" spans="1:33">
      <c r="A45" t="s">
        <v>120</v>
      </c>
      <c r="B45" s="3" t="s">
        <v>190</v>
      </c>
      <c r="C45" s="3" t="s">
        <v>189</v>
      </c>
      <c r="G45" s="7" t="s">
        <v>374</v>
      </c>
      <c r="H45" s="7"/>
      <c r="I45" s="7"/>
      <c r="J45" s="7"/>
      <c r="K45" s="7"/>
      <c r="L45" s="7"/>
      <c r="M45" s="7"/>
      <c r="N45" s="8"/>
      <c r="O45" s="7"/>
      <c r="P45" s="7"/>
      <c r="Q45" s="7"/>
      <c r="R45" s="7" t="s">
        <v>451</v>
      </c>
      <c r="S45" s="7" t="s">
        <v>451</v>
      </c>
      <c r="T45" s="7" t="s">
        <v>371</v>
      </c>
      <c r="U45" s="7"/>
      <c r="V45" s="7"/>
      <c r="W45" s="7"/>
      <c r="X45" s="7"/>
      <c r="Y45" s="7"/>
      <c r="Z45" s="7"/>
      <c r="AA45" s="7"/>
      <c r="AB45" s="7"/>
      <c r="AC45" s="7"/>
      <c r="AD45" t="s">
        <v>19</v>
      </c>
      <c r="AE45" t="s">
        <v>20</v>
      </c>
      <c r="AG45">
        <v>1</v>
      </c>
    </row>
    <row r="46" spans="1:33" ht="58">
      <c r="A46" t="s">
        <v>125</v>
      </c>
      <c r="B46" s="3" t="s">
        <v>261</v>
      </c>
      <c r="C46" s="3" t="s">
        <v>260</v>
      </c>
      <c r="G46" s="7" t="s">
        <v>25</v>
      </c>
      <c r="H46" s="7"/>
      <c r="I46" s="7">
        <v>7</v>
      </c>
      <c r="J46" s="7">
        <v>32</v>
      </c>
      <c r="K46" s="7"/>
      <c r="L46" s="7" t="s">
        <v>326</v>
      </c>
      <c r="M46" s="7" t="s">
        <v>395</v>
      </c>
      <c r="N46" s="8" t="s">
        <v>402</v>
      </c>
      <c r="O46" s="7"/>
      <c r="P46" s="7"/>
      <c r="Q46" s="7"/>
      <c r="R46" s="7" t="s">
        <v>451</v>
      </c>
      <c r="S46" s="7" t="s">
        <v>451</v>
      </c>
      <c r="T46" s="7"/>
      <c r="U46" s="7"/>
      <c r="V46" s="7"/>
      <c r="W46" s="7"/>
      <c r="X46" s="7"/>
      <c r="Y46" s="7"/>
      <c r="Z46" s="7"/>
      <c r="AA46" s="7"/>
      <c r="AB46" s="7"/>
      <c r="AC46" s="7"/>
      <c r="AD46" t="s">
        <v>20</v>
      </c>
      <c r="AE46" t="s">
        <v>20</v>
      </c>
      <c r="AG46">
        <v>0</v>
      </c>
    </row>
    <row r="47" spans="1:33">
      <c r="A47" t="s">
        <v>125</v>
      </c>
      <c r="B47" s="3" t="s">
        <v>127</v>
      </c>
      <c r="C47" s="3" t="s">
        <v>128</v>
      </c>
      <c r="F47" t="s">
        <v>19</v>
      </c>
      <c r="G47" s="7" t="s">
        <v>372</v>
      </c>
      <c r="H47" s="7"/>
      <c r="I47" s="7"/>
      <c r="J47" s="7"/>
      <c r="K47" s="7"/>
      <c r="L47" s="7"/>
      <c r="M47" s="7"/>
      <c r="N47" s="8"/>
      <c r="O47" s="7"/>
      <c r="P47" s="7"/>
      <c r="Q47" s="7">
        <v>-1</v>
      </c>
      <c r="R47" s="7">
        <v>1</v>
      </c>
      <c r="S47" s="7">
        <v>0</v>
      </c>
      <c r="T47" s="7"/>
      <c r="U47" s="7"/>
      <c r="V47" s="7"/>
      <c r="W47" s="7"/>
      <c r="X47" s="7"/>
      <c r="Y47" s="7"/>
      <c r="Z47" s="7"/>
      <c r="AA47" s="7"/>
      <c r="AB47" s="7"/>
      <c r="AC47" s="7"/>
      <c r="AD47" t="s">
        <v>19</v>
      </c>
      <c r="AE47" t="s">
        <v>20</v>
      </c>
      <c r="AG47">
        <v>1</v>
      </c>
    </row>
    <row r="48" spans="1:33" ht="58">
      <c r="A48" t="s">
        <v>129</v>
      </c>
      <c r="B48" s="3" t="s">
        <v>265</v>
      </c>
      <c r="C48" s="3" t="s">
        <v>266</v>
      </c>
      <c r="G48" s="7" t="s">
        <v>26</v>
      </c>
      <c r="H48" s="7"/>
      <c r="I48" s="7"/>
      <c r="J48" s="7"/>
      <c r="K48" s="7"/>
      <c r="L48" s="7"/>
      <c r="M48" s="7"/>
      <c r="N48" s="8"/>
      <c r="O48" s="7"/>
      <c r="P48" s="7"/>
      <c r="Q48" s="7"/>
      <c r="R48" s="7" t="s">
        <v>451</v>
      </c>
      <c r="S48" s="7" t="s">
        <v>451</v>
      </c>
      <c r="T48" s="7"/>
      <c r="U48" s="7"/>
      <c r="V48" s="7"/>
      <c r="W48" s="7"/>
      <c r="X48" s="7"/>
      <c r="Y48" s="7"/>
      <c r="Z48" s="7"/>
      <c r="AA48" s="7"/>
      <c r="AB48" s="7"/>
      <c r="AC48" s="7"/>
      <c r="AD48" t="s">
        <v>19</v>
      </c>
      <c r="AE48" t="s">
        <v>19</v>
      </c>
      <c r="AG48">
        <v>1</v>
      </c>
    </row>
    <row r="49" spans="1:33" ht="58">
      <c r="A49" t="s">
        <v>129</v>
      </c>
      <c r="B49" s="3" t="s">
        <v>264</v>
      </c>
      <c r="C49" s="3" t="s">
        <v>267</v>
      </c>
      <c r="G49" s="7" t="s">
        <v>24</v>
      </c>
      <c r="H49" s="7"/>
      <c r="I49" s="7">
        <v>1</v>
      </c>
      <c r="J49" s="7">
        <v>3</v>
      </c>
      <c r="K49" s="7" t="s">
        <v>341</v>
      </c>
      <c r="L49" s="7" t="s">
        <v>332</v>
      </c>
      <c r="M49" s="7"/>
      <c r="N49" s="8"/>
      <c r="O49" s="7"/>
      <c r="P49" s="7">
        <v>86</v>
      </c>
      <c r="Q49" s="7"/>
      <c r="R49" s="7" t="s">
        <v>451</v>
      </c>
      <c r="S49" s="7" t="s">
        <v>451</v>
      </c>
      <c r="T49" s="7"/>
      <c r="U49" s="7"/>
      <c r="V49" s="7"/>
      <c r="W49" s="7"/>
      <c r="X49" s="7"/>
      <c r="Y49" s="7"/>
      <c r="Z49" s="7"/>
      <c r="AA49" s="7"/>
      <c r="AB49" s="7"/>
      <c r="AC49" s="7"/>
      <c r="AD49" t="s">
        <v>19</v>
      </c>
      <c r="AE49" t="s">
        <v>19</v>
      </c>
      <c r="AG49">
        <v>1</v>
      </c>
    </row>
    <row r="50" spans="1:33" ht="43.5">
      <c r="A50" t="s">
        <v>129</v>
      </c>
      <c r="B50" s="3" t="s">
        <v>273</v>
      </c>
      <c r="C50" s="3" t="s">
        <v>270</v>
      </c>
      <c r="G50" s="7" t="s">
        <v>25</v>
      </c>
      <c r="H50" s="7"/>
      <c r="I50" s="7">
        <v>1</v>
      </c>
      <c r="J50" s="7">
        <v>9</v>
      </c>
      <c r="K50" s="7" t="s">
        <v>383</v>
      </c>
      <c r="L50" s="7" t="s">
        <v>332</v>
      </c>
      <c r="M50" s="7"/>
      <c r="N50" s="8"/>
      <c r="O50" s="7"/>
      <c r="P50" s="7">
        <v>18</v>
      </c>
      <c r="Q50" s="7"/>
      <c r="R50" s="7" t="s">
        <v>451</v>
      </c>
      <c r="S50" s="7" t="s">
        <v>451</v>
      </c>
      <c r="T50" s="7"/>
      <c r="U50" s="7"/>
      <c r="V50" s="7"/>
      <c r="W50" s="7"/>
      <c r="X50" s="7"/>
      <c r="Y50" s="7"/>
      <c r="Z50" s="7"/>
      <c r="AA50" s="7"/>
      <c r="AB50" s="7"/>
      <c r="AC50" s="7"/>
      <c r="AD50" t="s">
        <v>19</v>
      </c>
      <c r="AE50" t="s">
        <v>20</v>
      </c>
      <c r="AG50">
        <v>1</v>
      </c>
    </row>
    <row r="51" spans="1:33" ht="43.5">
      <c r="A51" t="s">
        <v>129</v>
      </c>
      <c r="B51" s="3" t="s">
        <v>274</v>
      </c>
      <c r="C51" s="3" t="s">
        <v>275</v>
      </c>
      <c r="G51" s="7" t="s">
        <v>374</v>
      </c>
      <c r="H51" s="7"/>
      <c r="I51" s="7"/>
      <c r="J51" s="7"/>
      <c r="K51" s="7"/>
      <c r="L51" s="7"/>
      <c r="M51" s="7"/>
      <c r="N51" s="8"/>
      <c r="O51" s="7"/>
      <c r="P51" s="7"/>
      <c r="Q51" s="7"/>
      <c r="R51" s="7" t="s">
        <v>451</v>
      </c>
      <c r="S51" s="7" t="s">
        <v>451</v>
      </c>
      <c r="T51" s="7"/>
      <c r="U51" s="7"/>
      <c r="V51" s="7"/>
      <c r="W51" s="7"/>
      <c r="X51" s="7"/>
      <c r="Y51" s="7"/>
      <c r="Z51" s="7"/>
      <c r="AA51" s="7"/>
      <c r="AB51" s="7"/>
      <c r="AC51" s="7"/>
      <c r="AD51" t="s">
        <v>19</v>
      </c>
      <c r="AE51" t="s">
        <v>19</v>
      </c>
      <c r="AG51">
        <v>1</v>
      </c>
    </row>
    <row r="52" spans="1:33" ht="29">
      <c r="A52" t="s">
        <v>135</v>
      </c>
      <c r="B52" s="3" t="s">
        <v>278</v>
      </c>
      <c r="C52" s="3" t="s">
        <v>277</v>
      </c>
      <c r="G52" s="7" t="s">
        <v>25</v>
      </c>
      <c r="H52" s="7"/>
      <c r="I52" s="7">
        <v>1</v>
      </c>
      <c r="J52" s="7">
        <v>3</v>
      </c>
      <c r="K52" s="7" t="s">
        <v>331</v>
      </c>
      <c r="L52" s="7" t="s">
        <v>332</v>
      </c>
      <c r="M52" s="7"/>
      <c r="N52" s="8"/>
      <c r="O52" s="7"/>
      <c r="P52" s="7">
        <v>2475</v>
      </c>
      <c r="Q52" s="7"/>
      <c r="R52" s="7" t="s">
        <v>451</v>
      </c>
      <c r="S52" s="7" t="s">
        <v>451</v>
      </c>
      <c r="T52" s="7"/>
      <c r="U52" s="7"/>
      <c r="V52" s="7"/>
      <c r="W52" s="7"/>
      <c r="X52" s="7"/>
      <c r="Y52" s="7"/>
      <c r="Z52" s="7"/>
      <c r="AA52" s="7"/>
      <c r="AB52" s="7"/>
      <c r="AC52" s="7"/>
      <c r="AD52" t="s">
        <v>19</v>
      </c>
      <c r="AE52" t="s">
        <v>19</v>
      </c>
      <c r="AG52">
        <v>1</v>
      </c>
    </row>
    <row r="53" spans="1:33">
      <c r="A53" t="s">
        <v>138</v>
      </c>
      <c r="B53" s="3" t="s">
        <v>282</v>
      </c>
      <c r="C53" s="3" t="s">
        <v>281</v>
      </c>
      <c r="G53" s="7" t="s">
        <v>25</v>
      </c>
      <c r="H53" s="7"/>
      <c r="I53" s="7">
        <v>1</v>
      </c>
      <c r="J53" s="7">
        <v>2</v>
      </c>
      <c r="K53" s="7" t="s">
        <v>341</v>
      </c>
      <c r="L53" s="7" t="s">
        <v>373</v>
      </c>
      <c r="M53" s="7"/>
      <c r="N53" s="8"/>
      <c r="O53" s="7"/>
      <c r="P53" s="7">
        <v>171</v>
      </c>
      <c r="Q53" s="7"/>
      <c r="R53" s="7" t="s">
        <v>451</v>
      </c>
      <c r="S53" s="7" t="s">
        <v>451</v>
      </c>
      <c r="T53" s="7"/>
      <c r="U53" s="7"/>
      <c r="V53" s="7"/>
      <c r="W53" s="7"/>
      <c r="X53" s="7"/>
      <c r="Y53" s="7"/>
      <c r="Z53" s="7"/>
      <c r="AA53" s="7"/>
      <c r="AB53" s="7"/>
      <c r="AC53" s="7"/>
      <c r="AD53" t="s">
        <v>19</v>
      </c>
      <c r="AE53" t="s">
        <v>20</v>
      </c>
      <c r="AG53">
        <v>1</v>
      </c>
    </row>
    <row r="54" spans="1:33">
      <c r="A54" t="s">
        <v>138</v>
      </c>
      <c r="B54" s="3" t="s">
        <v>284</v>
      </c>
      <c r="C54" s="3" t="s">
        <v>283</v>
      </c>
      <c r="G54" s="7" t="s">
        <v>25</v>
      </c>
      <c r="H54" s="7"/>
      <c r="I54" s="7">
        <v>1</v>
      </c>
      <c r="J54" s="7">
        <v>2</v>
      </c>
      <c r="K54" s="7" t="s">
        <v>350</v>
      </c>
      <c r="L54" s="7" t="s">
        <v>373</v>
      </c>
      <c r="M54" s="7"/>
      <c r="N54" s="8"/>
      <c r="O54" s="7"/>
      <c r="P54" s="7">
        <v>613</v>
      </c>
      <c r="Q54" s="7"/>
      <c r="R54" s="7" t="s">
        <v>451</v>
      </c>
      <c r="S54" s="7" t="s">
        <v>451</v>
      </c>
      <c r="T54" s="7"/>
      <c r="U54" s="7"/>
      <c r="V54" s="7"/>
      <c r="W54" s="7"/>
      <c r="X54" s="7"/>
      <c r="Y54" s="7"/>
      <c r="Z54" s="7"/>
      <c r="AA54" s="7"/>
      <c r="AB54" s="7"/>
      <c r="AC54" s="7"/>
      <c r="AD54" t="s">
        <v>19</v>
      </c>
      <c r="AE54" t="s">
        <v>19</v>
      </c>
      <c r="AG54">
        <v>1</v>
      </c>
    </row>
    <row r="55" spans="1:33">
      <c r="A55" t="s">
        <v>138</v>
      </c>
      <c r="B55" s="3" t="s">
        <v>286</v>
      </c>
      <c r="C55" s="3" t="s">
        <v>285</v>
      </c>
      <c r="G55" s="7" t="s">
        <v>372</v>
      </c>
      <c r="H55" s="7"/>
      <c r="I55" s="7"/>
      <c r="J55" s="7"/>
      <c r="K55" s="7"/>
      <c r="L55" s="7"/>
      <c r="M55" s="7"/>
      <c r="N55" s="8"/>
      <c r="O55" s="7"/>
      <c r="P55" s="7"/>
      <c r="Q55" s="7">
        <v>2325</v>
      </c>
      <c r="R55" s="7">
        <v>150</v>
      </c>
      <c r="S55" s="7">
        <v>2475</v>
      </c>
      <c r="T55" s="7"/>
      <c r="U55" s="7"/>
      <c r="V55" s="7"/>
      <c r="W55" s="7"/>
      <c r="X55" s="7"/>
      <c r="Y55" s="7"/>
      <c r="Z55" s="7"/>
      <c r="AA55" s="7"/>
      <c r="AB55" s="7"/>
      <c r="AC55" s="7"/>
      <c r="AD55" t="s">
        <v>19</v>
      </c>
      <c r="AE55" t="s">
        <v>19</v>
      </c>
      <c r="AG55">
        <v>1</v>
      </c>
    </row>
    <row r="56" spans="1:33">
      <c r="A56" t="s">
        <v>139</v>
      </c>
      <c r="B56" s="3" t="s">
        <v>289</v>
      </c>
      <c r="C56" s="3" t="s">
        <v>288</v>
      </c>
      <c r="G56" s="7" t="s">
        <v>25</v>
      </c>
      <c r="H56" s="7"/>
      <c r="I56" s="7">
        <v>1</v>
      </c>
      <c r="J56" s="7">
        <v>3</v>
      </c>
      <c r="K56" s="7" t="s">
        <v>341</v>
      </c>
      <c r="L56" s="7" t="s">
        <v>332</v>
      </c>
      <c r="M56" s="7"/>
      <c r="N56" s="8"/>
      <c r="O56" s="7"/>
      <c r="P56" s="7">
        <v>1701</v>
      </c>
      <c r="Q56" s="7"/>
      <c r="R56" s="7" t="s">
        <v>451</v>
      </c>
      <c r="S56" s="7" t="s">
        <v>451</v>
      </c>
      <c r="T56" s="7"/>
      <c r="U56" s="7"/>
      <c r="V56" s="7"/>
      <c r="W56" s="7"/>
      <c r="X56" s="7"/>
      <c r="Y56" s="7"/>
      <c r="Z56" s="7"/>
      <c r="AA56" s="7"/>
      <c r="AB56" s="7"/>
      <c r="AC56" s="7"/>
      <c r="AD56" t="s">
        <v>19</v>
      </c>
      <c r="AE56" t="s">
        <v>19</v>
      </c>
      <c r="AG56">
        <v>1</v>
      </c>
    </row>
    <row r="57" spans="1:33">
      <c r="A57" t="s">
        <v>141</v>
      </c>
      <c r="B57" s="3" t="s">
        <v>290</v>
      </c>
      <c r="C57" s="3" t="s">
        <v>291</v>
      </c>
      <c r="G57" s="7" t="s">
        <v>372</v>
      </c>
      <c r="H57" s="7"/>
      <c r="I57" s="7"/>
      <c r="J57" s="7"/>
      <c r="K57" s="7"/>
      <c r="L57" s="7"/>
      <c r="M57" s="7"/>
      <c r="N57" s="8"/>
      <c r="O57" s="7"/>
      <c r="P57" s="7"/>
      <c r="Q57" s="7">
        <v>26</v>
      </c>
      <c r="R57" s="7">
        <v>5</v>
      </c>
      <c r="S57" s="7">
        <v>31</v>
      </c>
      <c r="T57" s="7"/>
      <c r="U57" s="7"/>
      <c r="V57" s="7"/>
      <c r="W57" s="7"/>
      <c r="X57" s="7"/>
      <c r="Y57" s="7"/>
      <c r="Z57" s="7"/>
      <c r="AA57" s="7"/>
      <c r="AB57" s="7"/>
      <c r="AC57" s="7"/>
      <c r="AD57" t="s">
        <v>19</v>
      </c>
      <c r="AE57" t="s">
        <v>19</v>
      </c>
      <c r="AG57">
        <v>1</v>
      </c>
    </row>
    <row r="58" spans="1:33">
      <c r="A58" t="s">
        <v>141</v>
      </c>
      <c r="B58" s="3" t="s">
        <v>293</v>
      </c>
      <c r="C58" s="3" t="s">
        <v>292</v>
      </c>
      <c r="G58" s="7" t="s">
        <v>25</v>
      </c>
      <c r="H58" s="7"/>
      <c r="I58" s="7">
        <v>1</v>
      </c>
      <c r="J58" s="7">
        <v>3</v>
      </c>
      <c r="K58" s="7" t="s">
        <v>341</v>
      </c>
      <c r="L58" s="7" t="s">
        <v>332</v>
      </c>
      <c r="M58" s="7"/>
      <c r="N58" s="8"/>
      <c r="O58" s="7"/>
      <c r="P58" s="7">
        <v>1701</v>
      </c>
      <c r="Q58" s="7"/>
      <c r="R58" s="7" t="s">
        <v>451</v>
      </c>
      <c r="S58" s="7" t="s">
        <v>451</v>
      </c>
      <c r="T58" s="7"/>
      <c r="U58" s="7"/>
      <c r="V58" s="7"/>
      <c r="W58" s="7"/>
      <c r="X58" s="7"/>
      <c r="Y58" s="7"/>
      <c r="Z58" s="7"/>
      <c r="AA58" s="7"/>
      <c r="AB58" s="7"/>
      <c r="AC58" s="7"/>
      <c r="AD58" t="s">
        <v>19</v>
      </c>
      <c r="AE58" t="s">
        <v>19</v>
      </c>
      <c r="AG58">
        <v>1</v>
      </c>
    </row>
    <row r="59" spans="1:33">
      <c r="A59" t="s">
        <v>142</v>
      </c>
      <c r="B59" s="3" t="s">
        <v>294</v>
      </c>
      <c r="C59" s="3" t="s">
        <v>295</v>
      </c>
      <c r="G59" s="7" t="s">
        <v>25</v>
      </c>
      <c r="H59" s="7"/>
      <c r="I59" s="7">
        <v>1</v>
      </c>
      <c r="J59" s="7">
        <v>2</v>
      </c>
      <c r="K59" s="7" t="s">
        <v>377</v>
      </c>
      <c r="L59" s="7" t="s">
        <v>373</v>
      </c>
      <c r="M59" s="7"/>
      <c r="N59" s="8"/>
      <c r="O59" s="7"/>
      <c r="P59" s="7">
        <v>10</v>
      </c>
      <c r="Q59" s="7"/>
      <c r="R59" s="7" t="s">
        <v>451</v>
      </c>
      <c r="S59" s="7" t="s">
        <v>451</v>
      </c>
      <c r="T59" s="7"/>
      <c r="U59" s="7"/>
      <c r="V59" s="7"/>
      <c r="W59" s="7"/>
      <c r="X59" s="7"/>
      <c r="Y59" s="7"/>
      <c r="Z59" s="7"/>
      <c r="AA59" s="7"/>
      <c r="AB59" s="7"/>
      <c r="AC59" s="7"/>
      <c r="AD59" t="s">
        <v>19</v>
      </c>
      <c r="AE59" t="s">
        <v>20</v>
      </c>
      <c r="AG59">
        <v>1</v>
      </c>
    </row>
    <row r="60" spans="1:33">
      <c r="A60" t="s">
        <v>143</v>
      </c>
      <c r="B60" s="3" t="s">
        <v>300</v>
      </c>
      <c r="C60" s="3" t="s">
        <v>299</v>
      </c>
      <c r="G60" s="7" t="s">
        <v>374</v>
      </c>
      <c r="H60" s="7"/>
      <c r="I60" s="7"/>
      <c r="J60" s="7"/>
      <c r="K60" s="7"/>
      <c r="L60" s="7"/>
      <c r="M60" s="7"/>
      <c r="N60" s="8"/>
      <c r="O60" s="7"/>
      <c r="P60" s="7"/>
      <c r="Q60" s="7"/>
      <c r="R60" s="7" t="s">
        <v>451</v>
      </c>
      <c r="S60" s="7" t="s">
        <v>451</v>
      </c>
      <c r="T60" s="7"/>
      <c r="U60" s="7"/>
      <c r="V60" s="7"/>
      <c r="W60" s="7"/>
      <c r="X60" s="7"/>
      <c r="Y60" s="7"/>
      <c r="Z60" s="7"/>
      <c r="AA60" s="7"/>
      <c r="AB60" s="7"/>
      <c r="AC60" s="7"/>
      <c r="AD60" t="s">
        <v>19</v>
      </c>
      <c r="AE60" t="s">
        <v>20</v>
      </c>
      <c r="AG60">
        <v>1</v>
      </c>
    </row>
    <row r="61" spans="1:33">
      <c r="A61" t="s">
        <v>147</v>
      </c>
      <c r="B61" s="3" t="s">
        <v>305</v>
      </c>
      <c r="C61" s="3" t="s">
        <v>304</v>
      </c>
      <c r="G61" s="7" t="s">
        <v>25</v>
      </c>
      <c r="H61" s="7"/>
      <c r="I61" s="7">
        <v>1</v>
      </c>
      <c r="J61" s="7">
        <v>1</v>
      </c>
      <c r="K61" s="7" t="s">
        <v>331</v>
      </c>
      <c r="L61" s="7" t="s">
        <v>373</v>
      </c>
      <c r="M61" s="7"/>
      <c r="N61" s="8"/>
      <c r="O61" s="7"/>
      <c r="P61" s="7">
        <v>2475</v>
      </c>
      <c r="Q61" s="7"/>
      <c r="R61" s="7" t="s">
        <v>451</v>
      </c>
      <c r="S61" s="7" t="s">
        <v>451</v>
      </c>
      <c r="T61" s="7"/>
      <c r="U61" s="7"/>
      <c r="V61" s="7"/>
      <c r="W61" s="7"/>
      <c r="X61" s="7"/>
      <c r="Y61" s="7"/>
      <c r="Z61" s="7"/>
      <c r="AA61" s="7"/>
      <c r="AB61" s="7"/>
      <c r="AC61" s="7"/>
      <c r="AD61" t="s">
        <v>19</v>
      </c>
      <c r="AE61" t="s">
        <v>19</v>
      </c>
      <c r="AG61">
        <v>1</v>
      </c>
    </row>
    <row r="62" spans="1:33">
      <c r="A62" t="s">
        <v>147</v>
      </c>
      <c r="B62" s="3" t="s">
        <v>306</v>
      </c>
      <c r="C62" s="3" t="s">
        <v>307</v>
      </c>
      <c r="G62" s="7" t="s">
        <v>25</v>
      </c>
      <c r="H62" s="7"/>
      <c r="I62" s="7">
        <v>1</v>
      </c>
      <c r="J62" s="7">
        <v>1</v>
      </c>
      <c r="K62" s="7" t="s">
        <v>331</v>
      </c>
      <c r="L62" s="7" t="s">
        <v>373</v>
      </c>
      <c r="M62" s="7"/>
      <c r="N62" s="8"/>
      <c r="O62" s="7"/>
      <c r="P62" s="7">
        <v>2475</v>
      </c>
      <c r="Q62" s="7"/>
      <c r="R62" s="7" t="s">
        <v>451</v>
      </c>
      <c r="S62" s="7" t="s">
        <v>451</v>
      </c>
      <c r="T62" s="7"/>
      <c r="U62" s="7"/>
      <c r="V62" s="7"/>
      <c r="W62" s="7"/>
      <c r="X62" s="7"/>
      <c r="Y62" s="7"/>
      <c r="Z62" s="7"/>
      <c r="AA62" s="7"/>
      <c r="AB62" s="7"/>
      <c r="AC62" s="7"/>
      <c r="AD62" t="s">
        <v>19</v>
      </c>
      <c r="AE62" t="s">
        <v>19</v>
      </c>
      <c r="AG62">
        <v>1</v>
      </c>
    </row>
    <row r="63" spans="1:33" ht="29">
      <c r="A63" t="s">
        <v>152</v>
      </c>
      <c r="B63" s="3" t="s">
        <v>308</v>
      </c>
      <c r="C63" s="3" t="s">
        <v>309</v>
      </c>
      <c r="F63" t="s">
        <v>19</v>
      </c>
      <c r="G63" s="7" t="s">
        <v>24</v>
      </c>
      <c r="H63" s="7"/>
      <c r="I63" s="7">
        <v>3</v>
      </c>
      <c r="J63" s="7">
        <v>16</v>
      </c>
      <c r="K63" s="7"/>
      <c r="L63" s="7" t="s">
        <v>332</v>
      </c>
      <c r="M63" s="7"/>
      <c r="N63" s="8"/>
      <c r="O63" s="7" t="s">
        <v>333</v>
      </c>
      <c r="P63" s="7">
        <v>9</v>
      </c>
      <c r="Q63" s="7"/>
      <c r="R63" s="7" t="s">
        <v>451</v>
      </c>
      <c r="S63" s="7" t="s">
        <v>451</v>
      </c>
      <c r="T63" s="7"/>
      <c r="U63" s="7"/>
      <c r="V63" s="7"/>
      <c r="W63" s="7"/>
      <c r="X63" s="7"/>
      <c r="Y63" s="7"/>
      <c r="Z63" s="7"/>
      <c r="AA63" s="7"/>
      <c r="AB63" s="7"/>
      <c r="AC63" s="7"/>
      <c r="AD63" t="s">
        <v>20</v>
      </c>
      <c r="AE63" t="s">
        <v>20</v>
      </c>
      <c r="AG63">
        <v>0</v>
      </c>
    </row>
    <row r="64" spans="1:33">
      <c r="A64" t="s">
        <v>152</v>
      </c>
      <c r="B64" s="3" t="s">
        <v>310</v>
      </c>
      <c r="C64" s="3" t="s">
        <v>311</v>
      </c>
      <c r="G64" s="7" t="s">
        <v>374</v>
      </c>
      <c r="H64" s="7"/>
      <c r="I64" s="7"/>
      <c r="J64" s="7"/>
      <c r="K64" s="7"/>
      <c r="L64" s="7"/>
      <c r="M64" s="7"/>
      <c r="N64" s="8"/>
      <c r="O64" s="7"/>
      <c r="P64" s="7"/>
      <c r="Q64" s="7"/>
      <c r="R64" s="7" t="s">
        <v>451</v>
      </c>
      <c r="S64" s="7" t="s">
        <v>451</v>
      </c>
      <c r="T64" s="7"/>
      <c r="U64" s="7"/>
      <c r="V64" s="7"/>
      <c r="W64" s="7"/>
      <c r="X64" s="7"/>
      <c r="Y64" s="7"/>
      <c r="Z64" s="7"/>
      <c r="AA64" s="7"/>
      <c r="AB64" s="7"/>
      <c r="AC64" s="7"/>
      <c r="AD64" t="s">
        <v>19</v>
      </c>
      <c r="AE64" t="s">
        <v>19</v>
      </c>
      <c r="AG64">
        <v>1</v>
      </c>
    </row>
    <row r="65" spans="1:33">
      <c r="A65" t="s">
        <v>153</v>
      </c>
      <c r="B65" s="3" t="s">
        <v>307</v>
      </c>
      <c r="C65" s="3" t="s">
        <v>306</v>
      </c>
      <c r="G65" s="7" t="s">
        <v>24</v>
      </c>
      <c r="H65" s="7"/>
      <c r="I65" s="7">
        <v>1</v>
      </c>
      <c r="J65" s="7">
        <v>1</v>
      </c>
      <c r="K65" s="7" t="s">
        <v>331</v>
      </c>
      <c r="L65" s="7" t="s">
        <v>373</v>
      </c>
      <c r="M65" s="7"/>
      <c r="N65" s="8"/>
      <c r="O65" s="7"/>
      <c r="P65" s="7">
        <v>2475</v>
      </c>
      <c r="Q65" s="7"/>
      <c r="R65" s="7" t="s">
        <v>451</v>
      </c>
      <c r="S65" s="7" t="s">
        <v>451</v>
      </c>
      <c r="T65" s="7"/>
      <c r="U65" s="7"/>
      <c r="V65" s="7"/>
      <c r="W65" s="7"/>
      <c r="X65" s="7"/>
      <c r="Y65" s="7"/>
      <c r="Z65" s="7"/>
      <c r="AA65" s="7"/>
      <c r="AB65" s="7"/>
      <c r="AC65" s="7"/>
      <c r="AD65" t="s">
        <v>19</v>
      </c>
      <c r="AE65" t="s">
        <v>19</v>
      </c>
      <c r="AG65">
        <v>1</v>
      </c>
    </row>
    <row r="66" spans="1:33">
      <c r="A66" t="s">
        <v>154</v>
      </c>
      <c r="B66" s="3" t="s">
        <v>155</v>
      </c>
      <c r="C66" s="3" t="s">
        <v>156</v>
      </c>
      <c r="G66" s="7" t="s">
        <v>374</v>
      </c>
      <c r="H66" s="7"/>
      <c r="I66" s="7"/>
      <c r="J66" s="7"/>
      <c r="K66" s="7"/>
      <c r="L66" s="7"/>
      <c r="M66" s="7"/>
      <c r="N66" s="8"/>
      <c r="O66" s="7"/>
      <c r="P66" s="7"/>
      <c r="Q66" s="7"/>
      <c r="R66" s="7" t="s">
        <v>451</v>
      </c>
      <c r="S66" s="7" t="s">
        <v>451</v>
      </c>
      <c r="T66" s="7"/>
      <c r="U66" s="7"/>
      <c r="V66" s="7"/>
      <c r="W66" s="7"/>
      <c r="X66" s="7"/>
      <c r="Y66" s="7"/>
      <c r="Z66" s="7"/>
      <c r="AA66" s="7"/>
      <c r="AB66" s="7"/>
      <c r="AC66" s="7"/>
      <c r="AD66" t="s">
        <v>19</v>
      </c>
      <c r="AG66">
        <v>1</v>
      </c>
    </row>
    <row r="67" spans="1:33" ht="29">
      <c r="A67" t="s">
        <v>154</v>
      </c>
      <c r="B67" s="3" t="s">
        <v>313</v>
      </c>
      <c r="C67" s="3" t="s">
        <v>312</v>
      </c>
      <c r="G67" s="7" t="s">
        <v>26</v>
      </c>
      <c r="H67" s="7"/>
      <c r="I67" s="7"/>
      <c r="J67" s="7"/>
      <c r="K67" s="7"/>
      <c r="L67" s="7"/>
      <c r="M67" s="7"/>
      <c r="N67" s="8"/>
      <c r="O67" s="7"/>
      <c r="P67" s="7"/>
      <c r="Q67" s="7"/>
      <c r="R67" s="7" t="s">
        <v>451</v>
      </c>
      <c r="S67" s="7" t="s">
        <v>451</v>
      </c>
      <c r="T67" s="7"/>
      <c r="U67" s="7"/>
      <c r="V67" s="7"/>
      <c r="W67" s="7"/>
      <c r="X67" s="7"/>
      <c r="Y67" s="7"/>
      <c r="Z67" s="7"/>
      <c r="AA67" s="7"/>
      <c r="AB67" s="7"/>
      <c r="AC67" s="7"/>
      <c r="AD67" t="s">
        <v>19</v>
      </c>
      <c r="AE67" t="s">
        <v>20</v>
      </c>
      <c r="AG67">
        <v>1</v>
      </c>
    </row>
    <row r="68" spans="1:33">
      <c r="A68" t="s">
        <v>157</v>
      </c>
      <c r="B68" s="3" t="s">
        <v>315</v>
      </c>
      <c r="C68" s="3" t="s">
        <v>314</v>
      </c>
      <c r="G68" s="7" t="s">
        <v>372</v>
      </c>
      <c r="H68" s="7"/>
      <c r="I68" s="7"/>
      <c r="J68" s="7"/>
      <c r="K68" s="7"/>
      <c r="L68" s="7"/>
      <c r="M68" s="7"/>
      <c r="N68" s="8"/>
      <c r="O68" s="7"/>
      <c r="P68" s="7"/>
      <c r="Q68" s="7">
        <v>-15</v>
      </c>
      <c r="R68" s="7">
        <v>186</v>
      </c>
      <c r="S68" s="7">
        <v>171</v>
      </c>
      <c r="T68" s="7"/>
      <c r="U68" s="7"/>
      <c r="V68" s="7"/>
      <c r="W68" s="7"/>
      <c r="X68" s="7"/>
      <c r="Y68" s="7"/>
      <c r="Z68" s="7"/>
      <c r="AA68" s="7"/>
      <c r="AB68" s="7"/>
      <c r="AC68" s="7"/>
      <c r="AD68" t="s">
        <v>19</v>
      </c>
      <c r="AE68" t="s">
        <v>19</v>
      </c>
      <c r="AG68">
        <v>1</v>
      </c>
    </row>
    <row r="69" spans="1:33" ht="43.5">
      <c r="A69" t="s">
        <v>157</v>
      </c>
      <c r="B69" s="3" t="s">
        <v>316</v>
      </c>
      <c r="C69" s="3" t="s">
        <v>317</v>
      </c>
      <c r="G69" s="7" t="s">
        <v>372</v>
      </c>
      <c r="H69" s="7"/>
      <c r="I69" s="7"/>
      <c r="J69" s="7"/>
      <c r="K69" s="7"/>
      <c r="L69" s="7"/>
      <c r="M69" s="7"/>
      <c r="N69" s="8"/>
      <c r="O69" s="7"/>
      <c r="P69" s="7"/>
      <c r="Q69" s="7">
        <v>3</v>
      </c>
      <c r="R69" s="7">
        <v>1</v>
      </c>
      <c r="S69" s="7">
        <v>4</v>
      </c>
      <c r="T69" s="7"/>
      <c r="U69" s="7"/>
      <c r="V69" s="7"/>
      <c r="W69" s="7"/>
      <c r="X69" s="7"/>
      <c r="Y69" s="7"/>
      <c r="Z69" s="7"/>
      <c r="AA69" s="7"/>
      <c r="AB69" s="7"/>
      <c r="AC69" s="7"/>
      <c r="AD69" t="s">
        <v>19</v>
      </c>
      <c r="AE69" t="s">
        <v>19</v>
      </c>
      <c r="AG69">
        <v>1</v>
      </c>
    </row>
    <row r="70" spans="1:33">
      <c r="R70" s="7"/>
      <c r="S70" s="7"/>
    </row>
    <row r="71" spans="1:33">
      <c r="R71" s="7"/>
      <c r="S71" s="7"/>
    </row>
    <row r="72" spans="1:33">
      <c r="R72" s="7"/>
      <c r="S72" s="7"/>
    </row>
    <row r="73" spans="1:33">
      <c r="R73" s="7"/>
      <c r="S73" s="7"/>
    </row>
    <row r="74" spans="1:33">
      <c r="R74" s="7"/>
      <c r="S74" s="7"/>
    </row>
    <row r="75" spans="1:33">
      <c r="R75" s="7"/>
      <c r="S75" s="7"/>
    </row>
    <row r="76" spans="1:33">
      <c r="R76" s="7"/>
      <c r="S76" s="7"/>
    </row>
    <row r="77" spans="1:33">
      <c r="R77" s="7"/>
      <c r="S77" s="7"/>
    </row>
    <row r="78" spans="1:33">
      <c r="R78" s="7"/>
      <c r="S78" s="7"/>
    </row>
    <row r="79" spans="1:33">
      <c r="R79" s="7"/>
      <c r="S79" s="7"/>
    </row>
    <row r="80" spans="1:33">
      <c r="R80" s="7"/>
      <c r="S80" s="7"/>
    </row>
    <row r="81" spans="18:19">
      <c r="R81" s="7"/>
      <c r="S81" s="7"/>
    </row>
    <row r="82" spans="18:19">
      <c r="R82" s="7"/>
      <c r="S82" s="7"/>
    </row>
    <row r="83" spans="18:19">
      <c r="R83" s="7"/>
      <c r="S83" s="7"/>
    </row>
    <row r="84" spans="18:19">
      <c r="R84" s="7"/>
      <c r="S84" s="7"/>
    </row>
    <row r="85" spans="18:19">
      <c r="R85" s="7"/>
      <c r="S85" s="7"/>
    </row>
    <row r="86" spans="18:19">
      <c r="R86" s="7"/>
      <c r="S86" s="7"/>
    </row>
    <row r="87" spans="18:19">
      <c r="R87" s="7"/>
      <c r="S87" s="7"/>
    </row>
  </sheetData>
  <conditionalFormatting sqref="G2:G69">
    <cfRule type="expression" dxfId="302" priority="4">
      <formula>$I2&lt;&gt;""</formula>
    </cfRule>
    <cfRule type="expression" dxfId="301" priority="5">
      <formula>$I2=""</formula>
    </cfRule>
  </conditionalFormatting>
  <conditionalFormatting sqref="H2:L69 O2:P69">
    <cfRule type="expression" dxfId="300" priority="18">
      <formula>AND(OR($I2="Addition",$I2="Omission"), H2="")</formula>
    </cfRule>
    <cfRule type="expression" dxfId="299" priority="19">
      <formula>AND($I2&lt;&gt;"Addition",$I2&lt;&gt;"Omission",$I2&lt;&gt;"Substitution - Word")</formula>
    </cfRule>
  </conditionalFormatting>
  <conditionalFormatting sqref="H2:P69">
    <cfRule type="expression" dxfId="298" priority="17">
      <formula>AND(OR($I2="Addition",$I2="Omission"), H2&lt;&gt;"")</formula>
    </cfRule>
  </conditionalFormatting>
  <conditionalFormatting sqref="K2:K69">
    <cfRule type="expression" dxfId="297" priority="15">
      <formula>AND($K2&lt;&gt;"",$K2&gt;1)</formula>
    </cfRule>
  </conditionalFormatting>
  <conditionalFormatting sqref="M2:N69">
    <cfRule type="expression" dxfId="296" priority="11">
      <formula>$N2="Absent"</formula>
    </cfRule>
    <cfRule type="expression" dxfId="295" priority="12">
      <formula>$N2="NA"</formula>
    </cfRule>
    <cfRule type="expression" dxfId="294" priority="13">
      <formula>AND(OR($I2="Addition",$I2="Omission"), M2="")</formula>
    </cfRule>
    <cfRule type="expression" dxfId="293" priority="14">
      <formula>AND($I2&lt;&gt;"Addition",$I2&lt;&gt;"Omission")</formula>
    </cfRule>
  </conditionalFormatting>
  <conditionalFormatting sqref="O2:O69">
    <cfRule type="expression" dxfId="292" priority="16">
      <formula>OR($I2="Addition",$I2="Omission",$I2 = "Substitution - Word")</formula>
    </cfRule>
  </conditionalFormatting>
  <conditionalFormatting sqref="Q2:S69 R70:S87">
    <cfRule type="expression" dxfId="291" priority="1">
      <formula>AND(AND(LEFT($I2,3)="Sub", RIGHT($I2,4)&lt;&gt;"Form"),$S2&lt;&gt;"")</formula>
    </cfRule>
    <cfRule type="expression" dxfId="290" priority="2">
      <formula>AND(AND(LEFT($I2,3)="Sub", RIGHT($I2,4)&lt;&gt;"Form"),$S2="")</formula>
    </cfRule>
    <cfRule type="expression" dxfId="289" priority="3">
      <formula>"&lt;&gt;AND(LEFT($J2,3)=""Sub"", RIGHT($J2,4)&lt;&gt;""Form"")"</formula>
    </cfRule>
  </conditionalFormatting>
  <conditionalFormatting sqref="T2:T69">
    <cfRule type="expression" dxfId="288" priority="7">
      <formula>AND($V2&lt;&gt;"",OR($AC2="Yes",$AD2&lt;&gt;""))</formula>
    </cfRule>
    <cfRule type="expression" dxfId="287" priority="8">
      <formula>OR($AC2="Yes",$AD2&lt;&gt;"")</formula>
    </cfRule>
    <cfRule type="expression" dxfId="286" priority="22">
      <formula>AND($AC2&lt;&gt;"Yes",$AD2="")</formula>
    </cfRule>
  </conditionalFormatting>
  <conditionalFormatting sqref="T2:AC69">
    <cfRule type="expression" dxfId="285" priority="20">
      <formula>AND($I2&lt;&gt;"",$I2&lt;&gt;"Unclear due to correction")</formula>
    </cfRule>
    <cfRule type="expression" dxfId="284" priority="21">
      <formula>OR($I2="",$I2="Unclear due to correction")</formula>
    </cfRule>
  </conditionalFormatting>
  <conditionalFormatting sqref="U2:U69">
    <cfRule type="expression" dxfId="283" priority="6">
      <formula>AND($I2&lt;&gt;"",$I2&lt;&gt;"Unclear due to correction",$W2="")</formula>
    </cfRule>
  </conditionalFormatting>
  <conditionalFormatting sqref="V2:V69">
    <cfRule type="expression" dxfId="282" priority="9">
      <formula>AND($W2="Yes",$X2="")</formula>
    </cfRule>
    <cfRule type="expression" dxfId="281" priority="10">
      <formula>$W2=""</formula>
    </cfRule>
  </conditionalFormatting>
  <conditionalFormatting sqref="AA2:AA69">
    <cfRule type="expression" dxfId="280" priority="23">
      <formula>AND(OR($AA2&lt;&gt;"",$AB2&lt;&gt;""),$AC2="")</formula>
    </cfRule>
  </conditionalFormatting>
  <dataValidations count="1">
    <dataValidation allowBlank="1" showInputMessage="1" sqref="U2:U69" xr:uid="{111DF794-5C1D-40AC-9637-EDC98949EA0E}"/>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C57CBA19-B2A7-4370-B83A-A8B3384F1D19}">
          <x14:formula1>
            <xm:f>'Data Regularization'!$D$2:$D$1048576</xm:f>
          </x14:formula1>
          <xm:sqref>G2:G69</xm:sqref>
        </x14:dataValidation>
        <x14:dataValidation type="list" allowBlank="1" showInputMessage="1" showErrorMessage="1" xr:uid="{C5D96432-C3F5-49EE-977A-5DA481C3025A}">
          <x14:formula1>
            <xm:f>'Data Regularization'!$E$2:$E$1048576</xm:f>
          </x14:formula1>
          <xm:sqref>K2:K69</xm:sqref>
        </x14:dataValidation>
        <x14:dataValidation type="list" allowBlank="1" showInputMessage="1" showErrorMessage="1" xr:uid="{465F5801-D03D-4A03-ACEF-48B70665B42A}">
          <x14:formula1>
            <xm:f>'Data Regularization'!$F$2:$F$1048576</xm:f>
          </x14:formula1>
          <xm:sqref>L2:L69</xm:sqref>
        </x14:dataValidation>
        <x14:dataValidation type="list" allowBlank="1" showInputMessage="1" showErrorMessage="1" xr:uid="{E999E33A-B079-4F36-8E7C-322A44D6D4DF}">
          <x14:formula1>
            <xm:f>'Data Regularization'!$G$2:$G$1048576</xm:f>
          </x14:formula1>
          <xm:sqref>O2:O69</xm:sqref>
        </x14:dataValidation>
        <x14:dataValidation type="list" allowBlank="1" showInputMessage="1" showErrorMessage="1" xr:uid="{931200A1-084C-41D1-8503-F253C95CF4C2}">
          <x14:formula1>
            <xm:f>'Data Regularization'!$J$2:$J$1048576</xm:f>
          </x14:formula1>
          <xm:sqref>T2:T69 V2:V69</xm:sqref>
        </x14:dataValidation>
        <x14:dataValidation type="list" allowBlank="1" showInputMessage="1" showErrorMessage="1" xr:uid="{E0642AF3-ED54-4F60-9479-EC4C0C64717D}">
          <x14:formula1>
            <xm:f>'Data Regularization'!$K$2:$K$1048576</xm:f>
          </x14:formula1>
          <xm:sqref>W2:W69</xm:sqref>
        </x14:dataValidation>
        <x14:dataValidation type="list" allowBlank="1" showInputMessage="1" showErrorMessage="1" xr:uid="{2CADAAFC-84A9-4A8C-99CC-7D1509F55488}">
          <x14:formula1>
            <xm:f>'Data Regularization'!$L$2:$L$1048576</xm:f>
          </x14:formula1>
          <xm:sqref>X2:X69</xm:sqref>
        </x14:dataValidation>
        <x14:dataValidation type="list" allowBlank="1" showInputMessage="1" showErrorMessage="1" xr:uid="{8F864FD0-C10C-4848-9226-655314C3389C}">
          <x14:formula1>
            <xm:f>'Data Regularization'!$M$2:$M$1048576</xm:f>
          </x14:formula1>
          <xm:sqref>Y2:Y69</xm:sqref>
        </x14:dataValidation>
        <x14:dataValidation type="list" allowBlank="1" showInputMessage="1" showErrorMessage="1" xr:uid="{FB4BD7DE-5248-427B-A541-C15B1A957CC0}">
          <x14:formula1>
            <xm:f>'Data Regularization'!$N$2:$N$1048576</xm:f>
          </x14:formula1>
          <xm:sqref>AA2:AA69</xm:sqref>
        </x14:dataValidation>
        <x14:dataValidation type="list" allowBlank="1" showInputMessage="1" showErrorMessage="1" xr:uid="{7B010774-7EE5-4DDA-B23F-253ACDC9C866}">
          <x14:formula1>
            <xm:f>'Data Regularization'!$O$2:$O$1048576</xm:f>
          </x14:formula1>
          <xm:sqref>AB2:AB69</xm:sqref>
        </x14:dataValidation>
        <x14:dataValidation type="list" allowBlank="1" showInputMessage="1" showErrorMessage="1" xr:uid="{EC9DC2E8-182F-462D-AAC4-61BD52B5D75D}">
          <x14:formula1>
            <xm:f>'Data Regularization'!$P$2:$P$1048576</xm:f>
          </x14:formula1>
          <xm:sqref>AC2:AC69</xm:sqref>
        </x14:dataValidation>
        <x14:dataValidation type="list" allowBlank="1" showInputMessage="1" showErrorMessage="1" xr:uid="{308A9869-BCC6-469C-AEA8-65A229F1F852}">
          <x14:formula1>
            <xm:f>'Data Regularization'!$C$2:$C$50</xm:f>
          </x14:formula1>
          <xm:sqref>F2:F69</xm:sqref>
        </x14:dataValidation>
        <x14:dataValidation type="list" allowBlank="1" showInputMessage="1" showErrorMessage="1" xr:uid="{E7D70BD6-7A72-467B-A2D4-D0022AF07146}">
          <x14:formula1>
            <xm:f>'Data Regularization'!$A$2:$A$1048576</xm:f>
          </x14:formula1>
          <xm:sqref>D2:D69</xm:sqref>
        </x14:dataValidation>
        <x14:dataValidation type="list" allowBlank="1" showInputMessage="1" showErrorMessage="1" xr:uid="{A238A3E3-0685-4757-8A0F-35DA78DA98F8}">
          <x14:formula1>
            <xm:f>'Data Regularization'!$B$2:$B$1048576</xm:f>
          </x14:formula1>
          <xm:sqref>E2:E69</xm:sqref>
        </x14:dataValidation>
        <x14:dataValidation type="list" allowBlank="1" showInputMessage="1" showErrorMessage="1" xr:uid="{E23A157A-5E01-4994-8264-037B2440CA9E}">
          <x14:formula1>
            <xm:f>'Data Regularization'!$P$2:$P$4</xm:f>
          </x14:formula1>
          <xm:sqref>AD2:AD69 AF2:AF69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27B9B-1339-4A7F-9A7F-95454CF244EB}">
  <dimension ref="A1:AH112"/>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sheetData>
    <row r="1" spans="1:34" s="1" customFormat="1" ht="29">
      <c r="A1" s="1" t="s">
        <v>0</v>
      </c>
      <c r="B1" s="1" t="s">
        <v>5</v>
      </c>
      <c r="C1" s="2" t="s">
        <v>6</v>
      </c>
      <c r="D1" s="1" t="s">
        <v>354</v>
      </c>
      <c r="E1" s="1" t="s">
        <v>355</v>
      </c>
      <c r="F1" s="1" t="s">
        <v>356</v>
      </c>
      <c r="G1" s="1" t="s">
        <v>3</v>
      </c>
      <c r="H1" s="1" t="s">
        <v>357</v>
      </c>
      <c r="I1" s="1" t="s">
        <v>358</v>
      </c>
      <c r="J1" s="1" t="s">
        <v>359</v>
      </c>
      <c r="K1" s="1" t="s">
        <v>360</v>
      </c>
      <c r="L1" s="1" t="s">
        <v>319</v>
      </c>
      <c r="M1" s="1" t="s">
        <v>361</v>
      </c>
      <c r="N1" s="6" t="s">
        <v>362</v>
      </c>
      <c r="O1" s="1" t="s">
        <v>320</v>
      </c>
      <c r="P1" s="1" t="s">
        <v>363</v>
      </c>
      <c r="Q1" s="1" t="s">
        <v>452</v>
      </c>
      <c r="R1" s="1" t="s">
        <v>364</v>
      </c>
      <c r="S1" s="1" t="s">
        <v>449</v>
      </c>
      <c r="T1" s="1" t="s">
        <v>450</v>
      </c>
      <c r="U1" s="1" t="s">
        <v>367</v>
      </c>
      <c r="V1" s="1" t="s">
        <v>368</v>
      </c>
      <c r="W1" s="1" t="s">
        <v>369</v>
      </c>
      <c r="X1" s="1" t="s">
        <v>321</v>
      </c>
      <c r="Y1" s="1" t="s">
        <v>322</v>
      </c>
      <c r="Z1" s="1" t="s">
        <v>323</v>
      </c>
      <c r="AA1" s="1" t="s">
        <v>365</v>
      </c>
      <c r="AB1" s="1" t="s">
        <v>370</v>
      </c>
      <c r="AC1" s="1" t="s">
        <v>324</v>
      </c>
      <c r="AD1" s="1" t="s">
        <v>366</v>
      </c>
      <c r="AE1" s="1" t="s">
        <v>382</v>
      </c>
      <c r="AF1" s="1" t="s">
        <v>380</v>
      </c>
      <c r="AG1" s="1" t="s">
        <v>381</v>
      </c>
    </row>
    <row r="2" spans="1:34" ht="43.5">
      <c r="A2" t="s">
        <v>38</v>
      </c>
      <c r="B2" s="3" t="s">
        <v>496</v>
      </c>
      <c r="C2" s="3" t="s">
        <v>158</v>
      </c>
      <c r="G2" s="7" t="s">
        <v>25</v>
      </c>
      <c r="H2" s="7"/>
      <c r="I2" s="7">
        <v>1</v>
      </c>
      <c r="J2" s="7">
        <v>2</v>
      </c>
      <c r="K2" s="7" t="s">
        <v>350</v>
      </c>
      <c r="L2" s="7" t="s">
        <v>373</v>
      </c>
      <c r="M2" s="7"/>
      <c r="N2" s="8"/>
      <c r="O2" s="7"/>
      <c r="P2" s="7">
        <v>613</v>
      </c>
      <c r="Q2" s="7">
        <f t="shared" ref="Q2:Q43" si="0">IF(ISNUMBER(P2), (P2/$F$95)*10000, "")</f>
        <v>301.40623463467404</v>
      </c>
      <c r="R2" s="7"/>
      <c r="S2" s="7" t="s">
        <v>451</v>
      </c>
      <c r="T2" s="7" t="s">
        <v>451</v>
      </c>
      <c r="U2" s="7"/>
      <c r="V2" s="7"/>
      <c r="W2" s="7"/>
      <c r="X2" s="7"/>
      <c r="Y2" s="7"/>
      <c r="Z2" s="7"/>
      <c r="AA2" s="7"/>
      <c r="AB2" s="7"/>
      <c r="AC2" s="7"/>
      <c r="AD2" s="7"/>
      <c r="AE2" t="s">
        <v>19</v>
      </c>
      <c r="AF2" t="s">
        <v>19</v>
      </c>
      <c r="AH2">
        <v>1</v>
      </c>
    </row>
    <row r="3" spans="1:34" ht="43.5">
      <c r="A3" t="s">
        <v>38</v>
      </c>
      <c r="B3" s="3" t="s">
        <v>160</v>
      </c>
      <c r="C3" s="3" t="s">
        <v>159</v>
      </c>
      <c r="G3" s="7" t="s">
        <v>25</v>
      </c>
      <c r="H3" s="7"/>
      <c r="I3" s="7">
        <v>1</v>
      </c>
      <c r="J3" s="7">
        <v>3</v>
      </c>
      <c r="K3" s="7" t="s">
        <v>331</v>
      </c>
      <c r="L3" s="7" t="s">
        <v>326</v>
      </c>
      <c r="M3" s="7" t="s">
        <v>389</v>
      </c>
      <c r="N3" s="8" t="s">
        <v>388</v>
      </c>
      <c r="O3" s="7"/>
      <c r="P3" s="7">
        <v>2475</v>
      </c>
      <c r="Q3" s="7">
        <f t="shared" si="0"/>
        <v>1216.9338184678927</v>
      </c>
      <c r="R3" s="7"/>
      <c r="S3" s="7" t="s">
        <v>451</v>
      </c>
      <c r="T3" s="7" t="s">
        <v>451</v>
      </c>
      <c r="U3" s="7"/>
      <c r="V3" s="7"/>
      <c r="W3" s="7"/>
      <c r="X3" s="7"/>
      <c r="Y3" s="7"/>
      <c r="Z3" s="7"/>
      <c r="AA3" s="7"/>
      <c r="AB3" s="7"/>
      <c r="AC3" s="7"/>
      <c r="AD3" s="7"/>
      <c r="AE3" t="s">
        <v>19</v>
      </c>
      <c r="AF3" t="s">
        <v>20</v>
      </c>
      <c r="AH3">
        <v>1</v>
      </c>
    </row>
    <row r="4" spans="1:34" ht="29">
      <c r="A4" t="s">
        <v>39</v>
      </c>
      <c r="B4" s="3" t="s">
        <v>162</v>
      </c>
      <c r="C4" s="3" t="s">
        <v>161</v>
      </c>
      <c r="G4" s="7" t="s">
        <v>25</v>
      </c>
      <c r="H4" s="7"/>
      <c r="I4" s="7">
        <v>1</v>
      </c>
      <c r="J4" s="7">
        <v>2</v>
      </c>
      <c r="K4" s="7" t="s">
        <v>331</v>
      </c>
      <c r="L4" s="7" t="s">
        <v>373</v>
      </c>
      <c r="M4" s="7"/>
      <c r="N4" s="8"/>
      <c r="O4" s="7"/>
      <c r="P4" s="7">
        <v>2475</v>
      </c>
      <c r="Q4" s="7">
        <f t="shared" si="0"/>
        <v>1216.9338184678927</v>
      </c>
      <c r="R4" s="7"/>
      <c r="S4" s="7" t="s">
        <v>451</v>
      </c>
      <c r="T4" s="7" t="s">
        <v>451</v>
      </c>
      <c r="U4" s="7"/>
      <c r="V4" s="7"/>
      <c r="W4" s="7"/>
      <c r="X4" s="7"/>
      <c r="Y4" s="7"/>
      <c r="Z4" s="7"/>
      <c r="AA4" s="7"/>
      <c r="AB4" s="7"/>
      <c r="AC4" s="7"/>
      <c r="AD4" s="7"/>
      <c r="AE4" t="s">
        <v>19</v>
      </c>
      <c r="AF4" t="s">
        <v>20</v>
      </c>
      <c r="AH4">
        <v>1</v>
      </c>
    </row>
    <row r="5" spans="1:34" ht="43.5">
      <c r="A5" t="s">
        <v>44</v>
      </c>
      <c r="B5" s="3" t="s">
        <v>168</v>
      </c>
      <c r="C5" s="3" t="s">
        <v>167</v>
      </c>
      <c r="G5" s="7" t="s">
        <v>24</v>
      </c>
      <c r="H5" s="7"/>
      <c r="I5" s="7">
        <v>1</v>
      </c>
      <c r="J5" s="7">
        <v>1</v>
      </c>
      <c r="K5" s="7" t="s">
        <v>331</v>
      </c>
      <c r="L5" s="7" t="s">
        <v>373</v>
      </c>
      <c r="M5" s="7"/>
      <c r="N5" s="8"/>
      <c r="O5" s="7"/>
      <c r="P5" s="7">
        <v>2475</v>
      </c>
      <c r="Q5" s="7">
        <f t="shared" si="0"/>
        <v>1216.9338184678927</v>
      </c>
      <c r="R5" s="7"/>
      <c r="S5" s="7" t="s">
        <v>451</v>
      </c>
      <c r="T5" s="7" t="s">
        <v>451</v>
      </c>
      <c r="U5" s="7"/>
      <c r="V5" s="7"/>
      <c r="W5" s="7"/>
      <c r="X5" s="7"/>
      <c r="Y5" s="7"/>
      <c r="Z5" s="7"/>
      <c r="AA5" s="7"/>
      <c r="AB5" s="7"/>
      <c r="AC5" s="7"/>
      <c r="AD5" s="7"/>
      <c r="AE5" t="s">
        <v>19</v>
      </c>
      <c r="AF5" t="s">
        <v>20</v>
      </c>
      <c r="AH5">
        <v>1</v>
      </c>
    </row>
    <row r="6" spans="1:34" ht="58">
      <c r="A6" t="s">
        <v>52</v>
      </c>
      <c r="B6" s="3" t="s">
        <v>176</v>
      </c>
      <c r="C6" s="3" t="s">
        <v>175</v>
      </c>
      <c r="G6" s="7" t="s">
        <v>25</v>
      </c>
      <c r="H6" s="7"/>
      <c r="I6" s="7">
        <v>1</v>
      </c>
      <c r="J6" s="7">
        <v>3</v>
      </c>
      <c r="K6" s="7" t="s">
        <v>331</v>
      </c>
      <c r="L6" s="7" t="s">
        <v>326</v>
      </c>
      <c r="M6" s="7" t="s">
        <v>387</v>
      </c>
      <c r="N6" s="8" t="s">
        <v>388</v>
      </c>
      <c r="O6" s="7"/>
      <c r="P6" s="7">
        <v>2475</v>
      </c>
      <c r="Q6" s="7">
        <f t="shared" si="0"/>
        <v>1216.9338184678927</v>
      </c>
      <c r="R6" s="7"/>
      <c r="S6" s="7" t="s">
        <v>451</v>
      </c>
      <c r="T6" s="7" t="s">
        <v>451</v>
      </c>
      <c r="U6" s="7"/>
      <c r="V6" s="7"/>
      <c r="W6" s="7"/>
      <c r="X6" s="7"/>
      <c r="Y6" s="7"/>
      <c r="Z6" s="7"/>
      <c r="AA6" s="7"/>
      <c r="AB6" s="7"/>
      <c r="AC6" s="7"/>
      <c r="AD6" s="7"/>
      <c r="AE6" t="s">
        <v>19</v>
      </c>
      <c r="AF6" t="s">
        <v>20</v>
      </c>
      <c r="AH6">
        <v>1</v>
      </c>
    </row>
    <row r="7" spans="1:34" ht="43.5">
      <c r="A7" t="s">
        <v>55</v>
      </c>
      <c r="B7" s="3" t="s">
        <v>177</v>
      </c>
      <c r="C7" s="3" t="s">
        <v>178</v>
      </c>
      <c r="F7" t="s">
        <v>19</v>
      </c>
      <c r="G7" s="7" t="s">
        <v>24</v>
      </c>
      <c r="H7" s="7"/>
      <c r="I7" s="7">
        <v>1</v>
      </c>
      <c r="J7" s="7">
        <v>9</v>
      </c>
      <c r="K7" s="7" t="s">
        <v>325</v>
      </c>
      <c r="L7" s="7" t="s">
        <v>326</v>
      </c>
      <c r="M7" s="7" t="s">
        <v>415</v>
      </c>
      <c r="N7" s="8" t="s">
        <v>416</v>
      </c>
      <c r="O7" s="7"/>
      <c r="P7" s="7">
        <v>4</v>
      </c>
      <c r="Q7" s="7">
        <f t="shared" si="0"/>
        <v>1.9667617268167963</v>
      </c>
      <c r="R7" s="7"/>
      <c r="S7" s="7" t="s">
        <v>451</v>
      </c>
      <c r="T7" s="7" t="s">
        <v>451</v>
      </c>
      <c r="U7" s="7"/>
      <c r="V7" s="7"/>
      <c r="W7" s="7"/>
      <c r="X7" s="7"/>
      <c r="Y7" s="7"/>
      <c r="Z7" s="7"/>
      <c r="AA7" s="7"/>
      <c r="AB7" s="7"/>
      <c r="AC7" s="7"/>
      <c r="AD7" s="7"/>
      <c r="AE7" t="s">
        <v>20</v>
      </c>
      <c r="AF7" t="s">
        <v>20</v>
      </c>
      <c r="AH7">
        <v>0</v>
      </c>
    </row>
    <row r="8" spans="1:34" ht="58">
      <c r="A8" t="s">
        <v>61</v>
      </c>
      <c r="B8" s="3" t="s">
        <v>179</v>
      </c>
      <c r="C8" s="3" t="s">
        <v>180</v>
      </c>
      <c r="G8" s="7" t="s">
        <v>24</v>
      </c>
      <c r="H8" s="7"/>
      <c r="I8" s="7">
        <v>1</v>
      </c>
      <c r="J8" s="7">
        <v>3</v>
      </c>
      <c r="K8" s="7" t="s">
        <v>331</v>
      </c>
      <c r="L8" s="7" t="s">
        <v>332</v>
      </c>
      <c r="M8" s="7"/>
      <c r="N8" s="8"/>
      <c r="O8" s="7"/>
      <c r="P8" s="7">
        <v>2475</v>
      </c>
      <c r="Q8" s="7">
        <f t="shared" si="0"/>
        <v>1216.9338184678927</v>
      </c>
      <c r="R8" s="7"/>
      <c r="S8" s="7" t="s">
        <v>451</v>
      </c>
      <c r="T8" s="7" t="s">
        <v>451</v>
      </c>
      <c r="U8" s="7"/>
      <c r="V8" s="7"/>
      <c r="W8" s="7"/>
      <c r="X8" s="7"/>
      <c r="Y8" s="7"/>
      <c r="Z8" s="7"/>
      <c r="AA8" s="7"/>
      <c r="AB8" s="7"/>
      <c r="AC8" s="7"/>
      <c r="AD8" s="7"/>
      <c r="AE8" t="s">
        <v>19</v>
      </c>
      <c r="AF8" t="s">
        <v>19</v>
      </c>
      <c r="AH8">
        <v>1</v>
      </c>
    </row>
    <row r="9" spans="1:34" ht="58">
      <c r="A9" t="s">
        <v>61</v>
      </c>
      <c r="B9" s="3" t="s">
        <v>179</v>
      </c>
      <c r="C9" s="3" t="s">
        <v>181</v>
      </c>
      <c r="G9" s="7" t="s">
        <v>24</v>
      </c>
      <c r="H9" s="7"/>
      <c r="I9" s="7">
        <v>1</v>
      </c>
      <c r="J9" s="7">
        <v>3</v>
      </c>
      <c r="K9" s="7" t="s">
        <v>331</v>
      </c>
      <c r="L9" s="7" t="s">
        <v>332</v>
      </c>
      <c r="M9" s="7"/>
      <c r="N9" s="8"/>
      <c r="O9" s="7"/>
      <c r="P9" s="7">
        <v>2475</v>
      </c>
      <c r="Q9" s="7">
        <f t="shared" si="0"/>
        <v>1216.9338184678927</v>
      </c>
      <c r="R9" s="7"/>
      <c r="S9" s="7" t="s">
        <v>451</v>
      </c>
      <c r="T9" s="7" t="s">
        <v>451</v>
      </c>
      <c r="U9" s="7"/>
      <c r="V9" s="7"/>
      <c r="W9" s="7"/>
      <c r="X9" s="7"/>
      <c r="Y9" s="7"/>
      <c r="Z9" s="7"/>
      <c r="AA9" s="7"/>
      <c r="AB9" s="7"/>
      <c r="AC9" s="7"/>
      <c r="AD9" s="7"/>
      <c r="AE9" t="s">
        <v>19</v>
      </c>
      <c r="AF9" t="s">
        <v>20</v>
      </c>
      <c r="AH9">
        <v>1</v>
      </c>
    </row>
    <row r="10" spans="1:34" ht="29">
      <c r="A10" t="s">
        <v>61</v>
      </c>
      <c r="B10" s="3" t="s">
        <v>183</v>
      </c>
      <c r="C10" s="3" t="s">
        <v>182</v>
      </c>
      <c r="G10" s="7" t="s">
        <v>24</v>
      </c>
      <c r="H10" s="7"/>
      <c r="I10" s="7">
        <v>1</v>
      </c>
      <c r="J10" s="7">
        <v>3</v>
      </c>
      <c r="K10" s="7" t="s">
        <v>331</v>
      </c>
      <c r="L10" s="7" t="s">
        <v>332</v>
      </c>
      <c r="M10" s="7"/>
      <c r="N10" s="8"/>
      <c r="O10" s="7"/>
      <c r="P10" s="7">
        <v>2475</v>
      </c>
      <c r="Q10" s="7">
        <f t="shared" si="0"/>
        <v>1216.9338184678927</v>
      </c>
      <c r="R10" s="7"/>
      <c r="S10" s="7" t="s">
        <v>451</v>
      </c>
      <c r="T10" s="7" t="s">
        <v>451</v>
      </c>
      <c r="U10" s="7"/>
      <c r="V10" s="7"/>
      <c r="W10" s="7"/>
      <c r="X10" s="7"/>
      <c r="Y10" s="7"/>
      <c r="Z10" s="7"/>
      <c r="AA10" s="7"/>
      <c r="AB10" s="7"/>
      <c r="AC10" s="7"/>
      <c r="AD10" s="7"/>
      <c r="AE10" t="s">
        <v>19</v>
      </c>
      <c r="AF10" t="s">
        <v>19</v>
      </c>
      <c r="AH10">
        <v>1</v>
      </c>
    </row>
    <row r="11" spans="1:34" ht="29">
      <c r="A11" t="s">
        <v>73</v>
      </c>
      <c r="B11" s="3" t="s">
        <v>187</v>
      </c>
      <c r="C11" s="3" t="s">
        <v>188</v>
      </c>
      <c r="G11" s="7" t="s">
        <v>24</v>
      </c>
      <c r="H11" s="7"/>
      <c r="I11" s="7">
        <v>1</v>
      </c>
      <c r="J11" s="7">
        <v>1</v>
      </c>
      <c r="K11" s="7" t="s">
        <v>331</v>
      </c>
      <c r="L11" s="7" t="s">
        <v>373</v>
      </c>
      <c r="M11" s="7"/>
      <c r="N11" s="8"/>
      <c r="O11" s="7"/>
      <c r="P11" s="7">
        <v>2475</v>
      </c>
      <c r="Q11" s="7">
        <f t="shared" si="0"/>
        <v>1216.9338184678927</v>
      </c>
      <c r="R11" s="7"/>
      <c r="S11" s="7" t="s">
        <v>451</v>
      </c>
      <c r="T11" s="7" t="s">
        <v>451</v>
      </c>
      <c r="U11" s="7"/>
      <c r="V11" s="7"/>
      <c r="W11" s="7"/>
      <c r="X11" s="7"/>
      <c r="Y11" s="7"/>
      <c r="Z11" s="7"/>
      <c r="AA11" s="7"/>
      <c r="AB11" s="7"/>
      <c r="AC11" s="7"/>
      <c r="AD11" s="7"/>
      <c r="AE11" t="s">
        <v>19</v>
      </c>
      <c r="AF11" t="s">
        <v>19</v>
      </c>
      <c r="AH11">
        <v>1</v>
      </c>
    </row>
    <row r="12" spans="1:34" ht="43.5">
      <c r="A12" t="s">
        <v>78</v>
      </c>
      <c r="B12" s="3" t="s">
        <v>191</v>
      </c>
      <c r="C12" s="3" t="s">
        <v>192</v>
      </c>
      <c r="G12" s="7" t="s">
        <v>25</v>
      </c>
      <c r="H12" s="7"/>
      <c r="I12" s="7">
        <v>1</v>
      </c>
      <c r="J12" s="7">
        <v>2</v>
      </c>
      <c r="K12" s="7" t="s">
        <v>331</v>
      </c>
      <c r="L12" s="7" t="s">
        <v>373</v>
      </c>
      <c r="M12" s="7"/>
      <c r="N12" s="8"/>
      <c r="O12" s="7"/>
      <c r="P12" s="7">
        <v>2475</v>
      </c>
      <c r="Q12" s="7">
        <f t="shared" si="0"/>
        <v>1216.9338184678927</v>
      </c>
      <c r="R12" s="7"/>
      <c r="S12" s="7" t="s">
        <v>451</v>
      </c>
      <c r="T12" s="7" t="s">
        <v>451</v>
      </c>
      <c r="U12" s="7"/>
      <c r="V12" s="7"/>
      <c r="W12" s="7"/>
      <c r="X12" s="7"/>
      <c r="Y12" s="7"/>
      <c r="Z12" s="7"/>
      <c r="AA12" s="7"/>
      <c r="AB12" s="7"/>
      <c r="AC12" s="7"/>
      <c r="AD12" s="7"/>
      <c r="AE12" t="s">
        <v>19</v>
      </c>
      <c r="AF12" t="s">
        <v>19</v>
      </c>
      <c r="AH12">
        <v>1</v>
      </c>
    </row>
    <row r="13" spans="1:34" ht="43.5">
      <c r="A13" t="s">
        <v>78</v>
      </c>
      <c r="B13" s="3" t="s">
        <v>195</v>
      </c>
      <c r="C13" s="3" t="s">
        <v>194</v>
      </c>
      <c r="G13" s="7" t="s">
        <v>24</v>
      </c>
      <c r="H13" s="7"/>
      <c r="I13" s="7">
        <v>1</v>
      </c>
      <c r="J13" s="7">
        <v>3</v>
      </c>
      <c r="K13" s="7" t="s">
        <v>341</v>
      </c>
      <c r="L13" s="7" t="s">
        <v>332</v>
      </c>
      <c r="M13" s="7"/>
      <c r="N13" s="8"/>
      <c r="O13" s="7"/>
      <c r="P13" s="7">
        <v>1701</v>
      </c>
      <c r="Q13" s="7">
        <f t="shared" si="0"/>
        <v>836.36542432884255</v>
      </c>
      <c r="R13" s="7"/>
      <c r="S13" s="7" t="s">
        <v>451</v>
      </c>
      <c r="T13" s="7" t="s">
        <v>451</v>
      </c>
      <c r="U13" s="7"/>
      <c r="V13" s="7"/>
      <c r="W13" s="7"/>
      <c r="X13" s="7"/>
      <c r="Y13" s="7"/>
      <c r="Z13" s="7"/>
      <c r="AA13" s="7"/>
      <c r="AB13" s="7"/>
      <c r="AC13" s="7"/>
      <c r="AD13" s="7"/>
      <c r="AE13" t="s">
        <v>19</v>
      </c>
      <c r="AF13" t="s">
        <v>20</v>
      </c>
      <c r="AH13">
        <v>1</v>
      </c>
    </row>
    <row r="14" spans="1:34" ht="174">
      <c r="A14" t="s">
        <v>81</v>
      </c>
      <c r="B14" s="3" t="s">
        <v>396</v>
      </c>
      <c r="C14" s="3" t="s">
        <v>196</v>
      </c>
      <c r="F14" t="s">
        <v>19</v>
      </c>
      <c r="G14" s="7" t="s">
        <v>25</v>
      </c>
      <c r="H14" s="7"/>
      <c r="I14" s="7">
        <v>8</v>
      </c>
      <c r="J14" s="7">
        <v>46</v>
      </c>
      <c r="K14" s="7"/>
      <c r="L14" s="7" t="s">
        <v>326</v>
      </c>
      <c r="M14" s="7" t="s">
        <v>395</v>
      </c>
      <c r="N14" s="8" t="s">
        <v>397</v>
      </c>
      <c r="O14" s="7"/>
      <c r="P14" s="7">
        <v>1</v>
      </c>
      <c r="Q14" s="7">
        <f t="shared" si="0"/>
        <v>0.49169043170419907</v>
      </c>
      <c r="R14" s="7"/>
      <c r="S14" s="7" t="s">
        <v>451</v>
      </c>
      <c r="T14" s="7" t="s">
        <v>451</v>
      </c>
      <c r="U14" s="7"/>
      <c r="V14" s="7"/>
      <c r="W14" s="7"/>
      <c r="X14" s="7"/>
      <c r="Y14" s="7"/>
      <c r="Z14" s="7"/>
      <c r="AA14" s="7"/>
      <c r="AB14" s="7"/>
      <c r="AC14" s="7"/>
      <c r="AD14" s="7"/>
      <c r="AE14" t="s">
        <v>20</v>
      </c>
      <c r="AF14" t="s">
        <v>20</v>
      </c>
      <c r="AH14">
        <v>0</v>
      </c>
    </row>
    <row r="15" spans="1:34" ht="43.5">
      <c r="A15" t="s">
        <v>82</v>
      </c>
      <c r="B15" s="3" t="s">
        <v>200</v>
      </c>
      <c r="C15" s="3" t="s">
        <v>199</v>
      </c>
      <c r="G15" s="7" t="s">
        <v>24</v>
      </c>
      <c r="H15" s="7"/>
      <c r="I15" s="7">
        <v>1</v>
      </c>
      <c r="J15" s="7">
        <v>2</v>
      </c>
      <c r="K15" s="7" t="s">
        <v>331</v>
      </c>
      <c r="L15" s="7" t="s">
        <v>373</v>
      </c>
      <c r="M15" s="7"/>
      <c r="N15" s="8"/>
      <c r="O15" s="7"/>
      <c r="P15" s="7">
        <v>2475</v>
      </c>
      <c r="Q15" s="7">
        <f t="shared" si="0"/>
        <v>1216.9338184678927</v>
      </c>
      <c r="R15" s="7"/>
      <c r="S15" s="7" t="s">
        <v>451</v>
      </c>
      <c r="T15" s="7" t="s">
        <v>451</v>
      </c>
      <c r="U15" s="7"/>
      <c r="V15" s="7"/>
      <c r="W15" s="7"/>
      <c r="X15" s="7"/>
      <c r="Y15" s="7"/>
      <c r="Z15" s="7"/>
      <c r="AA15" s="7"/>
      <c r="AB15" s="7"/>
      <c r="AC15" s="7"/>
      <c r="AD15" s="7"/>
      <c r="AE15" t="s">
        <v>19</v>
      </c>
      <c r="AF15" t="s">
        <v>20</v>
      </c>
      <c r="AH15">
        <v>1</v>
      </c>
    </row>
    <row r="16" spans="1:34" ht="29">
      <c r="A16" t="s">
        <v>82</v>
      </c>
      <c r="B16" s="3" t="s">
        <v>201</v>
      </c>
      <c r="C16" s="3" t="s">
        <v>202</v>
      </c>
      <c r="G16" s="7" t="s">
        <v>25</v>
      </c>
      <c r="H16" s="7"/>
      <c r="I16" s="7">
        <v>1</v>
      </c>
      <c r="J16" s="7">
        <v>2</v>
      </c>
      <c r="K16" s="7" t="s">
        <v>331</v>
      </c>
      <c r="L16" s="7" t="s">
        <v>373</v>
      </c>
      <c r="M16" s="7"/>
      <c r="N16" s="8"/>
      <c r="O16" s="7" t="s">
        <v>327</v>
      </c>
      <c r="P16" s="7">
        <v>2475</v>
      </c>
      <c r="Q16" s="7">
        <f t="shared" si="0"/>
        <v>1216.9338184678927</v>
      </c>
      <c r="R16" s="7"/>
      <c r="S16" s="7" t="s">
        <v>451</v>
      </c>
      <c r="T16" s="7" t="s">
        <v>451</v>
      </c>
      <c r="U16" s="7"/>
      <c r="V16" s="7"/>
      <c r="W16" s="7"/>
      <c r="X16" s="7"/>
      <c r="Y16" s="7"/>
      <c r="Z16" s="7"/>
      <c r="AA16" s="7"/>
      <c r="AB16" s="7"/>
      <c r="AC16" s="7"/>
      <c r="AD16" s="7"/>
      <c r="AE16" t="s">
        <v>19</v>
      </c>
      <c r="AF16" t="s">
        <v>20</v>
      </c>
      <c r="AH16">
        <v>1</v>
      </c>
    </row>
    <row r="17" spans="1:34" ht="29">
      <c r="A17" t="s">
        <v>83</v>
      </c>
      <c r="B17" s="3" t="s">
        <v>174</v>
      </c>
      <c r="C17" s="3" t="s">
        <v>173</v>
      </c>
      <c r="G17" s="7" t="s">
        <v>25</v>
      </c>
      <c r="H17" s="7"/>
      <c r="I17" s="7">
        <v>1</v>
      </c>
      <c r="J17" s="7">
        <v>3</v>
      </c>
      <c r="K17" s="7" t="s">
        <v>331</v>
      </c>
      <c r="L17" s="7" t="s">
        <v>332</v>
      </c>
      <c r="M17" s="7"/>
      <c r="N17" s="8"/>
      <c r="O17" s="7"/>
      <c r="P17" s="7">
        <v>2475</v>
      </c>
      <c r="Q17" s="7">
        <f t="shared" si="0"/>
        <v>1216.9338184678927</v>
      </c>
      <c r="R17" s="7"/>
      <c r="S17" s="7" t="s">
        <v>451</v>
      </c>
      <c r="T17" s="7" t="s">
        <v>451</v>
      </c>
      <c r="U17" s="7"/>
      <c r="V17" s="7"/>
      <c r="W17" s="7"/>
      <c r="X17" s="7"/>
      <c r="Y17" s="7"/>
      <c r="Z17" s="7"/>
      <c r="AA17" s="7"/>
      <c r="AB17" s="7"/>
      <c r="AC17" s="7"/>
      <c r="AD17" s="7"/>
      <c r="AE17" t="s">
        <v>19</v>
      </c>
      <c r="AF17" t="s">
        <v>19</v>
      </c>
      <c r="AH17">
        <v>1</v>
      </c>
    </row>
    <row r="18" spans="1:34" ht="29">
      <c r="A18" t="s">
        <v>83</v>
      </c>
      <c r="B18" s="3" t="s">
        <v>174</v>
      </c>
      <c r="C18" s="3" t="s">
        <v>173</v>
      </c>
      <c r="G18" s="7" t="s">
        <v>25</v>
      </c>
      <c r="H18" s="7"/>
      <c r="I18" s="7">
        <v>1</v>
      </c>
      <c r="J18" s="7">
        <v>3</v>
      </c>
      <c r="K18" s="7" t="s">
        <v>331</v>
      </c>
      <c r="L18" s="7" t="s">
        <v>332</v>
      </c>
      <c r="M18" s="7"/>
      <c r="N18" s="8"/>
      <c r="O18" s="7"/>
      <c r="P18" s="7">
        <v>2475</v>
      </c>
      <c r="Q18" s="7">
        <f t="shared" si="0"/>
        <v>1216.9338184678927</v>
      </c>
      <c r="R18" s="7"/>
      <c r="S18" s="7" t="s">
        <v>451</v>
      </c>
      <c r="T18" s="7" t="s">
        <v>451</v>
      </c>
      <c r="U18" s="7"/>
      <c r="V18" s="7"/>
      <c r="W18" s="7"/>
      <c r="X18" s="7"/>
      <c r="Y18" s="7"/>
      <c r="Z18" s="7"/>
      <c r="AA18" s="7"/>
      <c r="AB18" s="7"/>
      <c r="AC18" s="7"/>
      <c r="AD18" s="7"/>
      <c r="AE18" t="s">
        <v>19</v>
      </c>
      <c r="AF18" t="s">
        <v>19</v>
      </c>
      <c r="AH18">
        <v>1</v>
      </c>
    </row>
    <row r="19" spans="1:34" ht="29">
      <c r="A19" t="s">
        <v>85</v>
      </c>
      <c r="B19" s="3" t="s">
        <v>206</v>
      </c>
      <c r="C19" s="3" t="s">
        <v>205</v>
      </c>
      <c r="G19" s="7" t="s">
        <v>25</v>
      </c>
      <c r="H19" s="7"/>
      <c r="I19" s="7">
        <v>1</v>
      </c>
      <c r="J19" s="7">
        <v>2</v>
      </c>
      <c r="K19" s="7" t="s">
        <v>341</v>
      </c>
      <c r="L19" s="7" t="s">
        <v>373</v>
      </c>
      <c r="M19" s="7"/>
      <c r="N19" s="8"/>
      <c r="O19" s="7"/>
      <c r="P19" s="7">
        <v>171</v>
      </c>
      <c r="Q19" s="7">
        <f t="shared" si="0"/>
        <v>84.079063821418046</v>
      </c>
      <c r="R19" s="7"/>
      <c r="S19" s="7" t="s">
        <v>451</v>
      </c>
      <c r="T19" s="7" t="s">
        <v>451</v>
      </c>
      <c r="U19" s="7"/>
      <c r="V19" s="7"/>
      <c r="W19" s="7"/>
      <c r="X19" s="7"/>
      <c r="Y19" s="7"/>
      <c r="Z19" s="7"/>
      <c r="AA19" s="7"/>
      <c r="AB19" s="7"/>
      <c r="AC19" s="7"/>
      <c r="AD19" s="7"/>
      <c r="AE19" t="s">
        <v>19</v>
      </c>
      <c r="AF19" t="s">
        <v>20</v>
      </c>
      <c r="AH19">
        <v>1</v>
      </c>
    </row>
    <row r="20" spans="1:34" ht="58">
      <c r="A20" t="s">
        <v>89</v>
      </c>
      <c r="B20" s="3" t="s">
        <v>207</v>
      </c>
      <c r="C20" s="3" t="s">
        <v>208</v>
      </c>
      <c r="G20" s="7" t="s">
        <v>24</v>
      </c>
      <c r="H20" s="7"/>
      <c r="I20" s="7">
        <v>1</v>
      </c>
      <c r="J20" s="7">
        <v>3</v>
      </c>
      <c r="K20" s="7" t="s">
        <v>331</v>
      </c>
      <c r="L20" s="7" t="s">
        <v>332</v>
      </c>
      <c r="M20" s="7"/>
      <c r="N20" s="8"/>
      <c r="O20" s="7"/>
      <c r="P20" s="7">
        <v>2475</v>
      </c>
      <c r="Q20" s="7">
        <f t="shared" si="0"/>
        <v>1216.9338184678927</v>
      </c>
      <c r="R20" s="7"/>
      <c r="S20" s="7" t="s">
        <v>451</v>
      </c>
      <c r="T20" s="7" t="s">
        <v>451</v>
      </c>
      <c r="U20" s="7"/>
      <c r="V20" s="7"/>
      <c r="W20" s="7"/>
      <c r="X20" s="7"/>
      <c r="Y20" s="7"/>
      <c r="Z20" s="7"/>
      <c r="AA20" s="7"/>
      <c r="AB20" s="7"/>
      <c r="AC20" s="7"/>
      <c r="AD20" s="7"/>
      <c r="AE20" t="s">
        <v>19</v>
      </c>
      <c r="AF20" t="s">
        <v>20</v>
      </c>
      <c r="AH20">
        <v>1</v>
      </c>
    </row>
    <row r="21" spans="1:34" ht="116">
      <c r="A21" t="s">
        <v>96</v>
      </c>
      <c r="B21" s="3" t="s">
        <v>214</v>
      </c>
      <c r="C21" s="3" t="s">
        <v>213</v>
      </c>
      <c r="G21" s="7" t="s">
        <v>25</v>
      </c>
      <c r="H21" s="7"/>
      <c r="I21" s="7">
        <v>1</v>
      </c>
      <c r="J21" s="7">
        <v>7</v>
      </c>
      <c r="K21" s="7" t="s">
        <v>325</v>
      </c>
      <c r="L21" s="7" t="s">
        <v>332</v>
      </c>
      <c r="M21" s="7"/>
      <c r="N21" s="8"/>
      <c r="O21" s="7"/>
      <c r="P21" s="7">
        <v>13</v>
      </c>
      <c r="Q21" s="7">
        <f t="shared" si="0"/>
        <v>6.3919756121545879</v>
      </c>
      <c r="R21" s="7"/>
      <c r="S21" s="7" t="s">
        <v>451</v>
      </c>
      <c r="T21" s="7" t="s">
        <v>451</v>
      </c>
      <c r="U21" s="7"/>
      <c r="V21" s="7"/>
      <c r="W21" s="7"/>
      <c r="X21" s="7"/>
      <c r="Y21" s="7"/>
      <c r="Z21" s="7"/>
      <c r="AA21" s="7"/>
      <c r="AB21" s="7"/>
      <c r="AC21" s="7"/>
      <c r="AD21" s="7"/>
      <c r="AE21" t="s">
        <v>19</v>
      </c>
      <c r="AF21" t="s">
        <v>19</v>
      </c>
      <c r="AH21">
        <v>1</v>
      </c>
    </row>
    <row r="22" spans="1:34" ht="116">
      <c r="A22" t="s">
        <v>96</v>
      </c>
      <c r="B22" s="3" t="s">
        <v>215</v>
      </c>
      <c r="C22" s="3" t="s">
        <v>213</v>
      </c>
      <c r="G22" s="7" t="s">
        <v>25</v>
      </c>
      <c r="H22" s="7"/>
      <c r="I22" s="7">
        <v>1</v>
      </c>
      <c r="J22" s="7">
        <v>3</v>
      </c>
      <c r="K22" s="7" t="s">
        <v>331</v>
      </c>
      <c r="L22" s="7" t="s">
        <v>332</v>
      </c>
      <c r="M22" s="7"/>
      <c r="N22" s="8"/>
      <c r="O22" s="7"/>
      <c r="P22" s="7">
        <v>2475</v>
      </c>
      <c r="Q22" s="7">
        <f t="shared" si="0"/>
        <v>1216.9338184678927</v>
      </c>
      <c r="R22" s="7"/>
      <c r="S22" s="7" t="s">
        <v>451</v>
      </c>
      <c r="T22" s="7" t="s">
        <v>451</v>
      </c>
      <c r="U22" s="7"/>
      <c r="V22" s="7"/>
      <c r="W22" s="7"/>
      <c r="X22" s="7"/>
      <c r="Y22" s="7"/>
      <c r="Z22" s="7"/>
      <c r="AA22" s="7"/>
      <c r="AB22" s="7"/>
      <c r="AC22" s="7"/>
      <c r="AD22" s="7"/>
      <c r="AE22" t="s">
        <v>19</v>
      </c>
      <c r="AF22" t="s">
        <v>19</v>
      </c>
      <c r="AH22">
        <v>1</v>
      </c>
    </row>
    <row r="23" spans="1:34" ht="29">
      <c r="A23" t="s">
        <v>99</v>
      </c>
      <c r="B23" s="3" t="s">
        <v>220</v>
      </c>
      <c r="C23" s="3" t="s">
        <v>223</v>
      </c>
      <c r="G23" s="7" t="s">
        <v>24</v>
      </c>
      <c r="H23" s="7"/>
      <c r="I23" s="7">
        <v>1</v>
      </c>
      <c r="J23" s="7">
        <v>1</v>
      </c>
      <c r="K23" s="7" t="s">
        <v>331</v>
      </c>
      <c r="L23" s="7" t="s">
        <v>373</v>
      </c>
      <c r="M23" s="7"/>
      <c r="N23" s="8"/>
      <c r="O23" s="7"/>
      <c r="P23" s="7">
        <v>2475</v>
      </c>
      <c r="Q23" s="7">
        <f t="shared" si="0"/>
        <v>1216.9338184678927</v>
      </c>
      <c r="R23" s="7"/>
      <c r="S23" s="7" t="s">
        <v>451</v>
      </c>
      <c r="T23" s="7" t="s">
        <v>451</v>
      </c>
      <c r="U23" s="7"/>
      <c r="V23" s="7"/>
      <c r="W23" s="7"/>
      <c r="X23" s="7"/>
      <c r="Y23" s="7"/>
      <c r="Z23" s="7"/>
      <c r="AA23" s="7"/>
      <c r="AB23" s="7"/>
      <c r="AC23" s="7"/>
      <c r="AD23" s="7"/>
      <c r="AE23" t="s">
        <v>19</v>
      </c>
      <c r="AF23" t="s">
        <v>19</v>
      </c>
      <c r="AH23">
        <v>1</v>
      </c>
    </row>
    <row r="24" spans="1:34" ht="275.5">
      <c r="A24" t="s">
        <v>99</v>
      </c>
      <c r="B24" s="3" t="s">
        <v>230</v>
      </c>
      <c r="C24" s="3" t="s">
        <v>231</v>
      </c>
      <c r="F24" t="s">
        <v>19</v>
      </c>
      <c r="G24" s="7" t="s">
        <v>25</v>
      </c>
      <c r="H24" s="7"/>
      <c r="I24" s="7">
        <v>15</v>
      </c>
      <c r="J24" s="7">
        <v>67</v>
      </c>
      <c r="K24" s="7"/>
      <c r="L24" s="7" t="s">
        <v>326</v>
      </c>
      <c r="M24" s="7" t="s">
        <v>391</v>
      </c>
      <c r="N24" s="8" t="s">
        <v>394</v>
      </c>
      <c r="O24" s="7"/>
      <c r="P24" s="7">
        <v>2</v>
      </c>
      <c r="Q24" s="7">
        <f t="shared" si="0"/>
        <v>0.98338086340839814</v>
      </c>
      <c r="R24" s="7"/>
      <c r="S24" s="7" t="s">
        <v>451</v>
      </c>
      <c r="T24" s="7" t="s">
        <v>451</v>
      </c>
      <c r="U24" s="7"/>
      <c r="V24" s="7"/>
      <c r="W24" s="7"/>
      <c r="X24" s="7"/>
      <c r="Y24" s="7"/>
      <c r="Z24" s="7"/>
      <c r="AA24" s="7"/>
      <c r="AB24" s="7"/>
      <c r="AC24" s="7"/>
      <c r="AD24" s="7"/>
      <c r="AE24" t="s">
        <v>20</v>
      </c>
      <c r="AF24" t="s">
        <v>20</v>
      </c>
      <c r="AH24">
        <v>0</v>
      </c>
    </row>
    <row r="25" spans="1:34" ht="29">
      <c r="A25" t="s">
        <v>102</v>
      </c>
      <c r="B25" s="3" t="s">
        <v>235</v>
      </c>
      <c r="C25" s="3" t="s">
        <v>236</v>
      </c>
      <c r="G25" s="7" t="s">
        <v>25</v>
      </c>
      <c r="H25" s="7"/>
      <c r="I25" s="7">
        <v>1</v>
      </c>
      <c r="J25" s="7">
        <v>1</v>
      </c>
      <c r="K25" s="7" t="s">
        <v>331</v>
      </c>
      <c r="L25" s="7" t="s">
        <v>373</v>
      </c>
      <c r="M25" s="7"/>
      <c r="N25" s="8"/>
      <c r="O25" s="7"/>
      <c r="P25" s="7">
        <v>2475</v>
      </c>
      <c r="Q25" s="7">
        <f t="shared" si="0"/>
        <v>1216.9338184678927</v>
      </c>
      <c r="R25" s="7"/>
      <c r="S25" s="7" t="s">
        <v>451</v>
      </c>
      <c r="T25" s="7" t="s">
        <v>451</v>
      </c>
      <c r="U25" s="7"/>
      <c r="V25" s="7"/>
      <c r="W25" s="7"/>
      <c r="X25" s="7"/>
      <c r="Y25" s="7"/>
      <c r="Z25" s="7"/>
      <c r="AA25" s="7"/>
      <c r="AB25" s="7"/>
      <c r="AC25" s="7"/>
      <c r="AD25" s="7"/>
      <c r="AE25" t="s">
        <v>19</v>
      </c>
      <c r="AF25" t="s">
        <v>19</v>
      </c>
      <c r="AH25">
        <v>1</v>
      </c>
    </row>
    <row r="26" spans="1:34" ht="29">
      <c r="A26" t="s">
        <v>103</v>
      </c>
      <c r="B26" s="3" t="s">
        <v>237</v>
      </c>
      <c r="C26" s="3" t="s">
        <v>238</v>
      </c>
      <c r="G26" s="7" t="s">
        <v>25</v>
      </c>
      <c r="H26" s="7"/>
      <c r="I26" s="7">
        <v>1</v>
      </c>
      <c r="J26" s="7">
        <v>1</v>
      </c>
      <c r="K26" s="7" t="s">
        <v>331</v>
      </c>
      <c r="L26" s="7" t="s">
        <v>373</v>
      </c>
      <c r="M26" s="7"/>
      <c r="N26" s="8"/>
      <c r="O26" s="7"/>
      <c r="P26" s="7">
        <v>2475</v>
      </c>
      <c r="Q26" s="7">
        <f t="shared" si="0"/>
        <v>1216.9338184678927</v>
      </c>
      <c r="R26" s="7"/>
      <c r="S26" s="7" t="s">
        <v>451</v>
      </c>
      <c r="T26" s="7" t="s">
        <v>451</v>
      </c>
      <c r="U26" s="7"/>
      <c r="V26" s="7"/>
      <c r="W26" s="7"/>
      <c r="X26" s="7"/>
      <c r="Y26" s="7"/>
      <c r="Z26" s="7"/>
      <c r="AA26" s="7"/>
      <c r="AB26" s="7"/>
      <c r="AC26" s="7"/>
      <c r="AD26" s="7"/>
      <c r="AE26" t="s">
        <v>19</v>
      </c>
      <c r="AF26" t="s">
        <v>20</v>
      </c>
      <c r="AH26">
        <v>1</v>
      </c>
    </row>
    <row r="27" spans="1:34" ht="43.5">
      <c r="A27" t="s">
        <v>106</v>
      </c>
      <c r="B27" s="3" t="s">
        <v>239</v>
      </c>
      <c r="C27" s="3" t="s">
        <v>240</v>
      </c>
      <c r="G27" s="7" t="s">
        <v>25</v>
      </c>
      <c r="H27" s="7"/>
      <c r="I27" s="7">
        <v>1</v>
      </c>
      <c r="J27" s="7">
        <v>2</v>
      </c>
      <c r="K27" s="7" t="s">
        <v>383</v>
      </c>
      <c r="L27" s="7" t="s">
        <v>373</v>
      </c>
      <c r="M27" s="7"/>
      <c r="N27" s="8"/>
      <c r="O27" s="7"/>
      <c r="P27" s="7">
        <v>295</v>
      </c>
      <c r="Q27" s="7">
        <f t="shared" si="0"/>
        <v>145.04867735273871</v>
      </c>
      <c r="R27" s="7"/>
      <c r="S27" s="7" t="s">
        <v>451</v>
      </c>
      <c r="T27" s="7" t="s">
        <v>451</v>
      </c>
      <c r="U27" s="7"/>
      <c r="V27" s="7"/>
      <c r="W27" s="7"/>
      <c r="X27" s="7"/>
      <c r="Y27" s="7"/>
      <c r="Z27" s="7"/>
      <c r="AA27" s="7"/>
      <c r="AB27" s="7"/>
      <c r="AC27" s="7"/>
      <c r="AD27" s="7"/>
      <c r="AE27" t="s">
        <v>19</v>
      </c>
      <c r="AF27" t="s">
        <v>19</v>
      </c>
      <c r="AH27">
        <v>1</v>
      </c>
    </row>
    <row r="28" spans="1:34" ht="58">
      <c r="A28" t="s">
        <v>109</v>
      </c>
      <c r="B28" s="3" t="s">
        <v>242</v>
      </c>
      <c r="C28" s="3" t="s">
        <v>241</v>
      </c>
      <c r="G28" s="7" t="s">
        <v>25</v>
      </c>
      <c r="H28" s="7"/>
      <c r="I28" s="7">
        <v>1</v>
      </c>
      <c r="J28" s="7">
        <v>3</v>
      </c>
      <c r="K28" s="7" t="s">
        <v>350</v>
      </c>
      <c r="L28" s="7" t="s">
        <v>332</v>
      </c>
      <c r="M28" s="7"/>
      <c r="N28" s="8"/>
      <c r="O28" s="7"/>
      <c r="P28" s="7">
        <v>210</v>
      </c>
      <c r="Q28" s="7">
        <f t="shared" si="0"/>
        <v>103.25499065788181</v>
      </c>
      <c r="R28" s="7"/>
      <c r="S28" s="7" t="s">
        <v>451</v>
      </c>
      <c r="T28" s="7" t="s">
        <v>451</v>
      </c>
      <c r="U28" s="7"/>
      <c r="V28" s="7"/>
      <c r="W28" s="7"/>
      <c r="X28" s="7"/>
      <c r="Y28" s="7"/>
      <c r="Z28" s="7"/>
      <c r="AA28" s="7"/>
      <c r="AB28" s="7"/>
      <c r="AC28" s="7"/>
      <c r="AD28" s="7"/>
      <c r="AE28" t="s">
        <v>19</v>
      </c>
      <c r="AF28" t="s">
        <v>20</v>
      </c>
      <c r="AH28">
        <v>1</v>
      </c>
    </row>
    <row r="29" spans="1:34" ht="72.5">
      <c r="A29" t="s">
        <v>112</v>
      </c>
      <c r="B29" s="3" t="s">
        <v>244</v>
      </c>
      <c r="C29" s="3" t="s">
        <v>243</v>
      </c>
      <c r="G29" s="7" t="s">
        <v>24</v>
      </c>
      <c r="H29" s="7"/>
      <c r="I29" s="7">
        <v>1</v>
      </c>
      <c r="J29" s="7">
        <v>3</v>
      </c>
      <c r="K29" s="7" t="s">
        <v>341</v>
      </c>
      <c r="L29" s="7" t="s">
        <v>332</v>
      </c>
      <c r="M29" s="7"/>
      <c r="N29" s="8"/>
      <c r="O29" s="7"/>
      <c r="P29" s="7">
        <v>1701</v>
      </c>
      <c r="Q29" s="7">
        <f t="shared" si="0"/>
        <v>836.36542432884255</v>
      </c>
      <c r="R29" s="7"/>
      <c r="S29" s="7" t="s">
        <v>451</v>
      </c>
      <c r="T29" s="7" t="s">
        <v>451</v>
      </c>
      <c r="U29" s="7"/>
      <c r="V29" s="7"/>
      <c r="W29" s="7"/>
      <c r="X29" s="7"/>
      <c r="Y29" s="7"/>
      <c r="Z29" s="7"/>
      <c r="AA29" s="7"/>
      <c r="AB29" s="7"/>
      <c r="AC29" s="7"/>
      <c r="AD29" s="7"/>
      <c r="AE29" t="s">
        <v>19</v>
      </c>
      <c r="AF29" t="s">
        <v>19</v>
      </c>
      <c r="AH29">
        <v>1</v>
      </c>
    </row>
    <row r="30" spans="1:34" ht="43.5">
      <c r="A30" t="s">
        <v>115</v>
      </c>
      <c r="B30" s="3" t="s">
        <v>250</v>
      </c>
      <c r="C30" s="3" t="s">
        <v>247</v>
      </c>
      <c r="G30" s="7" t="s">
        <v>25</v>
      </c>
      <c r="H30" s="7"/>
      <c r="I30" s="7">
        <v>1</v>
      </c>
      <c r="J30" s="7">
        <v>3</v>
      </c>
      <c r="K30" s="7" t="s">
        <v>348</v>
      </c>
      <c r="L30" s="7" t="s">
        <v>332</v>
      </c>
      <c r="M30" s="7"/>
      <c r="N30" s="8"/>
      <c r="O30" s="7"/>
      <c r="P30" s="7">
        <v>743</v>
      </c>
      <c r="Q30" s="7">
        <f t="shared" si="0"/>
        <v>365.32599075621988</v>
      </c>
      <c r="R30" s="7"/>
      <c r="S30" s="7" t="s">
        <v>451</v>
      </c>
      <c r="T30" s="7" t="s">
        <v>451</v>
      </c>
      <c r="U30" s="7"/>
      <c r="V30" s="7"/>
      <c r="W30" s="7"/>
      <c r="X30" s="7"/>
      <c r="Y30" s="7"/>
      <c r="Z30" s="7"/>
      <c r="AA30" s="7"/>
      <c r="AB30" s="7"/>
      <c r="AC30" s="7"/>
      <c r="AD30" s="7"/>
      <c r="AE30" t="s">
        <v>19</v>
      </c>
      <c r="AF30" t="s">
        <v>19</v>
      </c>
      <c r="AH30">
        <v>1</v>
      </c>
    </row>
    <row r="31" spans="1:34" ht="145">
      <c r="A31" t="s">
        <v>125</v>
      </c>
      <c r="B31" s="3" t="s">
        <v>261</v>
      </c>
      <c r="C31" s="3" t="s">
        <v>260</v>
      </c>
      <c r="G31" s="7" t="s">
        <v>25</v>
      </c>
      <c r="H31" s="7"/>
      <c r="I31" s="7">
        <v>7</v>
      </c>
      <c r="J31" s="7">
        <v>32</v>
      </c>
      <c r="K31" s="7"/>
      <c r="L31" s="7" t="s">
        <v>326</v>
      </c>
      <c r="M31" s="7" t="s">
        <v>395</v>
      </c>
      <c r="N31" s="8" t="s">
        <v>402</v>
      </c>
      <c r="O31" s="7"/>
      <c r="P31" s="7"/>
      <c r="Q31" s="7" t="str">
        <f t="shared" si="0"/>
        <v/>
      </c>
      <c r="R31" s="7"/>
      <c r="S31" s="7" t="s">
        <v>451</v>
      </c>
      <c r="T31" s="7" t="s">
        <v>451</v>
      </c>
      <c r="U31" s="7"/>
      <c r="V31" s="7"/>
      <c r="W31" s="7"/>
      <c r="X31" s="7"/>
      <c r="Y31" s="7"/>
      <c r="Z31" s="7"/>
      <c r="AA31" s="7"/>
      <c r="AB31" s="7"/>
      <c r="AC31" s="7"/>
      <c r="AD31" s="7"/>
      <c r="AE31" t="s">
        <v>20</v>
      </c>
      <c r="AF31" t="s">
        <v>20</v>
      </c>
      <c r="AH31">
        <v>0</v>
      </c>
    </row>
    <row r="32" spans="1:34" ht="159.5">
      <c r="A32" t="s">
        <v>129</v>
      </c>
      <c r="B32" s="3" t="s">
        <v>264</v>
      </c>
      <c r="C32" s="3" t="s">
        <v>267</v>
      </c>
      <c r="G32" s="7" t="s">
        <v>24</v>
      </c>
      <c r="H32" s="7"/>
      <c r="I32" s="7">
        <v>1</v>
      </c>
      <c r="J32" s="7">
        <v>3</v>
      </c>
      <c r="K32" s="7" t="s">
        <v>341</v>
      </c>
      <c r="L32" s="7" t="s">
        <v>332</v>
      </c>
      <c r="M32" s="7"/>
      <c r="N32" s="8"/>
      <c r="O32" s="7"/>
      <c r="P32" s="7">
        <v>86</v>
      </c>
      <c r="Q32" s="7">
        <f t="shared" si="0"/>
        <v>42.285377126561116</v>
      </c>
      <c r="R32" s="7"/>
      <c r="S32" s="7" t="s">
        <v>451</v>
      </c>
      <c r="T32" s="7" t="s">
        <v>451</v>
      </c>
      <c r="U32" s="7"/>
      <c r="V32" s="7"/>
      <c r="W32" s="7"/>
      <c r="X32" s="7"/>
      <c r="Y32" s="7"/>
      <c r="Z32" s="7"/>
      <c r="AA32" s="7"/>
      <c r="AB32" s="7"/>
      <c r="AC32" s="7"/>
      <c r="AD32" s="7"/>
      <c r="AE32" t="s">
        <v>19</v>
      </c>
      <c r="AF32" t="s">
        <v>19</v>
      </c>
      <c r="AH32">
        <v>1</v>
      </c>
    </row>
    <row r="33" spans="1:34" ht="101.5">
      <c r="A33" t="s">
        <v>129</v>
      </c>
      <c r="B33" s="3" t="s">
        <v>273</v>
      </c>
      <c r="C33" s="3" t="s">
        <v>270</v>
      </c>
      <c r="G33" s="7" t="s">
        <v>25</v>
      </c>
      <c r="H33" s="7"/>
      <c r="I33" s="7">
        <v>1</v>
      </c>
      <c r="J33" s="7">
        <v>9</v>
      </c>
      <c r="K33" s="7" t="s">
        <v>383</v>
      </c>
      <c r="L33" s="7" t="s">
        <v>332</v>
      </c>
      <c r="M33" s="7"/>
      <c r="N33" s="8"/>
      <c r="O33" s="7"/>
      <c r="P33" s="7">
        <v>18</v>
      </c>
      <c r="Q33" s="7">
        <f t="shared" si="0"/>
        <v>8.8504277706755818</v>
      </c>
      <c r="R33" s="7"/>
      <c r="S33" s="7" t="s">
        <v>451</v>
      </c>
      <c r="T33" s="7" t="s">
        <v>451</v>
      </c>
      <c r="U33" s="7"/>
      <c r="V33" s="7"/>
      <c r="W33" s="7"/>
      <c r="X33" s="7"/>
      <c r="Y33" s="7"/>
      <c r="Z33" s="7"/>
      <c r="AA33" s="7"/>
      <c r="AB33" s="7"/>
      <c r="AC33" s="7"/>
      <c r="AD33" s="7"/>
      <c r="AE33" t="s">
        <v>19</v>
      </c>
      <c r="AF33" t="s">
        <v>20</v>
      </c>
      <c r="AH33">
        <v>1</v>
      </c>
    </row>
    <row r="34" spans="1:34" ht="58">
      <c r="A34" t="s">
        <v>135</v>
      </c>
      <c r="B34" s="3" t="s">
        <v>278</v>
      </c>
      <c r="C34" s="3" t="s">
        <v>277</v>
      </c>
      <c r="G34" s="7" t="s">
        <v>25</v>
      </c>
      <c r="H34" s="7"/>
      <c r="I34" s="7">
        <v>1</v>
      </c>
      <c r="J34" s="7">
        <v>3</v>
      </c>
      <c r="K34" s="7" t="s">
        <v>331</v>
      </c>
      <c r="L34" s="7" t="s">
        <v>332</v>
      </c>
      <c r="M34" s="7"/>
      <c r="N34" s="8"/>
      <c r="O34" s="7"/>
      <c r="P34" s="7">
        <v>2475</v>
      </c>
      <c r="Q34" s="7">
        <f t="shared" si="0"/>
        <v>1216.9338184678927</v>
      </c>
      <c r="R34" s="7"/>
      <c r="S34" s="7" t="s">
        <v>451</v>
      </c>
      <c r="T34" s="7" t="s">
        <v>451</v>
      </c>
      <c r="U34" s="7"/>
      <c r="V34" s="7"/>
      <c r="W34" s="7"/>
      <c r="X34" s="7"/>
      <c r="Y34" s="7"/>
      <c r="Z34" s="7"/>
      <c r="AA34" s="7"/>
      <c r="AB34" s="7"/>
      <c r="AC34" s="7"/>
      <c r="AD34" s="7"/>
      <c r="AE34" t="s">
        <v>19</v>
      </c>
      <c r="AF34" t="s">
        <v>19</v>
      </c>
      <c r="AH34">
        <v>1</v>
      </c>
    </row>
    <row r="35" spans="1:34" ht="29">
      <c r="A35" t="s">
        <v>138</v>
      </c>
      <c r="B35" s="3" t="s">
        <v>282</v>
      </c>
      <c r="C35" s="3" t="s">
        <v>281</v>
      </c>
      <c r="G35" s="7" t="s">
        <v>25</v>
      </c>
      <c r="H35" s="7"/>
      <c r="I35" s="7">
        <v>1</v>
      </c>
      <c r="J35" s="7">
        <v>2</v>
      </c>
      <c r="K35" s="7" t="s">
        <v>341</v>
      </c>
      <c r="L35" s="7" t="s">
        <v>373</v>
      </c>
      <c r="M35" s="7"/>
      <c r="N35" s="8"/>
      <c r="O35" s="7"/>
      <c r="P35" s="7">
        <v>171</v>
      </c>
      <c r="Q35" s="7">
        <f t="shared" si="0"/>
        <v>84.079063821418046</v>
      </c>
      <c r="R35" s="7"/>
      <c r="S35" s="7" t="s">
        <v>451</v>
      </c>
      <c r="T35" s="7" t="s">
        <v>451</v>
      </c>
      <c r="U35" s="7"/>
      <c r="V35" s="7"/>
      <c r="W35" s="7"/>
      <c r="X35" s="7"/>
      <c r="Y35" s="7"/>
      <c r="Z35" s="7"/>
      <c r="AA35" s="7"/>
      <c r="AB35" s="7"/>
      <c r="AC35" s="7"/>
      <c r="AD35" s="7"/>
      <c r="AE35" t="s">
        <v>19</v>
      </c>
      <c r="AF35" t="s">
        <v>20</v>
      </c>
      <c r="AH35">
        <v>1</v>
      </c>
    </row>
    <row r="36" spans="1:34" ht="29">
      <c r="A36" t="s">
        <v>138</v>
      </c>
      <c r="B36" s="3" t="s">
        <v>284</v>
      </c>
      <c r="C36" s="3" t="s">
        <v>283</v>
      </c>
      <c r="G36" s="7" t="s">
        <v>25</v>
      </c>
      <c r="H36" s="7"/>
      <c r="I36" s="7">
        <v>1</v>
      </c>
      <c r="J36" s="7">
        <v>2</v>
      </c>
      <c r="K36" s="7" t="s">
        <v>350</v>
      </c>
      <c r="L36" s="7" t="s">
        <v>373</v>
      </c>
      <c r="M36" s="7"/>
      <c r="N36" s="8"/>
      <c r="O36" s="7"/>
      <c r="P36" s="7">
        <v>613</v>
      </c>
      <c r="Q36" s="7">
        <f t="shared" si="0"/>
        <v>301.40623463467404</v>
      </c>
      <c r="R36" s="7"/>
      <c r="S36" s="7" t="s">
        <v>451</v>
      </c>
      <c r="T36" s="7" t="s">
        <v>451</v>
      </c>
      <c r="U36" s="7"/>
      <c r="V36" s="7"/>
      <c r="W36" s="7"/>
      <c r="X36" s="7"/>
      <c r="Y36" s="7"/>
      <c r="Z36" s="7"/>
      <c r="AA36" s="7"/>
      <c r="AB36" s="7"/>
      <c r="AC36" s="7"/>
      <c r="AD36" s="7"/>
      <c r="AE36" t="s">
        <v>19</v>
      </c>
      <c r="AF36" t="s">
        <v>19</v>
      </c>
      <c r="AH36">
        <v>1</v>
      </c>
    </row>
    <row r="37" spans="1:34" ht="43.5">
      <c r="A37" t="s">
        <v>139</v>
      </c>
      <c r="B37" s="3" t="s">
        <v>289</v>
      </c>
      <c r="C37" s="3" t="s">
        <v>288</v>
      </c>
      <c r="G37" s="7" t="s">
        <v>25</v>
      </c>
      <c r="H37" s="7"/>
      <c r="I37" s="7">
        <v>1</v>
      </c>
      <c r="J37" s="7">
        <v>3</v>
      </c>
      <c r="K37" s="7" t="s">
        <v>341</v>
      </c>
      <c r="L37" s="7" t="s">
        <v>332</v>
      </c>
      <c r="M37" s="7"/>
      <c r="N37" s="8"/>
      <c r="O37" s="7"/>
      <c r="P37" s="7">
        <v>1701</v>
      </c>
      <c r="Q37" s="7">
        <f t="shared" si="0"/>
        <v>836.36542432884255</v>
      </c>
      <c r="R37" s="7"/>
      <c r="S37" s="7" t="s">
        <v>451</v>
      </c>
      <c r="T37" s="7" t="s">
        <v>451</v>
      </c>
      <c r="U37" s="7"/>
      <c r="V37" s="7"/>
      <c r="W37" s="7"/>
      <c r="X37" s="7"/>
      <c r="Y37" s="7"/>
      <c r="Z37" s="7"/>
      <c r="AA37" s="7"/>
      <c r="AB37" s="7"/>
      <c r="AC37" s="7"/>
      <c r="AD37" s="7"/>
      <c r="AE37" t="s">
        <v>19</v>
      </c>
      <c r="AF37" t="s">
        <v>19</v>
      </c>
      <c r="AH37">
        <v>1</v>
      </c>
    </row>
    <row r="38" spans="1:34" ht="29">
      <c r="A38" t="s">
        <v>141</v>
      </c>
      <c r="B38" s="3" t="s">
        <v>293</v>
      </c>
      <c r="C38" s="3" t="s">
        <v>292</v>
      </c>
      <c r="G38" s="7" t="s">
        <v>25</v>
      </c>
      <c r="H38" s="7"/>
      <c r="I38" s="7">
        <v>1</v>
      </c>
      <c r="J38" s="7">
        <v>3</v>
      </c>
      <c r="K38" s="7" t="s">
        <v>341</v>
      </c>
      <c r="L38" s="7" t="s">
        <v>332</v>
      </c>
      <c r="M38" s="7"/>
      <c r="N38" s="8"/>
      <c r="O38" s="7"/>
      <c r="P38" s="7">
        <v>1701</v>
      </c>
      <c r="Q38" s="7">
        <f t="shared" si="0"/>
        <v>836.36542432884255</v>
      </c>
      <c r="R38" s="7"/>
      <c r="S38" s="7" t="s">
        <v>451</v>
      </c>
      <c r="T38" s="7" t="s">
        <v>451</v>
      </c>
      <c r="U38" s="7"/>
      <c r="V38" s="7"/>
      <c r="W38" s="7"/>
      <c r="X38" s="7"/>
      <c r="Y38" s="7"/>
      <c r="Z38" s="7"/>
      <c r="AA38" s="7"/>
      <c r="AB38" s="7"/>
      <c r="AC38" s="7"/>
      <c r="AD38" s="7"/>
      <c r="AE38" t="s">
        <v>19</v>
      </c>
      <c r="AF38" t="s">
        <v>19</v>
      </c>
      <c r="AH38">
        <v>1</v>
      </c>
    </row>
    <row r="39" spans="1:34" ht="29">
      <c r="A39" t="s">
        <v>142</v>
      </c>
      <c r="B39" s="3" t="s">
        <v>294</v>
      </c>
      <c r="C39" s="3" t="s">
        <v>295</v>
      </c>
      <c r="G39" s="7" t="s">
        <v>25</v>
      </c>
      <c r="H39" s="7"/>
      <c r="I39" s="7">
        <v>1</v>
      </c>
      <c r="J39" s="7">
        <v>2</v>
      </c>
      <c r="K39" s="7" t="s">
        <v>377</v>
      </c>
      <c r="L39" s="7" t="s">
        <v>373</v>
      </c>
      <c r="M39" s="7"/>
      <c r="N39" s="8"/>
      <c r="O39" s="7"/>
      <c r="P39" s="7">
        <v>10</v>
      </c>
      <c r="Q39" s="7">
        <f t="shared" si="0"/>
        <v>4.9169043170419897</v>
      </c>
      <c r="R39" s="7"/>
      <c r="S39" s="7" t="s">
        <v>451</v>
      </c>
      <c r="T39" s="7" t="s">
        <v>451</v>
      </c>
      <c r="U39" s="7"/>
      <c r="V39" s="7"/>
      <c r="W39" s="7"/>
      <c r="X39" s="7"/>
      <c r="Y39" s="7"/>
      <c r="Z39" s="7"/>
      <c r="AA39" s="7"/>
      <c r="AB39" s="7"/>
      <c r="AC39" s="7"/>
      <c r="AD39" s="7"/>
      <c r="AE39" t="s">
        <v>19</v>
      </c>
      <c r="AF39" t="s">
        <v>20</v>
      </c>
      <c r="AH39">
        <v>1</v>
      </c>
    </row>
    <row r="40" spans="1:34" ht="29">
      <c r="A40" t="s">
        <v>147</v>
      </c>
      <c r="B40" s="3" t="s">
        <v>305</v>
      </c>
      <c r="C40" s="3" t="s">
        <v>304</v>
      </c>
      <c r="G40" s="7" t="s">
        <v>25</v>
      </c>
      <c r="H40" s="7"/>
      <c r="I40" s="7">
        <v>1</v>
      </c>
      <c r="J40" s="7">
        <v>1</v>
      </c>
      <c r="K40" s="7" t="s">
        <v>331</v>
      </c>
      <c r="L40" s="7" t="s">
        <v>373</v>
      </c>
      <c r="M40" s="7"/>
      <c r="N40" s="8"/>
      <c r="O40" s="7"/>
      <c r="P40" s="7">
        <v>2475</v>
      </c>
      <c r="Q40" s="7">
        <f t="shared" si="0"/>
        <v>1216.9338184678927</v>
      </c>
      <c r="R40" s="7"/>
      <c r="S40" s="7" t="s">
        <v>451</v>
      </c>
      <c r="T40" s="7" t="s">
        <v>451</v>
      </c>
      <c r="U40" s="7"/>
      <c r="V40" s="7"/>
      <c r="W40" s="7"/>
      <c r="X40" s="7"/>
      <c r="Y40" s="7"/>
      <c r="Z40" s="7"/>
      <c r="AA40" s="7"/>
      <c r="AB40" s="7"/>
      <c r="AC40" s="7"/>
      <c r="AD40" s="7"/>
      <c r="AE40" t="s">
        <v>19</v>
      </c>
      <c r="AF40" t="s">
        <v>19</v>
      </c>
      <c r="AH40">
        <v>1</v>
      </c>
    </row>
    <row r="41" spans="1:34" ht="29">
      <c r="A41" t="s">
        <v>147</v>
      </c>
      <c r="B41" s="3" t="s">
        <v>306</v>
      </c>
      <c r="C41" s="3" t="s">
        <v>307</v>
      </c>
      <c r="G41" s="7" t="s">
        <v>25</v>
      </c>
      <c r="H41" s="7"/>
      <c r="I41" s="7">
        <v>1</v>
      </c>
      <c r="J41" s="7">
        <v>1</v>
      </c>
      <c r="K41" s="7" t="s">
        <v>331</v>
      </c>
      <c r="L41" s="7" t="s">
        <v>373</v>
      </c>
      <c r="M41" s="7"/>
      <c r="N41" s="8"/>
      <c r="O41" s="7"/>
      <c r="P41" s="7">
        <v>2475</v>
      </c>
      <c r="Q41" s="7">
        <f t="shared" si="0"/>
        <v>1216.9338184678927</v>
      </c>
      <c r="R41" s="7"/>
      <c r="S41" s="7" t="s">
        <v>451</v>
      </c>
      <c r="T41" s="7" t="s">
        <v>451</v>
      </c>
      <c r="U41" s="7"/>
      <c r="V41" s="7"/>
      <c r="W41" s="7"/>
      <c r="X41" s="7"/>
      <c r="Y41" s="7"/>
      <c r="Z41" s="7"/>
      <c r="AA41" s="7"/>
      <c r="AB41" s="7"/>
      <c r="AC41" s="7"/>
      <c r="AD41" s="7"/>
      <c r="AE41" t="s">
        <v>19</v>
      </c>
      <c r="AF41" t="s">
        <v>19</v>
      </c>
      <c r="AH41">
        <v>1</v>
      </c>
    </row>
    <row r="42" spans="1:34" ht="58">
      <c r="A42" t="s">
        <v>152</v>
      </c>
      <c r="B42" s="3" t="s">
        <v>308</v>
      </c>
      <c r="C42" s="3" t="s">
        <v>309</v>
      </c>
      <c r="F42" t="s">
        <v>19</v>
      </c>
      <c r="G42" s="7" t="s">
        <v>24</v>
      </c>
      <c r="H42" s="7"/>
      <c r="I42" s="7">
        <v>3</v>
      </c>
      <c r="J42" s="7">
        <v>16</v>
      </c>
      <c r="K42" s="7"/>
      <c r="L42" s="7" t="s">
        <v>332</v>
      </c>
      <c r="M42" s="7"/>
      <c r="N42" s="8"/>
      <c r="O42" s="7" t="s">
        <v>333</v>
      </c>
      <c r="P42" s="7">
        <v>9</v>
      </c>
      <c r="Q42" s="7">
        <f t="shared" si="0"/>
        <v>4.4252138853377909</v>
      </c>
      <c r="R42" s="7"/>
      <c r="S42" s="7" t="s">
        <v>451</v>
      </c>
      <c r="T42" s="7" t="s">
        <v>451</v>
      </c>
      <c r="U42" s="7"/>
      <c r="V42" s="7"/>
      <c r="W42" s="7"/>
      <c r="X42" s="7"/>
      <c r="Y42" s="7"/>
      <c r="Z42" s="7"/>
      <c r="AA42" s="7"/>
      <c r="AB42" s="7"/>
      <c r="AC42" s="7"/>
      <c r="AD42" s="7"/>
      <c r="AE42" t="s">
        <v>20</v>
      </c>
      <c r="AF42" t="s">
        <v>20</v>
      </c>
      <c r="AH42">
        <v>0</v>
      </c>
    </row>
    <row r="43" spans="1:34" ht="29">
      <c r="A43" t="s">
        <v>153</v>
      </c>
      <c r="B43" s="3" t="s">
        <v>307</v>
      </c>
      <c r="C43" s="3" t="s">
        <v>306</v>
      </c>
      <c r="G43" s="7" t="s">
        <v>24</v>
      </c>
      <c r="H43" s="7"/>
      <c r="I43" s="7">
        <v>1</v>
      </c>
      <c r="J43" s="7">
        <v>1</v>
      </c>
      <c r="K43" s="7" t="s">
        <v>331</v>
      </c>
      <c r="L43" s="7" t="s">
        <v>373</v>
      </c>
      <c r="M43" s="7"/>
      <c r="N43" s="8"/>
      <c r="O43" s="7"/>
      <c r="P43" s="7">
        <v>2475</v>
      </c>
      <c r="Q43" s="7">
        <f t="shared" si="0"/>
        <v>1216.9338184678927</v>
      </c>
      <c r="R43" s="7"/>
      <c r="S43" s="7" t="s">
        <v>451</v>
      </c>
      <c r="T43" s="7" t="s">
        <v>451</v>
      </c>
      <c r="U43" s="7"/>
      <c r="V43" s="7"/>
      <c r="W43" s="7"/>
      <c r="X43" s="7"/>
      <c r="Y43" s="7"/>
      <c r="Z43" s="7"/>
      <c r="AA43" s="7"/>
      <c r="AB43" s="7"/>
      <c r="AC43" s="7"/>
      <c r="AD43" s="7"/>
      <c r="AE43" t="s">
        <v>19</v>
      </c>
      <c r="AF43" t="s">
        <v>19</v>
      </c>
      <c r="AH43">
        <v>1</v>
      </c>
    </row>
    <row r="44" spans="1:34">
      <c r="S44" s="7"/>
      <c r="T44" s="7"/>
    </row>
    <row r="45" spans="1:34">
      <c r="S45" s="7"/>
      <c r="T45" s="7"/>
    </row>
    <row r="46" spans="1:34">
      <c r="E46" t="s">
        <v>420</v>
      </c>
      <c r="F46">
        <f>COUNTIF(G:G,"Addition")</f>
        <v>14</v>
      </c>
      <c r="S46" s="7"/>
      <c r="T46" s="7"/>
    </row>
    <row r="47" spans="1:34">
      <c r="B47" t="s">
        <v>423</v>
      </c>
      <c r="C47" t="s">
        <v>424</v>
      </c>
      <c r="E47" t="s">
        <v>421</v>
      </c>
      <c r="F47">
        <f>COUNTIF(G:G,"Omission")</f>
        <v>28</v>
      </c>
      <c r="S47" s="7"/>
      <c r="T47" s="7"/>
    </row>
    <row r="48" spans="1:34">
      <c r="B48" t="s">
        <v>331</v>
      </c>
      <c r="C48" t="s">
        <v>325</v>
      </c>
      <c r="E48" t="s">
        <v>422</v>
      </c>
      <c r="F48">
        <f>F46/(F46+F47)</f>
        <v>0.33333333333333331</v>
      </c>
      <c r="S48" s="7"/>
      <c r="T48" s="7"/>
    </row>
    <row r="49" spans="2:20">
      <c r="B49" t="s">
        <v>341</v>
      </c>
      <c r="C49" t="s">
        <v>337</v>
      </c>
      <c r="S49" s="7"/>
      <c r="T49" s="7"/>
    </row>
    <row r="50" spans="2:20">
      <c r="B50" t="s">
        <v>348</v>
      </c>
      <c r="C50" t="s">
        <v>346</v>
      </c>
      <c r="S50" s="7"/>
      <c r="T50" s="7"/>
    </row>
    <row r="51" spans="2:20">
      <c r="B51" t="s">
        <v>350</v>
      </c>
      <c r="C51" t="s">
        <v>352</v>
      </c>
      <c r="E51" t="s">
        <v>425</v>
      </c>
      <c r="F51">
        <f>COUNTIFS(G:G,"Addition", K:K,"Article")+COUNTIFS(G:G,"Addition", K:K,"Conjunction")+COUNTIFS(G:G,"Addition", K:K,"Pronoun")+COUNTIFS(G:G,"Addition", K:K,"Preposition")+COUNTIFS(G:G,"Addition", K:K,"Particle")+COUNTIFS(G:G,"Addition", K:K,"Vocative")</f>
        <v>12</v>
      </c>
      <c r="S51" s="7"/>
      <c r="T51" s="7"/>
    </row>
    <row r="52" spans="2:20">
      <c r="B52" t="s">
        <v>377</v>
      </c>
      <c r="C52" t="s">
        <v>383</v>
      </c>
      <c r="E52" t="s">
        <v>426</v>
      </c>
      <c r="F52">
        <f>COUNTIFS(G:G,"Omission", K:K,"Article")+COUNTIFS(G:G,"Omission", K:K,"Conjunction")+COUNTIFS(G:G,"Omission", K:K,"Pronoun")+COUNTIFS(G:G,"Omission", K:K,"Preposition")+COUNTIFS(G:G,"Omission", K:K,"Particle")+COUNTIFS(G:G,"Omission", K:K,"Vocative")</f>
        <v>22</v>
      </c>
      <c r="S52" s="7"/>
      <c r="T52" s="7"/>
    </row>
    <row r="53" spans="2:20">
      <c r="B53" t="s">
        <v>353</v>
      </c>
      <c r="E53" t="s">
        <v>427</v>
      </c>
      <c r="F53">
        <f>F51/(F51+F52)</f>
        <v>0.35294117647058826</v>
      </c>
      <c r="S53" s="7"/>
      <c r="T53" s="7"/>
    </row>
    <row r="54" spans="2:20">
      <c r="S54" s="7"/>
      <c r="T54" s="7"/>
    </row>
    <row r="55" spans="2:20">
      <c r="S55" s="7"/>
      <c r="T55" s="7"/>
    </row>
    <row r="56" spans="2:20">
      <c r="E56" t="s">
        <v>432</v>
      </c>
      <c r="F56">
        <f>COUNTIFS(G:G,"Addition", K:K,"Adjective")+COUNTIFS(G:G,"Addition", K:K,"Adverb")+COUNTIFS(G:G,"Addition", K:K,"Noun")+COUNTIFS(G:G,"Addition", K:K,"Participle")+COUNTIFS(G:G,"Addition", K:K,"Verb")</f>
        <v>1</v>
      </c>
      <c r="S56" s="7"/>
      <c r="T56" s="7"/>
    </row>
    <row r="57" spans="2:20">
      <c r="E57" t="s">
        <v>433</v>
      </c>
      <c r="F57">
        <f>COUNTIFS(G:G,"Omission", K:K,"Adjective")+COUNTIFS(G:G,"Omission", K:K,"Adverb")+COUNTIFS(G:G,"Omission", K:K,"Noun")+COUNTIFS(G:G,"Omission", K:K,"Participle")+COUNTIFS(G:G,"Omission", K:K,"Verb")</f>
        <v>3</v>
      </c>
      <c r="S57" s="7"/>
      <c r="T57" s="7"/>
    </row>
    <row r="58" spans="2:20">
      <c r="E58" t="s">
        <v>434</v>
      </c>
      <c r="F58">
        <f>F56/(F56+F57)</f>
        <v>0.25</v>
      </c>
      <c r="S58" s="7"/>
      <c r="T58" s="7"/>
    </row>
    <row r="59" spans="2:20">
      <c r="E59" t="s">
        <v>439</v>
      </c>
      <c r="F59">
        <f>F58-F53</f>
        <v>-0.10294117647058826</v>
      </c>
      <c r="S59" s="7"/>
      <c r="T59" s="7"/>
    </row>
    <row r="60" spans="2:20">
      <c r="S60" s="7"/>
      <c r="T60" s="7"/>
    </row>
    <row r="61" spans="2:20">
      <c r="S61" s="7"/>
      <c r="T61" s="7"/>
    </row>
    <row r="62" spans="2:20">
      <c r="D62" s="11" t="s">
        <v>435</v>
      </c>
      <c r="E62" s="11"/>
      <c r="F62" s="11"/>
      <c r="S62" s="7"/>
      <c r="T62" s="7"/>
    </row>
    <row r="63" spans="2:20">
      <c r="D63" t="s">
        <v>326</v>
      </c>
      <c r="E63" t="s">
        <v>436</v>
      </c>
      <c r="F63" t="s">
        <v>437</v>
      </c>
      <c r="S63" s="7"/>
      <c r="T63" s="7"/>
    </row>
    <row r="64" spans="2:20">
      <c r="C64" t="s">
        <v>429</v>
      </c>
      <c r="D64">
        <f>COUNTIFS(G:G,"Addition", L:L, "Present")</f>
        <v>1</v>
      </c>
      <c r="E64">
        <f>COUNTIFS(G:G,"Addition", L:L, "Absent")</f>
        <v>8</v>
      </c>
      <c r="F64">
        <f>D64/(D64+E64)</f>
        <v>0.1111111111111111</v>
      </c>
      <c r="S64" s="7"/>
      <c r="T64" s="7"/>
    </row>
    <row r="65" spans="3:20">
      <c r="C65" t="s">
        <v>430</v>
      </c>
      <c r="D65">
        <f>COUNTIFS(G:G,"Omission", L:L, "Present")</f>
        <v>5</v>
      </c>
      <c r="E65">
        <f>COUNTIFS(G:G,"Omission", L:L, "Absent")</f>
        <v>10</v>
      </c>
      <c r="F65">
        <f>D65/(D65+E65)</f>
        <v>0.33333333333333331</v>
      </c>
      <c r="S65" s="7"/>
      <c r="T65" s="7"/>
    </row>
    <row r="66" spans="3:20">
      <c r="C66" t="s">
        <v>438</v>
      </c>
      <c r="D66">
        <f>SUM(D64+D65)</f>
        <v>6</v>
      </c>
      <c r="E66">
        <f>SUM(E64+E65)</f>
        <v>18</v>
      </c>
      <c r="F66">
        <f>D66/(D66+E66)</f>
        <v>0.25</v>
      </c>
      <c r="S66" s="7"/>
      <c r="T66" s="7"/>
    </row>
    <row r="67" spans="3:20">
      <c r="S67" s="7"/>
      <c r="T67" s="7"/>
    </row>
    <row r="68" spans="3:20">
      <c r="S68" s="7"/>
      <c r="T68" s="7"/>
    </row>
    <row r="69" spans="3:20">
      <c r="D69" t="s">
        <v>429</v>
      </c>
      <c r="E69" t="s">
        <v>430</v>
      </c>
      <c r="F69" t="s">
        <v>442</v>
      </c>
      <c r="S69" s="7"/>
      <c r="T69" s="7"/>
    </row>
    <row r="70" spans="3:20">
      <c r="C70" t="s">
        <v>441</v>
      </c>
      <c r="D70">
        <f>COUNTIFS(G:G,"Addition", L:L, "Absent")</f>
        <v>8</v>
      </c>
      <c r="E70">
        <f>COUNTIFS(G:G,"Omission", L:L, "Absent")</f>
        <v>10</v>
      </c>
      <c r="F70">
        <f>D70/(D70+E70)</f>
        <v>0.44444444444444442</v>
      </c>
      <c r="S70" s="7"/>
      <c r="T70" s="7"/>
    </row>
    <row r="71" spans="3:20">
      <c r="C71" t="s">
        <v>440</v>
      </c>
      <c r="D71">
        <f>COUNTIFS(G:G,"Addition", L:L, "Present")</f>
        <v>1</v>
      </c>
      <c r="E71">
        <f>COUNTIFS(G:G,"Omission", L:L, "Present")</f>
        <v>5</v>
      </c>
      <c r="F71">
        <f>D71/(D71+E71)</f>
        <v>0.16666666666666666</v>
      </c>
      <c r="S71" s="7"/>
      <c r="T71" s="7"/>
    </row>
    <row r="72" spans="3:20">
      <c r="E72" t="s">
        <v>495</v>
      </c>
      <c r="F72">
        <f>F71-F70</f>
        <v>-0.27777777777777779</v>
      </c>
      <c r="S72" s="7"/>
      <c r="T72" s="7"/>
    </row>
    <row r="73" spans="3:20">
      <c r="S73" s="7"/>
      <c r="T73" s="7"/>
    </row>
    <row r="74" spans="3:20">
      <c r="S74" s="7"/>
      <c r="T74" s="7"/>
    </row>
    <row r="75" spans="3:20">
      <c r="D75" t="s">
        <v>429</v>
      </c>
      <c r="E75" t="s">
        <v>430</v>
      </c>
      <c r="F75" t="s">
        <v>442</v>
      </c>
      <c r="S75" s="7"/>
      <c r="T75" s="7"/>
    </row>
    <row r="76" spans="3:20">
      <c r="C76" t="s">
        <v>443</v>
      </c>
      <c r="D76">
        <f>COUNTIFS(G:G,"Addition", O:O, "")</f>
        <v>13</v>
      </c>
      <c r="E76">
        <f>COUNTIFS(G:G,"Omission", O:O, "")</f>
        <v>27</v>
      </c>
      <c r="F76">
        <f>D76/(D76+E76)</f>
        <v>0.32500000000000001</v>
      </c>
      <c r="S76" s="7"/>
      <c r="T76" s="7"/>
    </row>
    <row r="77" spans="3:20">
      <c r="C77" t="s">
        <v>444</v>
      </c>
      <c r="D77">
        <f>COUNTIFS(G:G,"Addition", O:O, "Dittography")</f>
        <v>0</v>
      </c>
      <c r="E77">
        <f>COUNTIFS(G:G,"Omission", O:O, "Dittography")</f>
        <v>1</v>
      </c>
      <c r="F77">
        <f>D77/(D77+E77)</f>
        <v>0</v>
      </c>
      <c r="S77" s="7"/>
      <c r="T77" s="7"/>
    </row>
    <row r="78" spans="3:20">
      <c r="E78" t="s">
        <v>495</v>
      </c>
      <c r="F78">
        <f>F77-F76</f>
        <v>-0.32500000000000001</v>
      </c>
      <c r="S78" s="7"/>
      <c r="T78" s="7"/>
    </row>
    <row r="79" spans="3:20">
      <c r="S79" s="7"/>
      <c r="T79" s="7"/>
    </row>
    <row r="80" spans="3:20">
      <c r="S80" s="7"/>
      <c r="T80" s="7"/>
    </row>
    <row r="81" spans="3:20">
      <c r="C81" t="s">
        <v>428</v>
      </c>
      <c r="D81" t="s">
        <v>429</v>
      </c>
      <c r="E81" t="s">
        <v>430</v>
      </c>
      <c r="F81" t="s">
        <v>442</v>
      </c>
      <c r="S81" s="7"/>
      <c r="T81" s="7"/>
    </row>
    <row r="82" spans="3:20">
      <c r="C82" s="9">
        <v>1</v>
      </c>
      <c r="D82">
        <f>COUNTIFS(G:G,"Addition", I:I, 1)</f>
        <v>13</v>
      </c>
      <c r="E82">
        <f>COUNTIFS(G:G,"Omission", I:I, 1)</f>
        <v>25</v>
      </c>
      <c r="F82">
        <f>D82/(D82+E82)</f>
        <v>0.34210526315789475</v>
      </c>
      <c r="S82" s="7"/>
      <c r="T82" s="7"/>
    </row>
    <row r="83" spans="3:20">
      <c r="C83" s="9" t="s">
        <v>445</v>
      </c>
      <c r="D83">
        <f>COUNTIFS(G:G,"Addition", I:I, "&gt;=2", I:I, "&lt;=3")</f>
        <v>1</v>
      </c>
      <c r="E83">
        <f>COUNTIFS(G:G,"Omission", I:I, "&gt;=2", I:I, "&lt;=3")</f>
        <v>0</v>
      </c>
      <c r="F83">
        <f t="shared" ref="F83:F84" si="1">D83/(D83+E83)</f>
        <v>1</v>
      </c>
      <c r="S83" s="7"/>
      <c r="T83" s="7"/>
    </row>
    <row r="84" spans="3:20">
      <c r="C84" s="9" t="s">
        <v>446</v>
      </c>
      <c r="D84">
        <f>COUNTIFS(G:G,"Addition", I:I, "&gt;=4")</f>
        <v>0</v>
      </c>
      <c r="E84">
        <f>COUNTIFS(G:G,"Omission", I:I, "&gt;=4")</f>
        <v>3</v>
      </c>
      <c r="F84">
        <f t="shared" si="1"/>
        <v>0</v>
      </c>
      <c r="S84" s="7"/>
      <c r="T84" s="7"/>
    </row>
    <row r="85" spans="3:20">
      <c r="S85" s="7"/>
      <c r="T85" s="7"/>
    </row>
    <row r="86" spans="3:20">
      <c r="S86" s="7"/>
      <c r="T86" s="7"/>
    </row>
    <row r="87" spans="3:20">
      <c r="C87" t="s">
        <v>428</v>
      </c>
      <c r="D87" t="s">
        <v>429</v>
      </c>
      <c r="E87" t="s">
        <v>430</v>
      </c>
      <c r="F87" t="s">
        <v>431</v>
      </c>
      <c r="S87" s="7"/>
      <c r="T87" s="7"/>
    </row>
    <row r="88" spans="3:20">
      <c r="C88">
        <v>1</v>
      </c>
      <c r="D88" s="9">
        <f>COUNTIFS(G:G,"Addition", I:I, C88)</f>
        <v>13</v>
      </c>
      <c r="E88">
        <f>COUNTIFS(G:G,"Omission", I:I, C88)</f>
        <v>25</v>
      </c>
      <c r="F88">
        <f>D88/(D88+E88)</f>
        <v>0.34210526315789475</v>
      </c>
      <c r="S88" s="7"/>
      <c r="T88" s="7"/>
    </row>
    <row r="89" spans="3:20">
      <c r="C89">
        <v>2</v>
      </c>
      <c r="D89" s="9">
        <f>COUNTIFS(G:G,"Addition", I:I, C89)</f>
        <v>0</v>
      </c>
      <c r="E89">
        <f>COUNTIFS(G:G,"Omission", I:I, C89)</f>
        <v>0</v>
      </c>
      <c r="F89" t="e">
        <f t="shared" ref="F89:F92" si="2">D89/(D89+E89)</f>
        <v>#DIV/0!</v>
      </c>
      <c r="S89" s="7"/>
      <c r="T89" s="7"/>
    </row>
    <row r="90" spans="3:20">
      <c r="C90">
        <v>3</v>
      </c>
      <c r="D90" s="9">
        <f>COUNTIFS(G:G,"Addition", I:I, C90)</f>
        <v>1</v>
      </c>
      <c r="E90">
        <f>COUNTIFS(G:G,"Omission", I:I, C90)</f>
        <v>0</v>
      </c>
      <c r="F90">
        <f t="shared" si="2"/>
        <v>1</v>
      </c>
      <c r="S90" s="7"/>
      <c r="T90" s="7"/>
    </row>
    <row r="91" spans="3:20">
      <c r="C91">
        <v>4</v>
      </c>
      <c r="D91" s="9">
        <f>COUNTIFS(G:G,"Addition", I:I, C91)</f>
        <v>0</v>
      </c>
      <c r="E91">
        <f>COUNTIFS(G:G,"Omission", I:I, C91)</f>
        <v>0</v>
      </c>
      <c r="F91" t="e">
        <f t="shared" si="2"/>
        <v>#DIV/0!</v>
      </c>
      <c r="S91" s="7"/>
      <c r="T91" s="7"/>
    </row>
    <row r="92" spans="3:20">
      <c r="C92" t="s">
        <v>447</v>
      </c>
      <c r="D92" s="9">
        <f>COUNTIFS(G:G,"Addition", I:I, C92)</f>
        <v>0</v>
      </c>
      <c r="E92">
        <f>COUNTIFS(G:G,"Omission", I:I, C92)</f>
        <v>3</v>
      </c>
      <c r="F92">
        <f t="shared" si="2"/>
        <v>0</v>
      </c>
      <c r="S92" s="7"/>
      <c r="T92" s="7"/>
    </row>
    <row r="93" spans="3:20">
      <c r="D93" s="9"/>
      <c r="S93" s="7"/>
      <c r="T93" s="7"/>
    </row>
    <row r="94" spans="3:20">
      <c r="S94" s="7"/>
      <c r="T94" s="7"/>
    </row>
    <row r="95" spans="3:20">
      <c r="E95" t="s">
        <v>448</v>
      </c>
      <c r="F95">
        <v>20338</v>
      </c>
      <c r="S95" s="7"/>
      <c r="T95" s="7"/>
    </row>
    <row r="96" spans="3:20">
      <c r="S96" s="7"/>
      <c r="T96" s="7"/>
    </row>
    <row r="97" spans="19:20">
      <c r="S97" s="7"/>
      <c r="T97" s="7"/>
    </row>
    <row r="98" spans="19:20">
      <c r="S98" s="7"/>
      <c r="T98" s="7"/>
    </row>
    <row r="99" spans="19:20">
      <c r="S99" s="7"/>
      <c r="T99" s="7"/>
    </row>
    <row r="100" spans="19:20">
      <c r="S100" s="7"/>
      <c r="T100" s="7"/>
    </row>
    <row r="101" spans="19:20">
      <c r="S101" s="7"/>
      <c r="T101" s="7"/>
    </row>
    <row r="102" spans="19:20">
      <c r="S102" s="7"/>
      <c r="T102" s="7"/>
    </row>
    <row r="103" spans="19:20">
      <c r="S103" s="7"/>
      <c r="T103" s="7"/>
    </row>
    <row r="104" spans="19:20">
      <c r="S104" s="7"/>
      <c r="T104" s="7"/>
    </row>
    <row r="105" spans="19:20">
      <c r="S105" s="7"/>
      <c r="T105" s="7"/>
    </row>
    <row r="106" spans="19:20">
      <c r="S106" s="7"/>
      <c r="T106" s="7"/>
    </row>
    <row r="107" spans="19:20">
      <c r="S107" s="7"/>
      <c r="T107" s="7"/>
    </row>
    <row r="108" spans="19:20">
      <c r="S108" s="7"/>
      <c r="T108" s="7"/>
    </row>
    <row r="109" spans="19:20">
      <c r="S109" s="7"/>
      <c r="T109" s="7"/>
    </row>
    <row r="110" spans="19:20">
      <c r="S110" s="7"/>
      <c r="T110" s="7"/>
    </row>
    <row r="111" spans="19:20">
      <c r="S111" s="7"/>
      <c r="T111" s="7"/>
    </row>
    <row r="112" spans="19:20">
      <c r="S112" s="7"/>
      <c r="T112" s="7"/>
    </row>
  </sheetData>
  <mergeCells count="1">
    <mergeCell ref="D62:F62"/>
  </mergeCells>
  <conditionalFormatting sqref="G2:G43">
    <cfRule type="expression" dxfId="279" priority="7">
      <formula>$I2&lt;&gt;""</formula>
    </cfRule>
    <cfRule type="expression" dxfId="278" priority="8">
      <formula>$I2=""</formula>
    </cfRule>
  </conditionalFormatting>
  <conditionalFormatting sqref="H2:L43 O2:P43">
    <cfRule type="expression" dxfId="277" priority="21">
      <formula>AND(OR($I2="Addition",$I2="Omission"), H2="")</formula>
    </cfRule>
    <cfRule type="expression" dxfId="276" priority="22">
      <formula>AND($I2&lt;&gt;"Addition",$I2&lt;&gt;"Omission",$I2&lt;&gt;"Substitution - Word")</formula>
    </cfRule>
  </conditionalFormatting>
  <conditionalFormatting sqref="H2:P43">
    <cfRule type="expression" dxfId="275" priority="20">
      <formula>AND(OR($I2="Addition",$I2="Omission"), H2&lt;&gt;"")</formula>
    </cfRule>
  </conditionalFormatting>
  <conditionalFormatting sqref="K2:K43">
    <cfRule type="expression" dxfId="274" priority="18">
      <formula>AND($K2&lt;&gt;"",$K2&gt;1)</formula>
    </cfRule>
  </conditionalFormatting>
  <conditionalFormatting sqref="M2:N43">
    <cfRule type="expression" dxfId="273" priority="14">
      <formula>$N2="Absent"</formula>
    </cfRule>
    <cfRule type="expression" dxfId="272" priority="15">
      <formula>$N2="NA"</formula>
    </cfRule>
    <cfRule type="expression" dxfId="271" priority="16">
      <formula>AND(OR($I2="Addition",$I2="Omission"), M2="")</formula>
    </cfRule>
    <cfRule type="expression" dxfId="270" priority="17">
      <formula>AND($I2&lt;&gt;"Addition",$I2&lt;&gt;"Omission")</formula>
    </cfRule>
  </conditionalFormatting>
  <conditionalFormatting sqref="O2:O43">
    <cfRule type="expression" dxfId="269" priority="19">
      <formula>OR($I2="Addition",$I2="Omission",$I2 = "Substitution - Word")</formula>
    </cfRule>
  </conditionalFormatting>
  <conditionalFormatting sqref="Q2:Q43">
    <cfRule type="expression" dxfId="268" priority="1">
      <formula>AND(OR($I2="Addition",$I2="Omission"), Q2&lt;&gt;"")</formula>
    </cfRule>
    <cfRule type="expression" dxfId="267" priority="2">
      <formula>AND(OR($I2="Addition",$I2="Omission"), Q2="")</formula>
    </cfRule>
    <cfRule type="expression" dxfId="266" priority="3">
      <formula>AND($I2&lt;&gt;"Addition",$I2&lt;&gt;"Omission",$I2&lt;&gt;"Substitution - Word")</formula>
    </cfRule>
  </conditionalFormatting>
  <conditionalFormatting sqref="R2:T43 S44:T112">
    <cfRule type="expression" dxfId="265" priority="4">
      <formula>AND(AND(LEFT($I2,3)="Sub", RIGHT($I2,4)&lt;&gt;"Form"),$T2&lt;&gt;"")</formula>
    </cfRule>
    <cfRule type="expression" dxfId="264" priority="5">
      <formula>AND(AND(LEFT($I2,3)="Sub", RIGHT($I2,4)&lt;&gt;"Form"),$T2="")</formula>
    </cfRule>
    <cfRule type="expression" dxfId="263" priority="6">
      <formula>"&lt;&gt;AND(LEFT($J2,3)=""Sub"", RIGHT($J2,4)&lt;&gt;""Form"")"</formula>
    </cfRule>
  </conditionalFormatting>
  <conditionalFormatting sqref="U2:U43">
    <cfRule type="expression" dxfId="262" priority="10">
      <formula>AND($W2&lt;&gt;"",OR($AD2="Yes",$AE2&lt;&gt;""))</formula>
    </cfRule>
    <cfRule type="expression" dxfId="261" priority="11">
      <formula>OR($AD2="Yes",$AE2&lt;&gt;"")</formula>
    </cfRule>
    <cfRule type="expression" dxfId="260" priority="25">
      <formula>AND($AD2&lt;&gt;"Yes",$AE2="")</formula>
    </cfRule>
  </conditionalFormatting>
  <conditionalFormatting sqref="U2:AD43">
    <cfRule type="expression" dxfId="259" priority="23">
      <formula>AND($I2&lt;&gt;"",$I2&lt;&gt;"Unclear due to correction")</formula>
    </cfRule>
    <cfRule type="expression" dxfId="258" priority="24">
      <formula>OR($I2="",$I2="Unclear due to correction")</formula>
    </cfRule>
  </conditionalFormatting>
  <conditionalFormatting sqref="V2:V43">
    <cfRule type="expression" dxfId="257" priority="9">
      <formula>AND($I2&lt;&gt;"",$I2&lt;&gt;"Unclear due to correction",$X2="")</formula>
    </cfRule>
  </conditionalFormatting>
  <conditionalFormatting sqref="W2:W43">
    <cfRule type="expression" dxfId="256" priority="12">
      <formula>AND($X2="Yes",$Y2="")</formula>
    </cfRule>
    <cfRule type="expression" dxfId="255" priority="13">
      <formula>$X2=""</formula>
    </cfRule>
  </conditionalFormatting>
  <conditionalFormatting sqref="AB2:AB43">
    <cfRule type="expression" dxfId="254" priority="26">
      <formula>AND(OR($AB2&lt;&gt;"",$AC2&lt;&gt;""),$AD2="")</formula>
    </cfRule>
  </conditionalFormatting>
  <dataValidations count="1">
    <dataValidation allowBlank="1" showInputMessage="1" sqref="V2:V43" xr:uid="{D6902746-1F82-4534-B3C2-946107E72E7F}"/>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5">
        <x14:dataValidation type="list" allowBlank="1" showInputMessage="1" showErrorMessage="1" xr:uid="{61092ACE-4CE5-4035-B1A4-FFD065D82F8D}">
          <x14:formula1>
            <xm:f>'Data Regularization'!$D$2:$D$1048576</xm:f>
          </x14:formula1>
          <xm:sqref>G2:G43</xm:sqref>
        </x14:dataValidation>
        <x14:dataValidation type="list" allowBlank="1" showInputMessage="1" showErrorMessage="1" xr:uid="{24411696-70E1-454B-8EEB-8E8F3BA40F5E}">
          <x14:formula1>
            <xm:f>'Data Regularization'!$E$2:$E$1048576</xm:f>
          </x14:formula1>
          <xm:sqref>K2:K43</xm:sqref>
        </x14:dataValidation>
        <x14:dataValidation type="list" allowBlank="1" showInputMessage="1" showErrorMessage="1" xr:uid="{BD755891-5C74-4D8A-8554-84F7B09E9395}">
          <x14:formula1>
            <xm:f>'Data Regularization'!$F$2:$F$1048576</xm:f>
          </x14:formula1>
          <xm:sqref>L2:L43</xm:sqref>
        </x14:dataValidation>
        <x14:dataValidation type="list" allowBlank="1" showInputMessage="1" showErrorMessage="1" xr:uid="{259002B1-4E31-4D9B-A927-5F96CCCC3327}">
          <x14:formula1>
            <xm:f>'Data Regularization'!$G$2:$G$1048576</xm:f>
          </x14:formula1>
          <xm:sqref>O2:O43</xm:sqref>
        </x14:dataValidation>
        <x14:dataValidation type="list" allowBlank="1" showInputMessage="1" showErrorMessage="1" xr:uid="{380F4392-57EF-4692-85DE-403E37D8100D}">
          <x14:formula1>
            <xm:f>'Data Regularization'!$J$2:$J$1048576</xm:f>
          </x14:formula1>
          <xm:sqref>U2:U43 W2:W43</xm:sqref>
        </x14:dataValidation>
        <x14:dataValidation type="list" allowBlank="1" showInputMessage="1" showErrorMessage="1" xr:uid="{FC5D931A-A2D2-42BA-AA7F-C3341333AA2B}">
          <x14:formula1>
            <xm:f>'Data Regularization'!$K$2:$K$1048576</xm:f>
          </x14:formula1>
          <xm:sqref>X2:X43</xm:sqref>
        </x14:dataValidation>
        <x14:dataValidation type="list" allowBlank="1" showInputMessage="1" showErrorMessage="1" xr:uid="{11C7590F-6026-4064-AC81-3A57A32DD135}">
          <x14:formula1>
            <xm:f>'Data Regularization'!$L$2:$L$1048576</xm:f>
          </x14:formula1>
          <xm:sqref>Y2:Y43</xm:sqref>
        </x14:dataValidation>
        <x14:dataValidation type="list" allowBlank="1" showInputMessage="1" showErrorMessage="1" xr:uid="{1685823D-8DB6-45C5-8DD8-2EBCB3421A44}">
          <x14:formula1>
            <xm:f>'Data Regularization'!$M$2:$M$1048576</xm:f>
          </x14:formula1>
          <xm:sqref>Z2:Z43</xm:sqref>
        </x14:dataValidation>
        <x14:dataValidation type="list" allowBlank="1" showInputMessage="1" showErrorMessage="1" xr:uid="{F2DA3C2F-619D-4179-80D3-D26C94D16253}">
          <x14:formula1>
            <xm:f>'Data Regularization'!$N$2:$N$1048576</xm:f>
          </x14:formula1>
          <xm:sqref>AB2:AB43</xm:sqref>
        </x14:dataValidation>
        <x14:dataValidation type="list" allowBlank="1" showInputMessage="1" showErrorMessage="1" xr:uid="{3D1076E6-3308-4CB7-9819-2F9E5BEA5CA6}">
          <x14:formula1>
            <xm:f>'Data Regularization'!$O$2:$O$1048576</xm:f>
          </x14:formula1>
          <xm:sqref>AC2:AC43</xm:sqref>
        </x14:dataValidation>
        <x14:dataValidation type="list" allowBlank="1" showInputMessage="1" showErrorMessage="1" xr:uid="{7CA3A2A1-BF41-44E3-AA42-2D39D252C40C}">
          <x14:formula1>
            <xm:f>'Data Regularization'!$P$2:$P$1048576</xm:f>
          </x14:formula1>
          <xm:sqref>AD2:AD43</xm:sqref>
        </x14:dataValidation>
        <x14:dataValidation type="list" allowBlank="1" showInputMessage="1" showErrorMessage="1" xr:uid="{433C2C66-0572-45BF-905B-346EC8EA9AEF}">
          <x14:formula1>
            <xm:f>'Data Regularization'!$C$2:$C$50</xm:f>
          </x14:formula1>
          <xm:sqref>F2:F43</xm:sqref>
        </x14:dataValidation>
        <x14:dataValidation type="list" allowBlank="1" showInputMessage="1" showErrorMessage="1" xr:uid="{5408AE52-33F9-403C-9842-72C046563CFB}">
          <x14:formula1>
            <xm:f>'Data Regularization'!$A$2:$A$1048576</xm:f>
          </x14:formula1>
          <xm:sqref>D2:D43</xm:sqref>
        </x14:dataValidation>
        <x14:dataValidation type="list" allowBlank="1" showInputMessage="1" showErrorMessage="1" xr:uid="{ED8DF416-A85C-408E-867C-A0E316068774}">
          <x14:formula1>
            <xm:f>'Data Regularization'!$B$2:$B$1048576</xm:f>
          </x14:formula1>
          <xm:sqref>E2:E43</xm:sqref>
        </x14:dataValidation>
        <x14:dataValidation type="list" allowBlank="1" showInputMessage="1" showErrorMessage="1" xr:uid="{28CA039E-CF90-4070-8DB7-6618F0092097}">
          <x14:formula1>
            <xm:f>'Data Regularization'!$P$2:$P$4</xm:f>
          </x14:formula1>
          <xm:sqref>AE2:AE43 AG2:AG43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EA3BF-7A71-4DF8-B449-F910DDF0C1F8}">
  <dimension ref="A1:AH54"/>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sheetData>
    <row r="1" spans="1:34" s="1" customFormat="1" ht="29">
      <c r="A1" s="1" t="s">
        <v>0</v>
      </c>
      <c r="B1" s="1" t="s">
        <v>5</v>
      </c>
      <c r="C1" s="2" t="s">
        <v>6</v>
      </c>
      <c r="D1" s="1" t="s">
        <v>354</v>
      </c>
      <c r="E1" s="1" t="s">
        <v>355</v>
      </c>
      <c r="F1" s="1" t="s">
        <v>356</v>
      </c>
      <c r="G1" s="1" t="s">
        <v>3</v>
      </c>
      <c r="H1" s="1" t="s">
        <v>357</v>
      </c>
      <c r="I1" s="1" t="s">
        <v>358</v>
      </c>
      <c r="J1" s="1" t="s">
        <v>359</v>
      </c>
      <c r="K1" s="1" t="s">
        <v>360</v>
      </c>
      <c r="L1" s="1" t="s">
        <v>319</v>
      </c>
      <c r="M1" s="1" t="s">
        <v>361</v>
      </c>
      <c r="N1" s="6" t="s">
        <v>362</v>
      </c>
      <c r="O1" s="1" t="s">
        <v>320</v>
      </c>
      <c r="P1" s="1" t="s">
        <v>363</v>
      </c>
      <c r="Q1" s="1" t="s">
        <v>452</v>
      </c>
      <c r="R1" s="1" t="s">
        <v>364</v>
      </c>
      <c r="S1" s="1" t="s">
        <v>449</v>
      </c>
      <c r="T1" s="1" t="s">
        <v>450</v>
      </c>
      <c r="U1" s="1" t="s">
        <v>367</v>
      </c>
      <c r="V1" s="1" t="s">
        <v>368</v>
      </c>
      <c r="W1" s="1" t="s">
        <v>369</v>
      </c>
      <c r="X1" s="1" t="s">
        <v>321</v>
      </c>
      <c r="Y1" s="1" t="s">
        <v>322</v>
      </c>
      <c r="Z1" s="1" t="s">
        <v>323</v>
      </c>
      <c r="AA1" s="1" t="s">
        <v>365</v>
      </c>
      <c r="AB1" s="1" t="s">
        <v>370</v>
      </c>
      <c r="AC1" s="1" t="s">
        <v>324</v>
      </c>
      <c r="AD1" s="1" t="s">
        <v>366</v>
      </c>
      <c r="AE1" s="1" t="s">
        <v>382</v>
      </c>
      <c r="AF1" s="1" t="s">
        <v>380</v>
      </c>
      <c r="AG1" s="1" t="s">
        <v>381</v>
      </c>
    </row>
    <row r="2" spans="1:34" ht="43.5">
      <c r="A2" t="s">
        <v>38</v>
      </c>
      <c r="B2" s="3" t="s">
        <v>496</v>
      </c>
      <c r="C2" s="3" t="s">
        <v>158</v>
      </c>
      <c r="G2" s="7" t="s">
        <v>25</v>
      </c>
      <c r="H2" s="7"/>
      <c r="I2" s="7">
        <v>1</v>
      </c>
      <c r="J2" s="7">
        <v>2</v>
      </c>
      <c r="K2" s="7" t="s">
        <v>350</v>
      </c>
      <c r="L2" s="7" t="s">
        <v>373</v>
      </c>
      <c r="M2" s="7"/>
      <c r="N2" s="8"/>
      <c r="O2" s="7"/>
      <c r="P2" s="7">
        <v>613</v>
      </c>
      <c r="Q2" s="7">
        <v>301.40623463467404</v>
      </c>
      <c r="R2" s="7"/>
      <c r="S2" s="7" t="s">
        <v>451</v>
      </c>
      <c r="T2" s="7" t="s">
        <v>451</v>
      </c>
      <c r="U2" s="7"/>
      <c r="V2" s="7"/>
      <c r="W2" s="7"/>
      <c r="X2" s="7"/>
      <c r="Y2" s="7"/>
      <c r="Z2" s="7"/>
      <c r="AA2" s="7"/>
      <c r="AB2" s="7"/>
      <c r="AC2" s="7"/>
      <c r="AD2" s="7"/>
      <c r="AE2" t="s">
        <v>19</v>
      </c>
      <c r="AF2" t="s">
        <v>19</v>
      </c>
      <c r="AH2">
        <v>1</v>
      </c>
    </row>
    <row r="3" spans="1:34" ht="43.5">
      <c r="A3" t="s">
        <v>38</v>
      </c>
      <c r="B3" s="3" t="s">
        <v>160</v>
      </c>
      <c r="C3" s="3" t="s">
        <v>159</v>
      </c>
      <c r="G3" s="7" t="s">
        <v>25</v>
      </c>
      <c r="H3" s="7"/>
      <c r="I3" s="7">
        <v>1</v>
      </c>
      <c r="J3" s="7">
        <v>3</v>
      </c>
      <c r="K3" s="7" t="s">
        <v>331</v>
      </c>
      <c r="L3" s="7" t="s">
        <v>326</v>
      </c>
      <c r="M3" s="7" t="s">
        <v>389</v>
      </c>
      <c r="N3" s="8" t="s">
        <v>388</v>
      </c>
      <c r="O3" s="7"/>
      <c r="P3" s="7">
        <v>2475</v>
      </c>
      <c r="Q3" s="7">
        <v>1216.9338184678927</v>
      </c>
      <c r="R3" s="7"/>
      <c r="S3" s="7" t="s">
        <v>451</v>
      </c>
      <c r="T3" s="7" t="s">
        <v>451</v>
      </c>
      <c r="U3" s="7"/>
      <c r="V3" s="7"/>
      <c r="W3" s="7"/>
      <c r="X3" s="7"/>
      <c r="Y3" s="7"/>
      <c r="Z3" s="7"/>
      <c r="AA3" s="7"/>
      <c r="AB3" s="7"/>
      <c r="AC3" s="7"/>
      <c r="AD3" s="7"/>
      <c r="AE3" t="s">
        <v>19</v>
      </c>
      <c r="AF3" t="s">
        <v>20</v>
      </c>
      <c r="AH3">
        <v>1</v>
      </c>
    </row>
    <row r="4" spans="1:34" ht="29">
      <c r="A4" t="s">
        <v>39</v>
      </c>
      <c r="B4" s="3" t="s">
        <v>162</v>
      </c>
      <c r="C4" s="3" t="s">
        <v>161</v>
      </c>
      <c r="G4" s="7" t="s">
        <v>25</v>
      </c>
      <c r="H4" s="7"/>
      <c r="I4" s="7">
        <v>1</v>
      </c>
      <c r="J4" s="7">
        <v>2</v>
      </c>
      <c r="K4" s="7" t="s">
        <v>331</v>
      </c>
      <c r="L4" s="7" t="s">
        <v>373</v>
      </c>
      <c r="M4" s="7"/>
      <c r="N4" s="8"/>
      <c r="O4" s="7"/>
      <c r="P4" s="7">
        <v>2475</v>
      </c>
      <c r="Q4" s="7">
        <v>1216.9338184678927</v>
      </c>
      <c r="R4" s="7"/>
      <c r="S4" s="7" t="s">
        <v>451</v>
      </c>
      <c r="T4" s="7" t="s">
        <v>451</v>
      </c>
      <c r="U4" s="7"/>
      <c r="V4" s="7"/>
      <c r="W4" s="7"/>
      <c r="X4" s="7"/>
      <c r="Y4" s="7"/>
      <c r="Z4" s="7"/>
      <c r="AA4" s="7"/>
      <c r="AB4" s="7"/>
      <c r="AC4" s="7"/>
      <c r="AD4" s="7"/>
      <c r="AE4" t="s">
        <v>19</v>
      </c>
      <c r="AF4" t="s">
        <v>20</v>
      </c>
      <c r="AH4">
        <v>1</v>
      </c>
    </row>
    <row r="5" spans="1:34" ht="43.5">
      <c r="A5" t="s">
        <v>44</v>
      </c>
      <c r="B5" s="3" t="s">
        <v>168</v>
      </c>
      <c r="C5" s="3" t="s">
        <v>167</v>
      </c>
      <c r="G5" s="7" t="s">
        <v>24</v>
      </c>
      <c r="H5" s="7"/>
      <c r="I5" s="7">
        <v>1</v>
      </c>
      <c r="J5" s="7">
        <v>1</v>
      </c>
      <c r="K5" s="7" t="s">
        <v>331</v>
      </c>
      <c r="L5" s="7" t="s">
        <v>373</v>
      </c>
      <c r="M5" s="7"/>
      <c r="N5" s="8"/>
      <c r="O5" s="7"/>
      <c r="P5" s="7">
        <v>2475</v>
      </c>
      <c r="Q5" s="7">
        <v>1216.9338184678927</v>
      </c>
      <c r="R5" s="7"/>
      <c r="S5" s="7" t="s">
        <v>451</v>
      </c>
      <c r="T5" s="7" t="s">
        <v>451</v>
      </c>
      <c r="U5" s="7"/>
      <c r="V5" s="7"/>
      <c r="W5" s="7"/>
      <c r="X5" s="7"/>
      <c r="Y5" s="7"/>
      <c r="Z5" s="7"/>
      <c r="AA5" s="7"/>
      <c r="AB5" s="7"/>
      <c r="AC5" s="7"/>
      <c r="AD5" s="7"/>
      <c r="AE5" t="s">
        <v>19</v>
      </c>
      <c r="AF5" t="s">
        <v>20</v>
      </c>
      <c r="AH5">
        <v>1</v>
      </c>
    </row>
    <row r="6" spans="1:34" ht="58">
      <c r="A6" t="s">
        <v>52</v>
      </c>
      <c r="B6" s="3" t="s">
        <v>176</v>
      </c>
      <c r="C6" s="3" t="s">
        <v>175</v>
      </c>
      <c r="G6" s="7" t="s">
        <v>25</v>
      </c>
      <c r="H6" s="7"/>
      <c r="I6" s="7">
        <v>1</v>
      </c>
      <c r="J6" s="7">
        <v>3</v>
      </c>
      <c r="K6" s="7" t="s">
        <v>331</v>
      </c>
      <c r="L6" s="7" t="s">
        <v>326</v>
      </c>
      <c r="M6" s="7" t="s">
        <v>387</v>
      </c>
      <c r="N6" s="8" t="s">
        <v>388</v>
      </c>
      <c r="O6" s="7"/>
      <c r="P6" s="7">
        <v>2475</v>
      </c>
      <c r="Q6" s="7">
        <v>1216.9338184678927</v>
      </c>
      <c r="R6" s="7"/>
      <c r="S6" s="7" t="s">
        <v>451</v>
      </c>
      <c r="T6" s="7" t="s">
        <v>451</v>
      </c>
      <c r="U6" s="7"/>
      <c r="V6" s="7"/>
      <c r="W6" s="7"/>
      <c r="X6" s="7"/>
      <c r="Y6" s="7"/>
      <c r="Z6" s="7"/>
      <c r="AA6" s="7"/>
      <c r="AB6" s="7"/>
      <c r="AC6" s="7"/>
      <c r="AD6" s="7"/>
      <c r="AE6" t="s">
        <v>19</v>
      </c>
      <c r="AF6" t="s">
        <v>20</v>
      </c>
      <c r="AH6">
        <v>1</v>
      </c>
    </row>
    <row r="7" spans="1:34" ht="58">
      <c r="A7" t="s">
        <v>61</v>
      </c>
      <c r="B7" s="3" t="s">
        <v>179</v>
      </c>
      <c r="C7" s="3" t="s">
        <v>180</v>
      </c>
      <c r="G7" s="7" t="s">
        <v>24</v>
      </c>
      <c r="H7" s="7"/>
      <c r="I7" s="7">
        <v>1</v>
      </c>
      <c r="J7" s="7">
        <v>3</v>
      </c>
      <c r="K7" s="7" t="s">
        <v>331</v>
      </c>
      <c r="L7" s="7" t="s">
        <v>332</v>
      </c>
      <c r="M7" s="7"/>
      <c r="N7" s="8"/>
      <c r="O7" s="7"/>
      <c r="P7" s="7">
        <v>2475</v>
      </c>
      <c r="Q7" s="7">
        <v>1216.9338184678927</v>
      </c>
      <c r="R7" s="7"/>
      <c r="S7" s="7" t="s">
        <v>451</v>
      </c>
      <c r="T7" s="7" t="s">
        <v>451</v>
      </c>
      <c r="U7" s="7"/>
      <c r="V7" s="7"/>
      <c r="W7" s="7"/>
      <c r="X7" s="7"/>
      <c r="Y7" s="7"/>
      <c r="Z7" s="7"/>
      <c r="AA7" s="7"/>
      <c r="AB7" s="7"/>
      <c r="AC7" s="7"/>
      <c r="AD7" s="7"/>
      <c r="AE7" t="s">
        <v>19</v>
      </c>
      <c r="AF7" t="s">
        <v>19</v>
      </c>
      <c r="AH7">
        <v>1</v>
      </c>
    </row>
    <row r="8" spans="1:34" ht="58">
      <c r="A8" t="s">
        <v>61</v>
      </c>
      <c r="B8" s="3" t="s">
        <v>179</v>
      </c>
      <c r="C8" s="3" t="s">
        <v>181</v>
      </c>
      <c r="G8" s="7" t="s">
        <v>24</v>
      </c>
      <c r="H8" s="7"/>
      <c r="I8" s="7">
        <v>1</v>
      </c>
      <c r="J8" s="7">
        <v>3</v>
      </c>
      <c r="K8" s="7" t="s">
        <v>331</v>
      </c>
      <c r="L8" s="7" t="s">
        <v>332</v>
      </c>
      <c r="M8" s="7"/>
      <c r="N8" s="8"/>
      <c r="O8" s="7"/>
      <c r="P8" s="7">
        <v>2475</v>
      </c>
      <c r="Q8" s="7">
        <v>1216.9338184678927</v>
      </c>
      <c r="R8" s="7"/>
      <c r="S8" s="7" t="s">
        <v>451</v>
      </c>
      <c r="T8" s="7" t="s">
        <v>451</v>
      </c>
      <c r="U8" s="7"/>
      <c r="V8" s="7"/>
      <c r="W8" s="7"/>
      <c r="X8" s="7"/>
      <c r="Y8" s="7"/>
      <c r="Z8" s="7"/>
      <c r="AA8" s="7"/>
      <c r="AB8" s="7"/>
      <c r="AC8" s="7"/>
      <c r="AD8" s="7"/>
      <c r="AE8" t="s">
        <v>19</v>
      </c>
      <c r="AF8" t="s">
        <v>20</v>
      </c>
      <c r="AH8">
        <v>1</v>
      </c>
    </row>
    <row r="9" spans="1:34" ht="29">
      <c r="A9" t="s">
        <v>61</v>
      </c>
      <c r="B9" s="3" t="s">
        <v>183</v>
      </c>
      <c r="C9" s="3" t="s">
        <v>182</v>
      </c>
      <c r="G9" s="7" t="s">
        <v>24</v>
      </c>
      <c r="H9" s="7"/>
      <c r="I9" s="7">
        <v>1</v>
      </c>
      <c r="J9" s="7">
        <v>3</v>
      </c>
      <c r="K9" s="7" t="s">
        <v>331</v>
      </c>
      <c r="L9" s="7" t="s">
        <v>332</v>
      </c>
      <c r="M9" s="7"/>
      <c r="N9" s="8"/>
      <c r="O9" s="7"/>
      <c r="P9" s="7">
        <v>2475</v>
      </c>
      <c r="Q9" s="7">
        <v>1216.9338184678927</v>
      </c>
      <c r="R9" s="7"/>
      <c r="S9" s="7" t="s">
        <v>451</v>
      </c>
      <c r="T9" s="7" t="s">
        <v>451</v>
      </c>
      <c r="U9" s="7"/>
      <c r="V9" s="7"/>
      <c r="W9" s="7"/>
      <c r="X9" s="7"/>
      <c r="Y9" s="7"/>
      <c r="Z9" s="7"/>
      <c r="AA9" s="7"/>
      <c r="AB9" s="7"/>
      <c r="AC9" s="7"/>
      <c r="AD9" s="7"/>
      <c r="AE9" t="s">
        <v>19</v>
      </c>
      <c r="AF9" t="s">
        <v>19</v>
      </c>
      <c r="AH9">
        <v>1</v>
      </c>
    </row>
    <row r="10" spans="1:34" ht="29">
      <c r="A10" t="s">
        <v>73</v>
      </c>
      <c r="B10" s="3" t="s">
        <v>187</v>
      </c>
      <c r="C10" s="3" t="s">
        <v>188</v>
      </c>
      <c r="G10" s="7" t="s">
        <v>24</v>
      </c>
      <c r="H10" s="7"/>
      <c r="I10" s="7">
        <v>1</v>
      </c>
      <c r="J10" s="7">
        <v>1</v>
      </c>
      <c r="K10" s="7" t="s">
        <v>331</v>
      </c>
      <c r="L10" s="7" t="s">
        <v>373</v>
      </c>
      <c r="M10" s="7"/>
      <c r="N10" s="8"/>
      <c r="O10" s="7"/>
      <c r="P10" s="7">
        <v>2475</v>
      </c>
      <c r="Q10" s="7">
        <v>1216.9338184678927</v>
      </c>
      <c r="R10" s="7"/>
      <c r="S10" s="7" t="s">
        <v>451</v>
      </c>
      <c r="T10" s="7" t="s">
        <v>451</v>
      </c>
      <c r="U10" s="7"/>
      <c r="V10" s="7"/>
      <c r="W10" s="7"/>
      <c r="X10" s="7"/>
      <c r="Y10" s="7"/>
      <c r="Z10" s="7"/>
      <c r="AA10" s="7"/>
      <c r="AB10" s="7"/>
      <c r="AC10" s="7"/>
      <c r="AD10" s="7"/>
      <c r="AE10" t="s">
        <v>19</v>
      </c>
      <c r="AF10" t="s">
        <v>19</v>
      </c>
      <c r="AH10">
        <v>1</v>
      </c>
    </row>
    <row r="11" spans="1:34" ht="43.5">
      <c r="A11" t="s">
        <v>78</v>
      </c>
      <c r="B11" s="3" t="s">
        <v>191</v>
      </c>
      <c r="C11" s="3" t="s">
        <v>192</v>
      </c>
      <c r="G11" s="7" t="s">
        <v>25</v>
      </c>
      <c r="H11" s="7"/>
      <c r="I11" s="7">
        <v>1</v>
      </c>
      <c r="J11" s="7">
        <v>2</v>
      </c>
      <c r="K11" s="7" t="s">
        <v>331</v>
      </c>
      <c r="L11" s="7" t="s">
        <v>373</v>
      </c>
      <c r="M11" s="7"/>
      <c r="N11" s="8"/>
      <c r="O11" s="7"/>
      <c r="P11" s="7">
        <v>2475</v>
      </c>
      <c r="Q11" s="7">
        <v>1216.9338184678927</v>
      </c>
      <c r="R11" s="7"/>
      <c r="S11" s="7" t="s">
        <v>451</v>
      </c>
      <c r="T11" s="7" t="s">
        <v>451</v>
      </c>
      <c r="U11" s="7"/>
      <c r="V11" s="7"/>
      <c r="W11" s="7"/>
      <c r="X11" s="7"/>
      <c r="Y11" s="7"/>
      <c r="Z11" s="7"/>
      <c r="AA11" s="7"/>
      <c r="AB11" s="7"/>
      <c r="AC11" s="7"/>
      <c r="AD11" s="7"/>
      <c r="AE11" t="s">
        <v>19</v>
      </c>
      <c r="AF11" t="s">
        <v>19</v>
      </c>
      <c r="AH11">
        <v>1</v>
      </c>
    </row>
    <row r="12" spans="1:34" ht="43.5">
      <c r="A12" t="s">
        <v>78</v>
      </c>
      <c r="B12" s="3" t="s">
        <v>195</v>
      </c>
      <c r="C12" s="3" t="s">
        <v>194</v>
      </c>
      <c r="G12" s="7" t="s">
        <v>24</v>
      </c>
      <c r="H12" s="7"/>
      <c r="I12" s="7">
        <v>1</v>
      </c>
      <c r="J12" s="7">
        <v>3</v>
      </c>
      <c r="K12" s="7" t="s">
        <v>341</v>
      </c>
      <c r="L12" s="7" t="s">
        <v>332</v>
      </c>
      <c r="M12" s="7"/>
      <c r="N12" s="8"/>
      <c r="O12" s="7"/>
      <c r="P12" s="7">
        <v>1701</v>
      </c>
      <c r="Q12" s="7">
        <v>836.36542432884255</v>
      </c>
      <c r="R12" s="7"/>
      <c r="S12" s="7" t="s">
        <v>451</v>
      </c>
      <c r="T12" s="7" t="s">
        <v>451</v>
      </c>
      <c r="U12" s="7"/>
      <c r="V12" s="7"/>
      <c r="W12" s="7"/>
      <c r="X12" s="7"/>
      <c r="Y12" s="7"/>
      <c r="Z12" s="7"/>
      <c r="AA12" s="7"/>
      <c r="AB12" s="7"/>
      <c r="AC12" s="7"/>
      <c r="AD12" s="7"/>
      <c r="AE12" t="s">
        <v>19</v>
      </c>
      <c r="AF12" t="s">
        <v>20</v>
      </c>
      <c r="AH12">
        <v>1</v>
      </c>
    </row>
    <row r="13" spans="1:34" ht="43.5">
      <c r="A13" t="s">
        <v>82</v>
      </c>
      <c r="B13" s="3" t="s">
        <v>200</v>
      </c>
      <c r="C13" s="3" t="s">
        <v>199</v>
      </c>
      <c r="G13" s="7" t="s">
        <v>24</v>
      </c>
      <c r="H13" s="7"/>
      <c r="I13" s="7">
        <v>1</v>
      </c>
      <c r="J13" s="7">
        <v>2</v>
      </c>
      <c r="K13" s="7" t="s">
        <v>331</v>
      </c>
      <c r="L13" s="7" t="s">
        <v>373</v>
      </c>
      <c r="M13" s="7"/>
      <c r="N13" s="8"/>
      <c r="O13" s="7"/>
      <c r="P13" s="7">
        <v>2475</v>
      </c>
      <c r="Q13" s="7">
        <v>1216.9338184678927</v>
      </c>
      <c r="R13" s="7"/>
      <c r="S13" s="7" t="s">
        <v>451</v>
      </c>
      <c r="T13" s="7" t="s">
        <v>451</v>
      </c>
      <c r="U13" s="7"/>
      <c r="V13" s="7"/>
      <c r="W13" s="7"/>
      <c r="X13" s="7"/>
      <c r="Y13" s="7"/>
      <c r="Z13" s="7"/>
      <c r="AA13" s="7"/>
      <c r="AB13" s="7"/>
      <c r="AC13" s="7"/>
      <c r="AD13" s="7"/>
      <c r="AE13" t="s">
        <v>19</v>
      </c>
      <c r="AF13" t="s">
        <v>20</v>
      </c>
      <c r="AH13">
        <v>1</v>
      </c>
    </row>
    <row r="14" spans="1:34" ht="29">
      <c r="A14" t="s">
        <v>82</v>
      </c>
      <c r="B14" s="3" t="s">
        <v>201</v>
      </c>
      <c r="C14" s="3" t="s">
        <v>202</v>
      </c>
      <c r="G14" s="7" t="s">
        <v>25</v>
      </c>
      <c r="H14" s="7"/>
      <c r="I14" s="7">
        <v>1</v>
      </c>
      <c r="J14" s="7">
        <v>2</v>
      </c>
      <c r="K14" s="7" t="s">
        <v>331</v>
      </c>
      <c r="L14" s="7" t="s">
        <v>373</v>
      </c>
      <c r="M14" s="7"/>
      <c r="N14" s="8"/>
      <c r="O14" s="7" t="s">
        <v>327</v>
      </c>
      <c r="P14" s="7">
        <v>2475</v>
      </c>
      <c r="Q14" s="7">
        <v>1216.9338184678927</v>
      </c>
      <c r="R14" s="7"/>
      <c r="S14" s="7" t="s">
        <v>451</v>
      </c>
      <c r="T14" s="7" t="s">
        <v>451</v>
      </c>
      <c r="U14" s="7"/>
      <c r="V14" s="7"/>
      <c r="W14" s="7"/>
      <c r="X14" s="7"/>
      <c r="Y14" s="7"/>
      <c r="Z14" s="7"/>
      <c r="AA14" s="7"/>
      <c r="AB14" s="7"/>
      <c r="AC14" s="7"/>
      <c r="AD14" s="7"/>
      <c r="AE14" t="s">
        <v>19</v>
      </c>
      <c r="AF14" t="s">
        <v>20</v>
      </c>
      <c r="AH14">
        <v>1</v>
      </c>
    </row>
    <row r="15" spans="1:34" ht="29">
      <c r="A15" t="s">
        <v>83</v>
      </c>
      <c r="B15" s="3" t="s">
        <v>174</v>
      </c>
      <c r="C15" s="3" t="s">
        <v>173</v>
      </c>
      <c r="G15" s="7" t="s">
        <v>25</v>
      </c>
      <c r="H15" s="7"/>
      <c r="I15" s="7">
        <v>1</v>
      </c>
      <c r="J15" s="7">
        <v>3</v>
      </c>
      <c r="K15" s="7" t="s">
        <v>331</v>
      </c>
      <c r="L15" s="7" t="s">
        <v>332</v>
      </c>
      <c r="M15" s="7"/>
      <c r="N15" s="8"/>
      <c r="O15" s="7"/>
      <c r="P15" s="7">
        <v>2475</v>
      </c>
      <c r="Q15" s="7">
        <v>1216.9338184678927</v>
      </c>
      <c r="R15" s="7"/>
      <c r="S15" s="7" t="s">
        <v>451</v>
      </c>
      <c r="T15" s="7" t="s">
        <v>451</v>
      </c>
      <c r="U15" s="7"/>
      <c r="V15" s="7"/>
      <c r="W15" s="7"/>
      <c r="X15" s="7"/>
      <c r="Y15" s="7"/>
      <c r="Z15" s="7"/>
      <c r="AA15" s="7"/>
      <c r="AB15" s="7"/>
      <c r="AC15" s="7"/>
      <c r="AD15" s="7"/>
      <c r="AE15" t="s">
        <v>19</v>
      </c>
      <c r="AF15" t="s">
        <v>19</v>
      </c>
      <c r="AH15">
        <v>1</v>
      </c>
    </row>
    <row r="16" spans="1:34" ht="29">
      <c r="A16" t="s">
        <v>83</v>
      </c>
      <c r="B16" s="3" t="s">
        <v>174</v>
      </c>
      <c r="C16" s="3" t="s">
        <v>173</v>
      </c>
      <c r="G16" s="7" t="s">
        <v>25</v>
      </c>
      <c r="H16" s="7"/>
      <c r="I16" s="7">
        <v>1</v>
      </c>
      <c r="J16" s="7">
        <v>3</v>
      </c>
      <c r="K16" s="7" t="s">
        <v>331</v>
      </c>
      <c r="L16" s="7" t="s">
        <v>332</v>
      </c>
      <c r="M16" s="7"/>
      <c r="N16" s="8"/>
      <c r="O16" s="7"/>
      <c r="P16" s="7">
        <v>2475</v>
      </c>
      <c r="Q16" s="7">
        <v>1216.9338184678927</v>
      </c>
      <c r="R16" s="7"/>
      <c r="S16" s="7" t="s">
        <v>451</v>
      </c>
      <c r="T16" s="7" t="s">
        <v>451</v>
      </c>
      <c r="U16" s="7"/>
      <c r="V16" s="7"/>
      <c r="W16" s="7"/>
      <c r="X16" s="7"/>
      <c r="Y16" s="7"/>
      <c r="Z16" s="7"/>
      <c r="AA16" s="7"/>
      <c r="AB16" s="7"/>
      <c r="AC16" s="7"/>
      <c r="AD16" s="7"/>
      <c r="AE16" t="s">
        <v>19</v>
      </c>
      <c r="AF16" t="s">
        <v>19</v>
      </c>
      <c r="AH16">
        <v>1</v>
      </c>
    </row>
    <row r="17" spans="1:34" ht="29">
      <c r="A17" t="s">
        <v>85</v>
      </c>
      <c r="B17" s="3" t="s">
        <v>206</v>
      </c>
      <c r="C17" s="3" t="s">
        <v>205</v>
      </c>
      <c r="G17" s="7" t="s">
        <v>25</v>
      </c>
      <c r="H17" s="7"/>
      <c r="I17" s="7">
        <v>1</v>
      </c>
      <c r="J17" s="7">
        <v>2</v>
      </c>
      <c r="K17" s="7" t="s">
        <v>341</v>
      </c>
      <c r="L17" s="7" t="s">
        <v>373</v>
      </c>
      <c r="M17" s="7"/>
      <c r="N17" s="8"/>
      <c r="O17" s="7"/>
      <c r="P17" s="7">
        <v>171</v>
      </c>
      <c r="Q17" s="7">
        <v>84.079063821418046</v>
      </c>
      <c r="R17" s="7"/>
      <c r="S17" s="7" t="s">
        <v>451</v>
      </c>
      <c r="T17" s="7" t="s">
        <v>451</v>
      </c>
      <c r="U17" s="7"/>
      <c r="V17" s="7"/>
      <c r="W17" s="7"/>
      <c r="X17" s="7"/>
      <c r="Y17" s="7"/>
      <c r="Z17" s="7"/>
      <c r="AA17" s="7"/>
      <c r="AB17" s="7"/>
      <c r="AC17" s="7"/>
      <c r="AD17" s="7"/>
      <c r="AE17" t="s">
        <v>19</v>
      </c>
      <c r="AF17" t="s">
        <v>20</v>
      </c>
      <c r="AH17">
        <v>1</v>
      </c>
    </row>
    <row r="18" spans="1:34" ht="58">
      <c r="A18" t="s">
        <v>89</v>
      </c>
      <c r="B18" s="3" t="s">
        <v>207</v>
      </c>
      <c r="C18" s="3" t="s">
        <v>208</v>
      </c>
      <c r="G18" s="7" t="s">
        <v>24</v>
      </c>
      <c r="H18" s="7"/>
      <c r="I18" s="7">
        <v>1</v>
      </c>
      <c r="J18" s="7">
        <v>3</v>
      </c>
      <c r="K18" s="7" t="s">
        <v>331</v>
      </c>
      <c r="L18" s="7" t="s">
        <v>332</v>
      </c>
      <c r="M18" s="7"/>
      <c r="N18" s="8"/>
      <c r="O18" s="7"/>
      <c r="P18" s="7">
        <v>2475</v>
      </c>
      <c r="Q18" s="7">
        <v>1216.9338184678927</v>
      </c>
      <c r="R18" s="7"/>
      <c r="S18" s="7" t="s">
        <v>451</v>
      </c>
      <c r="T18" s="7" t="s">
        <v>451</v>
      </c>
      <c r="U18" s="7"/>
      <c r="V18" s="7"/>
      <c r="W18" s="7"/>
      <c r="X18" s="7"/>
      <c r="Y18" s="7"/>
      <c r="Z18" s="7"/>
      <c r="AA18" s="7"/>
      <c r="AB18" s="7"/>
      <c r="AC18" s="7"/>
      <c r="AD18" s="7"/>
      <c r="AE18" t="s">
        <v>19</v>
      </c>
      <c r="AF18" t="s">
        <v>20</v>
      </c>
      <c r="AH18">
        <v>1</v>
      </c>
    </row>
    <row r="19" spans="1:34" ht="116">
      <c r="A19" t="s">
        <v>96</v>
      </c>
      <c r="B19" s="3" t="s">
        <v>215</v>
      </c>
      <c r="C19" s="3" t="s">
        <v>213</v>
      </c>
      <c r="G19" s="7" t="s">
        <v>25</v>
      </c>
      <c r="H19" s="7"/>
      <c r="I19" s="7">
        <v>1</v>
      </c>
      <c r="J19" s="7">
        <v>3</v>
      </c>
      <c r="K19" s="7" t="s">
        <v>331</v>
      </c>
      <c r="L19" s="7" t="s">
        <v>332</v>
      </c>
      <c r="M19" s="7"/>
      <c r="N19" s="8"/>
      <c r="O19" s="7"/>
      <c r="P19" s="7">
        <v>2475</v>
      </c>
      <c r="Q19" s="7">
        <v>1216.9338184678927</v>
      </c>
      <c r="R19" s="7"/>
      <c r="S19" s="7" t="s">
        <v>451</v>
      </c>
      <c r="T19" s="7" t="s">
        <v>451</v>
      </c>
      <c r="U19" s="7"/>
      <c r="V19" s="7"/>
      <c r="W19" s="7"/>
      <c r="X19" s="7"/>
      <c r="Y19" s="7"/>
      <c r="Z19" s="7"/>
      <c r="AA19" s="7"/>
      <c r="AB19" s="7"/>
      <c r="AC19" s="7"/>
      <c r="AD19" s="7"/>
      <c r="AE19" t="s">
        <v>19</v>
      </c>
      <c r="AF19" t="s">
        <v>19</v>
      </c>
      <c r="AH19">
        <v>1</v>
      </c>
    </row>
    <row r="20" spans="1:34" ht="29">
      <c r="A20" t="s">
        <v>99</v>
      </c>
      <c r="B20" s="3" t="s">
        <v>220</v>
      </c>
      <c r="C20" s="3" t="s">
        <v>223</v>
      </c>
      <c r="G20" s="7" t="s">
        <v>24</v>
      </c>
      <c r="H20" s="7"/>
      <c r="I20" s="7">
        <v>1</v>
      </c>
      <c r="J20" s="7">
        <v>1</v>
      </c>
      <c r="K20" s="7" t="s">
        <v>331</v>
      </c>
      <c r="L20" s="7" t="s">
        <v>373</v>
      </c>
      <c r="M20" s="7"/>
      <c r="N20" s="8"/>
      <c r="O20" s="7"/>
      <c r="P20" s="7">
        <v>2475</v>
      </c>
      <c r="Q20" s="7">
        <v>1216.9338184678927</v>
      </c>
      <c r="R20" s="7"/>
      <c r="S20" s="7" t="s">
        <v>451</v>
      </c>
      <c r="T20" s="7" t="s">
        <v>451</v>
      </c>
      <c r="U20" s="7"/>
      <c r="V20" s="7"/>
      <c r="W20" s="7"/>
      <c r="X20" s="7"/>
      <c r="Y20" s="7"/>
      <c r="Z20" s="7"/>
      <c r="AA20" s="7"/>
      <c r="AB20" s="7"/>
      <c r="AC20" s="7"/>
      <c r="AD20" s="7"/>
      <c r="AE20" t="s">
        <v>19</v>
      </c>
      <c r="AF20" t="s">
        <v>19</v>
      </c>
      <c r="AH20">
        <v>1</v>
      </c>
    </row>
    <row r="21" spans="1:34" ht="29">
      <c r="A21" t="s">
        <v>102</v>
      </c>
      <c r="B21" s="3" t="s">
        <v>235</v>
      </c>
      <c r="C21" s="3" t="s">
        <v>236</v>
      </c>
      <c r="G21" s="7" t="s">
        <v>25</v>
      </c>
      <c r="H21" s="7"/>
      <c r="I21" s="7">
        <v>1</v>
      </c>
      <c r="J21" s="7">
        <v>1</v>
      </c>
      <c r="K21" s="7" t="s">
        <v>331</v>
      </c>
      <c r="L21" s="7" t="s">
        <v>373</v>
      </c>
      <c r="M21" s="7"/>
      <c r="N21" s="8"/>
      <c r="O21" s="7"/>
      <c r="P21" s="7">
        <v>2475</v>
      </c>
      <c r="Q21" s="7">
        <v>1216.9338184678927</v>
      </c>
      <c r="R21" s="7"/>
      <c r="S21" s="7" t="s">
        <v>451</v>
      </c>
      <c r="T21" s="7" t="s">
        <v>451</v>
      </c>
      <c r="U21" s="7"/>
      <c r="V21" s="7"/>
      <c r="W21" s="7"/>
      <c r="X21" s="7"/>
      <c r="Y21" s="7"/>
      <c r="Z21" s="7"/>
      <c r="AA21" s="7"/>
      <c r="AB21" s="7"/>
      <c r="AC21" s="7"/>
      <c r="AD21" s="7"/>
      <c r="AE21" t="s">
        <v>19</v>
      </c>
      <c r="AF21" t="s">
        <v>19</v>
      </c>
      <c r="AH21">
        <v>1</v>
      </c>
    </row>
    <row r="22" spans="1:34" ht="29">
      <c r="A22" t="s">
        <v>103</v>
      </c>
      <c r="B22" s="3" t="s">
        <v>237</v>
      </c>
      <c r="C22" s="3" t="s">
        <v>238</v>
      </c>
      <c r="G22" s="7" t="s">
        <v>25</v>
      </c>
      <c r="H22" s="7"/>
      <c r="I22" s="7">
        <v>1</v>
      </c>
      <c r="J22" s="7">
        <v>1</v>
      </c>
      <c r="K22" s="7" t="s">
        <v>331</v>
      </c>
      <c r="L22" s="7" t="s">
        <v>373</v>
      </c>
      <c r="M22" s="7"/>
      <c r="N22" s="8"/>
      <c r="O22" s="7"/>
      <c r="P22" s="7">
        <v>2475</v>
      </c>
      <c r="Q22" s="7">
        <v>1216.9338184678927</v>
      </c>
      <c r="R22" s="7"/>
      <c r="S22" s="7" t="s">
        <v>451</v>
      </c>
      <c r="T22" s="7" t="s">
        <v>451</v>
      </c>
      <c r="U22" s="7"/>
      <c r="V22" s="7"/>
      <c r="W22" s="7"/>
      <c r="X22" s="7"/>
      <c r="Y22" s="7"/>
      <c r="Z22" s="7"/>
      <c r="AA22" s="7"/>
      <c r="AB22" s="7"/>
      <c r="AC22" s="7"/>
      <c r="AD22" s="7"/>
      <c r="AE22" t="s">
        <v>19</v>
      </c>
      <c r="AF22" t="s">
        <v>20</v>
      </c>
      <c r="AH22">
        <v>1</v>
      </c>
    </row>
    <row r="23" spans="1:34" ht="58">
      <c r="A23" t="s">
        <v>109</v>
      </c>
      <c r="B23" s="3" t="s">
        <v>242</v>
      </c>
      <c r="C23" s="3" t="s">
        <v>241</v>
      </c>
      <c r="G23" s="7" t="s">
        <v>25</v>
      </c>
      <c r="H23" s="7"/>
      <c r="I23" s="7">
        <v>1</v>
      </c>
      <c r="J23" s="7">
        <v>3</v>
      </c>
      <c r="K23" s="7" t="s">
        <v>350</v>
      </c>
      <c r="L23" s="7" t="s">
        <v>332</v>
      </c>
      <c r="M23" s="7"/>
      <c r="N23" s="8"/>
      <c r="O23" s="7"/>
      <c r="P23" s="7">
        <v>210</v>
      </c>
      <c r="Q23" s="7">
        <v>103.25499065788181</v>
      </c>
      <c r="R23" s="7"/>
      <c r="S23" s="7" t="s">
        <v>451</v>
      </c>
      <c r="T23" s="7" t="s">
        <v>451</v>
      </c>
      <c r="U23" s="7"/>
      <c r="V23" s="7"/>
      <c r="W23" s="7"/>
      <c r="X23" s="7"/>
      <c r="Y23" s="7"/>
      <c r="Z23" s="7"/>
      <c r="AA23" s="7"/>
      <c r="AB23" s="7"/>
      <c r="AC23" s="7"/>
      <c r="AD23" s="7"/>
      <c r="AE23" t="s">
        <v>19</v>
      </c>
      <c r="AF23" t="s">
        <v>20</v>
      </c>
      <c r="AH23">
        <v>1</v>
      </c>
    </row>
    <row r="24" spans="1:34" ht="72.5">
      <c r="A24" t="s">
        <v>112</v>
      </c>
      <c r="B24" s="3" t="s">
        <v>244</v>
      </c>
      <c r="C24" s="3" t="s">
        <v>243</v>
      </c>
      <c r="G24" s="7" t="s">
        <v>24</v>
      </c>
      <c r="H24" s="7"/>
      <c r="I24" s="7">
        <v>1</v>
      </c>
      <c r="J24" s="7">
        <v>3</v>
      </c>
      <c r="K24" s="7" t="s">
        <v>341</v>
      </c>
      <c r="L24" s="7" t="s">
        <v>332</v>
      </c>
      <c r="M24" s="7"/>
      <c r="N24" s="8"/>
      <c r="O24" s="7"/>
      <c r="P24" s="7">
        <v>1701</v>
      </c>
      <c r="Q24" s="7">
        <v>836.36542432884255</v>
      </c>
      <c r="R24" s="7"/>
      <c r="S24" s="7" t="s">
        <v>451</v>
      </c>
      <c r="T24" s="7" t="s">
        <v>451</v>
      </c>
      <c r="U24" s="7"/>
      <c r="V24" s="7"/>
      <c r="W24" s="7"/>
      <c r="X24" s="7"/>
      <c r="Y24" s="7"/>
      <c r="Z24" s="7"/>
      <c r="AA24" s="7"/>
      <c r="AB24" s="7"/>
      <c r="AC24" s="7"/>
      <c r="AD24" s="7"/>
      <c r="AE24" t="s">
        <v>19</v>
      </c>
      <c r="AF24" t="s">
        <v>19</v>
      </c>
      <c r="AH24">
        <v>1</v>
      </c>
    </row>
    <row r="25" spans="1:34" ht="43.5">
      <c r="A25" t="s">
        <v>115</v>
      </c>
      <c r="B25" s="3" t="s">
        <v>250</v>
      </c>
      <c r="C25" s="3" t="s">
        <v>247</v>
      </c>
      <c r="G25" s="7" t="s">
        <v>25</v>
      </c>
      <c r="H25" s="7"/>
      <c r="I25" s="7">
        <v>1</v>
      </c>
      <c r="J25" s="7">
        <v>3</v>
      </c>
      <c r="K25" s="7" t="s">
        <v>348</v>
      </c>
      <c r="L25" s="7" t="s">
        <v>332</v>
      </c>
      <c r="M25" s="7"/>
      <c r="N25" s="8"/>
      <c r="O25" s="7"/>
      <c r="P25" s="7">
        <v>743</v>
      </c>
      <c r="Q25" s="7">
        <v>365.32599075621988</v>
      </c>
      <c r="R25" s="7"/>
      <c r="S25" s="7" t="s">
        <v>451</v>
      </c>
      <c r="T25" s="7" t="s">
        <v>451</v>
      </c>
      <c r="U25" s="7"/>
      <c r="V25" s="7"/>
      <c r="W25" s="7"/>
      <c r="X25" s="7"/>
      <c r="Y25" s="7"/>
      <c r="Z25" s="7"/>
      <c r="AA25" s="7"/>
      <c r="AB25" s="7"/>
      <c r="AC25" s="7"/>
      <c r="AD25" s="7"/>
      <c r="AE25" t="s">
        <v>19</v>
      </c>
      <c r="AF25" t="s">
        <v>19</v>
      </c>
      <c r="AH25">
        <v>1</v>
      </c>
    </row>
    <row r="26" spans="1:34" ht="159.5">
      <c r="A26" t="s">
        <v>129</v>
      </c>
      <c r="B26" s="3" t="s">
        <v>264</v>
      </c>
      <c r="C26" s="3" t="s">
        <v>267</v>
      </c>
      <c r="G26" s="7" t="s">
        <v>24</v>
      </c>
      <c r="H26" s="7"/>
      <c r="I26" s="7">
        <v>1</v>
      </c>
      <c r="J26" s="7">
        <v>3</v>
      </c>
      <c r="K26" s="7" t="s">
        <v>341</v>
      </c>
      <c r="L26" s="7" t="s">
        <v>332</v>
      </c>
      <c r="M26" s="7"/>
      <c r="N26" s="8"/>
      <c r="O26" s="7"/>
      <c r="P26" s="7">
        <v>86</v>
      </c>
      <c r="Q26" s="7">
        <v>42.285377126561116</v>
      </c>
      <c r="R26" s="7"/>
      <c r="S26" s="7" t="s">
        <v>451</v>
      </c>
      <c r="T26" s="7" t="s">
        <v>451</v>
      </c>
      <c r="U26" s="7"/>
      <c r="V26" s="7"/>
      <c r="W26" s="7"/>
      <c r="X26" s="7"/>
      <c r="Y26" s="7"/>
      <c r="Z26" s="7"/>
      <c r="AA26" s="7"/>
      <c r="AB26" s="7"/>
      <c r="AC26" s="7"/>
      <c r="AD26" s="7"/>
      <c r="AE26" t="s">
        <v>19</v>
      </c>
      <c r="AF26" t="s">
        <v>19</v>
      </c>
      <c r="AH26">
        <v>1</v>
      </c>
    </row>
    <row r="27" spans="1:34" ht="58">
      <c r="A27" t="s">
        <v>135</v>
      </c>
      <c r="B27" s="3" t="s">
        <v>278</v>
      </c>
      <c r="C27" s="3" t="s">
        <v>277</v>
      </c>
      <c r="G27" s="7" t="s">
        <v>25</v>
      </c>
      <c r="H27" s="7"/>
      <c r="I27" s="7">
        <v>1</v>
      </c>
      <c r="J27" s="7">
        <v>3</v>
      </c>
      <c r="K27" s="7" t="s">
        <v>331</v>
      </c>
      <c r="L27" s="7" t="s">
        <v>332</v>
      </c>
      <c r="M27" s="7"/>
      <c r="N27" s="8"/>
      <c r="O27" s="7"/>
      <c r="P27" s="7">
        <v>2475</v>
      </c>
      <c r="Q27" s="7">
        <v>1216.9338184678927</v>
      </c>
      <c r="R27" s="7"/>
      <c r="S27" s="7" t="s">
        <v>451</v>
      </c>
      <c r="T27" s="7" t="s">
        <v>451</v>
      </c>
      <c r="U27" s="7"/>
      <c r="V27" s="7"/>
      <c r="W27" s="7"/>
      <c r="X27" s="7"/>
      <c r="Y27" s="7"/>
      <c r="Z27" s="7"/>
      <c r="AA27" s="7"/>
      <c r="AB27" s="7"/>
      <c r="AC27" s="7"/>
      <c r="AD27" s="7"/>
      <c r="AE27" t="s">
        <v>19</v>
      </c>
      <c r="AF27" t="s">
        <v>19</v>
      </c>
      <c r="AH27">
        <v>1</v>
      </c>
    </row>
    <row r="28" spans="1:34" ht="29">
      <c r="A28" t="s">
        <v>138</v>
      </c>
      <c r="B28" s="3" t="s">
        <v>282</v>
      </c>
      <c r="C28" s="3" t="s">
        <v>281</v>
      </c>
      <c r="G28" s="7" t="s">
        <v>25</v>
      </c>
      <c r="H28" s="7"/>
      <c r="I28" s="7">
        <v>1</v>
      </c>
      <c r="J28" s="7">
        <v>2</v>
      </c>
      <c r="K28" s="7" t="s">
        <v>341</v>
      </c>
      <c r="L28" s="7" t="s">
        <v>373</v>
      </c>
      <c r="M28" s="7"/>
      <c r="N28" s="8"/>
      <c r="O28" s="7"/>
      <c r="P28" s="7">
        <v>171</v>
      </c>
      <c r="Q28" s="7">
        <v>84.079063821418046</v>
      </c>
      <c r="R28" s="7"/>
      <c r="S28" s="7" t="s">
        <v>451</v>
      </c>
      <c r="T28" s="7" t="s">
        <v>451</v>
      </c>
      <c r="U28" s="7"/>
      <c r="V28" s="7"/>
      <c r="W28" s="7"/>
      <c r="X28" s="7"/>
      <c r="Y28" s="7"/>
      <c r="Z28" s="7"/>
      <c r="AA28" s="7"/>
      <c r="AB28" s="7"/>
      <c r="AC28" s="7"/>
      <c r="AD28" s="7"/>
      <c r="AE28" t="s">
        <v>19</v>
      </c>
      <c r="AF28" t="s">
        <v>20</v>
      </c>
      <c r="AH28">
        <v>1</v>
      </c>
    </row>
    <row r="29" spans="1:34" ht="29">
      <c r="A29" t="s">
        <v>138</v>
      </c>
      <c r="B29" s="3" t="s">
        <v>284</v>
      </c>
      <c r="C29" s="3" t="s">
        <v>283</v>
      </c>
      <c r="G29" s="7" t="s">
        <v>25</v>
      </c>
      <c r="H29" s="7"/>
      <c r="I29" s="7">
        <v>1</v>
      </c>
      <c r="J29" s="7">
        <v>2</v>
      </c>
      <c r="K29" s="7" t="s">
        <v>350</v>
      </c>
      <c r="L29" s="7" t="s">
        <v>373</v>
      </c>
      <c r="M29" s="7"/>
      <c r="N29" s="8"/>
      <c r="O29" s="7"/>
      <c r="P29" s="7">
        <v>613</v>
      </c>
      <c r="Q29" s="7">
        <v>301.40623463467404</v>
      </c>
      <c r="R29" s="7"/>
      <c r="S29" s="7" t="s">
        <v>451</v>
      </c>
      <c r="T29" s="7" t="s">
        <v>451</v>
      </c>
      <c r="U29" s="7"/>
      <c r="V29" s="7"/>
      <c r="W29" s="7"/>
      <c r="X29" s="7"/>
      <c r="Y29" s="7"/>
      <c r="Z29" s="7"/>
      <c r="AA29" s="7"/>
      <c r="AB29" s="7"/>
      <c r="AC29" s="7"/>
      <c r="AD29" s="7"/>
      <c r="AE29" t="s">
        <v>19</v>
      </c>
      <c r="AF29" t="s">
        <v>19</v>
      </c>
      <c r="AH29">
        <v>1</v>
      </c>
    </row>
    <row r="30" spans="1:34" ht="43.5">
      <c r="A30" t="s">
        <v>139</v>
      </c>
      <c r="B30" s="3" t="s">
        <v>289</v>
      </c>
      <c r="C30" s="3" t="s">
        <v>288</v>
      </c>
      <c r="G30" s="7" t="s">
        <v>25</v>
      </c>
      <c r="H30" s="7"/>
      <c r="I30" s="7">
        <v>1</v>
      </c>
      <c r="J30" s="7">
        <v>3</v>
      </c>
      <c r="K30" s="7" t="s">
        <v>341</v>
      </c>
      <c r="L30" s="7" t="s">
        <v>332</v>
      </c>
      <c r="M30" s="7"/>
      <c r="N30" s="8"/>
      <c r="O30" s="7"/>
      <c r="P30" s="7">
        <v>1701</v>
      </c>
      <c r="Q30" s="7">
        <v>836.36542432884255</v>
      </c>
      <c r="R30" s="7"/>
      <c r="S30" s="7" t="s">
        <v>451</v>
      </c>
      <c r="T30" s="7" t="s">
        <v>451</v>
      </c>
      <c r="U30" s="7"/>
      <c r="V30" s="7"/>
      <c r="W30" s="7"/>
      <c r="X30" s="7"/>
      <c r="Y30" s="7"/>
      <c r="Z30" s="7"/>
      <c r="AA30" s="7"/>
      <c r="AB30" s="7"/>
      <c r="AC30" s="7"/>
      <c r="AD30" s="7"/>
      <c r="AE30" t="s">
        <v>19</v>
      </c>
      <c r="AF30" t="s">
        <v>19</v>
      </c>
      <c r="AH30">
        <v>1</v>
      </c>
    </row>
    <row r="31" spans="1:34" ht="29">
      <c r="A31" t="s">
        <v>141</v>
      </c>
      <c r="B31" s="3" t="s">
        <v>293</v>
      </c>
      <c r="C31" s="3" t="s">
        <v>292</v>
      </c>
      <c r="G31" s="7" t="s">
        <v>25</v>
      </c>
      <c r="H31" s="7"/>
      <c r="I31" s="7">
        <v>1</v>
      </c>
      <c r="J31" s="7">
        <v>3</v>
      </c>
      <c r="K31" s="7" t="s">
        <v>341</v>
      </c>
      <c r="L31" s="7" t="s">
        <v>332</v>
      </c>
      <c r="M31" s="7"/>
      <c r="N31" s="8"/>
      <c r="O31" s="7"/>
      <c r="P31" s="7">
        <v>1701</v>
      </c>
      <c r="Q31" s="7">
        <v>836.36542432884255</v>
      </c>
      <c r="R31" s="7"/>
      <c r="S31" s="7" t="s">
        <v>451</v>
      </c>
      <c r="T31" s="7" t="s">
        <v>451</v>
      </c>
      <c r="U31" s="7"/>
      <c r="V31" s="7"/>
      <c r="W31" s="7"/>
      <c r="X31" s="7"/>
      <c r="Y31" s="7"/>
      <c r="Z31" s="7"/>
      <c r="AA31" s="7"/>
      <c r="AB31" s="7"/>
      <c r="AC31" s="7"/>
      <c r="AD31" s="7"/>
      <c r="AE31" t="s">
        <v>19</v>
      </c>
      <c r="AF31" t="s">
        <v>19</v>
      </c>
      <c r="AH31">
        <v>1</v>
      </c>
    </row>
    <row r="32" spans="1:34" ht="29">
      <c r="A32" t="s">
        <v>142</v>
      </c>
      <c r="B32" s="3" t="s">
        <v>294</v>
      </c>
      <c r="C32" s="3" t="s">
        <v>295</v>
      </c>
      <c r="G32" s="7" t="s">
        <v>25</v>
      </c>
      <c r="H32" s="7"/>
      <c r="I32" s="7">
        <v>1</v>
      </c>
      <c r="J32" s="7">
        <v>2</v>
      </c>
      <c r="K32" s="7" t="s">
        <v>377</v>
      </c>
      <c r="L32" s="7" t="s">
        <v>373</v>
      </c>
      <c r="M32" s="7"/>
      <c r="N32" s="8"/>
      <c r="O32" s="7"/>
      <c r="P32" s="7">
        <v>10</v>
      </c>
      <c r="Q32" s="7">
        <v>4.9169043170419897</v>
      </c>
      <c r="R32" s="7"/>
      <c r="S32" s="7" t="s">
        <v>451</v>
      </c>
      <c r="T32" s="7" t="s">
        <v>451</v>
      </c>
      <c r="U32" s="7"/>
      <c r="V32" s="7"/>
      <c r="W32" s="7"/>
      <c r="X32" s="7"/>
      <c r="Y32" s="7"/>
      <c r="Z32" s="7"/>
      <c r="AA32" s="7"/>
      <c r="AB32" s="7"/>
      <c r="AC32" s="7"/>
      <c r="AD32" s="7"/>
      <c r="AE32" t="s">
        <v>19</v>
      </c>
      <c r="AF32" t="s">
        <v>20</v>
      </c>
      <c r="AH32">
        <v>1</v>
      </c>
    </row>
    <row r="33" spans="1:34" ht="29">
      <c r="A33" t="s">
        <v>147</v>
      </c>
      <c r="B33" s="3" t="s">
        <v>305</v>
      </c>
      <c r="C33" s="3" t="s">
        <v>304</v>
      </c>
      <c r="G33" s="7" t="s">
        <v>25</v>
      </c>
      <c r="H33" s="7"/>
      <c r="I33" s="7">
        <v>1</v>
      </c>
      <c r="J33" s="7">
        <v>1</v>
      </c>
      <c r="K33" s="7" t="s">
        <v>331</v>
      </c>
      <c r="L33" s="7" t="s">
        <v>373</v>
      </c>
      <c r="M33" s="7"/>
      <c r="N33" s="8"/>
      <c r="O33" s="7"/>
      <c r="P33" s="7">
        <v>2475</v>
      </c>
      <c r="Q33" s="7">
        <v>1216.9338184678927</v>
      </c>
      <c r="R33" s="7"/>
      <c r="S33" s="7" t="s">
        <v>451</v>
      </c>
      <c r="T33" s="7" t="s">
        <v>451</v>
      </c>
      <c r="U33" s="7"/>
      <c r="V33" s="7"/>
      <c r="W33" s="7"/>
      <c r="X33" s="7"/>
      <c r="Y33" s="7"/>
      <c r="Z33" s="7"/>
      <c r="AA33" s="7"/>
      <c r="AB33" s="7"/>
      <c r="AC33" s="7"/>
      <c r="AD33" s="7"/>
      <c r="AE33" t="s">
        <v>19</v>
      </c>
      <c r="AF33" t="s">
        <v>19</v>
      </c>
      <c r="AH33">
        <v>1</v>
      </c>
    </row>
    <row r="34" spans="1:34" ht="29">
      <c r="A34" t="s">
        <v>147</v>
      </c>
      <c r="B34" s="3" t="s">
        <v>306</v>
      </c>
      <c r="C34" s="3" t="s">
        <v>307</v>
      </c>
      <c r="G34" s="7" t="s">
        <v>25</v>
      </c>
      <c r="H34" s="7"/>
      <c r="I34" s="7">
        <v>1</v>
      </c>
      <c r="J34" s="7">
        <v>1</v>
      </c>
      <c r="K34" s="7" t="s">
        <v>331</v>
      </c>
      <c r="L34" s="7" t="s">
        <v>373</v>
      </c>
      <c r="M34" s="7"/>
      <c r="N34" s="8"/>
      <c r="O34" s="7"/>
      <c r="P34" s="7">
        <v>2475</v>
      </c>
      <c r="Q34" s="7">
        <v>1216.9338184678927</v>
      </c>
      <c r="R34" s="7"/>
      <c r="S34" s="7" t="s">
        <v>451</v>
      </c>
      <c r="T34" s="7" t="s">
        <v>451</v>
      </c>
      <c r="U34" s="7"/>
      <c r="V34" s="7"/>
      <c r="W34" s="7"/>
      <c r="X34" s="7"/>
      <c r="Y34" s="7"/>
      <c r="Z34" s="7"/>
      <c r="AA34" s="7"/>
      <c r="AB34" s="7"/>
      <c r="AC34" s="7"/>
      <c r="AD34" s="7"/>
      <c r="AE34" t="s">
        <v>19</v>
      </c>
      <c r="AF34" t="s">
        <v>19</v>
      </c>
      <c r="AH34">
        <v>1</v>
      </c>
    </row>
    <row r="35" spans="1:34" ht="29">
      <c r="A35" t="s">
        <v>153</v>
      </c>
      <c r="B35" s="3" t="s">
        <v>307</v>
      </c>
      <c r="C35" s="3" t="s">
        <v>306</v>
      </c>
      <c r="G35" s="7" t="s">
        <v>24</v>
      </c>
      <c r="H35" s="7"/>
      <c r="I35" s="7">
        <v>1</v>
      </c>
      <c r="J35" s="7">
        <v>1</v>
      </c>
      <c r="K35" s="7" t="s">
        <v>331</v>
      </c>
      <c r="L35" s="7" t="s">
        <v>373</v>
      </c>
      <c r="M35" s="7"/>
      <c r="N35" s="8"/>
      <c r="O35" s="7"/>
      <c r="P35" s="7">
        <v>2475</v>
      </c>
      <c r="Q35" s="7">
        <v>1216.9338184678927</v>
      </c>
      <c r="R35" s="7"/>
      <c r="S35" s="7" t="s">
        <v>451</v>
      </c>
      <c r="T35" s="7" t="s">
        <v>451</v>
      </c>
      <c r="U35" s="7"/>
      <c r="V35" s="7"/>
      <c r="W35" s="7"/>
      <c r="X35" s="7"/>
      <c r="Y35" s="7"/>
      <c r="Z35" s="7"/>
      <c r="AA35" s="7"/>
      <c r="AB35" s="7"/>
      <c r="AC35" s="7"/>
      <c r="AD35" s="7"/>
      <c r="AE35" t="s">
        <v>19</v>
      </c>
      <c r="AF35" t="s">
        <v>19</v>
      </c>
      <c r="AH35">
        <v>1</v>
      </c>
    </row>
    <row r="36" spans="1:34">
      <c r="B36" s="3"/>
      <c r="C36" s="3"/>
      <c r="G36" s="7"/>
      <c r="H36" s="7"/>
      <c r="I36" s="7"/>
      <c r="J36" s="7"/>
      <c r="K36" s="7"/>
      <c r="L36" s="7"/>
      <c r="M36" s="7"/>
      <c r="N36" s="8"/>
      <c r="O36" s="7"/>
      <c r="P36" s="7"/>
      <c r="Q36" s="7"/>
      <c r="R36" s="7"/>
      <c r="S36" s="7"/>
      <c r="T36" s="7"/>
      <c r="U36" s="7"/>
      <c r="V36" s="7"/>
      <c r="W36" s="7"/>
      <c r="X36" s="7"/>
      <c r="Y36" s="7"/>
      <c r="Z36" s="7"/>
      <c r="AA36" s="7"/>
      <c r="AB36" s="7"/>
      <c r="AC36" s="7"/>
      <c r="AD36" s="7"/>
    </row>
    <row r="37" spans="1:34">
      <c r="B37" s="3"/>
      <c r="C37" s="3"/>
      <c r="G37" s="7"/>
      <c r="H37" s="7"/>
      <c r="I37" s="7"/>
      <c r="J37" s="7"/>
      <c r="K37" s="7"/>
      <c r="L37" s="7"/>
      <c r="M37" s="7"/>
      <c r="N37" s="8"/>
      <c r="O37" s="7"/>
      <c r="P37" s="7"/>
      <c r="Q37" s="7"/>
      <c r="R37" s="7"/>
      <c r="S37" s="7"/>
      <c r="T37" s="7"/>
      <c r="U37" s="7"/>
      <c r="V37" s="7"/>
      <c r="W37" s="7"/>
      <c r="X37" s="7"/>
      <c r="Y37" s="7"/>
      <c r="Z37" s="7"/>
      <c r="AA37" s="7"/>
      <c r="AB37" s="7"/>
      <c r="AC37" s="7"/>
      <c r="AD37" s="7"/>
    </row>
    <row r="40" spans="1:34">
      <c r="D40" t="s">
        <v>448</v>
      </c>
      <c r="E40">
        <v>20338</v>
      </c>
    </row>
    <row r="41" spans="1:34">
      <c r="D41" t="s">
        <v>453</v>
      </c>
      <c r="E41">
        <f>MEDIAN(Q:Q)</f>
        <v>1216.9338184678927</v>
      </c>
    </row>
    <row r="44" spans="1:34">
      <c r="D44" t="s">
        <v>454</v>
      </c>
      <c r="E44">
        <f>COUNTIFS(G:G, "Addition", Q:Q, "&gt;=" &amp; $E$41)</f>
        <v>9</v>
      </c>
      <c r="F44" t="s">
        <v>464</v>
      </c>
    </row>
    <row r="45" spans="1:34">
      <c r="D45" t="s">
        <v>455</v>
      </c>
      <c r="E45">
        <f>COUNTIFS(G:G, "Omission", Q:Q, "&gt;=" &amp; $E$41)</f>
        <v>13</v>
      </c>
    </row>
    <row r="46" spans="1:34">
      <c r="D46" t="s">
        <v>456</v>
      </c>
      <c r="E46">
        <f>E44/(E44+E45)</f>
        <v>0.40909090909090912</v>
      </c>
    </row>
    <row r="47" spans="1:34">
      <c r="D47" t="s">
        <v>457</v>
      </c>
      <c r="E47">
        <f>COUNTIFS(G:G, "Addition", Q:Q, "&lt;" &amp; $E$41)</f>
        <v>3</v>
      </c>
    </row>
    <row r="48" spans="1:34">
      <c r="D48" t="s">
        <v>458</v>
      </c>
      <c r="E48">
        <f>COUNTIFS(G:G, "Omission", Q:Q, "&lt;" &amp; $E$41)</f>
        <v>9</v>
      </c>
    </row>
    <row r="49" spans="4:5">
      <c r="D49" t="s">
        <v>459</v>
      </c>
      <c r="E49">
        <f>E47/(E47+E48)</f>
        <v>0.25</v>
      </c>
    </row>
    <row r="52" spans="4:5">
      <c r="D52" t="s">
        <v>461</v>
      </c>
      <c r="E52">
        <f>COUNTIFS(G:G, "Addition", K:K, "Article")</f>
        <v>9</v>
      </c>
    </row>
    <row r="53" spans="4:5">
      <c r="D53" t="s">
        <v>462</v>
      </c>
      <c r="E53">
        <f>COUNTIFS(G:G, "Omission", K:K, "Article")</f>
        <v>13</v>
      </c>
    </row>
    <row r="54" spans="4:5">
      <c r="D54" t="s">
        <v>463</v>
      </c>
      <c r="E54">
        <f>COUNTIFS(G:G, "Addition", K:K, "Article")/(COUNTIFS(G:G, "Addition", K:K, "Article") + COUNTIFS(G:G, "Omission", K:K, "Article"))</f>
        <v>0.40909090909090912</v>
      </c>
    </row>
  </sheetData>
  <conditionalFormatting sqref="G2:G37">
    <cfRule type="expression" dxfId="253" priority="7">
      <formula>$I2&lt;&gt;""</formula>
    </cfRule>
    <cfRule type="expression" dxfId="252" priority="8">
      <formula>$I2=""</formula>
    </cfRule>
  </conditionalFormatting>
  <conditionalFormatting sqref="H2:L37 O2:P37">
    <cfRule type="expression" dxfId="251" priority="21">
      <formula>AND(OR($I2="Addition",$I2="Omission"), H2="")</formula>
    </cfRule>
    <cfRule type="expression" dxfId="250" priority="22">
      <formula>AND($I2&lt;&gt;"Addition",$I2&lt;&gt;"Omission",$I2&lt;&gt;"Substitution - Word")</formula>
    </cfRule>
  </conditionalFormatting>
  <conditionalFormatting sqref="H2:P37">
    <cfRule type="expression" dxfId="249" priority="20">
      <formula>AND(OR($I2="Addition",$I2="Omission"), H2&lt;&gt;"")</formula>
    </cfRule>
  </conditionalFormatting>
  <conditionalFormatting sqref="K2:K37">
    <cfRule type="expression" dxfId="248" priority="18">
      <formula>AND($K2&lt;&gt;"",$K2&gt;1)</formula>
    </cfRule>
  </conditionalFormatting>
  <conditionalFormatting sqref="M2:N37">
    <cfRule type="expression" dxfId="247" priority="14">
      <formula>$N2="Absent"</formula>
    </cfRule>
    <cfRule type="expression" dxfId="246" priority="15">
      <formula>$N2="NA"</formula>
    </cfRule>
    <cfRule type="expression" dxfId="245" priority="16">
      <formula>AND(OR($I2="Addition",$I2="Omission"), M2="")</formula>
    </cfRule>
    <cfRule type="expression" dxfId="244" priority="17">
      <formula>AND($I2&lt;&gt;"Addition",$I2&lt;&gt;"Omission")</formula>
    </cfRule>
  </conditionalFormatting>
  <conditionalFormatting sqref="O2:O37">
    <cfRule type="expression" dxfId="243" priority="19">
      <formula>OR($I2="Addition",$I2="Omission",$I2 = "Substitution - Word")</formula>
    </cfRule>
  </conditionalFormatting>
  <conditionalFormatting sqref="Q2:Q37">
    <cfRule type="expression" dxfId="242" priority="1">
      <formula>AND(OR($I2="Addition",$I2="Omission"), Q2&lt;&gt;"")</formula>
    </cfRule>
    <cfRule type="expression" dxfId="241" priority="2">
      <formula>AND(OR($I2="Addition",$I2="Omission"), Q2="")</formula>
    </cfRule>
    <cfRule type="expression" dxfId="240" priority="3">
      <formula>AND($I2&lt;&gt;"Addition",$I2&lt;&gt;"Omission",$I2&lt;&gt;"Substitution - Word")</formula>
    </cfRule>
  </conditionalFormatting>
  <conditionalFormatting sqref="R36:R37">
    <cfRule type="expression" dxfId="239" priority="46">
      <formula>AND(AND(LEFT($I36,3)="Sub", RIGHT($I36,4)&lt;&gt;"Form"),$V36&lt;&gt;"")</formula>
    </cfRule>
    <cfRule type="expression" dxfId="238" priority="47">
      <formula>AND(AND(LEFT($I36,3)="Sub", RIGHT($I36,4)&lt;&gt;"Form"),$V36="")</formula>
    </cfRule>
    <cfRule type="expression" dxfId="237" priority="48">
      <formula>"&lt;&gt;AND(LEFT($J2,3)=""Sub"", RIGHT($J2,4)&lt;&gt;""Form"")"</formula>
    </cfRule>
  </conditionalFormatting>
  <conditionalFormatting sqref="R2:T35">
    <cfRule type="expression" dxfId="236" priority="4">
      <formula>AND(AND(LEFT($I2,3)="Sub", RIGHT($I2,4)&lt;&gt;"Form"),$T2&lt;&gt;"")</formula>
    </cfRule>
    <cfRule type="expression" dxfId="235" priority="5">
      <formula>AND(AND(LEFT($I2,3)="Sub", RIGHT($I2,4)&lt;&gt;"Form"),$T2="")</formula>
    </cfRule>
    <cfRule type="expression" dxfId="234" priority="6">
      <formula>"&lt;&gt;AND(LEFT($J2,3)=""Sub"", RIGHT($J2,4)&lt;&gt;""Form"")"</formula>
    </cfRule>
  </conditionalFormatting>
  <conditionalFormatting sqref="S36:T37">
    <cfRule type="expression" dxfId="233" priority="30">
      <formula>AND(AND(LEFT($I36,3)="Sub", RIGHT($I36,4)&lt;&gt;"Form"),$T36&lt;&gt;"")</formula>
    </cfRule>
    <cfRule type="expression" dxfId="232" priority="31">
      <formula>AND(AND(LEFT($I36,3)="Sub", RIGHT($I36,4)&lt;&gt;"Form"),$T36="")</formula>
    </cfRule>
    <cfRule type="expression" dxfId="231" priority="32">
      <formula>"&lt;&gt;AND(LEFT($J2,3)=""Sub"", RIGHT($J2,4)&lt;&gt;""Form"")"</formula>
    </cfRule>
  </conditionalFormatting>
  <conditionalFormatting sqref="U2:U37">
    <cfRule type="expression" dxfId="230" priority="10">
      <formula>AND($W2&lt;&gt;"",OR($AD2="Yes",$AE2&lt;&gt;""))</formula>
    </cfRule>
    <cfRule type="expression" dxfId="229" priority="11">
      <formula>OR($AD2="Yes",$AE2&lt;&gt;"")</formula>
    </cfRule>
    <cfRule type="expression" dxfId="228" priority="25">
      <formula>AND($AD2&lt;&gt;"Yes",$AE2="")</formula>
    </cfRule>
  </conditionalFormatting>
  <conditionalFormatting sqref="U2:AD37">
    <cfRule type="expression" dxfId="227" priority="23">
      <formula>AND($I2&lt;&gt;"",$I2&lt;&gt;"Unclear due to correction")</formula>
    </cfRule>
    <cfRule type="expression" dxfId="226" priority="24">
      <formula>OR($I2="",$I2="Unclear due to correction")</formula>
    </cfRule>
  </conditionalFormatting>
  <conditionalFormatting sqref="V2:V37">
    <cfRule type="expression" dxfId="225" priority="9">
      <formula>AND($I2&lt;&gt;"",$I2&lt;&gt;"Unclear due to correction",$X2="")</formula>
    </cfRule>
  </conditionalFormatting>
  <conditionalFormatting sqref="W2:W37">
    <cfRule type="expression" dxfId="224" priority="12">
      <formula>AND($X2="Yes",$Y2="")</formula>
    </cfRule>
    <cfRule type="expression" dxfId="223" priority="13">
      <formula>$X2=""</formula>
    </cfRule>
  </conditionalFormatting>
  <conditionalFormatting sqref="AB2:AB37">
    <cfRule type="expression" dxfId="222" priority="26">
      <formula>AND(OR($AB2&lt;&gt;"",$AC2&lt;&gt;""),$AD2="")</formula>
    </cfRule>
  </conditionalFormatting>
  <dataValidations count="1">
    <dataValidation allowBlank="1" showInputMessage="1" sqref="V2:V37" xr:uid="{5B458AE5-5441-4857-A992-D4A3CB8E7B4A}"/>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9260D979-ED3C-44A9-947F-E1ED2D810981}">
          <x14:formula1>
            <xm:f>'Data Regularization'!$P$2:$P$4</xm:f>
          </x14:formula1>
          <xm:sqref>AE36:AG37 AE2:AE35 AG2:AG35</xm:sqref>
        </x14:dataValidation>
        <x14:dataValidation type="list" allowBlank="1" showInputMessage="1" showErrorMessage="1" xr:uid="{D77113DB-BB01-40C4-8CA3-1EAD8BE6BC94}">
          <x14:formula1>
            <xm:f>'Data Regularization'!$B$2:$B$1048576</xm:f>
          </x14:formula1>
          <xm:sqref>E2:E37</xm:sqref>
        </x14:dataValidation>
        <x14:dataValidation type="list" allowBlank="1" showInputMessage="1" showErrorMessage="1" xr:uid="{C57EECB0-0CCC-4405-BCD1-0DD153064EE2}">
          <x14:formula1>
            <xm:f>'Data Regularization'!$A$2:$A$1048576</xm:f>
          </x14:formula1>
          <xm:sqref>D2:D37</xm:sqref>
        </x14:dataValidation>
        <x14:dataValidation type="list" allowBlank="1" showInputMessage="1" showErrorMessage="1" xr:uid="{71A7A0B1-D151-4125-AADC-C55B97AE4D8B}">
          <x14:formula1>
            <xm:f>'Data Regularization'!$C$2:$C$50</xm:f>
          </x14:formula1>
          <xm:sqref>F2:F37</xm:sqref>
        </x14:dataValidation>
        <x14:dataValidation type="list" allowBlank="1" showInputMessage="1" showErrorMessage="1" xr:uid="{EC57F860-964C-4324-8F73-D833A2608978}">
          <x14:formula1>
            <xm:f>'Data Regularization'!$P$2:$P$1048576</xm:f>
          </x14:formula1>
          <xm:sqref>AD2:AD37</xm:sqref>
        </x14:dataValidation>
        <x14:dataValidation type="list" allowBlank="1" showInputMessage="1" showErrorMessage="1" xr:uid="{A752F9F0-367C-4054-A8FF-8F709EBD15A3}">
          <x14:formula1>
            <xm:f>'Data Regularization'!$O$2:$O$1048576</xm:f>
          </x14:formula1>
          <xm:sqref>AC2:AC37</xm:sqref>
        </x14:dataValidation>
        <x14:dataValidation type="list" allowBlank="1" showInputMessage="1" showErrorMessage="1" xr:uid="{29AC971D-FD69-4813-BF03-7F91AC904886}">
          <x14:formula1>
            <xm:f>'Data Regularization'!$N$2:$N$1048576</xm:f>
          </x14:formula1>
          <xm:sqref>AB2:AB37</xm:sqref>
        </x14:dataValidation>
        <x14:dataValidation type="list" allowBlank="1" showInputMessage="1" showErrorMessage="1" xr:uid="{ACA02654-FE60-4EA0-B27B-29B603E3DE55}">
          <x14:formula1>
            <xm:f>'Data Regularization'!$M$2:$M$1048576</xm:f>
          </x14:formula1>
          <xm:sqref>Z2:Z37</xm:sqref>
        </x14:dataValidation>
        <x14:dataValidation type="list" allowBlank="1" showInputMessage="1" showErrorMessage="1" xr:uid="{73B90BAA-BC63-4776-859D-D45C0E8C8B0E}">
          <x14:formula1>
            <xm:f>'Data Regularization'!$L$2:$L$1048576</xm:f>
          </x14:formula1>
          <xm:sqref>Y2:Y37</xm:sqref>
        </x14:dataValidation>
        <x14:dataValidation type="list" allowBlank="1" showInputMessage="1" showErrorMessage="1" xr:uid="{A3EDF8B9-8F36-4CC3-BE93-D5CB35430157}">
          <x14:formula1>
            <xm:f>'Data Regularization'!$K$2:$K$1048576</xm:f>
          </x14:formula1>
          <xm:sqref>X2:X37</xm:sqref>
        </x14:dataValidation>
        <x14:dataValidation type="list" allowBlank="1" showInputMessage="1" showErrorMessage="1" xr:uid="{143CA09F-033B-494A-9026-F20B443C1AC0}">
          <x14:formula1>
            <xm:f>'Data Regularization'!$J$2:$J$1048576</xm:f>
          </x14:formula1>
          <xm:sqref>U2:U37 W2:W37</xm:sqref>
        </x14:dataValidation>
        <x14:dataValidation type="list" allowBlank="1" showInputMessage="1" showErrorMessage="1" xr:uid="{FD935AFA-867B-4610-B583-7188CE96A54C}">
          <x14:formula1>
            <xm:f>'Data Regularization'!$G$2:$G$1048576</xm:f>
          </x14:formula1>
          <xm:sqref>O2:O37</xm:sqref>
        </x14:dataValidation>
        <x14:dataValidation type="list" allowBlank="1" showInputMessage="1" showErrorMessage="1" xr:uid="{AAE85AEC-4D79-40B6-87A3-49D319095477}">
          <x14:formula1>
            <xm:f>'Data Regularization'!$F$2:$F$1048576</xm:f>
          </x14:formula1>
          <xm:sqref>L2:L37</xm:sqref>
        </x14:dataValidation>
        <x14:dataValidation type="list" allowBlank="1" showInputMessage="1" showErrorMessage="1" xr:uid="{0272F06C-0F6D-4ABC-87D6-B241ADBAD3B8}">
          <x14:formula1>
            <xm:f>'Data Regularization'!$E$2:$E$1048576</xm:f>
          </x14:formula1>
          <xm:sqref>K2:K37</xm:sqref>
        </x14:dataValidation>
        <x14:dataValidation type="list" allowBlank="1" showInputMessage="1" showErrorMessage="1" xr:uid="{5149A66E-64B3-40BF-AE64-5D5B29C564D1}">
          <x14:formula1>
            <xm:f>'Data Regularization'!$D$2:$D$1048576</xm:f>
          </x14:formula1>
          <xm:sqref>G2:G37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F1AE9-29E2-4CD6-B029-5D13951830A2}">
  <dimension ref="A1:AH18"/>
  <sheetViews>
    <sheetView workbookViewId="0"/>
  </sheetViews>
  <sheetFormatPr defaultRowHeight="14.5"/>
  <sheetData>
    <row r="1" spans="1:34" s="1" customFormat="1" ht="29">
      <c r="A1" s="1" t="s">
        <v>0</v>
      </c>
      <c r="B1" s="1" t="s">
        <v>5</v>
      </c>
      <c r="C1" s="2" t="s">
        <v>6</v>
      </c>
      <c r="D1" s="1" t="s">
        <v>354</v>
      </c>
      <c r="E1" s="1" t="s">
        <v>355</v>
      </c>
      <c r="F1" s="1" t="s">
        <v>356</v>
      </c>
      <c r="G1" s="1" t="s">
        <v>3</v>
      </c>
      <c r="H1" s="1" t="s">
        <v>357</v>
      </c>
      <c r="I1" s="1" t="s">
        <v>358</v>
      </c>
      <c r="J1" s="1" t="s">
        <v>359</v>
      </c>
      <c r="K1" s="1" t="s">
        <v>360</v>
      </c>
      <c r="L1" s="1" t="s">
        <v>319</v>
      </c>
      <c r="M1" s="1" t="s">
        <v>361</v>
      </c>
      <c r="N1" s="6" t="s">
        <v>362</v>
      </c>
      <c r="O1" s="1" t="s">
        <v>320</v>
      </c>
      <c r="P1" s="1" t="s">
        <v>363</v>
      </c>
      <c r="Q1" s="1" t="s">
        <v>452</v>
      </c>
      <c r="R1" s="1" t="s">
        <v>364</v>
      </c>
      <c r="S1" s="1" t="s">
        <v>449</v>
      </c>
      <c r="T1" s="1" t="s">
        <v>450</v>
      </c>
      <c r="U1" s="1" t="s">
        <v>367</v>
      </c>
      <c r="V1" s="1" t="s">
        <v>368</v>
      </c>
      <c r="W1" s="1" t="s">
        <v>369</v>
      </c>
      <c r="X1" s="1" t="s">
        <v>321</v>
      </c>
      <c r="Y1" s="1" t="s">
        <v>322</v>
      </c>
      <c r="Z1" s="1" t="s">
        <v>323</v>
      </c>
      <c r="AA1" s="1" t="s">
        <v>365</v>
      </c>
      <c r="AB1" s="1" t="s">
        <v>370</v>
      </c>
      <c r="AC1" s="1" t="s">
        <v>324</v>
      </c>
      <c r="AD1" s="1" t="s">
        <v>366</v>
      </c>
      <c r="AE1" s="1" t="s">
        <v>382</v>
      </c>
      <c r="AF1" s="1" t="s">
        <v>380</v>
      </c>
      <c r="AG1" s="1" t="s">
        <v>381</v>
      </c>
    </row>
    <row r="2" spans="1:34" ht="43.5">
      <c r="A2" t="s">
        <v>55</v>
      </c>
      <c r="B2" s="3" t="s">
        <v>177</v>
      </c>
      <c r="C2" s="3" t="s">
        <v>178</v>
      </c>
      <c r="F2" t="s">
        <v>19</v>
      </c>
      <c r="G2" s="7" t="s">
        <v>24</v>
      </c>
      <c r="H2" s="7"/>
      <c r="I2" s="7">
        <v>1</v>
      </c>
      <c r="J2" s="7">
        <v>9</v>
      </c>
      <c r="K2" s="7" t="s">
        <v>325</v>
      </c>
      <c r="L2" s="7" t="s">
        <v>326</v>
      </c>
      <c r="M2" s="7" t="s">
        <v>415</v>
      </c>
      <c r="N2" s="8" t="s">
        <v>416</v>
      </c>
      <c r="O2" s="7"/>
      <c r="P2" s="7">
        <v>4</v>
      </c>
      <c r="Q2" s="7">
        <v>1.9667617268167963</v>
      </c>
      <c r="R2" s="7"/>
      <c r="S2" s="7" t="s">
        <v>451</v>
      </c>
      <c r="T2" s="7" t="s">
        <v>451</v>
      </c>
      <c r="U2" s="7"/>
      <c r="V2" s="7"/>
      <c r="W2" s="7"/>
      <c r="X2" s="7"/>
      <c r="Y2" s="7"/>
      <c r="Z2" s="7"/>
      <c r="AA2" s="7"/>
      <c r="AB2" s="7"/>
      <c r="AC2" s="7"/>
      <c r="AD2" s="7"/>
      <c r="AE2" t="s">
        <v>20</v>
      </c>
      <c r="AF2" t="s">
        <v>20</v>
      </c>
      <c r="AH2">
        <v>0</v>
      </c>
    </row>
    <row r="3" spans="1:34" ht="116">
      <c r="A3" t="s">
        <v>96</v>
      </c>
      <c r="B3" s="3" t="s">
        <v>214</v>
      </c>
      <c r="C3" s="3" t="s">
        <v>213</v>
      </c>
      <c r="G3" s="7" t="s">
        <v>25</v>
      </c>
      <c r="H3" s="7"/>
      <c r="I3" s="7">
        <v>1</v>
      </c>
      <c r="J3" s="7">
        <v>7</v>
      </c>
      <c r="K3" s="7" t="s">
        <v>325</v>
      </c>
      <c r="L3" s="7" t="s">
        <v>332</v>
      </c>
      <c r="M3" s="7"/>
      <c r="N3" s="8"/>
      <c r="O3" s="7"/>
      <c r="P3" s="7">
        <v>13</v>
      </c>
      <c r="Q3" s="7">
        <v>6.3919756121545879</v>
      </c>
      <c r="R3" s="7"/>
      <c r="S3" s="7" t="s">
        <v>451</v>
      </c>
      <c r="T3" s="7" t="s">
        <v>451</v>
      </c>
      <c r="U3" s="7"/>
      <c r="V3" s="7"/>
      <c r="W3" s="7"/>
      <c r="X3" s="7"/>
      <c r="Y3" s="7"/>
      <c r="Z3" s="7"/>
      <c r="AA3" s="7"/>
      <c r="AB3" s="7"/>
      <c r="AC3" s="7"/>
      <c r="AD3" s="7"/>
      <c r="AE3" t="s">
        <v>19</v>
      </c>
      <c r="AF3" t="s">
        <v>19</v>
      </c>
      <c r="AH3">
        <v>1</v>
      </c>
    </row>
    <row r="4" spans="1:34" ht="43.5">
      <c r="A4" t="s">
        <v>106</v>
      </c>
      <c r="B4" s="3" t="s">
        <v>239</v>
      </c>
      <c r="C4" s="3" t="s">
        <v>240</v>
      </c>
      <c r="G4" s="7" t="s">
        <v>25</v>
      </c>
      <c r="H4" s="7"/>
      <c r="I4" s="7">
        <v>1</v>
      </c>
      <c r="J4" s="7">
        <v>2</v>
      </c>
      <c r="K4" s="7" t="s">
        <v>383</v>
      </c>
      <c r="L4" s="7" t="s">
        <v>373</v>
      </c>
      <c r="M4" s="7"/>
      <c r="N4" s="8"/>
      <c r="O4" s="7"/>
      <c r="P4" s="7">
        <v>295</v>
      </c>
      <c r="Q4" s="7">
        <v>145.04867735273871</v>
      </c>
      <c r="R4" s="7"/>
      <c r="S4" s="7" t="s">
        <v>451</v>
      </c>
      <c r="T4" s="7" t="s">
        <v>451</v>
      </c>
      <c r="U4" s="7"/>
      <c r="V4" s="7"/>
      <c r="W4" s="7"/>
      <c r="X4" s="7"/>
      <c r="Y4" s="7"/>
      <c r="Z4" s="7"/>
      <c r="AA4" s="7"/>
      <c r="AB4" s="7"/>
      <c r="AC4" s="7"/>
      <c r="AD4" s="7"/>
      <c r="AE4" t="s">
        <v>19</v>
      </c>
      <c r="AF4" t="s">
        <v>19</v>
      </c>
      <c r="AH4">
        <v>1</v>
      </c>
    </row>
    <row r="5" spans="1:34" ht="101.5">
      <c r="A5" t="s">
        <v>129</v>
      </c>
      <c r="B5" s="3" t="s">
        <v>273</v>
      </c>
      <c r="C5" s="3" t="s">
        <v>270</v>
      </c>
      <c r="G5" s="7" t="s">
        <v>25</v>
      </c>
      <c r="H5" s="7"/>
      <c r="I5" s="7">
        <v>1</v>
      </c>
      <c r="J5" s="7">
        <v>9</v>
      </c>
      <c r="K5" s="7" t="s">
        <v>383</v>
      </c>
      <c r="L5" s="7" t="s">
        <v>332</v>
      </c>
      <c r="M5" s="7"/>
      <c r="N5" s="8"/>
      <c r="O5" s="7"/>
      <c r="P5" s="7">
        <v>18</v>
      </c>
      <c r="Q5" s="7">
        <v>8.8504277706755818</v>
      </c>
      <c r="R5" s="7"/>
      <c r="S5" s="7" t="s">
        <v>451</v>
      </c>
      <c r="T5" s="7" t="s">
        <v>451</v>
      </c>
      <c r="U5" s="7"/>
      <c r="V5" s="7"/>
      <c r="W5" s="7"/>
      <c r="X5" s="7"/>
      <c r="Y5" s="7"/>
      <c r="Z5" s="7"/>
      <c r="AA5" s="7"/>
      <c r="AB5" s="7"/>
      <c r="AC5" s="7"/>
      <c r="AD5" s="7"/>
      <c r="AE5" t="s">
        <v>19</v>
      </c>
      <c r="AF5" t="s">
        <v>20</v>
      </c>
      <c r="AH5">
        <v>1</v>
      </c>
    </row>
    <row r="8" spans="1:34">
      <c r="D8" t="s">
        <v>448</v>
      </c>
      <c r="E8">
        <v>20338</v>
      </c>
    </row>
    <row r="9" spans="1:34">
      <c r="D9" t="s">
        <v>453</v>
      </c>
      <c r="E9">
        <f>MEDIAN(Q:Q)</f>
        <v>7.6212016914150844</v>
      </c>
    </row>
    <row r="12" spans="1:34">
      <c r="D12" t="s">
        <v>454</v>
      </c>
      <c r="E12">
        <f>COUNTIFS(G:G, "Addition", Q:Q, "&gt;=" &amp; $E$9)</f>
        <v>0</v>
      </c>
      <c r="F12" s="4" t="s">
        <v>460</v>
      </c>
    </row>
    <row r="13" spans="1:34">
      <c r="D13" t="s">
        <v>455</v>
      </c>
      <c r="E13">
        <f>COUNTIFS(G:G, "Omission", Q:Q, "&gt;=" &amp; $E$9)</f>
        <v>2</v>
      </c>
    </row>
    <row r="14" spans="1:34">
      <c r="D14" t="s">
        <v>456</v>
      </c>
      <c r="E14">
        <f>E12/(E12+E13)</f>
        <v>0</v>
      </c>
    </row>
    <row r="15" spans="1:34">
      <c r="D15" t="s">
        <v>457</v>
      </c>
      <c r="E15">
        <f>COUNTIFS(G:G, "Addition", Q:Q, "&lt;" &amp; $E$9)</f>
        <v>1</v>
      </c>
    </row>
    <row r="16" spans="1:34">
      <c r="D16" t="s">
        <v>458</v>
      </c>
      <c r="E16">
        <f>COUNTIFS(G:G, "Omission", Q:Q, "&lt;" &amp; $E$9)</f>
        <v>1</v>
      </c>
    </row>
    <row r="17" spans="4:5">
      <c r="D17" t="s">
        <v>459</v>
      </c>
      <c r="E17">
        <f>E15/(E15+E16)</f>
        <v>0.5</v>
      </c>
    </row>
    <row r="18" spans="4:5">
      <c r="D18" t="s">
        <v>475</v>
      </c>
      <c r="E18">
        <f>E14-E17</f>
        <v>-0.5</v>
      </c>
    </row>
  </sheetData>
  <conditionalFormatting sqref="G2:G5">
    <cfRule type="expression" dxfId="221" priority="7">
      <formula>$I2&lt;&gt;""</formula>
    </cfRule>
    <cfRule type="expression" dxfId="220" priority="8">
      <formula>$I2=""</formula>
    </cfRule>
  </conditionalFormatting>
  <conditionalFormatting sqref="H2:L5 O2:P5">
    <cfRule type="expression" dxfId="219" priority="21">
      <formula>AND(OR($I2="Addition",$I2="Omission"), H2="")</formula>
    </cfRule>
    <cfRule type="expression" dxfId="218" priority="22">
      <formula>AND($I2&lt;&gt;"Addition",$I2&lt;&gt;"Omission",$I2&lt;&gt;"Substitution - Word")</formula>
    </cfRule>
  </conditionalFormatting>
  <conditionalFormatting sqref="H2:P5">
    <cfRule type="expression" dxfId="217" priority="20">
      <formula>AND(OR($I2="Addition",$I2="Omission"), H2&lt;&gt;"")</formula>
    </cfRule>
  </conditionalFormatting>
  <conditionalFormatting sqref="K2:K5">
    <cfRule type="expression" dxfId="216" priority="18">
      <formula>AND($K2&lt;&gt;"",$K2&gt;1)</formula>
    </cfRule>
  </conditionalFormatting>
  <conditionalFormatting sqref="M2:N5">
    <cfRule type="expression" dxfId="215" priority="14">
      <formula>$N2="Absent"</formula>
    </cfRule>
    <cfRule type="expression" dxfId="214" priority="15">
      <formula>$N2="NA"</formula>
    </cfRule>
    <cfRule type="expression" dxfId="213" priority="16">
      <formula>AND(OR($I2="Addition",$I2="Omission"), M2="")</formula>
    </cfRule>
    <cfRule type="expression" dxfId="212" priority="17">
      <formula>AND($I2&lt;&gt;"Addition",$I2&lt;&gt;"Omission")</formula>
    </cfRule>
  </conditionalFormatting>
  <conditionalFormatting sqref="O2:O5">
    <cfRule type="expression" dxfId="211" priority="19">
      <formula>OR($I2="Addition",$I2="Omission",$I2 = "Substitution - Word")</formula>
    </cfRule>
  </conditionalFormatting>
  <conditionalFormatting sqref="Q2:Q5">
    <cfRule type="expression" dxfId="210" priority="1">
      <formula>AND(OR($I2="Addition",$I2="Omission"), Q2&lt;&gt;"")</formula>
    </cfRule>
    <cfRule type="expression" dxfId="209" priority="2">
      <formula>AND(OR($I2="Addition",$I2="Omission"), Q2="")</formula>
    </cfRule>
    <cfRule type="expression" dxfId="208" priority="3">
      <formula>AND($I2&lt;&gt;"Addition",$I2&lt;&gt;"Omission",$I2&lt;&gt;"Substitution - Word")</formula>
    </cfRule>
  </conditionalFormatting>
  <conditionalFormatting sqref="R2:T5">
    <cfRule type="expression" dxfId="207" priority="4">
      <formula>AND(AND(LEFT($I2,3)="Sub", RIGHT($I2,4)&lt;&gt;"Form"),$T2&lt;&gt;"")</formula>
    </cfRule>
    <cfRule type="expression" dxfId="206" priority="5">
      <formula>AND(AND(LEFT($I2,3)="Sub", RIGHT($I2,4)&lt;&gt;"Form"),$T2="")</formula>
    </cfRule>
    <cfRule type="expression" dxfId="205" priority="6">
      <formula>"&lt;&gt;AND(LEFT($J2,3)=""Sub"", RIGHT($J2,4)&lt;&gt;""Form"")"</formula>
    </cfRule>
  </conditionalFormatting>
  <conditionalFormatting sqref="U2:U5">
    <cfRule type="expression" dxfId="204" priority="10">
      <formula>AND($W2&lt;&gt;"",OR($AD2="Yes",$AE2&lt;&gt;""))</formula>
    </cfRule>
    <cfRule type="expression" dxfId="203" priority="11">
      <formula>OR($AD2="Yes",$AE2&lt;&gt;"")</formula>
    </cfRule>
    <cfRule type="expression" dxfId="202" priority="25">
      <formula>AND($AD2&lt;&gt;"Yes",$AE2="")</formula>
    </cfRule>
  </conditionalFormatting>
  <conditionalFormatting sqref="U2:AD5">
    <cfRule type="expression" dxfId="201" priority="23">
      <formula>AND($I2&lt;&gt;"",$I2&lt;&gt;"Unclear due to correction")</formula>
    </cfRule>
    <cfRule type="expression" dxfId="200" priority="24">
      <formula>OR($I2="",$I2="Unclear due to correction")</formula>
    </cfRule>
  </conditionalFormatting>
  <conditionalFormatting sqref="V2:V5">
    <cfRule type="expression" dxfId="199" priority="9">
      <formula>AND($I2&lt;&gt;"",$I2&lt;&gt;"Unclear due to correction",$X2="")</formula>
    </cfRule>
  </conditionalFormatting>
  <conditionalFormatting sqref="W2:W5">
    <cfRule type="expression" dxfId="198" priority="12">
      <formula>AND($X2="Yes",$Y2="")</formula>
    </cfRule>
    <cfRule type="expression" dxfId="197" priority="13">
      <formula>$X2=""</formula>
    </cfRule>
  </conditionalFormatting>
  <conditionalFormatting sqref="AB2:AB5">
    <cfRule type="expression" dxfId="196" priority="26">
      <formula>AND(OR($AB2&lt;&gt;"",$AC2&lt;&gt;""),$AD2="")</formula>
    </cfRule>
  </conditionalFormatting>
  <dataValidations count="1">
    <dataValidation allowBlank="1" showInputMessage="1" sqref="V2:V5" xr:uid="{A188C358-6D45-4920-AC7F-019C7EB70515}"/>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5">
        <x14:dataValidation type="list" allowBlank="1" showInputMessage="1" showErrorMessage="1" xr:uid="{245942D1-D075-4E5A-AA7D-9C26721C81CC}">
          <x14:formula1>
            <xm:f>'Data Regularization'!$P$2:$P$4</xm:f>
          </x14:formula1>
          <xm:sqref>AE2:AE5 AG2:AG5</xm:sqref>
        </x14:dataValidation>
        <x14:dataValidation type="list" allowBlank="1" showInputMessage="1" showErrorMessage="1" xr:uid="{92BFDFF4-BC16-47B5-ABCE-35774ED9AFDA}">
          <x14:formula1>
            <xm:f>'Data Regularization'!$B$2:$B$1048576</xm:f>
          </x14:formula1>
          <xm:sqref>E2:E5</xm:sqref>
        </x14:dataValidation>
        <x14:dataValidation type="list" allowBlank="1" showInputMessage="1" showErrorMessage="1" xr:uid="{4F5182DB-7C04-4DA1-8243-94266DBF3870}">
          <x14:formula1>
            <xm:f>'Data Regularization'!$A$2:$A$1048576</xm:f>
          </x14:formula1>
          <xm:sqref>D2:D5</xm:sqref>
        </x14:dataValidation>
        <x14:dataValidation type="list" allowBlank="1" showInputMessage="1" showErrorMessage="1" xr:uid="{0C1A181C-3A1B-44D6-9AEF-E7B5139C83B9}">
          <x14:formula1>
            <xm:f>'Data Regularization'!$C$2:$C$50</xm:f>
          </x14:formula1>
          <xm:sqref>F2:F5</xm:sqref>
        </x14:dataValidation>
        <x14:dataValidation type="list" allowBlank="1" showInputMessage="1" showErrorMessage="1" xr:uid="{0D7F4E81-0669-4267-8383-11B490BA185B}">
          <x14:formula1>
            <xm:f>'Data Regularization'!$P$2:$P$1048576</xm:f>
          </x14:formula1>
          <xm:sqref>AD2:AD5</xm:sqref>
        </x14:dataValidation>
        <x14:dataValidation type="list" allowBlank="1" showInputMessage="1" showErrorMessage="1" xr:uid="{D88E8866-7F09-4C46-97E8-AA2A6B2667E1}">
          <x14:formula1>
            <xm:f>'Data Regularization'!$O$2:$O$1048576</xm:f>
          </x14:formula1>
          <xm:sqref>AC2:AC5</xm:sqref>
        </x14:dataValidation>
        <x14:dataValidation type="list" allowBlank="1" showInputMessage="1" showErrorMessage="1" xr:uid="{6C0E0DF9-2506-42B6-AC96-1041F2D47BA0}">
          <x14:formula1>
            <xm:f>'Data Regularization'!$N$2:$N$1048576</xm:f>
          </x14:formula1>
          <xm:sqref>AB2:AB5</xm:sqref>
        </x14:dataValidation>
        <x14:dataValidation type="list" allowBlank="1" showInputMessage="1" showErrorMessage="1" xr:uid="{2A61E2C9-3172-4379-8C63-C9EAC76F2AE2}">
          <x14:formula1>
            <xm:f>'Data Regularization'!$M$2:$M$1048576</xm:f>
          </x14:formula1>
          <xm:sqref>Z2:Z5</xm:sqref>
        </x14:dataValidation>
        <x14:dataValidation type="list" allowBlank="1" showInputMessage="1" showErrorMessage="1" xr:uid="{2F52DEFB-15A6-4B83-9BF9-7F3CC450E71A}">
          <x14:formula1>
            <xm:f>'Data Regularization'!$L$2:$L$1048576</xm:f>
          </x14:formula1>
          <xm:sqref>Y2:Y5</xm:sqref>
        </x14:dataValidation>
        <x14:dataValidation type="list" allowBlank="1" showInputMessage="1" showErrorMessage="1" xr:uid="{5E9D2A79-9D05-42FB-B793-427B83F59A93}">
          <x14:formula1>
            <xm:f>'Data Regularization'!$K$2:$K$1048576</xm:f>
          </x14:formula1>
          <xm:sqref>X2:X5</xm:sqref>
        </x14:dataValidation>
        <x14:dataValidation type="list" allowBlank="1" showInputMessage="1" showErrorMessage="1" xr:uid="{CAF098A5-35B7-41DF-9A9D-C3CD42E80A57}">
          <x14:formula1>
            <xm:f>'Data Regularization'!$J$2:$J$1048576</xm:f>
          </x14:formula1>
          <xm:sqref>U2:U5 W2:W5</xm:sqref>
        </x14:dataValidation>
        <x14:dataValidation type="list" allowBlank="1" showInputMessage="1" showErrorMessage="1" xr:uid="{939F3015-194B-42F7-AB37-8C3361A29976}">
          <x14:formula1>
            <xm:f>'Data Regularization'!$G$2:$G$1048576</xm:f>
          </x14:formula1>
          <xm:sqref>O2:O5</xm:sqref>
        </x14:dataValidation>
        <x14:dataValidation type="list" allowBlank="1" showInputMessage="1" showErrorMessage="1" xr:uid="{B047610D-6AD3-45E7-AE5B-A0E3982EBA1A}">
          <x14:formula1>
            <xm:f>'Data Regularization'!$F$2:$F$1048576</xm:f>
          </x14:formula1>
          <xm:sqref>L2:L5</xm:sqref>
        </x14:dataValidation>
        <x14:dataValidation type="list" allowBlank="1" showInputMessage="1" showErrorMessage="1" xr:uid="{F09E69EE-91F3-456A-8939-ECFD82115F8D}">
          <x14:formula1>
            <xm:f>'Data Regularization'!$E$2:$E$1048576</xm:f>
          </x14:formula1>
          <xm:sqref>K2:K5</xm:sqref>
        </x14:dataValidation>
        <x14:dataValidation type="list" allowBlank="1" showInputMessage="1" showErrorMessage="1" xr:uid="{E10622CF-5490-4602-9DC8-8A175238C80B}">
          <x14:formula1>
            <xm:f>'Data Regularization'!$D$2:$D$1048576</xm:f>
          </x14:formula1>
          <xm:sqref>G2:G5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56AA-912E-47B1-89A8-CA3B02B75F05}">
  <dimension ref="A1:AJ30"/>
  <sheetViews>
    <sheetView workbookViewId="0">
      <selection activeCell="G1" sqref="G1:G1048576"/>
    </sheetView>
  </sheetViews>
  <sheetFormatPr defaultRowHeight="14.5"/>
  <sheetData>
    <row r="1" spans="1:36" s="1" customFormat="1" ht="29">
      <c r="A1" s="1" t="s">
        <v>0</v>
      </c>
      <c r="B1" s="1" t="s">
        <v>5</v>
      </c>
      <c r="C1" s="2" t="s">
        <v>6</v>
      </c>
      <c r="D1" s="1" t="s">
        <v>354</v>
      </c>
      <c r="E1" s="1" t="s">
        <v>355</v>
      </c>
      <c r="F1" s="1" t="s">
        <v>356</v>
      </c>
      <c r="G1" s="1" t="s">
        <v>3</v>
      </c>
      <c r="H1" s="1" t="s">
        <v>357</v>
      </c>
      <c r="I1" s="1" t="s">
        <v>358</v>
      </c>
      <c r="J1" s="1" t="s">
        <v>359</v>
      </c>
      <c r="K1" s="1" t="s">
        <v>360</v>
      </c>
      <c r="L1" s="1" t="s">
        <v>319</v>
      </c>
      <c r="M1" s="1" t="s">
        <v>361</v>
      </c>
      <c r="N1" s="6" t="s">
        <v>362</v>
      </c>
      <c r="O1" s="1" t="s">
        <v>320</v>
      </c>
      <c r="P1" s="1" t="s">
        <v>363</v>
      </c>
      <c r="Q1" s="1" t="s">
        <v>364</v>
      </c>
      <c r="R1" s="1" t="s">
        <v>449</v>
      </c>
      <c r="S1" s="1" t="s">
        <v>450</v>
      </c>
      <c r="T1" s="1" t="s">
        <v>465</v>
      </c>
      <c r="U1" s="1" t="s">
        <v>466</v>
      </c>
      <c r="V1" s="1" t="s">
        <v>467</v>
      </c>
      <c r="W1" s="1" t="s">
        <v>367</v>
      </c>
      <c r="X1" s="1" t="s">
        <v>368</v>
      </c>
      <c r="Y1" s="1" t="s">
        <v>369</v>
      </c>
      <c r="Z1" s="1" t="s">
        <v>321</v>
      </c>
      <c r="AA1" s="1" t="s">
        <v>322</v>
      </c>
      <c r="AB1" s="1" t="s">
        <v>323</v>
      </c>
      <c r="AC1" s="1" t="s">
        <v>365</v>
      </c>
      <c r="AD1" s="1" t="s">
        <v>370</v>
      </c>
      <c r="AE1" s="1" t="s">
        <v>324</v>
      </c>
      <c r="AF1" s="1" t="s">
        <v>366</v>
      </c>
      <c r="AG1" s="1" t="s">
        <v>382</v>
      </c>
      <c r="AH1" s="1" t="s">
        <v>380</v>
      </c>
      <c r="AI1" s="1" t="s">
        <v>381</v>
      </c>
    </row>
    <row r="2" spans="1:36" ht="29">
      <c r="A2" t="s">
        <v>48</v>
      </c>
      <c r="B2" s="3" t="s">
        <v>172</v>
      </c>
      <c r="C2" s="3" t="s">
        <v>171</v>
      </c>
      <c r="G2" s="7" t="s">
        <v>372</v>
      </c>
      <c r="H2" s="7"/>
      <c r="I2" s="7"/>
      <c r="J2" s="7"/>
      <c r="K2" s="7"/>
      <c r="L2" s="7"/>
      <c r="M2" s="7"/>
      <c r="N2" s="8"/>
      <c r="O2" s="7"/>
      <c r="P2" s="7"/>
      <c r="Q2" s="7">
        <v>-249</v>
      </c>
      <c r="R2" s="7">
        <v>280</v>
      </c>
      <c r="S2" s="7">
        <v>31</v>
      </c>
      <c r="T2" s="10">
        <f>IF(ISNUMBER(R2), (R2/$E$14)*10000, "")</f>
        <v>137.67332087717574</v>
      </c>
      <c r="U2" s="10">
        <f>IF(ISNUMBER(S2), (S2/$E$14)*10000, "")</f>
        <v>15.242403382830171</v>
      </c>
      <c r="V2" s="10">
        <f>IF(ISNUMBER(Q2), U2-T2, "")</f>
        <v>-122.43091749434556</v>
      </c>
      <c r="W2" s="7"/>
      <c r="X2" s="7"/>
      <c r="Y2" s="7"/>
      <c r="Z2" s="7"/>
      <c r="AA2" s="7"/>
      <c r="AB2" s="7"/>
      <c r="AC2" s="7"/>
      <c r="AD2" s="7"/>
      <c r="AE2" s="7"/>
      <c r="AF2" s="7"/>
      <c r="AG2" t="s">
        <v>19</v>
      </c>
      <c r="AH2" t="s">
        <v>20</v>
      </c>
      <c r="AJ2">
        <v>1</v>
      </c>
    </row>
    <row r="3" spans="1:36" ht="29">
      <c r="A3" t="s">
        <v>56</v>
      </c>
      <c r="B3" s="3" t="s">
        <v>59</v>
      </c>
      <c r="C3" s="3" t="s">
        <v>60</v>
      </c>
      <c r="G3" s="7" t="s">
        <v>372</v>
      </c>
      <c r="H3" s="7"/>
      <c r="I3" s="7"/>
      <c r="J3" s="7"/>
      <c r="K3" s="7"/>
      <c r="L3" s="7"/>
      <c r="M3" s="7"/>
      <c r="N3" s="8"/>
      <c r="O3" s="7"/>
      <c r="P3" s="7"/>
      <c r="Q3" s="7">
        <v>7</v>
      </c>
      <c r="R3" s="7">
        <v>1</v>
      </c>
      <c r="S3" s="7">
        <v>8</v>
      </c>
      <c r="T3" s="10">
        <f t="shared" ref="T3:T11" si="0">IF(ISNUMBER(R3), (R3/$E$14)*10000, "")</f>
        <v>0.49169043170419907</v>
      </c>
      <c r="U3" s="10">
        <f t="shared" ref="U3:U11" si="1">IF(ISNUMBER(S3), (S3/$E$14)*10000, "")</f>
        <v>3.9335234536335926</v>
      </c>
      <c r="V3" s="10">
        <f t="shared" ref="V3:V11" si="2">IF(ISNUMBER(Q3), U3-T3, "")</f>
        <v>3.4418330219293933</v>
      </c>
      <c r="W3" s="7"/>
      <c r="X3" s="7"/>
      <c r="Y3" s="7"/>
      <c r="Z3" s="7"/>
      <c r="AA3" s="7"/>
      <c r="AB3" s="7"/>
      <c r="AC3" s="7"/>
      <c r="AD3" s="7"/>
      <c r="AE3" s="7"/>
      <c r="AF3" s="7"/>
      <c r="AG3" t="s">
        <v>20</v>
      </c>
      <c r="AH3" t="s">
        <v>20</v>
      </c>
      <c r="AJ3">
        <v>0</v>
      </c>
    </row>
    <row r="4" spans="1:36" ht="72.5">
      <c r="A4" t="s">
        <v>83</v>
      </c>
      <c r="B4" s="3" t="s">
        <v>204</v>
      </c>
      <c r="C4" s="3" t="s">
        <v>203</v>
      </c>
      <c r="G4" s="7" t="s">
        <v>372</v>
      </c>
      <c r="H4" s="7"/>
      <c r="I4" s="7"/>
      <c r="J4" s="7"/>
      <c r="K4" s="7"/>
      <c r="L4" s="7"/>
      <c r="M4" s="7"/>
      <c r="N4" s="8"/>
      <c r="O4" s="7"/>
      <c r="P4" s="7"/>
      <c r="Q4" s="7">
        <v>-1622</v>
      </c>
      <c r="R4" s="7">
        <v>1701</v>
      </c>
      <c r="S4" s="7">
        <v>79</v>
      </c>
      <c r="T4" s="10">
        <f t="shared" si="0"/>
        <v>836.36542432884255</v>
      </c>
      <c r="U4" s="10">
        <f t="shared" si="1"/>
        <v>38.843544104631725</v>
      </c>
      <c r="V4" s="10">
        <f t="shared" si="2"/>
        <v>-797.5218802242108</v>
      </c>
      <c r="W4" s="7"/>
      <c r="X4" s="7"/>
      <c r="Y4" s="7"/>
      <c r="Z4" s="7"/>
      <c r="AA4" s="7"/>
      <c r="AB4" s="7"/>
      <c r="AC4" s="7"/>
      <c r="AD4" s="7"/>
      <c r="AE4" s="7"/>
      <c r="AF4" s="7"/>
      <c r="AG4" t="s">
        <v>19</v>
      </c>
      <c r="AH4" t="s">
        <v>19</v>
      </c>
      <c r="AJ4">
        <v>1</v>
      </c>
    </row>
    <row r="5" spans="1:36" ht="58">
      <c r="A5" t="s">
        <v>89</v>
      </c>
      <c r="B5" s="3" t="s">
        <v>210</v>
      </c>
      <c r="C5" s="3" t="s">
        <v>209</v>
      </c>
      <c r="G5" s="7" t="s">
        <v>372</v>
      </c>
      <c r="H5" s="7"/>
      <c r="I5" s="7"/>
      <c r="J5" s="7"/>
      <c r="K5" s="7"/>
      <c r="L5" s="7"/>
      <c r="M5" s="7"/>
      <c r="N5" s="8"/>
      <c r="O5" s="7"/>
      <c r="P5" s="7"/>
      <c r="Q5" s="7">
        <v>-118</v>
      </c>
      <c r="R5" s="7">
        <v>250</v>
      </c>
      <c r="S5" s="7">
        <v>132</v>
      </c>
      <c r="T5" s="10">
        <f t="shared" si="0"/>
        <v>122.92260792604976</v>
      </c>
      <c r="U5" s="10">
        <f t="shared" si="1"/>
        <v>64.903136984954273</v>
      </c>
      <c r="V5" s="10">
        <f t="shared" si="2"/>
        <v>-58.019470941095491</v>
      </c>
      <c r="W5" s="7"/>
      <c r="X5" s="7"/>
      <c r="Y5" s="7"/>
      <c r="Z5" s="7"/>
      <c r="AA5" s="7"/>
      <c r="AB5" s="7"/>
      <c r="AC5" s="7"/>
      <c r="AD5" s="7"/>
      <c r="AE5" s="7"/>
      <c r="AF5" s="7"/>
      <c r="AG5" t="s">
        <v>19</v>
      </c>
      <c r="AH5" t="s">
        <v>19</v>
      </c>
      <c r="AJ5">
        <v>1</v>
      </c>
    </row>
    <row r="6" spans="1:36" ht="29">
      <c r="A6" t="s">
        <v>99</v>
      </c>
      <c r="B6" s="3" t="s">
        <v>227</v>
      </c>
      <c r="C6" s="3" t="s">
        <v>226</v>
      </c>
      <c r="G6" s="7" t="s">
        <v>372</v>
      </c>
      <c r="H6" s="7"/>
      <c r="I6" s="7"/>
      <c r="J6" s="7"/>
      <c r="K6" s="7"/>
      <c r="L6" s="7"/>
      <c r="M6" s="7"/>
      <c r="N6" s="8"/>
      <c r="O6" s="7"/>
      <c r="P6" s="7"/>
      <c r="Q6" s="7">
        <v>813</v>
      </c>
      <c r="R6" s="7">
        <v>17</v>
      </c>
      <c r="S6" s="7">
        <v>830</v>
      </c>
      <c r="T6" s="10">
        <f t="shared" si="0"/>
        <v>8.3587373389713839</v>
      </c>
      <c r="U6" s="10">
        <f t="shared" si="1"/>
        <v>408.10305831448517</v>
      </c>
      <c r="V6" s="10">
        <f t="shared" si="2"/>
        <v>399.7443209755138</v>
      </c>
      <c r="W6" s="7"/>
      <c r="X6" s="7"/>
      <c r="Y6" s="7"/>
      <c r="Z6" s="7"/>
      <c r="AA6" s="7"/>
      <c r="AB6" s="7"/>
      <c r="AC6" s="7"/>
      <c r="AD6" s="7"/>
      <c r="AE6" s="7"/>
      <c r="AF6" s="7"/>
      <c r="AG6" t="s">
        <v>19</v>
      </c>
      <c r="AH6" t="s">
        <v>19</v>
      </c>
      <c r="AJ6">
        <v>1</v>
      </c>
    </row>
    <row r="7" spans="1:36">
      <c r="A7" t="s">
        <v>125</v>
      </c>
      <c r="B7" s="3" t="s">
        <v>127</v>
      </c>
      <c r="C7" s="3" t="s">
        <v>128</v>
      </c>
      <c r="F7" t="s">
        <v>19</v>
      </c>
      <c r="G7" s="7" t="s">
        <v>372</v>
      </c>
      <c r="H7" s="7"/>
      <c r="I7" s="7"/>
      <c r="J7" s="7"/>
      <c r="K7" s="7"/>
      <c r="L7" s="7"/>
      <c r="M7" s="7"/>
      <c r="N7" s="8"/>
      <c r="O7" s="7"/>
      <c r="P7" s="7"/>
      <c r="Q7" s="7">
        <v>-1</v>
      </c>
      <c r="R7" s="7">
        <v>1</v>
      </c>
      <c r="S7" s="7">
        <v>0</v>
      </c>
      <c r="T7" s="10">
        <f t="shared" si="0"/>
        <v>0.49169043170419907</v>
      </c>
      <c r="U7" s="10">
        <f t="shared" si="1"/>
        <v>0</v>
      </c>
      <c r="V7" s="10">
        <f t="shared" si="2"/>
        <v>-0.49169043170419907</v>
      </c>
      <c r="W7" s="7"/>
      <c r="X7" s="7"/>
      <c r="Y7" s="7"/>
      <c r="Z7" s="7"/>
      <c r="AA7" s="7"/>
      <c r="AB7" s="7"/>
      <c r="AC7" s="7"/>
      <c r="AD7" s="7"/>
      <c r="AE7" s="7"/>
      <c r="AF7" s="7"/>
      <c r="AG7" t="s">
        <v>19</v>
      </c>
      <c r="AH7" t="s">
        <v>20</v>
      </c>
      <c r="AJ7">
        <v>1</v>
      </c>
    </row>
    <row r="8" spans="1:36" ht="43.5">
      <c r="A8" t="s">
        <v>138</v>
      </c>
      <c r="B8" s="3" t="s">
        <v>286</v>
      </c>
      <c r="C8" s="3" t="s">
        <v>285</v>
      </c>
      <c r="G8" s="7" t="s">
        <v>372</v>
      </c>
      <c r="H8" s="7"/>
      <c r="I8" s="7"/>
      <c r="J8" s="7"/>
      <c r="K8" s="7"/>
      <c r="L8" s="7"/>
      <c r="M8" s="7"/>
      <c r="N8" s="8"/>
      <c r="O8" s="7"/>
      <c r="P8" s="7"/>
      <c r="Q8" s="7">
        <v>2325</v>
      </c>
      <c r="R8" s="7">
        <v>150</v>
      </c>
      <c r="S8" s="7">
        <v>2475</v>
      </c>
      <c r="T8" s="10">
        <f t="shared" si="0"/>
        <v>73.753564755629853</v>
      </c>
      <c r="U8" s="10">
        <f t="shared" si="1"/>
        <v>1216.9338184678927</v>
      </c>
      <c r="V8" s="10">
        <f t="shared" si="2"/>
        <v>1143.1802537122628</v>
      </c>
      <c r="W8" s="7"/>
      <c r="X8" s="7"/>
      <c r="Y8" s="7"/>
      <c r="Z8" s="7"/>
      <c r="AA8" s="7"/>
      <c r="AB8" s="7"/>
      <c r="AC8" s="7"/>
      <c r="AD8" s="7"/>
      <c r="AE8" s="7"/>
      <c r="AF8" s="7"/>
      <c r="AG8" t="s">
        <v>19</v>
      </c>
      <c r="AH8" t="s">
        <v>19</v>
      </c>
      <c r="AJ8">
        <v>1</v>
      </c>
    </row>
    <row r="9" spans="1:36" ht="29">
      <c r="A9" t="s">
        <v>141</v>
      </c>
      <c r="B9" s="3" t="s">
        <v>290</v>
      </c>
      <c r="C9" s="3" t="s">
        <v>291</v>
      </c>
      <c r="G9" s="7" t="s">
        <v>372</v>
      </c>
      <c r="H9" s="7"/>
      <c r="I9" s="7"/>
      <c r="J9" s="7"/>
      <c r="K9" s="7"/>
      <c r="L9" s="7"/>
      <c r="M9" s="7"/>
      <c r="N9" s="8"/>
      <c r="O9" s="7"/>
      <c r="P9" s="7"/>
      <c r="Q9" s="7">
        <v>26</v>
      </c>
      <c r="R9" s="7">
        <v>5</v>
      </c>
      <c r="S9" s="7">
        <v>31</v>
      </c>
      <c r="T9" s="10">
        <f t="shared" si="0"/>
        <v>2.4584521585209949</v>
      </c>
      <c r="U9" s="10">
        <f t="shared" si="1"/>
        <v>15.242403382830171</v>
      </c>
      <c r="V9" s="10">
        <f t="shared" si="2"/>
        <v>12.783951224309176</v>
      </c>
      <c r="W9" s="7"/>
      <c r="X9" s="7"/>
      <c r="Y9" s="7"/>
      <c r="Z9" s="7"/>
      <c r="AA9" s="7"/>
      <c r="AB9" s="7"/>
      <c r="AC9" s="7"/>
      <c r="AD9" s="7"/>
      <c r="AE9" s="7"/>
      <c r="AF9" s="7"/>
      <c r="AG9" t="s">
        <v>19</v>
      </c>
      <c r="AH9" t="s">
        <v>19</v>
      </c>
      <c r="AJ9">
        <v>1</v>
      </c>
    </row>
    <row r="10" spans="1:36" ht="43.5">
      <c r="A10" t="s">
        <v>157</v>
      </c>
      <c r="B10" s="3" t="s">
        <v>315</v>
      </c>
      <c r="C10" s="3" t="s">
        <v>314</v>
      </c>
      <c r="G10" s="7" t="s">
        <v>372</v>
      </c>
      <c r="H10" s="7"/>
      <c r="I10" s="7"/>
      <c r="J10" s="7"/>
      <c r="K10" s="7"/>
      <c r="L10" s="7"/>
      <c r="M10" s="7"/>
      <c r="N10" s="8"/>
      <c r="O10" s="7"/>
      <c r="P10" s="7"/>
      <c r="Q10" s="7">
        <v>-15</v>
      </c>
      <c r="R10" s="7">
        <v>186</v>
      </c>
      <c r="S10" s="7">
        <v>171</v>
      </c>
      <c r="T10" s="10">
        <f t="shared" si="0"/>
        <v>91.454420296981013</v>
      </c>
      <c r="U10" s="10">
        <f t="shared" si="1"/>
        <v>84.079063821418046</v>
      </c>
      <c r="V10" s="10">
        <f t="shared" si="2"/>
        <v>-7.3753564755629668</v>
      </c>
      <c r="W10" s="7"/>
      <c r="X10" s="7"/>
      <c r="Y10" s="7"/>
      <c r="Z10" s="7"/>
      <c r="AA10" s="7"/>
      <c r="AB10" s="7"/>
      <c r="AC10" s="7"/>
      <c r="AD10" s="7"/>
      <c r="AE10" s="7"/>
      <c r="AF10" s="7"/>
      <c r="AG10" t="s">
        <v>19</v>
      </c>
      <c r="AH10" t="s">
        <v>19</v>
      </c>
      <c r="AJ10">
        <v>1</v>
      </c>
    </row>
    <row r="11" spans="1:36" ht="87">
      <c r="A11" t="s">
        <v>157</v>
      </c>
      <c r="B11" s="3" t="s">
        <v>316</v>
      </c>
      <c r="C11" s="3" t="s">
        <v>317</v>
      </c>
      <c r="G11" s="7" t="s">
        <v>372</v>
      </c>
      <c r="H11" s="7"/>
      <c r="I11" s="7"/>
      <c r="J11" s="7"/>
      <c r="K11" s="7"/>
      <c r="L11" s="7"/>
      <c r="M11" s="7"/>
      <c r="N11" s="8"/>
      <c r="O11" s="7"/>
      <c r="P11" s="7"/>
      <c r="Q11" s="7">
        <v>3</v>
      </c>
      <c r="R11" s="7">
        <v>1</v>
      </c>
      <c r="S11" s="7">
        <v>4</v>
      </c>
      <c r="T11" s="10">
        <f t="shared" si="0"/>
        <v>0.49169043170419907</v>
      </c>
      <c r="U11" s="10">
        <f t="shared" si="1"/>
        <v>1.9667617268167963</v>
      </c>
      <c r="V11" s="10">
        <f t="shared" si="2"/>
        <v>1.4750712951125973</v>
      </c>
      <c r="W11" s="7"/>
      <c r="X11" s="7"/>
      <c r="Y11" s="7"/>
      <c r="Z11" s="7"/>
      <c r="AA11" s="7"/>
      <c r="AB11" s="7"/>
      <c r="AC11" s="7"/>
      <c r="AD11" s="7"/>
      <c r="AE11" s="7"/>
      <c r="AF11" s="7"/>
      <c r="AG11" t="s">
        <v>19</v>
      </c>
      <c r="AH11" t="s">
        <v>19</v>
      </c>
      <c r="AJ11">
        <v>1</v>
      </c>
    </row>
    <row r="14" spans="1:36">
      <c r="D14" t="s">
        <v>448</v>
      </c>
      <c r="E14">
        <v>20338</v>
      </c>
    </row>
    <row r="17" spans="4:5">
      <c r="D17" t="s">
        <v>468</v>
      </c>
      <c r="E17">
        <f>COUNTIF(Q:Q, "&gt;0")</f>
        <v>5</v>
      </c>
    </row>
    <row r="18" spans="4:5">
      <c r="D18" t="s">
        <v>469</v>
      </c>
      <c r="E18">
        <f>COUNTIF(Q:Q, "&lt;0")</f>
        <v>5</v>
      </c>
    </row>
    <row r="19" spans="4:5">
      <c r="D19" t="s">
        <v>470</v>
      </c>
      <c r="E19">
        <f>_xlfn.BINOM.DIST(MIN(E17,E18),(E17+E18),0.5,TRUE)*2</f>
        <v>1.24609375</v>
      </c>
    </row>
    <row r="21" spans="4:5">
      <c r="D21" t="s">
        <v>471</v>
      </c>
      <c r="E21">
        <f>AVERAGE(Q:Q)</f>
        <v>116.9</v>
      </c>
    </row>
    <row r="22" spans="4:5">
      <c r="D22" t="s">
        <v>472</v>
      </c>
      <c r="E22">
        <f>_xlfn.STDEV.S(Q:Q)</f>
        <v>979.66586707464251</v>
      </c>
    </row>
    <row r="25" spans="4:5">
      <c r="D25" t="s">
        <v>473</v>
      </c>
      <c r="E25">
        <f>AVERAGE(V:V)</f>
        <v>57.478611466220869</v>
      </c>
    </row>
    <row r="26" spans="4:5">
      <c r="D26" t="s">
        <v>474</v>
      </c>
      <c r="E26">
        <f>_xlfn.STDEV.S(V:V)</f>
        <v>481.69233310779947</v>
      </c>
    </row>
    <row r="29" spans="4:5">
      <c r="D29" t="s">
        <v>476</v>
      </c>
      <c r="E29">
        <f>COUNT(V:V)</f>
        <v>10</v>
      </c>
    </row>
    <row r="30" spans="4:5">
      <c r="D30" t="s">
        <v>477</v>
      </c>
      <c r="E30">
        <f>_xlfn.STDEV.P(V:V)</f>
        <v>456.97347121835395</v>
      </c>
    </row>
  </sheetData>
  <conditionalFormatting sqref="G2:G11">
    <cfRule type="expression" dxfId="195" priority="7">
      <formula>$I2&lt;&gt;""</formula>
    </cfRule>
    <cfRule type="expression" dxfId="194" priority="8">
      <formula>$I2=""</formula>
    </cfRule>
  </conditionalFormatting>
  <conditionalFormatting sqref="H2:L11 O2:P11">
    <cfRule type="expression" dxfId="193" priority="21">
      <formula>AND(OR($I2="Addition",$I2="Omission"), H2="")</formula>
    </cfRule>
    <cfRule type="expression" dxfId="192" priority="22">
      <formula>AND($I2&lt;&gt;"Addition",$I2&lt;&gt;"Omission",$I2&lt;&gt;"Substitution - Word")</formula>
    </cfRule>
  </conditionalFormatting>
  <conditionalFormatting sqref="H2:P11">
    <cfRule type="expression" dxfId="191" priority="20">
      <formula>AND(OR($I2="Addition",$I2="Omission"), H2&lt;&gt;"")</formula>
    </cfRule>
  </conditionalFormatting>
  <conditionalFormatting sqref="K2:K11">
    <cfRule type="expression" dxfId="190" priority="18">
      <formula>AND($K2&lt;&gt;"",$K2&gt;1)</formula>
    </cfRule>
  </conditionalFormatting>
  <conditionalFormatting sqref="M2:N11">
    <cfRule type="expression" dxfId="189" priority="14">
      <formula>$N2="Absent"</formula>
    </cfRule>
    <cfRule type="expression" dxfId="188" priority="15">
      <formula>$N2="NA"</formula>
    </cfRule>
    <cfRule type="expression" dxfId="187" priority="16">
      <formula>AND(OR($I2="Addition",$I2="Omission"), M2="")</formula>
    </cfRule>
    <cfRule type="expression" dxfId="186" priority="17">
      <formula>AND($I2&lt;&gt;"Addition",$I2&lt;&gt;"Omission")</formula>
    </cfRule>
  </conditionalFormatting>
  <conditionalFormatting sqref="O2:O11">
    <cfRule type="expression" dxfId="185" priority="19">
      <formula>OR($I2="Addition",$I2="Omission",$I2 = "Substitution - Word")</formula>
    </cfRule>
  </conditionalFormatting>
  <conditionalFormatting sqref="Q2:V11">
    <cfRule type="expression" dxfId="184" priority="1">
      <formula>AND(AND(LEFT($I2,3)="Sub", RIGHT($I2,4)&lt;&gt;"Form"),$S2&lt;&gt;"")</formula>
    </cfRule>
    <cfRule type="expression" dxfId="183" priority="2">
      <formula>AND(AND(LEFT($I2,3)="Sub", RIGHT($I2,4)&lt;&gt;"Form"),$S2="")</formula>
    </cfRule>
    <cfRule type="expression" dxfId="182" priority="3">
      <formula>"&lt;&gt;AND(LEFT($J2,3)=""Sub"", RIGHT($J2,4)&lt;&gt;""Form"")"</formula>
    </cfRule>
  </conditionalFormatting>
  <conditionalFormatting sqref="W2:W11">
    <cfRule type="expression" dxfId="181" priority="10">
      <formula>AND($Y2&lt;&gt;"",OR($AF2="Yes",$AG2&lt;&gt;""))</formula>
    </cfRule>
    <cfRule type="expression" dxfId="180" priority="11">
      <formula>OR($AF2="Yes",$AG2&lt;&gt;"")</formula>
    </cfRule>
    <cfRule type="expression" dxfId="179" priority="25">
      <formula>AND($AF2&lt;&gt;"Yes",$AG2="")</formula>
    </cfRule>
  </conditionalFormatting>
  <conditionalFormatting sqref="W2:AF11">
    <cfRule type="expression" dxfId="178" priority="23">
      <formula>AND($I2&lt;&gt;"",$I2&lt;&gt;"Unclear due to correction")</formula>
    </cfRule>
    <cfRule type="expression" dxfId="177" priority="24">
      <formula>OR($I2="",$I2="Unclear due to correction")</formula>
    </cfRule>
  </conditionalFormatting>
  <conditionalFormatting sqref="X2:X11">
    <cfRule type="expression" dxfId="176" priority="9">
      <formula>AND($I2&lt;&gt;"",$I2&lt;&gt;"Unclear due to correction",$Z2="")</formula>
    </cfRule>
  </conditionalFormatting>
  <conditionalFormatting sqref="Y2:Y11">
    <cfRule type="expression" dxfId="175" priority="12">
      <formula>AND($Z2="Yes",$AA2="")</formula>
    </cfRule>
    <cfRule type="expression" dxfId="174" priority="13">
      <formula>$Z2=""</formula>
    </cfRule>
  </conditionalFormatting>
  <conditionalFormatting sqref="AD2:AD11">
    <cfRule type="expression" dxfId="173" priority="26">
      <formula>AND(OR($AD2&lt;&gt;"",$AE2&lt;&gt;""),$AF2="")</formula>
    </cfRule>
  </conditionalFormatting>
  <dataValidations count="1">
    <dataValidation allowBlank="1" showInputMessage="1" sqref="X2:X11" xr:uid="{B871AFCA-5644-422A-A4B4-C60347C100AF}"/>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EB683865-3860-4E79-807A-77C6FE098E0E}">
          <x14:formula1>
            <xm:f>'Data Regularization'!$D$2:$D$1048576</xm:f>
          </x14:formula1>
          <xm:sqref>G2:G11</xm:sqref>
        </x14:dataValidation>
        <x14:dataValidation type="list" allowBlank="1" showInputMessage="1" showErrorMessage="1" xr:uid="{5F0FA84C-00DC-48A1-9E8D-5D6BFFE6FAB1}">
          <x14:formula1>
            <xm:f>'Data Regularization'!$E$2:$E$1048576</xm:f>
          </x14:formula1>
          <xm:sqref>K2:K11</xm:sqref>
        </x14:dataValidation>
        <x14:dataValidation type="list" allowBlank="1" showInputMessage="1" showErrorMessage="1" xr:uid="{184180AA-51A1-4CEF-95C9-EA9150516FC8}">
          <x14:formula1>
            <xm:f>'Data Regularization'!$F$2:$F$1048576</xm:f>
          </x14:formula1>
          <xm:sqref>L2:L11</xm:sqref>
        </x14:dataValidation>
        <x14:dataValidation type="list" allowBlank="1" showInputMessage="1" showErrorMessage="1" xr:uid="{3DF7D9B3-EA75-403D-ACC4-720D084B97E7}">
          <x14:formula1>
            <xm:f>'Data Regularization'!$G$2:$G$1048576</xm:f>
          </x14:formula1>
          <xm:sqref>O2:O11</xm:sqref>
        </x14:dataValidation>
        <x14:dataValidation type="list" allowBlank="1" showInputMessage="1" showErrorMessage="1" xr:uid="{162F021C-F0F4-4DDF-B88C-CE3D8FE7097D}">
          <x14:formula1>
            <xm:f>'Data Regularization'!$J$2:$J$1048576</xm:f>
          </x14:formula1>
          <xm:sqref>W2:W11 Y2:Y11</xm:sqref>
        </x14:dataValidation>
        <x14:dataValidation type="list" allowBlank="1" showInputMessage="1" showErrorMessage="1" xr:uid="{416FF628-8DCE-4DC2-81A8-8A334149DA53}">
          <x14:formula1>
            <xm:f>'Data Regularization'!$K$2:$K$1048576</xm:f>
          </x14:formula1>
          <xm:sqref>Z2:Z11</xm:sqref>
        </x14:dataValidation>
        <x14:dataValidation type="list" allowBlank="1" showInputMessage="1" showErrorMessage="1" xr:uid="{6F081285-9AFC-469D-AE56-41F0B5B34757}">
          <x14:formula1>
            <xm:f>'Data Regularization'!$L$2:$L$1048576</xm:f>
          </x14:formula1>
          <xm:sqref>AA2:AA11</xm:sqref>
        </x14:dataValidation>
        <x14:dataValidation type="list" allowBlank="1" showInputMessage="1" showErrorMessage="1" xr:uid="{E74176C8-0AD1-43D6-B123-F757B2A6CD62}">
          <x14:formula1>
            <xm:f>'Data Regularization'!$M$2:$M$1048576</xm:f>
          </x14:formula1>
          <xm:sqref>AB2:AB11</xm:sqref>
        </x14:dataValidation>
        <x14:dataValidation type="list" allowBlank="1" showInputMessage="1" showErrorMessage="1" xr:uid="{DF9CF9CF-24C8-4B93-9990-7C6D10D94539}">
          <x14:formula1>
            <xm:f>'Data Regularization'!$N$2:$N$1048576</xm:f>
          </x14:formula1>
          <xm:sqref>AD2:AD11</xm:sqref>
        </x14:dataValidation>
        <x14:dataValidation type="list" allowBlank="1" showInputMessage="1" showErrorMessage="1" xr:uid="{9EA5C5F4-ED4A-42FF-B80A-46CD119E5CDA}">
          <x14:formula1>
            <xm:f>'Data Regularization'!$O$2:$O$1048576</xm:f>
          </x14:formula1>
          <xm:sqref>AE2:AE11</xm:sqref>
        </x14:dataValidation>
        <x14:dataValidation type="list" allowBlank="1" showInputMessage="1" showErrorMessage="1" xr:uid="{D81C33F7-FD89-41B7-91B4-B2D71DD2AC1F}">
          <x14:formula1>
            <xm:f>'Data Regularization'!$P$2:$P$1048576</xm:f>
          </x14:formula1>
          <xm:sqref>AF2:AF11</xm:sqref>
        </x14:dataValidation>
        <x14:dataValidation type="list" allowBlank="1" showInputMessage="1" showErrorMessage="1" xr:uid="{1C91190D-6C3A-4134-9F97-823C25E2615B}">
          <x14:formula1>
            <xm:f>'Data Regularization'!$C$2:$C$50</xm:f>
          </x14:formula1>
          <xm:sqref>F2:F11</xm:sqref>
        </x14:dataValidation>
        <x14:dataValidation type="list" allowBlank="1" showInputMessage="1" showErrorMessage="1" xr:uid="{FEFC9093-354C-4204-A751-4FE82450A427}">
          <x14:formula1>
            <xm:f>'Data Regularization'!$A$2:$A$1048576</xm:f>
          </x14:formula1>
          <xm:sqref>D2:D11</xm:sqref>
        </x14:dataValidation>
        <x14:dataValidation type="list" allowBlank="1" showInputMessage="1" showErrorMessage="1" xr:uid="{7603579C-B751-4058-BB68-740FEB506FD3}">
          <x14:formula1>
            <xm:f>'Data Regularization'!$B$2:$B$1048576</xm:f>
          </x14:formula1>
          <xm:sqref>E2:E11</xm:sqref>
        </x14:dataValidation>
        <x14:dataValidation type="list" allowBlank="1" showInputMessage="1" showErrorMessage="1" xr:uid="{3C3E11D3-993B-43FD-A727-064A9E0FE648}">
          <x14:formula1>
            <xm:f>'Data Regularization'!$P$2:$P$4</xm:f>
          </x14:formula1>
          <xm:sqref>AG2:AG11 AI2:AI11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DF24A-629E-47FA-8AA7-3395130DBEF2}">
  <dimension ref="A1:AH7"/>
  <sheetViews>
    <sheetView workbookViewId="0">
      <selection activeCell="G2" sqref="G2"/>
    </sheetView>
  </sheetViews>
  <sheetFormatPr defaultRowHeight="14.5"/>
  <sheetData>
    <row r="1" spans="1:34" s="1" customFormat="1" ht="29">
      <c r="A1" s="1" t="s">
        <v>0</v>
      </c>
      <c r="B1" s="1" t="s">
        <v>5</v>
      </c>
      <c r="C1" s="2" t="s">
        <v>6</v>
      </c>
      <c r="D1" s="1" t="s">
        <v>354</v>
      </c>
      <c r="E1" s="1" t="s">
        <v>355</v>
      </c>
      <c r="F1" s="1" t="s">
        <v>356</v>
      </c>
      <c r="G1" s="1" t="s">
        <v>7</v>
      </c>
      <c r="H1" s="1" t="s">
        <v>3</v>
      </c>
      <c r="I1" s="1" t="s">
        <v>357</v>
      </c>
      <c r="J1" s="1" t="s">
        <v>358</v>
      </c>
      <c r="K1" s="1" t="s">
        <v>359</v>
      </c>
      <c r="L1" s="1" t="s">
        <v>360</v>
      </c>
      <c r="M1" s="1" t="s">
        <v>319</v>
      </c>
      <c r="N1" s="1" t="s">
        <v>361</v>
      </c>
      <c r="O1" s="6" t="s">
        <v>362</v>
      </c>
      <c r="P1" s="1" t="s">
        <v>320</v>
      </c>
      <c r="Q1" s="1" t="s">
        <v>363</v>
      </c>
      <c r="R1" s="1" t="s">
        <v>364</v>
      </c>
      <c r="S1" s="1" t="s">
        <v>449</v>
      </c>
      <c r="T1" s="1" t="s">
        <v>450</v>
      </c>
      <c r="U1" s="1" t="s">
        <v>367</v>
      </c>
      <c r="V1" s="1" t="s">
        <v>368</v>
      </c>
      <c r="W1" s="1" t="s">
        <v>369</v>
      </c>
      <c r="X1" s="1" t="s">
        <v>321</v>
      </c>
      <c r="Y1" s="1" t="s">
        <v>322</v>
      </c>
      <c r="Z1" s="1" t="s">
        <v>323</v>
      </c>
      <c r="AA1" s="1" t="s">
        <v>365</v>
      </c>
      <c r="AB1" s="1" t="s">
        <v>370</v>
      </c>
      <c r="AC1" s="1" t="s">
        <v>324</v>
      </c>
      <c r="AD1" s="1" t="s">
        <v>366</v>
      </c>
      <c r="AE1" s="1" t="s">
        <v>382</v>
      </c>
      <c r="AF1" s="1" t="s">
        <v>380</v>
      </c>
      <c r="AG1" s="1" t="s">
        <v>381</v>
      </c>
    </row>
    <row r="2" spans="1:34" ht="29">
      <c r="A2" t="s">
        <v>120</v>
      </c>
      <c r="B2" s="3" t="s">
        <v>190</v>
      </c>
      <c r="C2" s="3" t="s">
        <v>189</v>
      </c>
      <c r="G2" t="s">
        <v>401</v>
      </c>
      <c r="H2" s="7" t="s">
        <v>374</v>
      </c>
      <c r="I2" s="7"/>
      <c r="J2" s="7"/>
      <c r="K2" s="7"/>
      <c r="L2" s="7"/>
      <c r="M2" s="7"/>
      <c r="N2" s="7"/>
      <c r="O2" s="8"/>
      <c r="P2" s="7"/>
      <c r="Q2" s="7"/>
      <c r="R2" s="7"/>
      <c r="S2" s="7" t="s">
        <v>451</v>
      </c>
      <c r="T2" s="7" t="s">
        <v>451</v>
      </c>
      <c r="U2" s="7" t="s">
        <v>371</v>
      </c>
      <c r="V2" s="7"/>
      <c r="W2" s="7"/>
      <c r="X2" s="7"/>
      <c r="Y2" s="7"/>
      <c r="Z2" s="7"/>
      <c r="AA2" s="7"/>
      <c r="AB2" s="7"/>
      <c r="AC2" s="7"/>
      <c r="AD2" s="7"/>
      <c r="AE2" t="s">
        <v>19</v>
      </c>
      <c r="AF2" t="s">
        <v>20</v>
      </c>
      <c r="AH2">
        <v>1</v>
      </c>
    </row>
    <row r="5" spans="1:34">
      <c r="D5" t="s">
        <v>478</v>
      </c>
      <c r="E5">
        <f>COUNTIF(U:U, "Harmonizing")</f>
        <v>0</v>
      </c>
    </row>
    <row r="6" spans="1:34">
      <c r="D6" t="s">
        <v>479</v>
      </c>
      <c r="E6">
        <f>COUNTIF(U:U, "Disharmonizing")</f>
        <v>1</v>
      </c>
    </row>
    <row r="7" spans="1:34">
      <c r="D7" t="s">
        <v>480</v>
      </c>
      <c r="E7">
        <f>E5/(E5+E6)</f>
        <v>0</v>
      </c>
    </row>
  </sheetData>
  <conditionalFormatting sqref="H2">
    <cfRule type="expression" dxfId="172" priority="4">
      <formula>$J2&lt;&gt;""</formula>
    </cfRule>
    <cfRule type="expression" dxfId="171" priority="5">
      <formula>$J2=""</formula>
    </cfRule>
  </conditionalFormatting>
  <conditionalFormatting sqref="I2:M2 P2:Q2">
    <cfRule type="expression" dxfId="170" priority="18">
      <formula>AND(OR($J2="Addition",$J2="Omission"), I2="")</formula>
    </cfRule>
    <cfRule type="expression" dxfId="169" priority="19">
      <formula>AND($J2&lt;&gt;"Addition",$J2&lt;&gt;"Omission",$J2&lt;&gt;"Substitution - Word")</formula>
    </cfRule>
  </conditionalFormatting>
  <conditionalFormatting sqref="I2:Q2">
    <cfRule type="expression" dxfId="168" priority="17">
      <formula>AND(OR($J2="Addition",$J2="Omission"), I2&lt;&gt;"")</formula>
    </cfRule>
  </conditionalFormatting>
  <conditionalFormatting sqref="L2">
    <cfRule type="expression" dxfId="167" priority="15">
      <formula>AND($L2&lt;&gt;"",$L2&gt;1)</formula>
    </cfRule>
  </conditionalFormatting>
  <conditionalFormatting sqref="N2:O2">
    <cfRule type="expression" dxfId="166" priority="11">
      <formula>$O2="Absent"</formula>
    </cfRule>
    <cfRule type="expression" dxfId="165" priority="12">
      <formula>$O2="NA"</formula>
    </cfRule>
    <cfRule type="expression" dxfId="164" priority="13">
      <formula>AND(OR($J2="Addition",$J2="Omission"), N2="")</formula>
    </cfRule>
    <cfRule type="expression" dxfId="163" priority="14">
      <formula>AND($J2&lt;&gt;"Addition",$J2&lt;&gt;"Omission")</formula>
    </cfRule>
  </conditionalFormatting>
  <conditionalFormatting sqref="P2">
    <cfRule type="expression" dxfId="162" priority="16">
      <formula>OR($J2="Addition",$J2="Omission",$J2 = "Substitution - Word")</formula>
    </cfRule>
  </conditionalFormatting>
  <conditionalFormatting sqref="R2:T2">
    <cfRule type="expression" dxfId="161" priority="1">
      <formula>AND(AND(LEFT($J2,3)="Sub", RIGHT($J2,4)&lt;&gt;"Form"),$T2&lt;&gt;"")</formula>
    </cfRule>
    <cfRule type="expression" dxfId="160" priority="2">
      <formula>AND(AND(LEFT($J2,3)="Sub", RIGHT($J2,4)&lt;&gt;"Form"),$T2="")</formula>
    </cfRule>
    <cfRule type="expression" dxfId="159" priority="3">
      <formula>"&lt;&gt;AND(LEFT($J2,3)=""Sub"", RIGHT($J2,4)&lt;&gt;""Form"")"</formula>
    </cfRule>
  </conditionalFormatting>
  <conditionalFormatting sqref="U2">
    <cfRule type="expression" dxfId="158" priority="7">
      <formula>AND($W2&lt;&gt;"",OR($AD2="Yes",$AE2&lt;&gt;""))</formula>
    </cfRule>
    <cfRule type="expression" dxfId="157" priority="8">
      <formula>OR($AD2="Yes",$AE2&lt;&gt;"")</formula>
    </cfRule>
    <cfRule type="expression" dxfId="156" priority="22">
      <formula>AND($AD2&lt;&gt;"Yes",$AE2="")</formula>
    </cfRule>
  </conditionalFormatting>
  <conditionalFormatting sqref="U2:AD2">
    <cfRule type="expression" dxfId="155" priority="20">
      <formula>AND($J2&lt;&gt;"",$J2&lt;&gt;"Unclear due to correction")</formula>
    </cfRule>
    <cfRule type="expression" dxfId="154" priority="21">
      <formula>OR($J2="",$J2="Unclear due to correction")</formula>
    </cfRule>
  </conditionalFormatting>
  <conditionalFormatting sqref="V2">
    <cfRule type="expression" dxfId="153" priority="6">
      <formula>AND($J2&lt;&gt;"",$J2&lt;&gt;"Unclear due to correction",$X2="")</formula>
    </cfRule>
  </conditionalFormatting>
  <conditionalFormatting sqref="W2">
    <cfRule type="expression" dxfId="152" priority="9">
      <formula>AND($X2="Yes",$Y2="")</formula>
    </cfRule>
    <cfRule type="expression" dxfId="151" priority="10">
      <formula>$X2=""</formula>
    </cfRule>
  </conditionalFormatting>
  <conditionalFormatting sqref="AB2">
    <cfRule type="expression" dxfId="150" priority="23">
      <formula>AND(OR($AB2&lt;&gt;"",$AC2&lt;&gt;""),$AD2="")</formula>
    </cfRule>
  </conditionalFormatting>
  <dataValidations count="1">
    <dataValidation allowBlank="1" showInputMessage="1" sqref="V2" xr:uid="{9420346E-D036-4A6A-AB11-8368E6A31B8D}"/>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5">
        <x14:dataValidation type="list" allowBlank="1" showInputMessage="1" showErrorMessage="1" xr:uid="{0AC256D2-616F-4FE1-8B14-C5C3CB107CB0}">
          <x14:formula1>
            <xm:f>'Data Regularization'!$D$2:$D$1048576</xm:f>
          </x14:formula1>
          <xm:sqref>H2</xm:sqref>
        </x14:dataValidation>
        <x14:dataValidation type="list" allowBlank="1" showInputMessage="1" showErrorMessage="1" xr:uid="{4524CF3E-3383-4FEB-AE52-31569F8DC943}">
          <x14:formula1>
            <xm:f>'Data Regularization'!$E$2:$E$1048576</xm:f>
          </x14:formula1>
          <xm:sqref>L2</xm:sqref>
        </x14:dataValidation>
        <x14:dataValidation type="list" allowBlank="1" showInputMessage="1" showErrorMessage="1" xr:uid="{FCB866D3-DB9A-4923-9FE8-5F8AE3AECA6C}">
          <x14:formula1>
            <xm:f>'Data Regularization'!$F$2:$F$1048576</xm:f>
          </x14:formula1>
          <xm:sqref>M2</xm:sqref>
        </x14:dataValidation>
        <x14:dataValidation type="list" allowBlank="1" showInputMessage="1" showErrorMessage="1" xr:uid="{5F6DB8AD-6A36-451C-ACCB-28399B676EDA}">
          <x14:formula1>
            <xm:f>'Data Regularization'!$G$2:$G$1048576</xm:f>
          </x14:formula1>
          <xm:sqref>P2</xm:sqref>
        </x14:dataValidation>
        <x14:dataValidation type="list" allowBlank="1" showInputMessage="1" showErrorMessage="1" xr:uid="{78FFF3EE-149F-4F9D-A515-97D34C2CBD7E}">
          <x14:formula1>
            <xm:f>'Data Regularization'!$J$2:$J$1048576</xm:f>
          </x14:formula1>
          <xm:sqref>U2 W2</xm:sqref>
        </x14:dataValidation>
        <x14:dataValidation type="list" allowBlank="1" showInputMessage="1" showErrorMessage="1" xr:uid="{523A2AF6-7AD3-4643-A9A3-C0052A67298C}">
          <x14:formula1>
            <xm:f>'Data Regularization'!$K$2:$K$1048576</xm:f>
          </x14:formula1>
          <xm:sqref>X2</xm:sqref>
        </x14:dataValidation>
        <x14:dataValidation type="list" allowBlank="1" showInputMessage="1" showErrorMessage="1" xr:uid="{9C5A799C-308D-45F3-A550-F2589D91FC4D}">
          <x14:formula1>
            <xm:f>'Data Regularization'!$L$2:$L$1048576</xm:f>
          </x14:formula1>
          <xm:sqref>Y2</xm:sqref>
        </x14:dataValidation>
        <x14:dataValidation type="list" allowBlank="1" showInputMessage="1" showErrorMessage="1" xr:uid="{9A04F291-A209-4CA9-BD1C-028792C1D583}">
          <x14:formula1>
            <xm:f>'Data Regularization'!$M$2:$M$1048576</xm:f>
          </x14:formula1>
          <xm:sqref>Z2</xm:sqref>
        </x14:dataValidation>
        <x14:dataValidation type="list" allowBlank="1" showInputMessage="1" showErrorMessage="1" xr:uid="{D74E094A-350F-4D3B-ABC7-5ABFDC491BD0}">
          <x14:formula1>
            <xm:f>'Data Regularization'!$N$2:$N$1048576</xm:f>
          </x14:formula1>
          <xm:sqref>AB2</xm:sqref>
        </x14:dataValidation>
        <x14:dataValidation type="list" allowBlank="1" showInputMessage="1" showErrorMessage="1" xr:uid="{EF27BA90-7A55-4F50-B4B8-44E70763CC57}">
          <x14:formula1>
            <xm:f>'Data Regularization'!$O$2:$O$1048576</xm:f>
          </x14:formula1>
          <xm:sqref>AC2</xm:sqref>
        </x14:dataValidation>
        <x14:dataValidation type="list" allowBlank="1" showInputMessage="1" showErrorMessage="1" xr:uid="{C16CE901-FC33-4766-8585-C681470CF1BB}">
          <x14:formula1>
            <xm:f>'Data Regularization'!$P$2:$P$1048576</xm:f>
          </x14:formula1>
          <xm:sqref>AD2</xm:sqref>
        </x14:dataValidation>
        <x14:dataValidation type="list" allowBlank="1" showInputMessage="1" showErrorMessage="1" xr:uid="{87D8A66D-0DF7-48F9-B8A6-71E82D912DE2}">
          <x14:formula1>
            <xm:f>'Data Regularization'!$C$2:$C$50</xm:f>
          </x14:formula1>
          <xm:sqref>F2</xm:sqref>
        </x14:dataValidation>
        <x14:dataValidation type="list" allowBlank="1" showInputMessage="1" showErrorMessage="1" xr:uid="{BAE23D90-9E36-4054-A4F6-91C78A05633B}">
          <x14:formula1>
            <xm:f>'Data Regularization'!$A$2:$A$1048576</xm:f>
          </x14:formula1>
          <xm:sqref>D2</xm:sqref>
        </x14:dataValidation>
        <x14:dataValidation type="list" allowBlank="1" showInputMessage="1" showErrorMessage="1" xr:uid="{1DEEB10D-E0C8-414A-B182-40B4CE51F650}">
          <x14:formula1>
            <xm:f>'Data Regularization'!$B$2:$B$1048576</xm:f>
          </x14:formula1>
          <xm:sqref>E2</xm:sqref>
        </x14:dataValidation>
        <x14:dataValidation type="list" allowBlank="1" showInputMessage="1" showErrorMessage="1" xr:uid="{A2F994F9-C529-42E4-A73E-18ADA3B0DC82}">
          <x14:formula1>
            <xm:f>'Data Regularization'!$P$2:$P$4</xm:f>
          </x14:formula1>
          <xm:sqref>AE2 AG2</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A4C3-94CF-49ED-A8CE-F069782CF29C}">
  <dimension ref="A1:AG31"/>
  <sheetViews>
    <sheetView workbookViewId="0">
      <pane xSplit="3" ySplit="1" topLeftCell="D2" activePane="bottomRight" state="frozen"/>
      <selection pane="topRight" activeCell="D1" sqref="D1"/>
      <selection pane="bottomLeft" activeCell="A2" sqref="A2"/>
      <selection pane="bottomRight" activeCell="D1" sqref="D1:F1048576"/>
    </sheetView>
  </sheetViews>
  <sheetFormatPr defaultRowHeight="14.5"/>
  <cols>
    <col min="4" max="6" width="0" hidden="1" customWidth="1"/>
  </cols>
  <sheetData>
    <row r="1" spans="1:33" s="1" customFormat="1" ht="29">
      <c r="A1" s="1" t="s">
        <v>0</v>
      </c>
      <c r="B1" s="1" t="s">
        <v>5</v>
      </c>
      <c r="C1" s="2" t="s">
        <v>6</v>
      </c>
      <c r="D1" s="1" t="s">
        <v>354</v>
      </c>
      <c r="E1" s="1" t="s">
        <v>355</v>
      </c>
      <c r="F1" s="1" t="s">
        <v>356</v>
      </c>
      <c r="G1" s="1" t="s">
        <v>3</v>
      </c>
      <c r="H1" s="1" t="s">
        <v>357</v>
      </c>
      <c r="I1" s="1" t="s">
        <v>358</v>
      </c>
      <c r="J1" s="1" t="s">
        <v>359</v>
      </c>
      <c r="K1" s="1" t="s">
        <v>360</v>
      </c>
      <c r="L1" s="1" t="s">
        <v>319</v>
      </c>
      <c r="M1" s="1" t="s">
        <v>361</v>
      </c>
      <c r="N1" s="6" t="s">
        <v>362</v>
      </c>
      <c r="O1" s="1" t="s">
        <v>320</v>
      </c>
      <c r="P1" s="1" t="s">
        <v>363</v>
      </c>
      <c r="Q1" s="1" t="s">
        <v>364</v>
      </c>
      <c r="R1" s="1" t="s">
        <v>449</v>
      </c>
      <c r="S1" s="1" t="s">
        <v>450</v>
      </c>
      <c r="T1" s="1" t="s">
        <v>367</v>
      </c>
      <c r="U1" s="1" t="s">
        <v>368</v>
      </c>
      <c r="V1" s="1" t="s">
        <v>369</v>
      </c>
      <c r="W1" s="1" t="s">
        <v>321</v>
      </c>
      <c r="X1" s="1" t="s">
        <v>322</v>
      </c>
      <c r="Y1" s="1" t="s">
        <v>323</v>
      </c>
      <c r="Z1" s="1" t="s">
        <v>365</v>
      </c>
      <c r="AA1" s="1" t="s">
        <v>370</v>
      </c>
      <c r="AB1" s="1" t="s">
        <v>324</v>
      </c>
      <c r="AC1" s="1" t="s">
        <v>366</v>
      </c>
      <c r="AD1" s="1" t="s">
        <v>382</v>
      </c>
      <c r="AE1" s="1" t="s">
        <v>380</v>
      </c>
      <c r="AF1" s="1" t="s">
        <v>381</v>
      </c>
    </row>
    <row r="2" spans="1:33" ht="43.5">
      <c r="A2" t="s">
        <v>38</v>
      </c>
      <c r="B2" s="3" t="s">
        <v>160</v>
      </c>
      <c r="C2" s="3" t="s">
        <v>159</v>
      </c>
      <c r="G2" s="7" t="s">
        <v>25</v>
      </c>
      <c r="H2" s="7"/>
      <c r="I2" s="7">
        <v>1</v>
      </c>
      <c r="J2" s="7">
        <v>3</v>
      </c>
      <c r="K2" s="7" t="s">
        <v>331</v>
      </c>
      <c r="L2" s="7" t="s">
        <v>326</v>
      </c>
      <c r="M2" s="7" t="s">
        <v>389</v>
      </c>
      <c r="N2" s="8" t="s">
        <v>388</v>
      </c>
      <c r="O2" s="7"/>
      <c r="P2" s="7">
        <v>2475</v>
      </c>
      <c r="Q2" s="7"/>
      <c r="R2" s="7" t="s">
        <v>451</v>
      </c>
      <c r="S2" s="7" t="s">
        <v>451</v>
      </c>
      <c r="T2" s="7"/>
      <c r="U2" s="7"/>
      <c r="V2" s="7"/>
      <c r="W2" s="7"/>
      <c r="X2" s="7"/>
      <c r="Y2" s="7"/>
      <c r="Z2" s="7"/>
      <c r="AA2" s="7"/>
      <c r="AB2" s="7"/>
      <c r="AC2" s="7"/>
      <c r="AD2" t="s">
        <v>19</v>
      </c>
      <c r="AE2" t="s">
        <v>20</v>
      </c>
      <c r="AG2">
        <v>1</v>
      </c>
    </row>
    <row r="3" spans="1:33" ht="29">
      <c r="A3" t="s">
        <v>39</v>
      </c>
      <c r="B3" s="3" t="s">
        <v>162</v>
      </c>
      <c r="C3" s="3" t="s">
        <v>161</v>
      </c>
      <c r="G3" s="7" t="s">
        <v>25</v>
      </c>
      <c r="H3" s="7"/>
      <c r="I3" s="7">
        <v>1</v>
      </c>
      <c r="J3" s="7">
        <v>2</v>
      </c>
      <c r="K3" s="7" t="s">
        <v>331</v>
      </c>
      <c r="L3" s="7" t="s">
        <v>373</v>
      </c>
      <c r="M3" s="7"/>
      <c r="N3" s="8"/>
      <c r="O3" s="7"/>
      <c r="P3" s="7">
        <v>2475</v>
      </c>
      <c r="Q3" s="7"/>
      <c r="R3" s="7" t="s">
        <v>451</v>
      </c>
      <c r="S3" s="7" t="s">
        <v>451</v>
      </c>
      <c r="T3" s="7"/>
      <c r="U3" s="7"/>
      <c r="V3" s="7"/>
      <c r="W3" s="7"/>
      <c r="X3" s="7"/>
      <c r="Y3" s="7"/>
      <c r="Z3" s="7"/>
      <c r="AA3" s="7"/>
      <c r="AB3" s="7"/>
      <c r="AC3" s="7"/>
      <c r="AD3" t="s">
        <v>19</v>
      </c>
      <c r="AE3" t="s">
        <v>20</v>
      </c>
      <c r="AG3">
        <v>1</v>
      </c>
    </row>
    <row r="4" spans="1:33" ht="43.5">
      <c r="A4" t="s">
        <v>44</v>
      </c>
      <c r="B4" s="3" t="s">
        <v>168</v>
      </c>
      <c r="C4" s="3" t="s">
        <v>167</v>
      </c>
      <c r="G4" s="7" t="s">
        <v>24</v>
      </c>
      <c r="H4" s="7"/>
      <c r="I4" s="7">
        <v>1</v>
      </c>
      <c r="J4" s="7">
        <v>1</v>
      </c>
      <c r="K4" s="7" t="s">
        <v>331</v>
      </c>
      <c r="L4" s="7" t="s">
        <v>373</v>
      </c>
      <c r="M4" s="7"/>
      <c r="N4" s="8"/>
      <c r="O4" s="7"/>
      <c r="P4" s="7">
        <v>2475</v>
      </c>
      <c r="Q4" s="7"/>
      <c r="R4" s="7" t="s">
        <v>451</v>
      </c>
      <c r="S4" s="7" t="s">
        <v>451</v>
      </c>
      <c r="T4" s="7"/>
      <c r="U4" s="7"/>
      <c r="V4" s="7"/>
      <c r="W4" s="7"/>
      <c r="X4" s="7"/>
      <c r="Y4" s="7"/>
      <c r="Z4" s="7"/>
      <c r="AA4" s="7"/>
      <c r="AB4" s="7"/>
      <c r="AC4" s="7"/>
      <c r="AD4" t="s">
        <v>19</v>
      </c>
      <c r="AE4" t="s">
        <v>20</v>
      </c>
      <c r="AG4">
        <v>1</v>
      </c>
    </row>
    <row r="5" spans="1:33" ht="29">
      <c r="A5" t="s">
        <v>48</v>
      </c>
      <c r="B5" s="3" t="s">
        <v>172</v>
      </c>
      <c r="C5" s="3" t="s">
        <v>171</v>
      </c>
      <c r="G5" s="7" t="s">
        <v>372</v>
      </c>
      <c r="H5" s="7"/>
      <c r="I5" s="7"/>
      <c r="J5" s="7"/>
      <c r="K5" s="7"/>
      <c r="L5" s="7"/>
      <c r="M5" s="7"/>
      <c r="N5" s="8"/>
      <c r="O5" s="7"/>
      <c r="P5" s="7"/>
      <c r="Q5" s="7">
        <v>-249</v>
      </c>
      <c r="R5" s="7">
        <v>280</v>
      </c>
      <c r="S5" s="7">
        <v>31</v>
      </c>
      <c r="T5" s="7"/>
      <c r="U5" s="7"/>
      <c r="V5" s="7"/>
      <c r="W5" s="7"/>
      <c r="X5" s="7"/>
      <c r="Y5" s="7"/>
      <c r="Z5" s="7"/>
      <c r="AA5" s="7"/>
      <c r="AB5" s="7"/>
      <c r="AC5" s="7"/>
      <c r="AD5" t="s">
        <v>19</v>
      </c>
      <c r="AE5" t="s">
        <v>20</v>
      </c>
      <c r="AG5">
        <v>1</v>
      </c>
    </row>
    <row r="6" spans="1:33" ht="58">
      <c r="A6" t="s">
        <v>52</v>
      </c>
      <c r="B6" s="3" t="s">
        <v>176</v>
      </c>
      <c r="C6" s="3" t="s">
        <v>175</v>
      </c>
      <c r="G6" s="7" t="s">
        <v>25</v>
      </c>
      <c r="H6" s="7"/>
      <c r="I6" s="7">
        <v>1</v>
      </c>
      <c r="J6" s="7">
        <v>3</v>
      </c>
      <c r="K6" s="7" t="s">
        <v>331</v>
      </c>
      <c r="L6" s="7" t="s">
        <v>326</v>
      </c>
      <c r="M6" s="7" t="s">
        <v>387</v>
      </c>
      <c r="N6" s="8" t="s">
        <v>388</v>
      </c>
      <c r="O6" s="7"/>
      <c r="P6" s="7">
        <v>2475</v>
      </c>
      <c r="Q6" s="7"/>
      <c r="R6" s="7" t="s">
        <v>451</v>
      </c>
      <c r="S6" s="7" t="s">
        <v>451</v>
      </c>
      <c r="T6" s="7"/>
      <c r="U6" s="7"/>
      <c r="V6" s="7"/>
      <c r="W6" s="7"/>
      <c r="X6" s="7"/>
      <c r="Y6" s="7"/>
      <c r="Z6" s="7"/>
      <c r="AA6" s="7"/>
      <c r="AB6" s="7"/>
      <c r="AC6" s="7"/>
      <c r="AD6" t="s">
        <v>19</v>
      </c>
      <c r="AE6" t="s">
        <v>20</v>
      </c>
      <c r="AG6">
        <v>1</v>
      </c>
    </row>
    <row r="7" spans="1:33" ht="43.5">
      <c r="A7" t="s">
        <v>55</v>
      </c>
      <c r="B7" s="3" t="s">
        <v>177</v>
      </c>
      <c r="C7" s="3" t="s">
        <v>178</v>
      </c>
      <c r="F7" t="s">
        <v>19</v>
      </c>
      <c r="G7" s="7" t="s">
        <v>24</v>
      </c>
      <c r="H7" s="7"/>
      <c r="I7" s="7">
        <v>1</v>
      </c>
      <c r="J7" s="7">
        <v>9</v>
      </c>
      <c r="K7" s="7" t="s">
        <v>325</v>
      </c>
      <c r="L7" s="7" t="s">
        <v>326</v>
      </c>
      <c r="M7" s="7" t="s">
        <v>415</v>
      </c>
      <c r="N7" s="8" t="s">
        <v>416</v>
      </c>
      <c r="O7" s="7"/>
      <c r="P7" s="7">
        <v>4</v>
      </c>
      <c r="Q7" s="7"/>
      <c r="R7" s="7" t="s">
        <v>451</v>
      </c>
      <c r="S7" s="7" t="s">
        <v>451</v>
      </c>
      <c r="T7" s="7"/>
      <c r="U7" s="7"/>
      <c r="V7" s="7"/>
      <c r="W7" s="7"/>
      <c r="X7" s="7"/>
      <c r="Y7" s="7"/>
      <c r="Z7" s="7"/>
      <c r="AA7" s="7"/>
      <c r="AB7" s="7"/>
      <c r="AC7" s="7"/>
      <c r="AD7" t="s">
        <v>20</v>
      </c>
      <c r="AE7" t="s">
        <v>20</v>
      </c>
      <c r="AG7">
        <v>0</v>
      </c>
    </row>
    <row r="8" spans="1:33" ht="29">
      <c r="A8" t="s">
        <v>56</v>
      </c>
      <c r="B8" s="3" t="s">
        <v>59</v>
      </c>
      <c r="C8" s="3" t="s">
        <v>60</v>
      </c>
      <c r="G8" s="7" t="s">
        <v>372</v>
      </c>
      <c r="H8" s="7"/>
      <c r="I8" s="7"/>
      <c r="J8" s="7"/>
      <c r="K8" s="7"/>
      <c r="L8" s="7"/>
      <c r="M8" s="7"/>
      <c r="N8" s="8"/>
      <c r="O8" s="7"/>
      <c r="P8" s="7"/>
      <c r="Q8" s="7">
        <v>7</v>
      </c>
      <c r="R8" s="7">
        <v>1</v>
      </c>
      <c r="S8" s="7">
        <v>8</v>
      </c>
      <c r="T8" s="7"/>
      <c r="U8" s="7"/>
      <c r="V8" s="7"/>
      <c r="W8" s="7"/>
      <c r="X8" s="7"/>
      <c r="Y8" s="7"/>
      <c r="Z8" s="7"/>
      <c r="AA8" s="7"/>
      <c r="AB8" s="7"/>
      <c r="AC8" s="7"/>
      <c r="AD8" t="s">
        <v>20</v>
      </c>
      <c r="AE8" t="s">
        <v>20</v>
      </c>
      <c r="AG8">
        <v>0</v>
      </c>
    </row>
    <row r="9" spans="1:33" ht="58">
      <c r="A9" t="s">
        <v>61</v>
      </c>
      <c r="B9" s="3" t="s">
        <v>179</v>
      </c>
      <c r="C9" s="3" t="s">
        <v>181</v>
      </c>
      <c r="G9" s="7" t="s">
        <v>24</v>
      </c>
      <c r="H9" s="7"/>
      <c r="I9" s="7">
        <v>1</v>
      </c>
      <c r="J9" s="7">
        <v>3</v>
      </c>
      <c r="K9" s="7" t="s">
        <v>331</v>
      </c>
      <c r="L9" s="7" t="s">
        <v>332</v>
      </c>
      <c r="M9" s="7"/>
      <c r="N9" s="8"/>
      <c r="O9" s="7"/>
      <c r="P9" s="7">
        <v>2475</v>
      </c>
      <c r="Q9" s="7"/>
      <c r="R9" s="7" t="s">
        <v>451</v>
      </c>
      <c r="S9" s="7" t="s">
        <v>451</v>
      </c>
      <c r="T9" s="7"/>
      <c r="U9" s="7"/>
      <c r="V9" s="7"/>
      <c r="W9" s="7"/>
      <c r="X9" s="7"/>
      <c r="Y9" s="7"/>
      <c r="Z9" s="7"/>
      <c r="AA9" s="7"/>
      <c r="AB9" s="7"/>
      <c r="AC9" s="7"/>
      <c r="AD9" t="s">
        <v>19</v>
      </c>
      <c r="AE9" t="s">
        <v>20</v>
      </c>
      <c r="AG9">
        <v>1</v>
      </c>
    </row>
    <row r="10" spans="1:33">
      <c r="A10" t="s">
        <v>69</v>
      </c>
      <c r="B10" s="3" t="s">
        <v>70</v>
      </c>
      <c r="C10" s="3" t="s">
        <v>71</v>
      </c>
      <c r="G10" s="7" t="s">
        <v>374</v>
      </c>
      <c r="H10" s="7"/>
      <c r="I10" s="7"/>
      <c r="J10" s="7"/>
      <c r="K10" s="7"/>
      <c r="L10" s="7"/>
      <c r="M10" s="7"/>
      <c r="N10" s="8"/>
      <c r="O10" s="7"/>
      <c r="P10" s="7"/>
      <c r="Q10" s="7"/>
      <c r="R10" s="7" t="s">
        <v>451</v>
      </c>
      <c r="S10" s="7" t="s">
        <v>451</v>
      </c>
      <c r="T10" s="7"/>
      <c r="U10" s="7"/>
      <c r="V10" s="7"/>
      <c r="W10" s="7"/>
      <c r="X10" s="7"/>
      <c r="Y10" s="7"/>
      <c r="Z10" s="7"/>
      <c r="AA10" s="7"/>
      <c r="AB10" s="7"/>
      <c r="AC10" s="7"/>
      <c r="AD10" t="s">
        <v>19</v>
      </c>
      <c r="AE10" t="s">
        <v>20</v>
      </c>
      <c r="AG10">
        <v>1</v>
      </c>
    </row>
    <row r="11" spans="1:33" ht="43.5">
      <c r="A11" t="s">
        <v>78</v>
      </c>
      <c r="B11" s="3" t="s">
        <v>195</v>
      </c>
      <c r="C11" s="3" t="s">
        <v>194</v>
      </c>
      <c r="G11" s="7" t="s">
        <v>24</v>
      </c>
      <c r="H11" s="7"/>
      <c r="I11" s="7">
        <v>1</v>
      </c>
      <c r="J11" s="7">
        <v>3</v>
      </c>
      <c r="K11" s="7" t="s">
        <v>341</v>
      </c>
      <c r="L11" s="7" t="s">
        <v>332</v>
      </c>
      <c r="M11" s="7"/>
      <c r="N11" s="8"/>
      <c r="O11" s="7"/>
      <c r="P11" s="7">
        <v>1701</v>
      </c>
      <c r="Q11" s="7"/>
      <c r="R11" s="7" t="s">
        <v>451</v>
      </c>
      <c r="S11" s="7" t="s">
        <v>451</v>
      </c>
      <c r="T11" s="7"/>
      <c r="U11" s="7"/>
      <c r="V11" s="7"/>
      <c r="W11" s="7"/>
      <c r="X11" s="7"/>
      <c r="Y11" s="7"/>
      <c r="Z11" s="7"/>
      <c r="AA11" s="7"/>
      <c r="AB11" s="7"/>
      <c r="AC11" s="7"/>
      <c r="AD11" t="s">
        <v>19</v>
      </c>
      <c r="AE11" t="s">
        <v>20</v>
      </c>
      <c r="AG11">
        <v>1</v>
      </c>
    </row>
    <row r="12" spans="1:33" ht="174">
      <c r="A12" t="s">
        <v>78</v>
      </c>
      <c r="B12" s="3" t="s">
        <v>197</v>
      </c>
      <c r="C12" s="3" t="s">
        <v>198</v>
      </c>
      <c r="F12" t="s">
        <v>19</v>
      </c>
      <c r="G12" s="7" t="s">
        <v>374</v>
      </c>
      <c r="H12" s="7"/>
      <c r="I12" s="7"/>
      <c r="J12" s="7"/>
      <c r="K12" s="7"/>
      <c r="L12" s="7"/>
      <c r="M12" s="7"/>
      <c r="N12" s="8"/>
      <c r="O12" s="7"/>
      <c r="P12" s="7"/>
      <c r="Q12" s="7"/>
      <c r="R12" s="7" t="s">
        <v>451</v>
      </c>
      <c r="S12" s="7" t="s">
        <v>451</v>
      </c>
      <c r="T12" s="7"/>
      <c r="U12" s="7"/>
      <c r="V12" s="7"/>
      <c r="W12" s="7"/>
      <c r="X12" s="7"/>
      <c r="Y12" s="7"/>
      <c r="Z12" s="7"/>
      <c r="AA12" s="7"/>
      <c r="AB12" s="7"/>
      <c r="AC12" s="7"/>
      <c r="AD12" t="s">
        <v>19</v>
      </c>
      <c r="AE12" t="s">
        <v>20</v>
      </c>
      <c r="AG12">
        <v>1</v>
      </c>
    </row>
    <row r="13" spans="1:33" ht="174">
      <c r="A13" t="s">
        <v>81</v>
      </c>
      <c r="B13" s="3" t="s">
        <v>396</v>
      </c>
      <c r="C13" s="3" t="s">
        <v>196</v>
      </c>
      <c r="F13" t="s">
        <v>19</v>
      </c>
      <c r="G13" s="7" t="s">
        <v>25</v>
      </c>
      <c r="H13" s="7"/>
      <c r="I13" s="7">
        <v>8</v>
      </c>
      <c r="J13" s="7">
        <v>46</v>
      </c>
      <c r="K13" s="7"/>
      <c r="L13" s="7" t="s">
        <v>326</v>
      </c>
      <c r="M13" s="7" t="s">
        <v>395</v>
      </c>
      <c r="N13" s="8" t="s">
        <v>397</v>
      </c>
      <c r="O13" s="7"/>
      <c r="P13" s="7">
        <v>1</v>
      </c>
      <c r="Q13" s="7"/>
      <c r="R13" s="7" t="s">
        <v>451</v>
      </c>
      <c r="S13" s="7" t="s">
        <v>451</v>
      </c>
      <c r="T13" s="7"/>
      <c r="U13" s="7"/>
      <c r="V13" s="7"/>
      <c r="W13" s="7"/>
      <c r="X13" s="7"/>
      <c r="Y13" s="7"/>
      <c r="Z13" s="7"/>
      <c r="AA13" s="7"/>
      <c r="AB13" s="7"/>
      <c r="AC13" s="7"/>
      <c r="AD13" t="s">
        <v>20</v>
      </c>
      <c r="AE13" t="s">
        <v>20</v>
      </c>
      <c r="AG13">
        <v>0</v>
      </c>
    </row>
    <row r="14" spans="1:33" ht="43.5">
      <c r="A14" t="s">
        <v>82</v>
      </c>
      <c r="B14" s="3" t="s">
        <v>200</v>
      </c>
      <c r="C14" s="3" t="s">
        <v>199</v>
      </c>
      <c r="G14" s="7" t="s">
        <v>24</v>
      </c>
      <c r="H14" s="7"/>
      <c r="I14" s="7">
        <v>1</v>
      </c>
      <c r="J14" s="7">
        <v>2</v>
      </c>
      <c r="K14" s="7" t="s">
        <v>331</v>
      </c>
      <c r="L14" s="7" t="s">
        <v>373</v>
      </c>
      <c r="M14" s="7"/>
      <c r="N14" s="8"/>
      <c r="O14" s="7"/>
      <c r="P14" s="7">
        <v>2475</v>
      </c>
      <c r="Q14" s="7"/>
      <c r="R14" s="7" t="s">
        <v>451</v>
      </c>
      <c r="S14" s="7" t="s">
        <v>451</v>
      </c>
      <c r="T14" s="7"/>
      <c r="U14" s="7"/>
      <c r="V14" s="7"/>
      <c r="W14" s="7"/>
      <c r="X14" s="7"/>
      <c r="Y14" s="7"/>
      <c r="Z14" s="7"/>
      <c r="AA14" s="7"/>
      <c r="AB14" s="7"/>
      <c r="AC14" s="7"/>
      <c r="AD14" t="s">
        <v>19</v>
      </c>
      <c r="AE14" t="s">
        <v>20</v>
      </c>
      <c r="AG14">
        <v>1</v>
      </c>
    </row>
    <row r="15" spans="1:33" ht="29">
      <c r="A15" t="s">
        <v>82</v>
      </c>
      <c r="B15" s="3" t="s">
        <v>201</v>
      </c>
      <c r="C15" s="3" t="s">
        <v>202</v>
      </c>
      <c r="G15" s="7" t="s">
        <v>25</v>
      </c>
      <c r="H15" s="7"/>
      <c r="I15" s="7">
        <v>1</v>
      </c>
      <c r="J15" s="7">
        <v>2</v>
      </c>
      <c r="K15" s="7" t="s">
        <v>331</v>
      </c>
      <c r="L15" s="7" t="s">
        <v>373</v>
      </c>
      <c r="M15" s="7"/>
      <c r="N15" s="8"/>
      <c r="O15" s="7" t="s">
        <v>327</v>
      </c>
      <c r="P15" s="7">
        <v>2475</v>
      </c>
      <c r="Q15" s="7"/>
      <c r="R15" s="7" t="s">
        <v>451</v>
      </c>
      <c r="S15" s="7" t="s">
        <v>451</v>
      </c>
      <c r="T15" s="7"/>
      <c r="U15" s="7"/>
      <c r="V15" s="7"/>
      <c r="W15" s="7"/>
      <c r="X15" s="7"/>
      <c r="Y15" s="7"/>
      <c r="Z15" s="7"/>
      <c r="AA15" s="7"/>
      <c r="AB15" s="7"/>
      <c r="AC15" s="7"/>
      <c r="AD15" t="s">
        <v>19</v>
      </c>
      <c r="AE15" t="s">
        <v>20</v>
      </c>
      <c r="AG15">
        <v>1</v>
      </c>
    </row>
    <row r="16" spans="1:33" ht="29">
      <c r="A16" t="s">
        <v>85</v>
      </c>
      <c r="B16" s="3" t="s">
        <v>206</v>
      </c>
      <c r="C16" s="3" t="s">
        <v>205</v>
      </c>
      <c r="G16" s="7" t="s">
        <v>25</v>
      </c>
      <c r="H16" s="7"/>
      <c r="I16" s="7">
        <v>1</v>
      </c>
      <c r="J16" s="7">
        <v>2</v>
      </c>
      <c r="K16" s="7" t="s">
        <v>341</v>
      </c>
      <c r="L16" s="7" t="s">
        <v>373</v>
      </c>
      <c r="M16" s="7"/>
      <c r="N16" s="8"/>
      <c r="O16" s="7"/>
      <c r="P16" s="7">
        <v>171</v>
      </c>
      <c r="Q16" s="7"/>
      <c r="R16" s="7" t="s">
        <v>451</v>
      </c>
      <c r="S16" s="7" t="s">
        <v>451</v>
      </c>
      <c r="T16" s="7"/>
      <c r="U16" s="7"/>
      <c r="V16" s="7"/>
      <c r="W16" s="7"/>
      <c r="X16" s="7"/>
      <c r="Y16" s="7"/>
      <c r="Z16" s="7"/>
      <c r="AA16" s="7"/>
      <c r="AB16" s="7"/>
      <c r="AC16" s="7"/>
      <c r="AD16" t="s">
        <v>19</v>
      </c>
      <c r="AE16" t="s">
        <v>20</v>
      </c>
      <c r="AG16">
        <v>1</v>
      </c>
    </row>
    <row r="17" spans="1:33" ht="58">
      <c r="A17" t="s">
        <v>89</v>
      </c>
      <c r="B17" s="3" t="s">
        <v>207</v>
      </c>
      <c r="C17" s="3" t="s">
        <v>208</v>
      </c>
      <c r="G17" s="7" t="s">
        <v>24</v>
      </c>
      <c r="H17" s="7"/>
      <c r="I17" s="7">
        <v>1</v>
      </c>
      <c r="J17" s="7">
        <v>3</v>
      </c>
      <c r="K17" s="7" t="s">
        <v>331</v>
      </c>
      <c r="L17" s="7" t="s">
        <v>332</v>
      </c>
      <c r="M17" s="7"/>
      <c r="N17" s="8"/>
      <c r="O17" s="7"/>
      <c r="P17" s="7">
        <v>2475</v>
      </c>
      <c r="Q17" s="7"/>
      <c r="R17" s="7" t="s">
        <v>451</v>
      </c>
      <c r="S17" s="7" t="s">
        <v>451</v>
      </c>
      <c r="T17" s="7"/>
      <c r="U17" s="7"/>
      <c r="V17" s="7"/>
      <c r="W17" s="7"/>
      <c r="X17" s="7"/>
      <c r="Y17" s="7"/>
      <c r="Z17" s="7"/>
      <c r="AA17" s="7"/>
      <c r="AB17" s="7"/>
      <c r="AC17" s="7"/>
      <c r="AD17" t="s">
        <v>19</v>
      </c>
      <c r="AE17" t="s">
        <v>20</v>
      </c>
      <c r="AG17">
        <v>1</v>
      </c>
    </row>
    <row r="18" spans="1:33" ht="43.5">
      <c r="A18" t="s">
        <v>98</v>
      </c>
      <c r="B18" s="3" t="s">
        <v>219</v>
      </c>
      <c r="C18" s="3" t="s">
        <v>218</v>
      </c>
      <c r="G18" s="7" t="s">
        <v>374</v>
      </c>
      <c r="H18" s="7"/>
      <c r="I18" s="7"/>
      <c r="J18" s="7"/>
      <c r="K18" s="7"/>
      <c r="L18" s="7"/>
      <c r="M18" s="7"/>
      <c r="N18" s="8"/>
      <c r="O18" s="7"/>
      <c r="P18" s="7"/>
      <c r="Q18" s="7"/>
      <c r="R18" s="7" t="s">
        <v>451</v>
      </c>
      <c r="S18" s="7" t="s">
        <v>451</v>
      </c>
      <c r="T18" s="7"/>
      <c r="U18" s="7"/>
      <c r="V18" s="7"/>
      <c r="W18" s="7"/>
      <c r="X18" s="7"/>
      <c r="Y18" s="7"/>
      <c r="Z18" s="7"/>
      <c r="AA18" s="7"/>
      <c r="AB18" s="7"/>
      <c r="AC18" s="7"/>
      <c r="AD18" t="s">
        <v>19</v>
      </c>
      <c r="AE18" t="s">
        <v>20</v>
      </c>
      <c r="AG18">
        <v>1</v>
      </c>
    </row>
    <row r="19" spans="1:33" ht="275.5">
      <c r="A19" t="s">
        <v>99</v>
      </c>
      <c r="B19" s="3" t="s">
        <v>230</v>
      </c>
      <c r="C19" s="3" t="s">
        <v>231</v>
      </c>
      <c r="F19" t="s">
        <v>19</v>
      </c>
      <c r="G19" s="7" t="s">
        <v>25</v>
      </c>
      <c r="H19" s="7"/>
      <c r="I19" s="7">
        <v>15</v>
      </c>
      <c r="J19" s="7">
        <v>67</v>
      </c>
      <c r="K19" s="7"/>
      <c r="L19" s="7" t="s">
        <v>326</v>
      </c>
      <c r="M19" s="7" t="s">
        <v>391</v>
      </c>
      <c r="N19" s="8" t="s">
        <v>394</v>
      </c>
      <c r="O19" s="7"/>
      <c r="P19" s="7">
        <v>2</v>
      </c>
      <c r="Q19" s="7"/>
      <c r="R19" s="7" t="s">
        <v>451</v>
      </c>
      <c r="S19" s="7" t="s">
        <v>451</v>
      </c>
      <c r="T19" s="7"/>
      <c r="U19" s="7"/>
      <c r="V19" s="7"/>
      <c r="W19" s="7"/>
      <c r="X19" s="7"/>
      <c r="Y19" s="7"/>
      <c r="Z19" s="7"/>
      <c r="AA19" s="7"/>
      <c r="AB19" s="7"/>
      <c r="AC19" s="7"/>
      <c r="AD19" t="s">
        <v>20</v>
      </c>
      <c r="AE19" t="s">
        <v>20</v>
      </c>
      <c r="AG19">
        <v>0</v>
      </c>
    </row>
    <row r="20" spans="1:33" ht="29">
      <c r="A20" t="s">
        <v>100</v>
      </c>
      <c r="B20" s="3" t="s">
        <v>101</v>
      </c>
      <c r="C20" s="3" t="s">
        <v>234</v>
      </c>
      <c r="F20" t="s">
        <v>19</v>
      </c>
      <c r="G20" s="7" t="s">
        <v>374</v>
      </c>
      <c r="H20" s="7"/>
      <c r="I20" s="7"/>
      <c r="J20" s="7"/>
      <c r="K20" s="7"/>
      <c r="L20" s="7"/>
      <c r="M20" s="7"/>
      <c r="N20" s="8"/>
      <c r="O20" s="7"/>
      <c r="P20" s="7"/>
      <c r="Q20" s="7"/>
      <c r="R20" s="7" t="s">
        <v>451</v>
      </c>
      <c r="S20" s="7" t="s">
        <v>451</v>
      </c>
      <c r="T20" s="7"/>
      <c r="U20" s="7"/>
      <c r="V20" s="7"/>
      <c r="W20" s="7"/>
      <c r="X20" s="7"/>
      <c r="Y20" s="7"/>
      <c r="Z20" s="7"/>
      <c r="AA20" s="7"/>
      <c r="AB20" s="7"/>
      <c r="AC20" s="7"/>
      <c r="AD20" t="s">
        <v>20</v>
      </c>
      <c r="AE20" t="s">
        <v>20</v>
      </c>
      <c r="AG20">
        <v>0</v>
      </c>
    </row>
    <row r="21" spans="1:33" ht="29">
      <c r="A21" t="s">
        <v>103</v>
      </c>
      <c r="B21" s="3" t="s">
        <v>237</v>
      </c>
      <c r="C21" s="3" t="s">
        <v>238</v>
      </c>
      <c r="G21" s="7" t="s">
        <v>25</v>
      </c>
      <c r="H21" s="7"/>
      <c r="I21" s="7">
        <v>1</v>
      </c>
      <c r="J21" s="7">
        <v>1</v>
      </c>
      <c r="K21" s="7" t="s">
        <v>331</v>
      </c>
      <c r="L21" s="7" t="s">
        <v>373</v>
      </c>
      <c r="M21" s="7"/>
      <c r="N21" s="8"/>
      <c r="O21" s="7"/>
      <c r="P21" s="7">
        <v>2475</v>
      </c>
      <c r="Q21" s="7"/>
      <c r="R21" s="7" t="s">
        <v>451</v>
      </c>
      <c r="S21" s="7" t="s">
        <v>451</v>
      </c>
      <c r="T21" s="7"/>
      <c r="U21" s="7"/>
      <c r="V21" s="7"/>
      <c r="W21" s="7"/>
      <c r="X21" s="7"/>
      <c r="Y21" s="7"/>
      <c r="Z21" s="7"/>
      <c r="AA21" s="7"/>
      <c r="AB21" s="7"/>
      <c r="AC21" s="7"/>
      <c r="AD21" t="s">
        <v>19</v>
      </c>
      <c r="AE21" t="s">
        <v>20</v>
      </c>
      <c r="AG21">
        <v>1</v>
      </c>
    </row>
    <row r="22" spans="1:33" ht="58">
      <c r="A22" t="s">
        <v>109</v>
      </c>
      <c r="B22" s="3" t="s">
        <v>242</v>
      </c>
      <c r="C22" s="3" t="s">
        <v>241</v>
      </c>
      <c r="G22" s="7" t="s">
        <v>25</v>
      </c>
      <c r="H22" s="7"/>
      <c r="I22" s="7">
        <v>1</v>
      </c>
      <c r="J22" s="7">
        <v>3</v>
      </c>
      <c r="K22" s="7" t="s">
        <v>350</v>
      </c>
      <c r="L22" s="7" t="s">
        <v>332</v>
      </c>
      <c r="M22" s="7"/>
      <c r="N22" s="8"/>
      <c r="O22" s="7"/>
      <c r="P22" s="7">
        <v>210</v>
      </c>
      <c r="Q22" s="7"/>
      <c r="R22" s="7" t="s">
        <v>451</v>
      </c>
      <c r="S22" s="7" t="s">
        <v>451</v>
      </c>
      <c r="T22" s="7"/>
      <c r="U22" s="7"/>
      <c r="V22" s="7"/>
      <c r="W22" s="7"/>
      <c r="X22" s="7"/>
      <c r="Y22" s="7"/>
      <c r="Z22" s="7"/>
      <c r="AA22" s="7"/>
      <c r="AB22" s="7"/>
      <c r="AC22" s="7"/>
      <c r="AD22" t="s">
        <v>19</v>
      </c>
      <c r="AE22" t="s">
        <v>20</v>
      </c>
      <c r="AG22">
        <v>1</v>
      </c>
    </row>
    <row r="23" spans="1:33" ht="29">
      <c r="A23" t="s">
        <v>120</v>
      </c>
      <c r="B23" s="3" t="s">
        <v>190</v>
      </c>
      <c r="C23" s="3" t="s">
        <v>189</v>
      </c>
      <c r="G23" s="7" t="s">
        <v>374</v>
      </c>
      <c r="H23" s="7"/>
      <c r="I23" s="7"/>
      <c r="J23" s="7"/>
      <c r="K23" s="7"/>
      <c r="L23" s="7"/>
      <c r="M23" s="7"/>
      <c r="N23" s="8"/>
      <c r="O23" s="7"/>
      <c r="P23" s="7"/>
      <c r="Q23" s="7"/>
      <c r="R23" s="7" t="s">
        <v>451</v>
      </c>
      <c r="S23" s="7" t="s">
        <v>451</v>
      </c>
      <c r="T23" s="7" t="s">
        <v>371</v>
      </c>
      <c r="U23" s="7"/>
      <c r="V23" s="7"/>
      <c r="W23" s="7"/>
      <c r="X23" s="7"/>
      <c r="Y23" s="7"/>
      <c r="Z23" s="7"/>
      <c r="AA23" s="7"/>
      <c r="AB23" s="7"/>
      <c r="AC23" s="7"/>
      <c r="AD23" t="s">
        <v>19</v>
      </c>
      <c r="AE23" t="s">
        <v>20</v>
      </c>
      <c r="AG23">
        <v>1</v>
      </c>
    </row>
    <row r="24" spans="1:33" ht="145">
      <c r="A24" t="s">
        <v>125</v>
      </c>
      <c r="B24" s="3" t="s">
        <v>261</v>
      </c>
      <c r="C24" s="3" t="s">
        <v>260</v>
      </c>
      <c r="G24" s="7" t="s">
        <v>25</v>
      </c>
      <c r="H24" s="7"/>
      <c r="I24" s="7">
        <v>7</v>
      </c>
      <c r="J24" s="7">
        <v>32</v>
      </c>
      <c r="K24" s="7"/>
      <c r="L24" s="7" t="s">
        <v>326</v>
      </c>
      <c r="M24" s="7" t="s">
        <v>395</v>
      </c>
      <c r="N24" s="8" t="s">
        <v>402</v>
      </c>
      <c r="O24" s="7"/>
      <c r="P24" s="7"/>
      <c r="Q24" s="7"/>
      <c r="R24" s="7" t="s">
        <v>451</v>
      </c>
      <c r="S24" s="7" t="s">
        <v>451</v>
      </c>
      <c r="T24" s="7"/>
      <c r="U24" s="7"/>
      <c r="V24" s="7"/>
      <c r="W24" s="7"/>
      <c r="X24" s="7"/>
      <c r="Y24" s="7"/>
      <c r="Z24" s="7"/>
      <c r="AA24" s="7"/>
      <c r="AB24" s="7"/>
      <c r="AC24" s="7"/>
      <c r="AD24" t="s">
        <v>20</v>
      </c>
      <c r="AE24" t="s">
        <v>20</v>
      </c>
      <c r="AG24">
        <v>0</v>
      </c>
    </row>
    <row r="25" spans="1:33">
      <c r="A25" t="s">
        <v>125</v>
      </c>
      <c r="B25" s="3" t="s">
        <v>127</v>
      </c>
      <c r="C25" s="3" t="s">
        <v>128</v>
      </c>
      <c r="F25" t="s">
        <v>19</v>
      </c>
      <c r="G25" s="7" t="s">
        <v>372</v>
      </c>
      <c r="H25" s="7"/>
      <c r="I25" s="7"/>
      <c r="J25" s="7"/>
      <c r="K25" s="7"/>
      <c r="L25" s="7"/>
      <c r="M25" s="7"/>
      <c r="N25" s="8"/>
      <c r="O25" s="7"/>
      <c r="P25" s="7"/>
      <c r="Q25" s="7">
        <v>-1</v>
      </c>
      <c r="R25" s="7">
        <v>1</v>
      </c>
      <c r="S25" s="7">
        <v>0</v>
      </c>
      <c r="T25" s="7"/>
      <c r="U25" s="7"/>
      <c r="V25" s="7"/>
      <c r="W25" s="7"/>
      <c r="X25" s="7"/>
      <c r="Y25" s="7"/>
      <c r="Z25" s="7"/>
      <c r="AA25" s="7"/>
      <c r="AB25" s="7"/>
      <c r="AC25" s="7"/>
      <c r="AD25" t="s">
        <v>19</v>
      </c>
      <c r="AE25" t="s">
        <v>20</v>
      </c>
      <c r="AG25">
        <v>1</v>
      </c>
    </row>
    <row r="26" spans="1:33" ht="101.5">
      <c r="A26" t="s">
        <v>129</v>
      </c>
      <c r="B26" s="3" t="s">
        <v>273</v>
      </c>
      <c r="C26" s="3" t="s">
        <v>270</v>
      </c>
      <c r="G26" s="7" t="s">
        <v>25</v>
      </c>
      <c r="H26" s="7"/>
      <c r="I26" s="7">
        <v>1</v>
      </c>
      <c r="J26" s="7">
        <v>9</v>
      </c>
      <c r="K26" s="7" t="s">
        <v>383</v>
      </c>
      <c r="L26" s="7" t="s">
        <v>332</v>
      </c>
      <c r="M26" s="7"/>
      <c r="N26" s="8"/>
      <c r="O26" s="7"/>
      <c r="P26" s="7">
        <v>18</v>
      </c>
      <c r="Q26" s="7"/>
      <c r="R26" s="7" t="s">
        <v>451</v>
      </c>
      <c r="S26" s="7" t="s">
        <v>451</v>
      </c>
      <c r="T26" s="7"/>
      <c r="U26" s="7"/>
      <c r="V26" s="7"/>
      <c r="W26" s="7"/>
      <c r="X26" s="7"/>
      <c r="Y26" s="7"/>
      <c r="Z26" s="7"/>
      <c r="AA26" s="7"/>
      <c r="AB26" s="7"/>
      <c r="AC26" s="7"/>
      <c r="AD26" t="s">
        <v>19</v>
      </c>
      <c r="AE26" t="s">
        <v>20</v>
      </c>
      <c r="AG26">
        <v>1</v>
      </c>
    </row>
    <row r="27" spans="1:33" ht="29">
      <c r="A27" t="s">
        <v>138</v>
      </c>
      <c r="B27" s="3" t="s">
        <v>282</v>
      </c>
      <c r="C27" s="3" t="s">
        <v>281</v>
      </c>
      <c r="G27" s="7" t="s">
        <v>25</v>
      </c>
      <c r="H27" s="7"/>
      <c r="I27" s="7">
        <v>1</v>
      </c>
      <c r="J27" s="7">
        <v>2</v>
      </c>
      <c r="K27" s="7" t="s">
        <v>341</v>
      </c>
      <c r="L27" s="7" t="s">
        <v>373</v>
      </c>
      <c r="M27" s="7"/>
      <c r="N27" s="8"/>
      <c r="O27" s="7"/>
      <c r="P27" s="7">
        <v>171</v>
      </c>
      <c r="Q27" s="7"/>
      <c r="R27" s="7" t="s">
        <v>451</v>
      </c>
      <c r="S27" s="7" t="s">
        <v>451</v>
      </c>
      <c r="T27" s="7"/>
      <c r="U27" s="7"/>
      <c r="V27" s="7"/>
      <c r="W27" s="7"/>
      <c r="X27" s="7"/>
      <c r="Y27" s="7"/>
      <c r="Z27" s="7"/>
      <c r="AA27" s="7"/>
      <c r="AB27" s="7"/>
      <c r="AC27" s="7"/>
      <c r="AD27" t="s">
        <v>19</v>
      </c>
      <c r="AE27" t="s">
        <v>20</v>
      </c>
      <c r="AG27">
        <v>1</v>
      </c>
    </row>
    <row r="28" spans="1:33" ht="29">
      <c r="A28" t="s">
        <v>142</v>
      </c>
      <c r="B28" s="3" t="s">
        <v>294</v>
      </c>
      <c r="C28" s="3" t="s">
        <v>295</v>
      </c>
      <c r="G28" s="7" t="s">
        <v>25</v>
      </c>
      <c r="H28" s="7"/>
      <c r="I28" s="7">
        <v>1</v>
      </c>
      <c r="J28" s="7">
        <v>2</v>
      </c>
      <c r="K28" s="7" t="s">
        <v>377</v>
      </c>
      <c r="L28" s="7" t="s">
        <v>373</v>
      </c>
      <c r="M28" s="7"/>
      <c r="N28" s="8"/>
      <c r="O28" s="7"/>
      <c r="P28" s="7">
        <v>10</v>
      </c>
      <c r="Q28" s="7"/>
      <c r="R28" s="7" t="s">
        <v>451</v>
      </c>
      <c r="S28" s="7" t="s">
        <v>451</v>
      </c>
      <c r="T28" s="7"/>
      <c r="U28" s="7"/>
      <c r="V28" s="7"/>
      <c r="W28" s="7"/>
      <c r="X28" s="7"/>
      <c r="Y28" s="7"/>
      <c r="Z28" s="7"/>
      <c r="AA28" s="7"/>
      <c r="AB28" s="7"/>
      <c r="AC28" s="7"/>
      <c r="AD28" t="s">
        <v>19</v>
      </c>
      <c r="AE28" t="s">
        <v>20</v>
      </c>
      <c r="AG28">
        <v>1</v>
      </c>
    </row>
    <row r="29" spans="1:33" ht="58">
      <c r="A29" t="s">
        <v>143</v>
      </c>
      <c r="B29" s="3" t="s">
        <v>300</v>
      </c>
      <c r="C29" s="3" t="s">
        <v>299</v>
      </c>
      <c r="G29" s="7" t="s">
        <v>374</v>
      </c>
      <c r="H29" s="7"/>
      <c r="I29" s="7"/>
      <c r="J29" s="7"/>
      <c r="K29" s="7"/>
      <c r="L29" s="7"/>
      <c r="M29" s="7"/>
      <c r="N29" s="8"/>
      <c r="O29" s="7"/>
      <c r="P29" s="7"/>
      <c r="Q29" s="7"/>
      <c r="R29" s="7" t="s">
        <v>451</v>
      </c>
      <c r="S29" s="7" t="s">
        <v>451</v>
      </c>
      <c r="T29" s="7"/>
      <c r="U29" s="7"/>
      <c r="V29" s="7"/>
      <c r="W29" s="7"/>
      <c r="X29" s="7"/>
      <c r="Y29" s="7"/>
      <c r="Z29" s="7"/>
      <c r="AA29" s="7"/>
      <c r="AB29" s="7"/>
      <c r="AC29" s="7"/>
      <c r="AD29" t="s">
        <v>19</v>
      </c>
      <c r="AE29" t="s">
        <v>20</v>
      </c>
      <c r="AG29">
        <v>1</v>
      </c>
    </row>
    <row r="30" spans="1:33" ht="58">
      <c r="A30" t="s">
        <v>152</v>
      </c>
      <c r="B30" s="3" t="s">
        <v>308</v>
      </c>
      <c r="C30" s="3" t="s">
        <v>309</v>
      </c>
      <c r="F30" t="s">
        <v>19</v>
      </c>
      <c r="G30" s="7" t="s">
        <v>24</v>
      </c>
      <c r="H30" s="7"/>
      <c r="I30" s="7">
        <v>3</v>
      </c>
      <c r="J30" s="7">
        <v>16</v>
      </c>
      <c r="K30" s="7"/>
      <c r="L30" s="7" t="s">
        <v>332</v>
      </c>
      <c r="M30" s="7"/>
      <c r="N30" s="8"/>
      <c r="O30" s="7" t="s">
        <v>333</v>
      </c>
      <c r="P30" s="7">
        <v>9</v>
      </c>
      <c r="Q30" s="7"/>
      <c r="R30" s="7" t="s">
        <v>451</v>
      </c>
      <c r="S30" s="7" t="s">
        <v>451</v>
      </c>
      <c r="T30" s="7"/>
      <c r="U30" s="7"/>
      <c r="V30" s="7"/>
      <c r="W30" s="7"/>
      <c r="X30" s="7"/>
      <c r="Y30" s="7"/>
      <c r="Z30" s="7"/>
      <c r="AA30" s="7"/>
      <c r="AB30" s="7"/>
      <c r="AC30" s="7"/>
      <c r="AD30" t="s">
        <v>20</v>
      </c>
      <c r="AE30" t="s">
        <v>20</v>
      </c>
      <c r="AG30">
        <v>0</v>
      </c>
    </row>
    <row r="31" spans="1:33" ht="87">
      <c r="A31" t="s">
        <v>154</v>
      </c>
      <c r="B31" s="3" t="s">
        <v>313</v>
      </c>
      <c r="C31" s="3" t="s">
        <v>312</v>
      </c>
      <c r="G31" s="7" t="s">
        <v>26</v>
      </c>
      <c r="H31" s="7"/>
      <c r="I31" s="7"/>
      <c r="J31" s="7"/>
      <c r="K31" s="7"/>
      <c r="L31" s="7"/>
      <c r="M31" s="7"/>
      <c r="N31" s="8"/>
      <c r="O31" s="7"/>
      <c r="P31" s="7"/>
      <c r="Q31" s="7"/>
      <c r="R31" s="7" t="s">
        <v>451</v>
      </c>
      <c r="S31" s="7" t="s">
        <v>451</v>
      </c>
      <c r="T31" s="7"/>
      <c r="U31" s="7"/>
      <c r="V31" s="7"/>
      <c r="W31" s="7"/>
      <c r="X31" s="7"/>
      <c r="Y31" s="7"/>
      <c r="Z31" s="7"/>
      <c r="AA31" s="7"/>
      <c r="AB31" s="7"/>
      <c r="AC31" s="7"/>
      <c r="AD31" t="s">
        <v>19</v>
      </c>
      <c r="AE31" t="s">
        <v>20</v>
      </c>
      <c r="AG31">
        <v>1</v>
      </c>
    </row>
  </sheetData>
  <conditionalFormatting sqref="G2:G31">
    <cfRule type="expression" dxfId="149" priority="4">
      <formula>$I2&lt;&gt;""</formula>
    </cfRule>
    <cfRule type="expression" dxfId="148" priority="5">
      <formula>$I2=""</formula>
    </cfRule>
  </conditionalFormatting>
  <conditionalFormatting sqref="H2:L31 O2:P31">
    <cfRule type="expression" dxfId="147" priority="18">
      <formula>AND(OR($I2="Addition",$I2="Omission"), H2="")</formula>
    </cfRule>
    <cfRule type="expression" dxfId="146" priority="19">
      <formula>AND($I2&lt;&gt;"Addition",$I2&lt;&gt;"Omission",$I2&lt;&gt;"Substitution - Word")</formula>
    </cfRule>
  </conditionalFormatting>
  <conditionalFormatting sqref="H2:P31">
    <cfRule type="expression" dxfId="145" priority="17">
      <formula>AND(OR($I2="Addition",$I2="Omission"), H2&lt;&gt;"")</formula>
    </cfRule>
  </conditionalFormatting>
  <conditionalFormatting sqref="K2:K31">
    <cfRule type="expression" dxfId="144" priority="15">
      <formula>AND($K2&lt;&gt;"",$K2&gt;1)</formula>
    </cfRule>
  </conditionalFormatting>
  <conditionalFormatting sqref="M2:N31">
    <cfRule type="expression" dxfId="143" priority="11">
      <formula>$N2="Absent"</formula>
    </cfRule>
    <cfRule type="expression" dxfId="142" priority="12">
      <formula>$N2="NA"</formula>
    </cfRule>
    <cfRule type="expression" dxfId="141" priority="13">
      <formula>AND(OR($I2="Addition",$I2="Omission"), M2="")</formula>
    </cfRule>
    <cfRule type="expression" dxfId="140" priority="14">
      <formula>AND($I2&lt;&gt;"Addition",$I2&lt;&gt;"Omission")</formula>
    </cfRule>
  </conditionalFormatting>
  <conditionalFormatting sqref="O2:O31">
    <cfRule type="expression" dxfId="139" priority="16">
      <formula>OR($I2="Addition",$I2="Omission",$I2 = "Substitution - Word")</formula>
    </cfRule>
  </conditionalFormatting>
  <conditionalFormatting sqref="Q2:S31">
    <cfRule type="expression" dxfId="138" priority="1">
      <formula>AND(AND(LEFT($I2,3)="Sub", RIGHT($I2,4)&lt;&gt;"Form"),$S2&lt;&gt;"")</formula>
    </cfRule>
    <cfRule type="expression" dxfId="137" priority="2">
      <formula>AND(AND(LEFT($I2,3)="Sub", RIGHT($I2,4)&lt;&gt;"Form"),$S2="")</formula>
    </cfRule>
    <cfRule type="expression" dxfId="136" priority="3">
      <formula>"&lt;&gt;AND(LEFT($J2,3)=""Sub"", RIGHT($J2,4)&lt;&gt;""Form"")"</formula>
    </cfRule>
  </conditionalFormatting>
  <conditionalFormatting sqref="T2:T31">
    <cfRule type="expression" dxfId="135" priority="7">
      <formula>AND($V2&lt;&gt;"",OR($AC2="Yes",$AD2&lt;&gt;""))</formula>
    </cfRule>
    <cfRule type="expression" dxfId="134" priority="8">
      <formula>OR($AC2="Yes",$AD2&lt;&gt;"")</formula>
    </cfRule>
    <cfRule type="expression" dxfId="133" priority="22">
      <formula>AND($AC2&lt;&gt;"Yes",$AD2="")</formula>
    </cfRule>
  </conditionalFormatting>
  <conditionalFormatting sqref="T2:AC31">
    <cfRule type="expression" dxfId="132" priority="20">
      <formula>AND($I2&lt;&gt;"",$I2&lt;&gt;"Unclear due to correction")</formula>
    </cfRule>
    <cfRule type="expression" dxfId="131" priority="21">
      <formula>OR($I2="",$I2="Unclear due to correction")</formula>
    </cfRule>
  </conditionalFormatting>
  <conditionalFormatting sqref="U2:U31">
    <cfRule type="expression" dxfId="130" priority="6">
      <formula>AND($I2&lt;&gt;"",$I2&lt;&gt;"Unclear due to correction",$W2="")</formula>
    </cfRule>
  </conditionalFormatting>
  <conditionalFormatting sqref="V2:V31">
    <cfRule type="expression" dxfId="129" priority="9">
      <formula>AND($W2="Yes",$X2="")</formula>
    </cfRule>
    <cfRule type="expression" dxfId="128" priority="10">
      <formula>$W2=""</formula>
    </cfRule>
  </conditionalFormatting>
  <conditionalFormatting sqref="AA2:AA31">
    <cfRule type="expression" dxfId="127" priority="23">
      <formula>AND(OR($AA2&lt;&gt;"",$AB2&lt;&gt;""),$AC2="")</formula>
    </cfRule>
  </conditionalFormatting>
  <dataValidations count="1">
    <dataValidation allowBlank="1" showInputMessage="1" sqref="U2:U31" xr:uid="{31101D25-0A3E-48C3-9C50-85CEE6C211DD}"/>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5">
        <x14:dataValidation type="list" allowBlank="1" showInputMessage="1" showErrorMessage="1" xr:uid="{6F5C8BED-B3A9-411B-BE0E-0F4EA32A3DAB}">
          <x14:formula1>
            <xm:f>'Data Regularization'!$P$2:$P$4</xm:f>
          </x14:formula1>
          <xm:sqref>AD2:AD31 AF2:AF31</xm:sqref>
        </x14:dataValidation>
        <x14:dataValidation type="list" allowBlank="1" showInputMessage="1" showErrorMessage="1" xr:uid="{6F473403-5D32-4F8E-AD5A-E401EE21D4FA}">
          <x14:formula1>
            <xm:f>'Data Regularization'!$B$2:$B$1048576</xm:f>
          </x14:formula1>
          <xm:sqref>E2:E31</xm:sqref>
        </x14:dataValidation>
        <x14:dataValidation type="list" allowBlank="1" showInputMessage="1" showErrorMessage="1" xr:uid="{94BBC835-FD02-47E4-9A87-88B9BB8055B3}">
          <x14:formula1>
            <xm:f>'Data Regularization'!$A$2:$A$1048576</xm:f>
          </x14:formula1>
          <xm:sqref>D2:D31</xm:sqref>
        </x14:dataValidation>
        <x14:dataValidation type="list" allowBlank="1" showInputMessage="1" showErrorMessage="1" xr:uid="{39C1CDD8-C493-415A-B44B-F6556B18E11F}">
          <x14:formula1>
            <xm:f>'Data Regularization'!$C$2:$C$50</xm:f>
          </x14:formula1>
          <xm:sqref>F2:F31</xm:sqref>
        </x14:dataValidation>
        <x14:dataValidation type="list" allowBlank="1" showInputMessage="1" showErrorMessage="1" xr:uid="{50F251A5-2E54-4CAB-BC24-D5C1B4833079}">
          <x14:formula1>
            <xm:f>'Data Regularization'!$P$2:$P$1048576</xm:f>
          </x14:formula1>
          <xm:sqref>AC2:AC31</xm:sqref>
        </x14:dataValidation>
        <x14:dataValidation type="list" allowBlank="1" showInputMessage="1" showErrorMessage="1" xr:uid="{82C6ED36-3067-4AE1-9F85-E7267E23C1DB}">
          <x14:formula1>
            <xm:f>'Data Regularization'!$O$2:$O$1048576</xm:f>
          </x14:formula1>
          <xm:sqref>AB2:AB31</xm:sqref>
        </x14:dataValidation>
        <x14:dataValidation type="list" allowBlank="1" showInputMessage="1" showErrorMessage="1" xr:uid="{E25A2D63-3B80-4CD5-8163-F93987407460}">
          <x14:formula1>
            <xm:f>'Data Regularization'!$N$2:$N$1048576</xm:f>
          </x14:formula1>
          <xm:sqref>AA2:AA31</xm:sqref>
        </x14:dataValidation>
        <x14:dataValidation type="list" allowBlank="1" showInputMessage="1" showErrorMessage="1" xr:uid="{EB1EA456-5256-49F1-BB59-8817D065A90B}">
          <x14:formula1>
            <xm:f>'Data Regularization'!$M$2:$M$1048576</xm:f>
          </x14:formula1>
          <xm:sqref>Y2:Y31</xm:sqref>
        </x14:dataValidation>
        <x14:dataValidation type="list" allowBlank="1" showInputMessage="1" showErrorMessage="1" xr:uid="{E15E5B01-AE41-461D-B5BE-FD93DAB80EE9}">
          <x14:formula1>
            <xm:f>'Data Regularization'!$L$2:$L$1048576</xm:f>
          </x14:formula1>
          <xm:sqref>X2:X31</xm:sqref>
        </x14:dataValidation>
        <x14:dataValidation type="list" allowBlank="1" showInputMessage="1" showErrorMessage="1" xr:uid="{D9847B75-F7A4-4EAC-B269-CD4E45ECC3B0}">
          <x14:formula1>
            <xm:f>'Data Regularization'!$K$2:$K$1048576</xm:f>
          </x14:formula1>
          <xm:sqref>W2:W31</xm:sqref>
        </x14:dataValidation>
        <x14:dataValidation type="list" allowBlank="1" showInputMessage="1" showErrorMessage="1" xr:uid="{8011CF1D-A52D-42F2-BAE3-811A95C3921C}">
          <x14:formula1>
            <xm:f>'Data Regularization'!$J$2:$J$1048576</xm:f>
          </x14:formula1>
          <xm:sqref>T2:T31 V2:V31</xm:sqref>
        </x14:dataValidation>
        <x14:dataValidation type="list" allowBlank="1" showInputMessage="1" showErrorMessage="1" xr:uid="{DA9ADFCD-02D5-488B-852C-415EB10037B9}">
          <x14:formula1>
            <xm:f>'Data Regularization'!$G$2:$G$1048576</xm:f>
          </x14:formula1>
          <xm:sqref>O2:O31</xm:sqref>
        </x14:dataValidation>
        <x14:dataValidation type="list" allowBlank="1" showInputMessage="1" showErrorMessage="1" xr:uid="{BAC84C94-5721-4644-B41E-5B3B754874DD}">
          <x14:formula1>
            <xm:f>'Data Regularization'!$F$2:$F$1048576</xm:f>
          </x14:formula1>
          <xm:sqref>L2:L31</xm:sqref>
        </x14:dataValidation>
        <x14:dataValidation type="list" allowBlank="1" showInputMessage="1" showErrorMessage="1" xr:uid="{3086E56B-D718-4FFB-AC36-A5DAEE6C7E4D}">
          <x14:formula1>
            <xm:f>'Data Regularization'!$E$2:$E$1048576</xm:f>
          </x14:formula1>
          <xm:sqref>K2:K31</xm:sqref>
        </x14:dataValidation>
        <x14:dataValidation type="list" allowBlank="1" showInputMessage="1" showErrorMessage="1" xr:uid="{4F3F24BF-E2CB-4D43-AF64-639C7B908017}">
          <x14:formula1>
            <xm:f>'Data Regularization'!$D$2:$D$1048576</xm:f>
          </x14:formula1>
          <xm:sqref>G2:G31</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A7D08-A9C2-40A7-98E5-8451F1657D60}">
  <dimension ref="A1:AH73"/>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sheetData>
    <row r="1" spans="1:34" s="1" customFormat="1" ht="29">
      <c r="A1" s="1" t="s">
        <v>0</v>
      </c>
      <c r="B1" s="1" t="s">
        <v>5</v>
      </c>
      <c r="C1" s="2" t="s">
        <v>6</v>
      </c>
      <c r="D1" s="1" t="s">
        <v>354</v>
      </c>
      <c r="E1" s="1" t="s">
        <v>355</v>
      </c>
      <c r="F1" s="1" t="s">
        <v>356</v>
      </c>
      <c r="G1" s="1" t="s">
        <v>3</v>
      </c>
      <c r="H1" s="1" t="s">
        <v>357</v>
      </c>
      <c r="I1" s="1" t="s">
        <v>358</v>
      </c>
      <c r="J1" s="1" t="s">
        <v>359</v>
      </c>
      <c r="K1" s="1" t="s">
        <v>360</v>
      </c>
      <c r="L1" s="1" t="s">
        <v>319</v>
      </c>
      <c r="M1" s="1" t="s">
        <v>361</v>
      </c>
      <c r="N1" s="6" t="s">
        <v>362</v>
      </c>
      <c r="O1" s="1" t="s">
        <v>320</v>
      </c>
      <c r="P1" s="1" t="s">
        <v>363</v>
      </c>
      <c r="Q1" s="1" t="s">
        <v>452</v>
      </c>
      <c r="R1" s="1" t="s">
        <v>364</v>
      </c>
      <c r="S1" s="1" t="s">
        <v>449</v>
      </c>
      <c r="T1" s="1" t="s">
        <v>450</v>
      </c>
      <c r="U1" s="1" t="s">
        <v>367</v>
      </c>
      <c r="V1" s="1" t="s">
        <v>368</v>
      </c>
      <c r="W1" s="1" t="s">
        <v>369</v>
      </c>
      <c r="X1" s="1" t="s">
        <v>321</v>
      </c>
      <c r="Y1" s="1" t="s">
        <v>322</v>
      </c>
      <c r="Z1" s="1" t="s">
        <v>323</v>
      </c>
      <c r="AA1" s="1" t="s">
        <v>365</v>
      </c>
      <c r="AB1" s="1" t="s">
        <v>370</v>
      </c>
      <c r="AC1" s="1" t="s">
        <v>324</v>
      </c>
      <c r="AD1" s="1" t="s">
        <v>366</v>
      </c>
      <c r="AE1" s="1" t="s">
        <v>382</v>
      </c>
      <c r="AF1" s="1" t="s">
        <v>380</v>
      </c>
      <c r="AG1" s="1" t="s">
        <v>381</v>
      </c>
    </row>
    <row r="2" spans="1:34" ht="43.5">
      <c r="A2" t="s">
        <v>38</v>
      </c>
      <c r="B2" s="3" t="s">
        <v>160</v>
      </c>
      <c r="C2" s="3" t="s">
        <v>159</v>
      </c>
      <c r="G2" s="7" t="s">
        <v>25</v>
      </c>
      <c r="H2" s="7"/>
      <c r="I2" s="7">
        <v>1</v>
      </c>
      <c r="J2" s="7">
        <v>3</v>
      </c>
      <c r="K2" s="7" t="s">
        <v>331</v>
      </c>
      <c r="L2" s="7" t="s">
        <v>326</v>
      </c>
      <c r="M2" s="7" t="s">
        <v>389</v>
      </c>
      <c r="N2" s="8" t="s">
        <v>388</v>
      </c>
      <c r="O2" s="7"/>
      <c r="P2" s="7">
        <v>2475</v>
      </c>
      <c r="Q2" s="7">
        <v>1216.9338184678927</v>
      </c>
      <c r="R2" s="7"/>
      <c r="S2" s="7" t="s">
        <v>451</v>
      </c>
      <c r="T2" s="7" t="s">
        <v>451</v>
      </c>
      <c r="U2" s="7"/>
      <c r="V2" s="7"/>
      <c r="W2" s="7"/>
      <c r="X2" s="7"/>
      <c r="Y2" s="7"/>
      <c r="Z2" s="7"/>
      <c r="AA2" s="7"/>
      <c r="AB2" s="7"/>
      <c r="AC2" s="7"/>
      <c r="AD2" s="7"/>
      <c r="AE2" t="s">
        <v>19</v>
      </c>
      <c r="AF2" t="s">
        <v>20</v>
      </c>
      <c r="AH2">
        <v>1</v>
      </c>
    </row>
    <row r="3" spans="1:34" ht="29">
      <c r="A3" t="s">
        <v>39</v>
      </c>
      <c r="B3" s="3" t="s">
        <v>162</v>
      </c>
      <c r="C3" s="3" t="s">
        <v>161</v>
      </c>
      <c r="G3" s="7" t="s">
        <v>25</v>
      </c>
      <c r="H3" s="7"/>
      <c r="I3" s="7">
        <v>1</v>
      </c>
      <c r="J3" s="7">
        <v>2</v>
      </c>
      <c r="K3" s="7" t="s">
        <v>331</v>
      </c>
      <c r="L3" s="7" t="s">
        <v>373</v>
      </c>
      <c r="M3" s="7"/>
      <c r="N3" s="8"/>
      <c r="O3" s="7"/>
      <c r="P3" s="7">
        <v>2475</v>
      </c>
      <c r="Q3" s="7">
        <v>1216.9338184678927</v>
      </c>
      <c r="R3" s="7"/>
      <c r="S3" s="7" t="s">
        <v>451</v>
      </c>
      <c r="T3" s="7" t="s">
        <v>451</v>
      </c>
      <c r="U3" s="7"/>
      <c r="V3" s="7"/>
      <c r="W3" s="7"/>
      <c r="X3" s="7"/>
      <c r="Y3" s="7"/>
      <c r="Z3" s="7"/>
      <c r="AA3" s="7"/>
      <c r="AB3" s="7"/>
      <c r="AC3" s="7"/>
      <c r="AD3" s="7"/>
      <c r="AE3" t="s">
        <v>19</v>
      </c>
      <c r="AF3" t="s">
        <v>20</v>
      </c>
      <c r="AH3">
        <v>1</v>
      </c>
    </row>
    <row r="4" spans="1:34" ht="43.5">
      <c r="A4" t="s">
        <v>44</v>
      </c>
      <c r="B4" s="3" t="s">
        <v>168</v>
      </c>
      <c r="C4" s="3" t="s">
        <v>167</v>
      </c>
      <c r="G4" s="7" t="s">
        <v>24</v>
      </c>
      <c r="H4" s="7"/>
      <c r="I4" s="7">
        <v>1</v>
      </c>
      <c r="J4" s="7">
        <v>1</v>
      </c>
      <c r="K4" s="7" t="s">
        <v>331</v>
      </c>
      <c r="L4" s="7" t="s">
        <v>373</v>
      </c>
      <c r="M4" s="7"/>
      <c r="N4" s="8"/>
      <c r="O4" s="7"/>
      <c r="P4" s="7">
        <v>2475</v>
      </c>
      <c r="Q4" s="7">
        <v>1216.9338184678927</v>
      </c>
      <c r="R4" s="7"/>
      <c r="S4" s="7" t="s">
        <v>451</v>
      </c>
      <c r="T4" s="7" t="s">
        <v>451</v>
      </c>
      <c r="U4" s="7"/>
      <c r="V4" s="7"/>
      <c r="W4" s="7"/>
      <c r="X4" s="7"/>
      <c r="Y4" s="7"/>
      <c r="Z4" s="7"/>
      <c r="AA4" s="7"/>
      <c r="AB4" s="7"/>
      <c r="AC4" s="7"/>
      <c r="AD4" s="7"/>
      <c r="AE4" t="s">
        <v>19</v>
      </c>
      <c r="AF4" t="s">
        <v>20</v>
      </c>
      <c r="AH4">
        <v>1</v>
      </c>
    </row>
    <row r="5" spans="1:34" ht="58">
      <c r="A5" t="s">
        <v>52</v>
      </c>
      <c r="B5" s="3" t="s">
        <v>176</v>
      </c>
      <c r="C5" s="3" t="s">
        <v>175</v>
      </c>
      <c r="G5" s="7" t="s">
        <v>25</v>
      </c>
      <c r="H5" s="7"/>
      <c r="I5" s="7">
        <v>1</v>
      </c>
      <c r="J5" s="7">
        <v>3</v>
      </c>
      <c r="K5" s="7" t="s">
        <v>331</v>
      </c>
      <c r="L5" s="7" t="s">
        <v>326</v>
      </c>
      <c r="M5" s="7" t="s">
        <v>387</v>
      </c>
      <c r="N5" s="8" t="s">
        <v>388</v>
      </c>
      <c r="O5" s="7"/>
      <c r="P5" s="7">
        <v>2475</v>
      </c>
      <c r="Q5" s="7">
        <v>1216.9338184678927</v>
      </c>
      <c r="R5" s="7"/>
      <c r="S5" s="7" t="s">
        <v>451</v>
      </c>
      <c r="T5" s="7" t="s">
        <v>451</v>
      </c>
      <c r="U5" s="7"/>
      <c r="V5" s="7"/>
      <c r="W5" s="7"/>
      <c r="X5" s="7"/>
      <c r="Y5" s="7"/>
      <c r="Z5" s="7"/>
      <c r="AA5" s="7"/>
      <c r="AB5" s="7"/>
      <c r="AC5" s="7"/>
      <c r="AD5" s="7"/>
      <c r="AE5" t="s">
        <v>19</v>
      </c>
      <c r="AF5" t="s">
        <v>20</v>
      </c>
      <c r="AH5">
        <v>1</v>
      </c>
    </row>
    <row r="6" spans="1:34" ht="43.5">
      <c r="A6" t="s">
        <v>55</v>
      </c>
      <c r="B6" s="3" t="s">
        <v>177</v>
      </c>
      <c r="C6" s="3" t="s">
        <v>178</v>
      </c>
      <c r="F6" t="s">
        <v>19</v>
      </c>
      <c r="G6" s="7" t="s">
        <v>24</v>
      </c>
      <c r="H6" s="7"/>
      <c r="I6" s="7">
        <v>1</v>
      </c>
      <c r="J6" s="7">
        <v>9</v>
      </c>
      <c r="K6" s="7" t="s">
        <v>325</v>
      </c>
      <c r="L6" s="7" t="s">
        <v>326</v>
      </c>
      <c r="M6" s="7" t="s">
        <v>415</v>
      </c>
      <c r="N6" s="8" t="s">
        <v>416</v>
      </c>
      <c r="O6" s="7"/>
      <c r="P6" s="7">
        <v>4</v>
      </c>
      <c r="Q6" s="7">
        <v>1.9667617268167963</v>
      </c>
      <c r="R6" s="7"/>
      <c r="S6" s="7" t="s">
        <v>451</v>
      </c>
      <c r="T6" s="7" t="s">
        <v>451</v>
      </c>
      <c r="U6" s="7"/>
      <c r="V6" s="7"/>
      <c r="W6" s="7"/>
      <c r="X6" s="7"/>
      <c r="Y6" s="7"/>
      <c r="Z6" s="7"/>
      <c r="AA6" s="7"/>
      <c r="AB6" s="7"/>
      <c r="AC6" s="7"/>
      <c r="AD6" s="7"/>
      <c r="AE6" t="s">
        <v>20</v>
      </c>
      <c r="AF6" t="s">
        <v>20</v>
      </c>
      <c r="AH6">
        <v>0</v>
      </c>
    </row>
    <row r="7" spans="1:34" ht="58">
      <c r="A7" t="s">
        <v>61</v>
      </c>
      <c r="B7" s="3" t="s">
        <v>179</v>
      </c>
      <c r="C7" s="3" t="s">
        <v>181</v>
      </c>
      <c r="G7" s="7" t="s">
        <v>24</v>
      </c>
      <c r="H7" s="7"/>
      <c r="I7" s="7">
        <v>1</v>
      </c>
      <c r="J7" s="7">
        <v>3</v>
      </c>
      <c r="K7" s="7" t="s">
        <v>331</v>
      </c>
      <c r="L7" s="7" t="s">
        <v>332</v>
      </c>
      <c r="M7" s="7"/>
      <c r="N7" s="8"/>
      <c r="O7" s="7"/>
      <c r="P7" s="7">
        <v>2475</v>
      </c>
      <c r="Q7" s="7">
        <v>1216.9338184678927</v>
      </c>
      <c r="R7" s="7"/>
      <c r="S7" s="7" t="s">
        <v>451</v>
      </c>
      <c r="T7" s="7" t="s">
        <v>451</v>
      </c>
      <c r="U7" s="7"/>
      <c r="V7" s="7"/>
      <c r="W7" s="7"/>
      <c r="X7" s="7"/>
      <c r="Y7" s="7"/>
      <c r="Z7" s="7"/>
      <c r="AA7" s="7"/>
      <c r="AB7" s="7"/>
      <c r="AC7" s="7"/>
      <c r="AD7" s="7"/>
      <c r="AE7" t="s">
        <v>19</v>
      </c>
      <c r="AF7" t="s">
        <v>20</v>
      </c>
      <c r="AH7">
        <v>1</v>
      </c>
    </row>
    <row r="8" spans="1:34" ht="43.5">
      <c r="A8" t="s">
        <v>78</v>
      </c>
      <c r="B8" s="3" t="s">
        <v>195</v>
      </c>
      <c r="C8" s="3" t="s">
        <v>194</v>
      </c>
      <c r="G8" s="7" t="s">
        <v>24</v>
      </c>
      <c r="H8" s="7"/>
      <c r="I8" s="7">
        <v>1</v>
      </c>
      <c r="J8" s="7">
        <v>3</v>
      </c>
      <c r="K8" s="7" t="s">
        <v>341</v>
      </c>
      <c r="L8" s="7" t="s">
        <v>332</v>
      </c>
      <c r="M8" s="7"/>
      <c r="N8" s="8"/>
      <c r="O8" s="7"/>
      <c r="P8" s="7">
        <v>1701</v>
      </c>
      <c r="Q8" s="7">
        <v>836.36542432884255</v>
      </c>
      <c r="R8" s="7"/>
      <c r="S8" s="7" t="s">
        <v>451</v>
      </c>
      <c r="T8" s="7" t="s">
        <v>451</v>
      </c>
      <c r="U8" s="7"/>
      <c r="V8" s="7"/>
      <c r="W8" s="7"/>
      <c r="X8" s="7"/>
      <c r="Y8" s="7"/>
      <c r="Z8" s="7"/>
      <c r="AA8" s="7"/>
      <c r="AB8" s="7"/>
      <c r="AC8" s="7"/>
      <c r="AD8" s="7"/>
      <c r="AE8" t="s">
        <v>19</v>
      </c>
      <c r="AF8" t="s">
        <v>20</v>
      </c>
      <c r="AH8">
        <v>1</v>
      </c>
    </row>
    <row r="9" spans="1:34" ht="174">
      <c r="A9" t="s">
        <v>81</v>
      </c>
      <c r="B9" s="3" t="s">
        <v>396</v>
      </c>
      <c r="C9" s="3" t="s">
        <v>196</v>
      </c>
      <c r="F9" t="s">
        <v>19</v>
      </c>
      <c r="G9" s="7" t="s">
        <v>25</v>
      </c>
      <c r="H9" s="7"/>
      <c r="I9" s="7">
        <v>8</v>
      </c>
      <c r="J9" s="7">
        <v>46</v>
      </c>
      <c r="K9" s="7"/>
      <c r="L9" s="7" t="s">
        <v>326</v>
      </c>
      <c r="M9" s="7" t="s">
        <v>395</v>
      </c>
      <c r="N9" s="8" t="s">
        <v>397</v>
      </c>
      <c r="O9" s="7"/>
      <c r="P9" s="7">
        <v>1</v>
      </c>
      <c r="Q9" s="7">
        <v>0.49169043170419907</v>
      </c>
      <c r="R9" s="7"/>
      <c r="S9" s="7" t="s">
        <v>451</v>
      </c>
      <c r="T9" s="7" t="s">
        <v>451</v>
      </c>
      <c r="U9" s="7"/>
      <c r="V9" s="7"/>
      <c r="W9" s="7"/>
      <c r="X9" s="7"/>
      <c r="Y9" s="7"/>
      <c r="Z9" s="7"/>
      <c r="AA9" s="7"/>
      <c r="AB9" s="7"/>
      <c r="AC9" s="7"/>
      <c r="AD9" s="7"/>
      <c r="AE9" t="s">
        <v>20</v>
      </c>
      <c r="AF9" t="s">
        <v>20</v>
      </c>
      <c r="AH9">
        <v>0</v>
      </c>
    </row>
    <row r="10" spans="1:34" ht="43.5">
      <c r="A10" t="s">
        <v>82</v>
      </c>
      <c r="B10" s="3" t="s">
        <v>200</v>
      </c>
      <c r="C10" s="3" t="s">
        <v>199</v>
      </c>
      <c r="G10" s="7" t="s">
        <v>24</v>
      </c>
      <c r="H10" s="7"/>
      <c r="I10" s="7">
        <v>1</v>
      </c>
      <c r="J10" s="7">
        <v>2</v>
      </c>
      <c r="K10" s="7" t="s">
        <v>331</v>
      </c>
      <c r="L10" s="7" t="s">
        <v>373</v>
      </c>
      <c r="M10" s="7"/>
      <c r="N10" s="8"/>
      <c r="O10" s="7"/>
      <c r="P10" s="7">
        <v>2475</v>
      </c>
      <c r="Q10" s="7">
        <v>1216.9338184678927</v>
      </c>
      <c r="R10" s="7"/>
      <c r="S10" s="7" t="s">
        <v>451</v>
      </c>
      <c r="T10" s="7" t="s">
        <v>451</v>
      </c>
      <c r="U10" s="7"/>
      <c r="V10" s="7"/>
      <c r="W10" s="7"/>
      <c r="X10" s="7"/>
      <c r="Y10" s="7"/>
      <c r="Z10" s="7"/>
      <c r="AA10" s="7"/>
      <c r="AB10" s="7"/>
      <c r="AC10" s="7"/>
      <c r="AD10" s="7"/>
      <c r="AE10" t="s">
        <v>19</v>
      </c>
      <c r="AF10" t="s">
        <v>20</v>
      </c>
      <c r="AH10">
        <v>1</v>
      </c>
    </row>
    <row r="11" spans="1:34" ht="29">
      <c r="A11" t="s">
        <v>82</v>
      </c>
      <c r="B11" s="3" t="s">
        <v>201</v>
      </c>
      <c r="C11" s="3" t="s">
        <v>202</v>
      </c>
      <c r="G11" s="7" t="s">
        <v>25</v>
      </c>
      <c r="H11" s="7"/>
      <c r="I11" s="7">
        <v>1</v>
      </c>
      <c r="J11" s="7">
        <v>2</v>
      </c>
      <c r="K11" s="7" t="s">
        <v>331</v>
      </c>
      <c r="L11" s="7" t="s">
        <v>373</v>
      </c>
      <c r="M11" s="7"/>
      <c r="N11" s="8"/>
      <c r="O11" s="7" t="s">
        <v>327</v>
      </c>
      <c r="P11" s="7">
        <v>2475</v>
      </c>
      <c r="Q11" s="7">
        <v>1216.9338184678927</v>
      </c>
      <c r="R11" s="7"/>
      <c r="S11" s="7" t="s">
        <v>451</v>
      </c>
      <c r="T11" s="7" t="s">
        <v>451</v>
      </c>
      <c r="U11" s="7"/>
      <c r="V11" s="7"/>
      <c r="W11" s="7"/>
      <c r="X11" s="7"/>
      <c r="Y11" s="7"/>
      <c r="Z11" s="7"/>
      <c r="AA11" s="7"/>
      <c r="AB11" s="7"/>
      <c r="AC11" s="7"/>
      <c r="AD11" s="7"/>
      <c r="AE11" t="s">
        <v>19</v>
      </c>
      <c r="AF11" t="s">
        <v>20</v>
      </c>
      <c r="AH11">
        <v>1</v>
      </c>
    </row>
    <row r="12" spans="1:34" ht="29">
      <c r="A12" t="s">
        <v>85</v>
      </c>
      <c r="B12" s="3" t="s">
        <v>206</v>
      </c>
      <c r="C12" s="3" t="s">
        <v>205</v>
      </c>
      <c r="G12" s="7" t="s">
        <v>25</v>
      </c>
      <c r="H12" s="7"/>
      <c r="I12" s="7">
        <v>1</v>
      </c>
      <c r="J12" s="7">
        <v>2</v>
      </c>
      <c r="K12" s="7" t="s">
        <v>341</v>
      </c>
      <c r="L12" s="7" t="s">
        <v>373</v>
      </c>
      <c r="M12" s="7"/>
      <c r="N12" s="8"/>
      <c r="O12" s="7"/>
      <c r="P12" s="7">
        <v>171</v>
      </c>
      <c r="Q12" s="7">
        <v>84.079063821418046</v>
      </c>
      <c r="R12" s="7"/>
      <c r="S12" s="7" t="s">
        <v>451</v>
      </c>
      <c r="T12" s="7" t="s">
        <v>451</v>
      </c>
      <c r="U12" s="7"/>
      <c r="V12" s="7"/>
      <c r="W12" s="7"/>
      <c r="X12" s="7"/>
      <c r="Y12" s="7"/>
      <c r="Z12" s="7"/>
      <c r="AA12" s="7"/>
      <c r="AB12" s="7"/>
      <c r="AC12" s="7"/>
      <c r="AD12" s="7"/>
      <c r="AE12" t="s">
        <v>19</v>
      </c>
      <c r="AF12" t="s">
        <v>20</v>
      </c>
      <c r="AH12">
        <v>1</v>
      </c>
    </row>
    <row r="13" spans="1:34" ht="58">
      <c r="A13" t="s">
        <v>89</v>
      </c>
      <c r="B13" s="3" t="s">
        <v>207</v>
      </c>
      <c r="C13" s="3" t="s">
        <v>208</v>
      </c>
      <c r="G13" s="7" t="s">
        <v>24</v>
      </c>
      <c r="H13" s="7"/>
      <c r="I13" s="7">
        <v>1</v>
      </c>
      <c r="J13" s="7">
        <v>3</v>
      </c>
      <c r="K13" s="7" t="s">
        <v>331</v>
      </c>
      <c r="L13" s="7" t="s">
        <v>332</v>
      </c>
      <c r="M13" s="7"/>
      <c r="N13" s="8"/>
      <c r="O13" s="7"/>
      <c r="P13" s="7">
        <v>2475</v>
      </c>
      <c r="Q13" s="7">
        <v>1216.9338184678927</v>
      </c>
      <c r="R13" s="7"/>
      <c r="S13" s="7" t="s">
        <v>451</v>
      </c>
      <c r="T13" s="7" t="s">
        <v>451</v>
      </c>
      <c r="U13" s="7"/>
      <c r="V13" s="7"/>
      <c r="W13" s="7"/>
      <c r="X13" s="7"/>
      <c r="Y13" s="7"/>
      <c r="Z13" s="7"/>
      <c r="AA13" s="7"/>
      <c r="AB13" s="7"/>
      <c r="AC13" s="7"/>
      <c r="AD13" s="7"/>
      <c r="AE13" t="s">
        <v>19</v>
      </c>
      <c r="AF13" t="s">
        <v>20</v>
      </c>
      <c r="AH13">
        <v>1</v>
      </c>
    </row>
    <row r="14" spans="1:34" ht="275.5">
      <c r="A14" t="s">
        <v>99</v>
      </c>
      <c r="B14" s="3" t="s">
        <v>230</v>
      </c>
      <c r="C14" s="3" t="s">
        <v>231</v>
      </c>
      <c r="F14" t="s">
        <v>19</v>
      </c>
      <c r="G14" s="7" t="s">
        <v>25</v>
      </c>
      <c r="H14" s="7"/>
      <c r="I14" s="7">
        <v>15</v>
      </c>
      <c r="J14" s="7">
        <v>67</v>
      </c>
      <c r="K14" s="7"/>
      <c r="L14" s="7" t="s">
        <v>326</v>
      </c>
      <c r="M14" s="7" t="s">
        <v>391</v>
      </c>
      <c r="N14" s="8" t="s">
        <v>394</v>
      </c>
      <c r="O14" s="7"/>
      <c r="P14" s="7">
        <v>2</v>
      </c>
      <c r="Q14" s="7">
        <v>0.98338086340839814</v>
      </c>
      <c r="R14" s="7"/>
      <c r="S14" s="7" t="s">
        <v>451</v>
      </c>
      <c r="T14" s="7" t="s">
        <v>451</v>
      </c>
      <c r="U14" s="7"/>
      <c r="V14" s="7"/>
      <c r="W14" s="7"/>
      <c r="X14" s="7"/>
      <c r="Y14" s="7"/>
      <c r="Z14" s="7"/>
      <c r="AA14" s="7"/>
      <c r="AB14" s="7"/>
      <c r="AC14" s="7"/>
      <c r="AD14" s="7"/>
      <c r="AE14" t="s">
        <v>20</v>
      </c>
      <c r="AF14" t="s">
        <v>20</v>
      </c>
      <c r="AH14">
        <v>0</v>
      </c>
    </row>
    <row r="15" spans="1:34" ht="29">
      <c r="A15" t="s">
        <v>103</v>
      </c>
      <c r="B15" s="3" t="s">
        <v>237</v>
      </c>
      <c r="C15" s="3" t="s">
        <v>238</v>
      </c>
      <c r="G15" s="7" t="s">
        <v>25</v>
      </c>
      <c r="H15" s="7"/>
      <c r="I15" s="7">
        <v>1</v>
      </c>
      <c r="J15" s="7">
        <v>1</v>
      </c>
      <c r="K15" s="7" t="s">
        <v>331</v>
      </c>
      <c r="L15" s="7" t="s">
        <v>373</v>
      </c>
      <c r="M15" s="7"/>
      <c r="N15" s="8"/>
      <c r="O15" s="7"/>
      <c r="P15" s="7">
        <v>2475</v>
      </c>
      <c r="Q15" s="7">
        <v>1216.9338184678927</v>
      </c>
      <c r="R15" s="7"/>
      <c r="S15" s="7" t="s">
        <v>451</v>
      </c>
      <c r="T15" s="7" t="s">
        <v>451</v>
      </c>
      <c r="U15" s="7"/>
      <c r="V15" s="7"/>
      <c r="W15" s="7"/>
      <c r="X15" s="7"/>
      <c r="Y15" s="7"/>
      <c r="Z15" s="7"/>
      <c r="AA15" s="7"/>
      <c r="AB15" s="7"/>
      <c r="AC15" s="7"/>
      <c r="AD15" s="7"/>
      <c r="AE15" t="s">
        <v>19</v>
      </c>
      <c r="AF15" t="s">
        <v>20</v>
      </c>
      <c r="AH15">
        <v>1</v>
      </c>
    </row>
    <row r="16" spans="1:34" ht="58">
      <c r="A16" t="s">
        <v>109</v>
      </c>
      <c r="B16" s="3" t="s">
        <v>242</v>
      </c>
      <c r="C16" s="3" t="s">
        <v>241</v>
      </c>
      <c r="G16" s="7" t="s">
        <v>25</v>
      </c>
      <c r="H16" s="7"/>
      <c r="I16" s="7">
        <v>1</v>
      </c>
      <c r="J16" s="7">
        <v>3</v>
      </c>
      <c r="K16" s="7" t="s">
        <v>350</v>
      </c>
      <c r="L16" s="7" t="s">
        <v>332</v>
      </c>
      <c r="M16" s="7"/>
      <c r="N16" s="8"/>
      <c r="O16" s="7"/>
      <c r="P16" s="7">
        <v>210</v>
      </c>
      <c r="Q16" s="7">
        <v>103.25499065788181</v>
      </c>
      <c r="R16" s="7"/>
      <c r="S16" s="7" t="s">
        <v>451</v>
      </c>
      <c r="T16" s="7" t="s">
        <v>451</v>
      </c>
      <c r="U16" s="7"/>
      <c r="V16" s="7"/>
      <c r="W16" s="7"/>
      <c r="X16" s="7"/>
      <c r="Y16" s="7"/>
      <c r="Z16" s="7"/>
      <c r="AA16" s="7"/>
      <c r="AB16" s="7"/>
      <c r="AC16" s="7"/>
      <c r="AD16" s="7"/>
      <c r="AE16" t="s">
        <v>19</v>
      </c>
      <c r="AF16" t="s">
        <v>20</v>
      </c>
      <c r="AH16">
        <v>1</v>
      </c>
    </row>
    <row r="17" spans="1:34" ht="145">
      <c r="A17" t="s">
        <v>125</v>
      </c>
      <c r="B17" s="3" t="s">
        <v>261</v>
      </c>
      <c r="C17" s="3" t="s">
        <v>260</v>
      </c>
      <c r="G17" s="7" t="s">
        <v>25</v>
      </c>
      <c r="H17" s="7"/>
      <c r="I17" s="7">
        <v>7</v>
      </c>
      <c r="J17" s="7">
        <v>32</v>
      </c>
      <c r="K17" s="7"/>
      <c r="L17" s="7" t="s">
        <v>326</v>
      </c>
      <c r="M17" s="7" t="s">
        <v>395</v>
      </c>
      <c r="N17" s="8" t="s">
        <v>402</v>
      </c>
      <c r="O17" s="7"/>
      <c r="P17" s="7"/>
      <c r="Q17" s="7" t="s">
        <v>451</v>
      </c>
      <c r="R17" s="7"/>
      <c r="S17" s="7" t="s">
        <v>451</v>
      </c>
      <c r="T17" s="7" t="s">
        <v>451</v>
      </c>
      <c r="U17" s="7"/>
      <c r="V17" s="7"/>
      <c r="W17" s="7"/>
      <c r="X17" s="7"/>
      <c r="Y17" s="7"/>
      <c r="Z17" s="7"/>
      <c r="AA17" s="7"/>
      <c r="AB17" s="7"/>
      <c r="AC17" s="7"/>
      <c r="AD17" s="7"/>
      <c r="AE17" t="s">
        <v>20</v>
      </c>
      <c r="AF17" t="s">
        <v>20</v>
      </c>
      <c r="AH17">
        <v>0</v>
      </c>
    </row>
    <row r="18" spans="1:34" ht="101.5">
      <c r="A18" t="s">
        <v>129</v>
      </c>
      <c r="B18" s="3" t="s">
        <v>273</v>
      </c>
      <c r="C18" s="3" t="s">
        <v>270</v>
      </c>
      <c r="G18" s="7" t="s">
        <v>25</v>
      </c>
      <c r="H18" s="7"/>
      <c r="I18" s="7">
        <v>1</v>
      </c>
      <c r="J18" s="7">
        <v>9</v>
      </c>
      <c r="K18" s="7" t="s">
        <v>383</v>
      </c>
      <c r="L18" s="7" t="s">
        <v>332</v>
      </c>
      <c r="M18" s="7"/>
      <c r="N18" s="8"/>
      <c r="O18" s="7"/>
      <c r="P18" s="7">
        <v>18</v>
      </c>
      <c r="Q18" s="7">
        <v>8.8504277706755818</v>
      </c>
      <c r="R18" s="7"/>
      <c r="S18" s="7" t="s">
        <v>451</v>
      </c>
      <c r="T18" s="7" t="s">
        <v>451</v>
      </c>
      <c r="U18" s="7"/>
      <c r="V18" s="7"/>
      <c r="W18" s="7"/>
      <c r="X18" s="7"/>
      <c r="Y18" s="7"/>
      <c r="Z18" s="7"/>
      <c r="AA18" s="7"/>
      <c r="AB18" s="7"/>
      <c r="AC18" s="7"/>
      <c r="AD18" s="7"/>
      <c r="AE18" t="s">
        <v>19</v>
      </c>
      <c r="AF18" t="s">
        <v>20</v>
      </c>
      <c r="AH18">
        <v>1</v>
      </c>
    </row>
    <row r="19" spans="1:34" ht="29">
      <c r="A19" t="s">
        <v>138</v>
      </c>
      <c r="B19" s="3" t="s">
        <v>282</v>
      </c>
      <c r="C19" s="3" t="s">
        <v>281</v>
      </c>
      <c r="G19" s="7" t="s">
        <v>25</v>
      </c>
      <c r="H19" s="7"/>
      <c r="I19" s="7">
        <v>1</v>
      </c>
      <c r="J19" s="7">
        <v>2</v>
      </c>
      <c r="K19" s="7" t="s">
        <v>341</v>
      </c>
      <c r="L19" s="7" t="s">
        <v>373</v>
      </c>
      <c r="M19" s="7"/>
      <c r="N19" s="8"/>
      <c r="O19" s="7"/>
      <c r="P19" s="7">
        <v>171</v>
      </c>
      <c r="Q19" s="7">
        <v>84.079063821418046</v>
      </c>
      <c r="R19" s="7"/>
      <c r="S19" s="7" t="s">
        <v>451</v>
      </c>
      <c r="T19" s="7" t="s">
        <v>451</v>
      </c>
      <c r="U19" s="7"/>
      <c r="V19" s="7"/>
      <c r="W19" s="7"/>
      <c r="X19" s="7"/>
      <c r="Y19" s="7"/>
      <c r="Z19" s="7"/>
      <c r="AA19" s="7"/>
      <c r="AB19" s="7"/>
      <c r="AC19" s="7"/>
      <c r="AD19" s="7"/>
      <c r="AE19" t="s">
        <v>19</v>
      </c>
      <c r="AF19" t="s">
        <v>20</v>
      </c>
      <c r="AH19">
        <v>1</v>
      </c>
    </row>
    <row r="20" spans="1:34" ht="29">
      <c r="A20" t="s">
        <v>142</v>
      </c>
      <c r="B20" s="3" t="s">
        <v>294</v>
      </c>
      <c r="C20" s="3" t="s">
        <v>295</v>
      </c>
      <c r="G20" s="7" t="s">
        <v>25</v>
      </c>
      <c r="H20" s="7"/>
      <c r="I20" s="7">
        <v>1</v>
      </c>
      <c r="J20" s="7">
        <v>2</v>
      </c>
      <c r="K20" s="7" t="s">
        <v>377</v>
      </c>
      <c r="L20" s="7" t="s">
        <v>373</v>
      </c>
      <c r="M20" s="7"/>
      <c r="N20" s="8"/>
      <c r="O20" s="7"/>
      <c r="P20" s="7">
        <v>10</v>
      </c>
      <c r="Q20" s="7">
        <v>4.9169043170419897</v>
      </c>
      <c r="R20" s="7"/>
      <c r="S20" s="7" t="s">
        <v>451</v>
      </c>
      <c r="T20" s="7" t="s">
        <v>451</v>
      </c>
      <c r="U20" s="7"/>
      <c r="V20" s="7"/>
      <c r="W20" s="7"/>
      <c r="X20" s="7"/>
      <c r="Y20" s="7"/>
      <c r="Z20" s="7"/>
      <c r="AA20" s="7"/>
      <c r="AB20" s="7"/>
      <c r="AC20" s="7"/>
      <c r="AD20" s="7"/>
      <c r="AE20" t="s">
        <v>19</v>
      </c>
      <c r="AF20" t="s">
        <v>20</v>
      </c>
      <c r="AH20">
        <v>1</v>
      </c>
    </row>
    <row r="21" spans="1:34" ht="58">
      <c r="A21" t="s">
        <v>152</v>
      </c>
      <c r="B21" s="3" t="s">
        <v>308</v>
      </c>
      <c r="C21" s="3" t="s">
        <v>309</v>
      </c>
      <c r="F21" t="s">
        <v>19</v>
      </c>
      <c r="G21" s="7" t="s">
        <v>24</v>
      </c>
      <c r="H21" s="7"/>
      <c r="I21" s="7">
        <v>3</v>
      </c>
      <c r="J21" s="7">
        <v>16</v>
      </c>
      <c r="K21" s="7"/>
      <c r="L21" s="7" t="s">
        <v>332</v>
      </c>
      <c r="M21" s="7"/>
      <c r="N21" s="8"/>
      <c r="O21" s="7" t="s">
        <v>333</v>
      </c>
      <c r="P21" s="7">
        <v>9</v>
      </c>
      <c r="Q21" s="7">
        <v>4.4252138853377909</v>
      </c>
      <c r="R21" s="7"/>
      <c r="S21" s="7" t="s">
        <v>451</v>
      </c>
      <c r="T21" s="7" t="s">
        <v>451</v>
      </c>
      <c r="U21" s="7"/>
      <c r="V21" s="7"/>
      <c r="W21" s="7"/>
      <c r="X21" s="7"/>
      <c r="Y21" s="7"/>
      <c r="Z21" s="7"/>
      <c r="AA21" s="7"/>
      <c r="AB21" s="7"/>
      <c r="AC21" s="7"/>
      <c r="AD21" s="7"/>
      <c r="AE21" t="s">
        <v>20</v>
      </c>
      <c r="AF21" t="s">
        <v>20</v>
      </c>
      <c r="AH21">
        <v>0</v>
      </c>
    </row>
    <row r="24" spans="1:34">
      <c r="E24" t="s">
        <v>420</v>
      </c>
      <c r="F24">
        <f>COUNTIF(G:G,"Addition")</f>
        <v>7</v>
      </c>
    </row>
    <row r="25" spans="1:34">
      <c r="B25" t="s">
        <v>423</v>
      </c>
      <c r="C25" t="s">
        <v>424</v>
      </c>
      <c r="E25" t="s">
        <v>421</v>
      </c>
      <c r="F25">
        <f>COUNTIF(G:G,"Omission")</f>
        <v>13</v>
      </c>
    </row>
    <row r="26" spans="1:34">
      <c r="B26" t="s">
        <v>331</v>
      </c>
      <c r="C26" t="s">
        <v>325</v>
      </c>
      <c r="E26" t="s">
        <v>422</v>
      </c>
      <c r="F26">
        <f>F24/(F24+F25)</f>
        <v>0.35</v>
      </c>
    </row>
    <row r="27" spans="1:34">
      <c r="B27" t="s">
        <v>341</v>
      </c>
      <c r="C27" t="s">
        <v>337</v>
      </c>
    </row>
    <row r="28" spans="1:34">
      <c r="B28" t="s">
        <v>348</v>
      </c>
      <c r="C28" t="s">
        <v>346</v>
      </c>
    </row>
    <row r="29" spans="1:34">
      <c r="B29" t="s">
        <v>350</v>
      </c>
      <c r="C29" t="s">
        <v>352</v>
      </c>
      <c r="E29" t="s">
        <v>425</v>
      </c>
      <c r="F29">
        <f>COUNTIFS(G:G,"Addition", K:K,"Article")+COUNTIFS(G:G,"Addition", K:K,"Conjunction")+COUNTIFS(G:G,"Addition", K:K,"Pronoun")+COUNTIFS(G:G,"Addition", K:K,"Preposition")+COUNTIFS(G:G,"Addition", K:K,"Particle")+COUNTIFS(G:G,"Addition", K:K,"Vocative")</f>
        <v>5</v>
      </c>
    </row>
    <row r="30" spans="1:34">
      <c r="B30" t="s">
        <v>377</v>
      </c>
      <c r="C30" t="s">
        <v>383</v>
      </c>
      <c r="E30" t="s">
        <v>426</v>
      </c>
      <c r="F30">
        <f>COUNTIFS(G:G,"Omission", K:K,"Article")+COUNTIFS(G:G,"Omission", K:K,"Conjunction")+COUNTIFS(G:G,"Omission", K:K,"Pronoun")+COUNTIFS(G:G,"Omission", K:K,"Preposition")+COUNTIFS(G:G,"Omission", K:K,"Particle")+COUNTIFS(G:G,"Omission", K:K,"Vocative")</f>
        <v>9</v>
      </c>
    </row>
    <row r="31" spans="1:34">
      <c r="B31" t="s">
        <v>353</v>
      </c>
      <c r="E31" t="s">
        <v>427</v>
      </c>
      <c r="F31">
        <f>F29/(F29+F30)</f>
        <v>0.35714285714285715</v>
      </c>
    </row>
    <row r="34" spans="3:6">
      <c r="E34" t="s">
        <v>432</v>
      </c>
      <c r="F34">
        <f>COUNTIFS(G:G,"Addition", K:K,"Adjective")+COUNTIFS(G:G,"Addition", K:K,"Adverb")+COUNTIFS(G:G,"Addition", K:K,"Noun")+COUNTIFS(G:G,"Addition", K:K,"Participle")+COUNTIFS(G:G,"Addition", K:K,"Verb")</f>
        <v>1</v>
      </c>
    </row>
    <row r="35" spans="3:6">
      <c r="E35" t="s">
        <v>433</v>
      </c>
      <c r="F35">
        <f>COUNTIFS(G:G,"Omission", K:K,"Adjective")+COUNTIFS(G:G,"Omission", K:K,"Adverb")+COUNTIFS(G:G,"Omission", K:K,"Noun")+COUNTIFS(G:G,"Omission", K:K,"Participle")+COUNTIFS(G:G,"Omission", K:K,"Verb")</f>
        <v>1</v>
      </c>
    </row>
    <row r="36" spans="3:6">
      <c r="E36" t="s">
        <v>434</v>
      </c>
      <c r="F36">
        <f>F34/(F34+F35)</f>
        <v>0.5</v>
      </c>
    </row>
    <row r="37" spans="3:6">
      <c r="E37" t="s">
        <v>439</v>
      </c>
      <c r="F37">
        <f>F36-F31</f>
        <v>0.14285714285714285</v>
      </c>
    </row>
    <row r="40" spans="3:6">
      <c r="D40" s="11" t="s">
        <v>435</v>
      </c>
      <c r="E40" s="11"/>
      <c r="F40" s="11"/>
    </row>
    <row r="41" spans="3:6">
      <c r="D41" t="s">
        <v>326</v>
      </c>
      <c r="E41" t="s">
        <v>436</v>
      </c>
      <c r="F41" t="s">
        <v>437</v>
      </c>
    </row>
    <row r="42" spans="3:6">
      <c r="C42" t="s">
        <v>429</v>
      </c>
      <c r="D42">
        <f>COUNTIFS(G:G,"Addition", L:L, "Present")</f>
        <v>1</v>
      </c>
      <c r="E42">
        <f>COUNTIFS(G:G,"Addition", L:L, "Absent")</f>
        <v>4</v>
      </c>
      <c r="F42">
        <f>D42/(D42+E42)</f>
        <v>0.2</v>
      </c>
    </row>
    <row r="43" spans="3:6">
      <c r="C43" t="s">
        <v>430</v>
      </c>
      <c r="D43">
        <f>COUNTIFS(G:G,"Omission", L:L, "Present")</f>
        <v>5</v>
      </c>
      <c r="E43">
        <f>COUNTIFS(G:G,"Omission", L:L, "Absent")</f>
        <v>2</v>
      </c>
      <c r="F43">
        <f>D43/(D43+E43)</f>
        <v>0.7142857142857143</v>
      </c>
    </row>
    <row r="44" spans="3:6">
      <c r="C44" t="s">
        <v>438</v>
      </c>
      <c r="D44">
        <f>SUM(D42+D43)</f>
        <v>6</v>
      </c>
      <c r="E44">
        <f>SUM(E42+E43)</f>
        <v>6</v>
      </c>
      <c r="F44">
        <f>D44/(D44+E44)</f>
        <v>0.5</v>
      </c>
    </row>
    <row r="47" spans="3:6">
      <c r="D47" t="s">
        <v>429</v>
      </c>
      <c r="E47" t="s">
        <v>430</v>
      </c>
      <c r="F47" t="s">
        <v>442</v>
      </c>
    </row>
    <row r="48" spans="3:6">
      <c r="C48" t="s">
        <v>441</v>
      </c>
      <c r="D48">
        <f>COUNTIFS(G:G,"Addition", L:L, "Absent")</f>
        <v>4</v>
      </c>
      <c r="E48">
        <f>COUNTIFS(G:G,"Omission", L:L, "Absent")</f>
        <v>2</v>
      </c>
      <c r="F48">
        <f>D48/(D48+E48)</f>
        <v>0.66666666666666663</v>
      </c>
    </row>
    <row r="49" spans="3:6">
      <c r="C49" t="s">
        <v>440</v>
      </c>
      <c r="D49">
        <f>COUNTIFS(G:G,"Addition", L:L, "Present")</f>
        <v>1</v>
      </c>
      <c r="E49">
        <f>COUNTIFS(G:G,"Omission", L:L, "Present")</f>
        <v>5</v>
      </c>
      <c r="F49">
        <f>D49/(D49+E49)</f>
        <v>0.16666666666666666</v>
      </c>
    </row>
    <row r="50" spans="3:6">
      <c r="E50" t="s">
        <v>495</v>
      </c>
      <c r="F50">
        <f>F49-F48</f>
        <v>-0.5</v>
      </c>
    </row>
    <row r="53" spans="3:6">
      <c r="D53" t="s">
        <v>429</v>
      </c>
      <c r="E53" t="s">
        <v>430</v>
      </c>
      <c r="F53" t="s">
        <v>442</v>
      </c>
    </row>
    <row r="54" spans="3:6">
      <c r="C54" t="s">
        <v>443</v>
      </c>
      <c r="D54">
        <f>COUNTIFS(G:G,"Addition", O:O, "")</f>
        <v>6</v>
      </c>
      <c r="E54">
        <f>COUNTIFS(G:G,"Omission", O:O, "")</f>
        <v>12</v>
      </c>
      <c r="F54">
        <f>D54/(D54+E54)</f>
        <v>0.33333333333333331</v>
      </c>
    </row>
    <row r="55" spans="3:6">
      <c r="C55" t="s">
        <v>444</v>
      </c>
      <c r="D55">
        <f>COUNTIFS(G:G,"Addition", O:O, "Dittography")</f>
        <v>0</v>
      </c>
      <c r="E55">
        <f>COUNTIFS(G:G,"Omission", O:O, "Dittography")</f>
        <v>1</v>
      </c>
      <c r="F55">
        <f>D55/(D55+E55)</f>
        <v>0</v>
      </c>
    </row>
    <row r="56" spans="3:6">
      <c r="E56" t="s">
        <v>495</v>
      </c>
      <c r="F56">
        <f>F55-F54</f>
        <v>-0.33333333333333331</v>
      </c>
    </row>
    <row r="59" spans="3:6">
      <c r="C59" t="s">
        <v>428</v>
      </c>
      <c r="D59" t="s">
        <v>429</v>
      </c>
      <c r="E59" t="s">
        <v>430</v>
      </c>
      <c r="F59" t="s">
        <v>442</v>
      </c>
    </row>
    <row r="60" spans="3:6">
      <c r="C60" s="9">
        <v>1</v>
      </c>
      <c r="D60">
        <f>COUNTIFS(G:G,"Addition", I:I, 1)</f>
        <v>6</v>
      </c>
      <c r="E60">
        <f>COUNTIFS(G:G,"Omission", I:I, 1)</f>
        <v>10</v>
      </c>
      <c r="F60">
        <f>D60/(D60+E60)</f>
        <v>0.375</v>
      </c>
    </row>
    <row r="61" spans="3:6">
      <c r="C61" s="9" t="s">
        <v>445</v>
      </c>
      <c r="D61">
        <f>COUNTIFS(G:G,"Addition", I:I, "&gt;=2", I:I, "&lt;=3")</f>
        <v>1</v>
      </c>
      <c r="E61">
        <f>COUNTIFS(G:G,"Omission", I:I, "&gt;=2", I:I, "&lt;=3")</f>
        <v>0</v>
      </c>
      <c r="F61">
        <f t="shared" ref="F61:F62" si="0">D61/(D61+E61)</f>
        <v>1</v>
      </c>
    </row>
    <row r="62" spans="3:6">
      <c r="C62" s="9" t="s">
        <v>446</v>
      </c>
      <c r="D62">
        <f>COUNTIFS(G:G,"Addition", I:I, "&gt;=4")</f>
        <v>0</v>
      </c>
      <c r="E62">
        <f>COUNTIFS(G:G,"Omission", I:I, "&gt;=4")</f>
        <v>3</v>
      </c>
      <c r="F62">
        <f t="shared" si="0"/>
        <v>0</v>
      </c>
    </row>
    <row r="65" spans="3:6">
      <c r="C65" t="s">
        <v>428</v>
      </c>
      <c r="D65" t="s">
        <v>429</v>
      </c>
      <c r="E65" t="s">
        <v>430</v>
      </c>
      <c r="F65" t="s">
        <v>431</v>
      </c>
    </row>
    <row r="66" spans="3:6">
      <c r="C66">
        <v>1</v>
      </c>
      <c r="D66" s="9">
        <f>COUNTIFS(G:G,"Addition", I:I, C66)</f>
        <v>6</v>
      </c>
      <c r="E66">
        <f>COUNTIFS(G:G,"Omission", I:I, C66)</f>
        <v>10</v>
      </c>
      <c r="F66">
        <f>D66/(D66+E66)</f>
        <v>0.375</v>
      </c>
    </row>
    <row r="67" spans="3:6">
      <c r="C67">
        <v>2</v>
      </c>
      <c r="D67" s="9">
        <f>COUNTIFS(G:G,"Addition", I:I, C67)</f>
        <v>0</v>
      </c>
      <c r="E67">
        <f>COUNTIFS(G:G,"Omission", I:I, C67)</f>
        <v>0</v>
      </c>
      <c r="F67" t="e">
        <f t="shared" ref="F67:F70" si="1">D67/(D67+E67)</f>
        <v>#DIV/0!</v>
      </c>
    </row>
    <row r="68" spans="3:6">
      <c r="C68">
        <v>3</v>
      </c>
      <c r="D68" s="9">
        <f>COUNTIFS(G:G,"Addition", I:I, C68)</f>
        <v>1</v>
      </c>
      <c r="E68">
        <f>COUNTIFS(G:G,"Omission", I:I, C68)</f>
        <v>0</v>
      </c>
      <c r="F68">
        <f t="shared" si="1"/>
        <v>1</v>
      </c>
    </row>
    <row r="69" spans="3:6">
      <c r="C69">
        <v>4</v>
      </c>
      <c r="D69" s="9">
        <f>COUNTIFS(G:G,"Addition", I:I, C69)</f>
        <v>0</v>
      </c>
      <c r="E69">
        <f>COUNTIFS(G:G,"Omission", I:I, C69)</f>
        <v>0</v>
      </c>
      <c r="F69" t="e">
        <f t="shared" si="1"/>
        <v>#DIV/0!</v>
      </c>
    </row>
    <row r="70" spans="3:6">
      <c r="C70" t="s">
        <v>447</v>
      </c>
      <c r="D70" s="9">
        <f>COUNTIFS(G:G,"Addition", I:I, C70)</f>
        <v>0</v>
      </c>
      <c r="E70">
        <f>COUNTIFS(G:G,"Omission", I:I, C70)</f>
        <v>3</v>
      </c>
      <c r="F70">
        <f t="shared" si="1"/>
        <v>0</v>
      </c>
    </row>
    <row r="71" spans="3:6">
      <c r="D71" s="9"/>
    </row>
    <row r="73" spans="3:6">
      <c r="E73" t="s">
        <v>448</v>
      </c>
      <c r="F73">
        <v>20338</v>
      </c>
    </row>
  </sheetData>
  <mergeCells count="1">
    <mergeCell ref="D40:F40"/>
  </mergeCells>
  <conditionalFormatting sqref="G2:G21">
    <cfRule type="expression" dxfId="126" priority="7">
      <formula>$I2&lt;&gt;""</formula>
    </cfRule>
    <cfRule type="expression" dxfId="125" priority="8">
      <formula>$I2=""</formula>
    </cfRule>
  </conditionalFormatting>
  <conditionalFormatting sqref="H2:L21 O2:P21">
    <cfRule type="expression" dxfId="124" priority="21">
      <formula>AND(OR($I2="Addition",$I2="Omission"), H2="")</formula>
    </cfRule>
    <cfRule type="expression" dxfId="123" priority="22">
      <formula>AND($I2&lt;&gt;"Addition",$I2&lt;&gt;"Omission",$I2&lt;&gt;"Substitution - Word")</formula>
    </cfRule>
  </conditionalFormatting>
  <conditionalFormatting sqref="H2:P21">
    <cfRule type="expression" dxfId="122" priority="20">
      <formula>AND(OR($I2="Addition",$I2="Omission"), H2&lt;&gt;"")</formula>
    </cfRule>
  </conditionalFormatting>
  <conditionalFormatting sqref="K2:K21">
    <cfRule type="expression" dxfId="121" priority="18">
      <formula>AND($K2&lt;&gt;"",$K2&gt;1)</formula>
    </cfRule>
  </conditionalFormatting>
  <conditionalFormatting sqref="M2:N21">
    <cfRule type="expression" dxfId="120" priority="14">
      <formula>$N2="Absent"</formula>
    </cfRule>
    <cfRule type="expression" dxfId="119" priority="15">
      <formula>$N2="NA"</formula>
    </cfRule>
    <cfRule type="expression" dxfId="118" priority="16">
      <formula>AND(OR($I2="Addition",$I2="Omission"), M2="")</formula>
    </cfRule>
    <cfRule type="expression" dxfId="117" priority="17">
      <formula>AND($I2&lt;&gt;"Addition",$I2&lt;&gt;"Omission")</formula>
    </cfRule>
  </conditionalFormatting>
  <conditionalFormatting sqref="O2:O21">
    <cfRule type="expression" dxfId="116" priority="19">
      <formula>OR($I2="Addition",$I2="Omission",$I2 = "Substitution - Word")</formula>
    </cfRule>
  </conditionalFormatting>
  <conditionalFormatting sqref="Q2:Q21">
    <cfRule type="expression" dxfId="115" priority="1">
      <formula>AND(OR($I2="Addition",$I2="Omission"), Q2&lt;&gt;"")</formula>
    </cfRule>
    <cfRule type="expression" dxfId="114" priority="2">
      <formula>AND(OR($I2="Addition",$I2="Omission"), Q2="")</formula>
    </cfRule>
    <cfRule type="expression" dxfId="113" priority="3">
      <formula>AND($I2&lt;&gt;"Addition",$I2&lt;&gt;"Omission",$I2&lt;&gt;"Substitution - Word")</formula>
    </cfRule>
  </conditionalFormatting>
  <conditionalFormatting sqref="R2:T21">
    <cfRule type="expression" dxfId="112" priority="4">
      <formula>AND(AND(LEFT($I2,3)="Sub", RIGHT($I2,4)&lt;&gt;"Form"),$T2&lt;&gt;"")</formula>
    </cfRule>
    <cfRule type="expression" dxfId="111" priority="5">
      <formula>AND(AND(LEFT($I2,3)="Sub", RIGHT($I2,4)&lt;&gt;"Form"),$T2="")</formula>
    </cfRule>
    <cfRule type="expression" dxfId="110" priority="6">
      <formula>"&lt;&gt;AND(LEFT($J2,3)=""Sub"", RIGHT($J2,4)&lt;&gt;""Form"")"</formula>
    </cfRule>
  </conditionalFormatting>
  <conditionalFormatting sqref="U2:U21">
    <cfRule type="expression" dxfId="109" priority="10">
      <formula>AND($W2&lt;&gt;"",OR($AD2="Yes",$AE2&lt;&gt;""))</formula>
    </cfRule>
    <cfRule type="expression" dxfId="108" priority="11">
      <formula>OR($AD2="Yes",$AE2&lt;&gt;"")</formula>
    </cfRule>
    <cfRule type="expression" dxfId="107" priority="25">
      <formula>AND($AD2&lt;&gt;"Yes",$AE2="")</formula>
    </cfRule>
  </conditionalFormatting>
  <conditionalFormatting sqref="U2:AD21">
    <cfRule type="expression" dxfId="106" priority="23">
      <formula>AND($I2&lt;&gt;"",$I2&lt;&gt;"Unclear due to correction")</formula>
    </cfRule>
    <cfRule type="expression" dxfId="105" priority="24">
      <formula>OR($I2="",$I2="Unclear due to correction")</formula>
    </cfRule>
  </conditionalFormatting>
  <conditionalFormatting sqref="V2:V21">
    <cfRule type="expression" dxfId="104" priority="9">
      <formula>AND($I2&lt;&gt;"",$I2&lt;&gt;"Unclear due to correction",$X2="")</formula>
    </cfRule>
  </conditionalFormatting>
  <conditionalFormatting sqref="W2:W21">
    <cfRule type="expression" dxfId="103" priority="12">
      <formula>AND($X2="Yes",$Y2="")</formula>
    </cfRule>
    <cfRule type="expression" dxfId="102" priority="13">
      <formula>$X2=""</formula>
    </cfRule>
  </conditionalFormatting>
  <conditionalFormatting sqref="AB2:AB21">
    <cfRule type="expression" dxfId="101" priority="26">
      <formula>AND(OR($AB2&lt;&gt;"",$AC2&lt;&gt;""),$AD2="")</formula>
    </cfRule>
  </conditionalFormatting>
  <dataValidations count="1">
    <dataValidation allowBlank="1" showInputMessage="1" sqref="V2:V21" xr:uid="{32F32476-5851-4EE7-95CC-C8CB836E7E93}"/>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C63FC012-801B-4F8D-B157-6D25AC774B11}">
          <x14:formula1>
            <xm:f>'Data Regularization'!$D$2:$D$1048576</xm:f>
          </x14:formula1>
          <xm:sqref>G2:G21</xm:sqref>
        </x14:dataValidation>
        <x14:dataValidation type="list" allowBlank="1" showInputMessage="1" showErrorMessage="1" xr:uid="{B34A26A1-A21F-4ADB-9A55-14EFF0A40912}">
          <x14:formula1>
            <xm:f>'Data Regularization'!$E$2:$E$1048576</xm:f>
          </x14:formula1>
          <xm:sqref>K2:K21</xm:sqref>
        </x14:dataValidation>
        <x14:dataValidation type="list" allowBlank="1" showInputMessage="1" showErrorMessage="1" xr:uid="{C7AB2ACB-083E-409C-94E5-9CB611BFC411}">
          <x14:formula1>
            <xm:f>'Data Regularization'!$F$2:$F$1048576</xm:f>
          </x14:formula1>
          <xm:sqref>L2:L21</xm:sqref>
        </x14:dataValidation>
        <x14:dataValidation type="list" allowBlank="1" showInputMessage="1" showErrorMessage="1" xr:uid="{DBF2AF28-DE8D-43AC-85F1-A157AE74999A}">
          <x14:formula1>
            <xm:f>'Data Regularization'!$G$2:$G$1048576</xm:f>
          </x14:formula1>
          <xm:sqref>O2:O21</xm:sqref>
        </x14:dataValidation>
        <x14:dataValidation type="list" allowBlank="1" showInputMessage="1" showErrorMessage="1" xr:uid="{97C80129-5444-41C6-BE28-E1C738A81594}">
          <x14:formula1>
            <xm:f>'Data Regularization'!$J$2:$J$1048576</xm:f>
          </x14:formula1>
          <xm:sqref>W2:W21 U2:U21</xm:sqref>
        </x14:dataValidation>
        <x14:dataValidation type="list" allowBlank="1" showInputMessage="1" showErrorMessage="1" xr:uid="{4605543F-856B-4F87-925B-99EB3AC04FF2}">
          <x14:formula1>
            <xm:f>'Data Regularization'!$K$2:$K$1048576</xm:f>
          </x14:formula1>
          <xm:sqref>X2:X21</xm:sqref>
        </x14:dataValidation>
        <x14:dataValidation type="list" allowBlank="1" showInputMessage="1" showErrorMessage="1" xr:uid="{745BB9B1-4E49-462E-A7E7-C8C8D8E922F3}">
          <x14:formula1>
            <xm:f>'Data Regularization'!$L$2:$L$1048576</xm:f>
          </x14:formula1>
          <xm:sqref>Y2:Y21</xm:sqref>
        </x14:dataValidation>
        <x14:dataValidation type="list" allowBlank="1" showInputMessage="1" showErrorMessage="1" xr:uid="{26CA32CF-BDFA-468F-8E3C-754403BC1998}">
          <x14:formula1>
            <xm:f>'Data Regularization'!$M$2:$M$1048576</xm:f>
          </x14:formula1>
          <xm:sqref>Z2:Z21</xm:sqref>
        </x14:dataValidation>
        <x14:dataValidation type="list" allowBlank="1" showInputMessage="1" showErrorMessage="1" xr:uid="{9307B292-7CD7-490C-AB4B-9E784730EE78}">
          <x14:formula1>
            <xm:f>'Data Regularization'!$N$2:$N$1048576</xm:f>
          </x14:formula1>
          <xm:sqref>AB2:AB21</xm:sqref>
        </x14:dataValidation>
        <x14:dataValidation type="list" allowBlank="1" showInputMessage="1" showErrorMessage="1" xr:uid="{C373B66C-67AD-4086-BE04-BC17297F39EF}">
          <x14:formula1>
            <xm:f>'Data Regularization'!$O$2:$O$1048576</xm:f>
          </x14:formula1>
          <xm:sqref>AC2:AC21</xm:sqref>
        </x14:dataValidation>
        <x14:dataValidation type="list" allowBlank="1" showInputMessage="1" showErrorMessage="1" xr:uid="{0890046C-E70A-4E85-8AA5-3E3EEBEDCAAF}">
          <x14:formula1>
            <xm:f>'Data Regularization'!$P$2:$P$1048576</xm:f>
          </x14:formula1>
          <xm:sqref>AD2:AD21</xm:sqref>
        </x14:dataValidation>
        <x14:dataValidation type="list" allowBlank="1" showInputMessage="1" showErrorMessage="1" xr:uid="{83C975C5-F757-4A8B-9337-C4CBC21FD4B6}">
          <x14:formula1>
            <xm:f>'Data Regularization'!$C$2:$C$50</xm:f>
          </x14:formula1>
          <xm:sqref>F2:F21</xm:sqref>
        </x14:dataValidation>
        <x14:dataValidation type="list" allowBlank="1" showInputMessage="1" showErrorMessage="1" xr:uid="{34CF9A7B-2993-495A-8B5E-FE1C7B73B7ED}">
          <x14:formula1>
            <xm:f>'Data Regularization'!$A$2:$A$1048576</xm:f>
          </x14:formula1>
          <xm:sqref>D2:D21</xm:sqref>
        </x14:dataValidation>
        <x14:dataValidation type="list" allowBlank="1" showInputMessage="1" showErrorMessage="1" xr:uid="{D165D1D0-3AB7-4A8F-AF89-B8A6E60C40CC}">
          <x14:formula1>
            <xm:f>'Data Regularization'!$B$2:$B$1048576</xm:f>
          </x14:formula1>
          <xm:sqref>E2:E21</xm:sqref>
        </x14:dataValidation>
        <x14:dataValidation type="list" allowBlank="1" showInputMessage="1" showErrorMessage="1" xr:uid="{F1579A6B-EA05-448B-AB0A-D7BD3EB57CD0}">
          <x14:formula1>
            <xm:f>'Data Regularization'!$P$2:$P$4</xm:f>
          </x14:formula1>
          <xm:sqref>AG2:AG21 AE2:AE21</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66E83-C41B-4B4E-B72E-73E012CB5A71}">
  <dimension ref="A1:AH32"/>
  <sheetViews>
    <sheetView workbookViewId="0">
      <pane xSplit="3" ySplit="1" topLeftCell="D4" activePane="bottomRight" state="frozen"/>
      <selection activeCell="R1" sqref="R1"/>
      <selection pane="topRight" activeCell="R1" sqref="R1"/>
      <selection pane="bottomLeft" activeCell="R1" sqref="R1"/>
      <selection pane="bottomRight" activeCell="D4" sqref="D4"/>
    </sheetView>
  </sheetViews>
  <sheetFormatPr defaultRowHeight="14.5"/>
  <sheetData>
    <row r="1" spans="1:34" s="1" customFormat="1" ht="29">
      <c r="A1" s="1" t="s">
        <v>0</v>
      </c>
      <c r="B1" s="1" t="s">
        <v>5</v>
      </c>
      <c r="C1" s="2" t="s">
        <v>6</v>
      </c>
      <c r="D1" s="1" t="s">
        <v>354</v>
      </c>
      <c r="E1" s="1" t="s">
        <v>355</v>
      </c>
      <c r="F1" s="1" t="s">
        <v>356</v>
      </c>
      <c r="G1" s="1" t="s">
        <v>3</v>
      </c>
      <c r="H1" s="1" t="s">
        <v>357</v>
      </c>
      <c r="I1" s="1" t="s">
        <v>358</v>
      </c>
      <c r="J1" s="1" t="s">
        <v>359</v>
      </c>
      <c r="K1" s="1" t="s">
        <v>360</v>
      </c>
      <c r="L1" s="1" t="s">
        <v>319</v>
      </c>
      <c r="M1" s="1" t="s">
        <v>361</v>
      </c>
      <c r="N1" s="6" t="s">
        <v>362</v>
      </c>
      <c r="O1" s="1" t="s">
        <v>320</v>
      </c>
      <c r="P1" s="1" t="s">
        <v>363</v>
      </c>
      <c r="Q1" s="1" t="s">
        <v>452</v>
      </c>
      <c r="R1" s="1" t="s">
        <v>364</v>
      </c>
      <c r="S1" s="1" t="s">
        <v>449</v>
      </c>
      <c r="T1" s="1" t="s">
        <v>450</v>
      </c>
      <c r="U1" s="1" t="s">
        <v>367</v>
      </c>
      <c r="V1" s="1" t="s">
        <v>368</v>
      </c>
      <c r="W1" s="1" t="s">
        <v>369</v>
      </c>
      <c r="X1" s="1" t="s">
        <v>321</v>
      </c>
      <c r="Y1" s="1" t="s">
        <v>322</v>
      </c>
      <c r="Z1" s="1" t="s">
        <v>323</v>
      </c>
      <c r="AA1" s="1" t="s">
        <v>365</v>
      </c>
      <c r="AB1" s="1" t="s">
        <v>370</v>
      </c>
      <c r="AC1" s="1" t="s">
        <v>324</v>
      </c>
      <c r="AD1" s="1" t="s">
        <v>366</v>
      </c>
      <c r="AE1" s="1" t="s">
        <v>382</v>
      </c>
      <c r="AF1" s="1" t="s">
        <v>380</v>
      </c>
      <c r="AG1" s="1" t="s">
        <v>381</v>
      </c>
    </row>
    <row r="2" spans="1:34" ht="43.5">
      <c r="A2" t="s">
        <v>38</v>
      </c>
      <c r="B2" s="3" t="s">
        <v>160</v>
      </c>
      <c r="C2" s="3" t="s">
        <v>159</v>
      </c>
      <c r="G2" s="7" t="s">
        <v>25</v>
      </c>
      <c r="H2" s="7"/>
      <c r="I2" s="7">
        <v>1</v>
      </c>
      <c r="J2" s="7">
        <v>3</v>
      </c>
      <c r="K2" s="7" t="s">
        <v>331</v>
      </c>
      <c r="L2" s="7" t="s">
        <v>326</v>
      </c>
      <c r="M2" s="7" t="s">
        <v>389</v>
      </c>
      <c r="N2" s="8" t="s">
        <v>388</v>
      </c>
      <c r="O2" s="7"/>
      <c r="P2" s="7">
        <v>2475</v>
      </c>
      <c r="Q2" s="7">
        <v>1216.9338184678927</v>
      </c>
      <c r="R2" s="7"/>
      <c r="S2" s="7" t="s">
        <v>451</v>
      </c>
      <c r="T2" s="7" t="s">
        <v>451</v>
      </c>
      <c r="U2" s="7"/>
      <c r="V2" s="7"/>
      <c r="W2" s="7"/>
      <c r="X2" s="7"/>
      <c r="Y2" s="7"/>
      <c r="Z2" s="7"/>
      <c r="AA2" s="7"/>
      <c r="AB2" s="7"/>
      <c r="AC2" s="7"/>
      <c r="AD2" s="7"/>
      <c r="AE2" t="s">
        <v>19</v>
      </c>
      <c r="AF2" t="s">
        <v>20</v>
      </c>
      <c r="AH2">
        <v>1</v>
      </c>
    </row>
    <row r="3" spans="1:34" ht="29">
      <c r="A3" t="s">
        <v>39</v>
      </c>
      <c r="B3" s="3" t="s">
        <v>162</v>
      </c>
      <c r="C3" s="3" t="s">
        <v>161</v>
      </c>
      <c r="G3" s="7" t="s">
        <v>25</v>
      </c>
      <c r="H3" s="7"/>
      <c r="I3" s="7">
        <v>1</v>
      </c>
      <c r="J3" s="7">
        <v>2</v>
      </c>
      <c r="K3" s="7" t="s">
        <v>331</v>
      </c>
      <c r="L3" s="7" t="s">
        <v>373</v>
      </c>
      <c r="M3" s="7"/>
      <c r="N3" s="8"/>
      <c r="O3" s="7"/>
      <c r="P3" s="7">
        <v>2475</v>
      </c>
      <c r="Q3" s="7">
        <v>1216.9338184678927</v>
      </c>
      <c r="R3" s="7"/>
      <c r="S3" s="7" t="s">
        <v>451</v>
      </c>
      <c r="T3" s="7" t="s">
        <v>451</v>
      </c>
      <c r="U3" s="7"/>
      <c r="V3" s="7"/>
      <c r="W3" s="7"/>
      <c r="X3" s="7"/>
      <c r="Y3" s="7"/>
      <c r="Z3" s="7"/>
      <c r="AA3" s="7"/>
      <c r="AB3" s="7"/>
      <c r="AC3" s="7"/>
      <c r="AD3" s="7"/>
      <c r="AE3" t="s">
        <v>19</v>
      </c>
      <c r="AF3" t="s">
        <v>20</v>
      </c>
      <c r="AH3">
        <v>1</v>
      </c>
    </row>
    <row r="4" spans="1:34" ht="43.5">
      <c r="A4" t="s">
        <v>44</v>
      </c>
      <c r="B4" s="3" t="s">
        <v>168</v>
      </c>
      <c r="C4" s="3" t="s">
        <v>167</v>
      </c>
      <c r="G4" s="7" t="s">
        <v>24</v>
      </c>
      <c r="H4" s="7"/>
      <c r="I4" s="7">
        <v>1</v>
      </c>
      <c r="J4" s="7">
        <v>1</v>
      </c>
      <c r="K4" s="7" t="s">
        <v>331</v>
      </c>
      <c r="L4" s="7" t="s">
        <v>373</v>
      </c>
      <c r="M4" s="7"/>
      <c r="N4" s="8"/>
      <c r="O4" s="7"/>
      <c r="P4" s="7">
        <v>2475</v>
      </c>
      <c r="Q4" s="7">
        <v>1216.9338184678927</v>
      </c>
      <c r="R4" s="7"/>
      <c r="S4" s="7" t="s">
        <v>451</v>
      </c>
      <c r="T4" s="7" t="s">
        <v>451</v>
      </c>
      <c r="U4" s="7"/>
      <c r="V4" s="7"/>
      <c r="W4" s="7"/>
      <c r="X4" s="7"/>
      <c r="Y4" s="7"/>
      <c r="Z4" s="7"/>
      <c r="AA4" s="7"/>
      <c r="AB4" s="7"/>
      <c r="AC4" s="7"/>
      <c r="AD4" s="7"/>
      <c r="AE4" t="s">
        <v>19</v>
      </c>
      <c r="AF4" t="s">
        <v>20</v>
      </c>
      <c r="AH4">
        <v>1</v>
      </c>
    </row>
    <row r="5" spans="1:34" ht="58">
      <c r="A5" t="s">
        <v>52</v>
      </c>
      <c r="B5" s="3" t="s">
        <v>176</v>
      </c>
      <c r="C5" s="3" t="s">
        <v>175</v>
      </c>
      <c r="G5" s="7" t="s">
        <v>25</v>
      </c>
      <c r="H5" s="7"/>
      <c r="I5" s="7">
        <v>1</v>
      </c>
      <c r="J5" s="7">
        <v>3</v>
      </c>
      <c r="K5" s="7" t="s">
        <v>331</v>
      </c>
      <c r="L5" s="7" t="s">
        <v>326</v>
      </c>
      <c r="M5" s="7" t="s">
        <v>387</v>
      </c>
      <c r="N5" s="8" t="s">
        <v>388</v>
      </c>
      <c r="O5" s="7"/>
      <c r="P5" s="7">
        <v>2475</v>
      </c>
      <c r="Q5" s="7">
        <v>1216.9338184678927</v>
      </c>
      <c r="R5" s="7"/>
      <c r="S5" s="7" t="s">
        <v>451</v>
      </c>
      <c r="T5" s="7" t="s">
        <v>451</v>
      </c>
      <c r="U5" s="7"/>
      <c r="V5" s="7"/>
      <c r="W5" s="7"/>
      <c r="X5" s="7"/>
      <c r="Y5" s="7"/>
      <c r="Z5" s="7"/>
      <c r="AA5" s="7"/>
      <c r="AB5" s="7"/>
      <c r="AC5" s="7"/>
      <c r="AD5" s="7"/>
      <c r="AE5" t="s">
        <v>19</v>
      </c>
      <c r="AF5" t="s">
        <v>20</v>
      </c>
      <c r="AH5">
        <v>1</v>
      </c>
    </row>
    <row r="6" spans="1:34" ht="58">
      <c r="A6" t="s">
        <v>61</v>
      </c>
      <c r="B6" s="3" t="s">
        <v>179</v>
      </c>
      <c r="C6" s="3" t="s">
        <v>181</v>
      </c>
      <c r="G6" s="7" t="s">
        <v>24</v>
      </c>
      <c r="H6" s="7"/>
      <c r="I6" s="7">
        <v>1</v>
      </c>
      <c r="J6" s="7">
        <v>3</v>
      </c>
      <c r="K6" s="7" t="s">
        <v>331</v>
      </c>
      <c r="L6" s="7" t="s">
        <v>332</v>
      </c>
      <c r="M6" s="7"/>
      <c r="N6" s="8"/>
      <c r="O6" s="7"/>
      <c r="P6" s="7">
        <v>2475</v>
      </c>
      <c r="Q6" s="7">
        <v>1216.9338184678927</v>
      </c>
      <c r="R6" s="7"/>
      <c r="S6" s="7" t="s">
        <v>451</v>
      </c>
      <c r="T6" s="7" t="s">
        <v>451</v>
      </c>
      <c r="U6" s="7"/>
      <c r="V6" s="7"/>
      <c r="W6" s="7"/>
      <c r="X6" s="7"/>
      <c r="Y6" s="7"/>
      <c r="Z6" s="7"/>
      <c r="AA6" s="7"/>
      <c r="AB6" s="7"/>
      <c r="AC6" s="7"/>
      <c r="AD6" s="7"/>
      <c r="AE6" t="s">
        <v>19</v>
      </c>
      <c r="AF6" t="s">
        <v>20</v>
      </c>
      <c r="AH6">
        <v>1</v>
      </c>
    </row>
    <row r="7" spans="1:34" ht="43.5">
      <c r="A7" t="s">
        <v>78</v>
      </c>
      <c r="B7" s="3" t="s">
        <v>195</v>
      </c>
      <c r="C7" s="3" t="s">
        <v>194</v>
      </c>
      <c r="G7" s="7" t="s">
        <v>24</v>
      </c>
      <c r="H7" s="7"/>
      <c r="I7" s="7">
        <v>1</v>
      </c>
      <c r="J7" s="7">
        <v>3</v>
      </c>
      <c r="K7" s="7" t="s">
        <v>341</v>
      </c>
      <c r="L7" s="7" t="s">
        <v>332</v>
      </c>
      <c r="M7" s="7"/>
      <c r="N7" s="8"/>
      <c r="O7" s="7"/>
      <c r="P7" s="7">
        <v>1701</v>
      </c>
      <c r="Q7" s="7">
        <v>836.36542432884255</v>
      </c>
      <c r="R7" s="7"/>
      <c r="S7" s="7" t="s">
        <v>451</v>
      </c>
      <c r="T7" s="7" t="s">
        <v>451</v>
      </c>
      <c r="U7" s="7"/>
      <c r="V7" s="7"/>
      <c r="W7" s="7"/>
      <c r="X7" s="7"/>
      <c r="Y7" s="7"/>
      <c r="Z7" s="7"/>
      <c r="AA7" s="7"/>
      <c r="AB7" s="7"/>
      <c r="AC7" s="7"/>
      <c r="AD7" s="7"/>
      <c r="AE7" t="s">
        <v>19</v>
      </c>
      <c r="AF7" t="s">
        <v>20</v>
      </c>
      <c r="AH7">
        <v>1</v>
      </c>
    </row>
    <row r="8" spans="1:34" ht="43.5">
      <c r="A8" t="s">
        <v>82</v>
      </c>
      <c r="B8" s="3" t="s">
        <v>200</v>
      </c>
      <c r="C8" s="3" t="s">
        <v>199</v>
      </c>
      <c r="G8" s="7" t="s">
        <v>24</v>
      </c>
      <c r="H8" s="7"/>
      <c r="I8" s="7">
        <v>1</v>
      </c>
      <c r="J8" s="7">
        <v>2</v>
      </c>
      <c r="K8" s="7" t="s">
        <v>331</v>
      </c>
      <c r="L8" s="7" t="s">
        <v>373</v>
      </c>
      <c r="M8" s="7"/>
      <c r="N8" s="8"/>
      <c r="O8" s="7"/>
      <c r="P8" s="7">
        <v>2475</v>
      </c>
      <c r="Q8" s="7">
        <v>1216.9338184678927</v>
      </c>
      <c r="R8" s="7"/>
      <c r="S8" s="7" t="s">
        <v>451</v>
      </c>
      <c r="T8" s="7" t="s">
        <v>451</v>
      </c>
      <c r="U8" s="7"/>
      <c r="V8" s="7"/>
      <c r="W8" s="7"/>
      <c r="X8" s="7"/>
      <c r="Y8" s="7"/>
      <c r="Z8" s="7"/>
      <c r="AA8" s="7"/>
      <c r="AB8" s="7"/>
      <c r="AC8" s="7"/>
      <c r="AD8" s="7"/>
      <c r="AE8" t="s">
        <v>19</v>
      </c>
      <c r="AF8" t="s">
        <v>20</v>
      </c>
      <c r="AH8">
        <v>1</v>
      </c>
    </row>
    <row r="9" spans="1:34" ht="29">
      <c r="A9" t="s">
        <v>82</v>
      </c>
      <c r="B9" s="3" t="s">
        <v>201</v>
      </c>
      <c r="C9" s="3" t="s">
        <v>202</v>
      </c>
      <c r="G9" s="7" t="s">
        <v>25</v>
      </c>
      <c r="H9" s="7"/>
      <c r="I9" s="7">
        <v>1</v>
      </c>
      <c r="J9" s="7">
        <v>2</v>
      </c>
      <c r="K9" s="7" t="s">
        <v>331</v>
      </c>
      <c r="L9" s="7" t="s">
        <v>373</v>
      </c>
      <c r="M9" s="7"/>
      <c r="N9" s="8"/>
      <c r="O9" s="7" t="s">
        <v>327</v>
      </c>
      <c r="P9" s="7">
        <v>2475</v>
      </c>
      <c r="Q9" s="7">
        <v>1216.9338184678927</v>
      </c>
      <c r="R9" s="7"/>
      <c r="S9" s="7" t="s">
        <v>451</v>
      </c>
      <c r="T9" s="7" t="s">
        <v>451</v>
      </c>
      <c r="U9" s="7"/>
      <c r="V9" s="7"/>
      <c r="W9" s="7"/>
      <c r="X9" s="7"/>
      <c r="Y9" s="7"/>
      <c r="Z9" s="7"/>
      <c r="AA9" s="7"/>
      <c r="AB9" s="7"/>
      <c r="AC9" s="7"/>
      <c r="AD9" s="7"/>
      <c r="AE9" t="s">
        <v>19</v>
      </c>
      <c r="AF9" t="s">
        <v>20</v>
      </c>
      <c r="AH9">
        <v>1</v>
      </c>
    </row>
    <row r="10" spans="1:34" ht="29">
      <c r="A10" t="s">
        <v>85</v>
      </c>
      <c r="B10" s="3" t="s">
        <v>206</v>
      </c>
      <c r="C10" s="3" t="s">
        <v>205</v>
      </c>
      <c r="G10" s="7" t="s">
        <v>25</v>
      </c>
      <c r="H10" s="7"/>
      <c r="I10" s="7">
        <v>1</v>
      </c>
      <c r="J10" s="7">
        <v>2</v>
      </c>
      <c r="K10" s="7" t="s">
        <v>341</v>
      </c>
      <c r="L10" s="7" t="s">
        <v>373</v>
      </c>
      <c r="M10" s="7"/>
      <c r="N10" s="8"/>
      <c r="O10" s="7"/>
      <c r="P10" s="7">
        <v>171</v>
      </c>
      <c r="Q10" s="7">
        <v>84.079063821418046</v>
      </c>
      <c r="R10" s="7"/>
      <c r="S10" s="7" t="s">
        <v>451</v>
      </c>
      <c r="T10" s="7" t="s">
        <v>451</v>
      </c>
      <c r="U10" s="7"/>
      <c r="V10" s="7"/>
      <c r="W10" s="7"/>
      <c r="X10" s="7"/>
      <c r="Y10" s="7"/>
      <c r="Z10" s="7"/>
      <c r="AA10" s="7"/>
      <c r="AB10" s="7"/>
      <c r="AC10" s="7"/>
      <c r="AD10" s="7"/>
      <c r="AE10" t="s">
        <v>19</v>
      </c>
      <c r="AF10" t="s">
        <v>20</v>
      </c>
      <c r="AH10">
        <v>1</v>
      </c>
    </row>
    <row r="11" spans="1:34" ht="58">
      <c r="A11" t="s">
        <v>89</v>
      </c>
      <c r="B11" s="3" t="s">
        <v>207</v>
      </c>
      <c r="C11" s="3" t="s">
        <v>208</v>
      </c>
      <c r="G11" s="7" t="s">
        <v>24</v>
      </c>
      <c r="H11" s="7"/>
      <c r="I11" s="7">
        <v>1</v>
      </c>
      <c r="J11" s="7">
        <v>3</v>
      </c>
      <c r="K11" s="7" t="s">
        <v>331</v>
      </c>
      <c r="L11" s="7" t="s">
        <v>332</v>
      </c>
      <c r="M11" s="7"/>
      <c r="N11" s="8"/>
      <c r="O11" s="7"/>
      <c r="P11" s="7">
        <v>2475</v>
      </c>
      <c r="Q11" s="7">
        <v>1216.9338184678927</v>
      </c>
      <c r="R11" s="7"/>
      <c r="S11" s="7" t="s">
        <v>451</v>
      </c>
      <c r="T11" s="7" t="s">
        <v>451</v>
      </c>
      <c r="U11" s="7"/>
      <c r="V11" s="7"/>
      <c r="W11" s="7"/>
      <c r="X11" s="7"/>
      <c r="Y11" s="7"/>
      <c r="Z11" s="7"/>
      <c r="AA11" s="7"/>
      <c r="AB11" s="7"/>
      <c r="AC11" s="7"/>
      <c r="AD11" s="7"/>
      <c r="AE11" t="s">
        <v>19</v>
      </c>
      <c r="AF11" t="s">
        <v>20</v>
      </c>
      <c r="AH11">
        <v>1</v>
      </c>
    </row>
    <row r="12" spans="1:34" ht="29">
      <c r="A12" t="s">
        <v>103</v>
      </c>
      <c r="B12" s="3" t="s">
        <v>237</v>
      </c>
      <c r="C12" s="3" t="s">
        <v>238</v>
      </c>
      <c r="G12" s="7" t="s">
        <v>25</v>
      </c>
      <c r="H12" s="7"/>
      <c r="I12" s="7">
        <v>1</v>
      </c>
      <c r="J12" s="7">
        <v>1</v>
      </c>
      <c r="K12" s="7" t="s">
        <v>331</v>
      </c>
      <c r="L12" s="7" t="s">
        <v>373</v>
      </c>
      <c r="M12" s="7"/>
      <c r="N12" s="8"/>
      <c r="O12" s="7"/>
      <c r="P12" s="7">
        <v>2475</v>
      </c>
      <c r="Q12" s="7">
        <v>1216.9338184678927</v>
      </c>
      <c r="R12" s="7"/>
      <c r="S12" s="7" t="s">
        <v>451</v>
      </c>
      <c r="T12" s="7" t="s">
        <v>451</v>
      </c>
      <c r="U12" s="7"/>
      <c r="V12" s="7"/>
      <c r="W12" s="7"/>
      <c r="X12" s="7"/>
      <c r="Y12" s="7"/>
      <c r="Z12" s="7"/>
      <c r="AA12" s="7"/>
      <c r="AB12" s="7"/>
      <c r="AC12" s="7"/>
      <c r="AD12" s="7"/>
      <c r="AE12" t="s">
        <v>19</v>
      </c>
      <c r="AF12" t="s">
        <v>20</v>
      </c>
      <c r="AH12">
        <v>1</v>
      </c>
    </row>
    <row r="13" spans="1:34" ht="58">
      <c r="A13" t="s">
        <v>109</v>
      </c>
      <c r="B13" s="3" t="s">
        <v>242</v>
      </c>
      <c r="C13" s="3" t="s">
        <v>241</v>
      </c>
      <c r="G13" s="7" t="s">
        <v>25</v>
      </c>
      <c r="H13" s="7"/>
      <c r="I13" s="7">
        <v>1</v>
      </c>
      <c r="J13" s="7">
        <v>3</v>
      </c>
      <c r="K13" s="7" t="s">
        <v>350</v>
      </c>
      <c r="L13" s="7" t="s">
        <v>332</v>
      </c>
      <c r="M13" s="7"/>
      <c r="N13" s="8"/>
      <c r="O13" s="7"/>
      <c r="P13" s="7">
        <v>210</v>
      </c>
      <c r="Q13" s="7">
        <v>103.25499065788181</v>
      </c>
      <c r="R13" s="7"/>
      <c r="S13" s="7" t="s">
        <v>451</v>
      </c>
      <c r="T13" s="7" t="s">
        <v>451</v>
      </c>
      <c r="U13" s="7"/>
      <c r="V13" s="7"/>
      <c r="W13" s="7"/>
      <c r="X13" s="7"/>
      <c r="Y13" s="7"/>
      <c r="Z13" s="7"/>
      <c r="AA13" s="7"/>
      <c r="AB13" s="7"/>
      <c r="AC13" s="7"/>
      <c r="AD13" s="7"/>
      <c r="AE13" t="s">
        <v>19</v>
      </c>
      <c r="AF13" t="s">
        <v>20</v>
      </c>
      <c r="AH13">
        <v>1</v>
      </c>
    </row>
    <row r="14" spans="1:34" ht="29">
      <c r="A14" t="s">
        <v>138</v>
      </c>
      <c r="B14" s="3" t="s">
        <v>282</v>
      </c>
      <c r="C14" s="3" t="s">
        <v>281</v>
      </c>
      <c r="G14" s="7" t="s">
        <v>25</v>
      </c>
      <c r="H14" s="7"/>
      <c r="I14" s="7">
        <v>1</v>
      </c>
      <c r="J14" s="7">
        <v>2</v>
      </c>
      <c r="K14" s="7" t="s">
        <v>341</v>
      </c>
      <c r="L14" s="7" t="s">
        <v>373</v>
      </c>
      <c r="M14" s="7"/>
      <c r="N14" s="8"/>
      <c r="O14" s="7"/>
      <c r="P14" s="7">
        <v>171</v>
      </c>
      <c r="Q14" s="7">
        <v>84.079063821418046</v>
      </c>
      <c r="R14" s="7"/>
      <c r="S14" s="7" t="s">
        <v>451</v>
      </c>
      <c r="T14" s="7" t="s">
        <v>451</v>
      </c>
      <c r="U14" s="7"/>
      <c r="V14" s="7"/>
      <c r="W14" s="7"/>
      <c r="X14" s="7"/>
      <c r="Y14" s="7"/>
      <c r="Z14" s="7"/>
      <c r="AA14" s="7"/>
      <c r="AB14" s="7"/>
      <c r="AC14" s="7"/>
      <c r="AD14" s="7"/>
      <c r="AE14" t="s">
        <v>19</v>
      </c>
      <c r="AF14" t="s">
        <v>20</v>
      </c>
      <c r="AH14">
        <v>1</v>
      </c>
    </row>
    <row r="15" spans="1:34" ht="29">
      <c r="A15" t="s">
        <v>142</v>
      </c>
      <c r="B15" s="3" t="s">
        <v>294</v>
      </c>
      <c r="C15" s="3" t="s">
        <v>295</v>
      </c>
      <c r="G15" s="7" t="s">
        <v>25</v>
      </c>
      <c r="H15" s="7"/>
      <c r="I15" s="7">
        <v>1</v>
      </c>
      <c r="J15" s="7">
        <v>2</v>
      </c>
      <c r="K15" s="7" t="s">
        <v>377</v>
      </c>
      <c r="L15" s="7" t="s">
        <v>373</v>
      </c>
      <c r="M15" s="7"/>
      <c r="N15" s="8"/>
      <c r="O15" s="7"/>
      <c r="P15" s="7">
        <v>10</v>
      </c>
      <c r="Q15" s="7">
        <v>4.9169043170419897</v>
      </c>
      <c r="R15" s="7"/>
      <c r="S15" s="7" t="s">
        <v>451</v>
      </c>
      <c r="T15" s="7" t="s">
        <v>451</v>
      </c>
      <c r="U15" s="7"/>
      <c r="V15" s="7"/>
      <c r="W15" s="7"/>
      <c r="X15" s="7"/>
      <c r="Y15" s="7"/>
      <c r="Z15" s="7"/>
      <c r="AA15" s="7"/>
      <c r="AB15" s="7"/>
      <c r="AC15" s="7"/>
      <c r="AD15" s="7"/>
      <c r="AE15" t="s">
        <v>19</v>
      </c>
      <c r="AF15" t="s">
        <v>20</v>
      </c>
      <c r="AH15">
        <v>1</v>
      </c>
    </row>
    <row r="18" spans="4:6">
      <c r="D18" t="s">
        <v>448</v>
      </c>
      <c r="E18">
        <v>20338</v>
      </c>
    </row>
    <row r="19" spans="4:6">
      <c r="D19" t="s">
        <v>453</v>
      </c>
      <c r="E19">
        <f>MEDIAN(Q:Q)</f>
        <v>1216.9338184678927</v>
      </c>
    </row>
    <row r="22" spans="4:6">
      <c r="D22" t="s">
        <v>454</v>
      </c>
      <c r="E22">
        <f>COUNTIFS(G:G, "Addition", Q:Q, "&gt;=" &amp; $E$19)</f>
        <v>4</v>
      </c>
      <c r="F22" t="s">
        <v>464</v>
      </c>
    </row>
    <row r="23" spans="4:6">
      <c r="D23" t="s">
        <v>455</v>
      </c>
      <c r="E23">
        <f>COUNTIFS(G:G, "Omission", Q:Q, "&gt;=" &amp; $E$19)</f>
        <v>5</v>
      </c>
    </row>
    <row r="24" spans="4:6">
      <c r="D24" t="s">
        <v>456</v>
      </c>
      <c r="E24">
        <f>E22/(E22+E23)</f>
        <v>0.44444444444444442</v>
      </c>
    </row>
    <row r="25" spans="4:6">
      <c r="D25" t="s">
        <v>457</v>
      </c>
      <c r="E25">
        <f>COUNTIFS(G:G, "Addition", Q:Q, "&lt;" &amp; $E$19)</f>
        <v>1</v>
      </c>
    </row>
    <row r="26" spans="4:6">
      <c r="D26" t="s">
        <v>458</v>
      </c>
      <c r="E26">
        <f>COUNTIFS(G:G, "Omission", Q:Q, "&lt;" &amp; $E$19)</f>
        <v>4</v>
      </c>
    </row>
    <row r="27" spans="4:6">
      <c r="D27" t="s">
        <v>459</v>
      </c>
      <c r="E27">
        <f>E25/(E25+E26)</f>
        <v>0.2</v>
      </c>
    </row>
    <row r="30" spans="4:6">
      <c r="D30" t="s">
        <v>461</v>
      </c>
      <c r="E30">
        <f>COUNTIFS(G:G, "Addition", K:K, "Article")</f>
        <v>4</v>
      </c>
    </row>
    <row r="31" spans="4:6">
      <c r="D31" t="s">
        <v>462</v>
      </c>
      <c r="E31">
        <f>COUNTIFS(G:G, "Omission", K:K, "Article")</f>
        <v>5</v>
      </c>
    </row>
    <row r="32" spans="4:6">
      <c r="D32" t="s">
        <v>463</v>
      </c>
      <c r="E32">
        <f>COUNTIFS(G:G, "Addition", K:K, "Article")/(COUNTIFS(G:G, "Addition", K:K, "Article") + COUNTIFS(G:G, "Omission", K:K, "Article"))</f>
        <v>0.44444444444444442</v>
      </c>
    </row>
  </sheetData>
  <conditionalFormatting sqref="G2:G15">
    <cfRule type="expression" dxfId="100" priority="7">
      <formula>$I2&lt;&gt;""</formula>
    </cfRule>
    <cfRule type="expression" dxfId="99" priority="8">
      <formula>$I2=""</formula>
    </cfRule>
  </conditionalFormatting>
  <conditionalFormatting sqref="H2:L15 O2:P15">
    <cfRule type="expression" dxfId="98" priority="21">
      <formula>AND(OR($I2="Addition",$I2="Omission"), H2="")</formula>
    </cfRule>
    <cfRule type="expression" dxfId="97" priority="22">
      <formula>AND($I2&lt;&gt;"Addition",$I2&lt;&gt;"Omission",$I2&lt;&gt;"Substitution - Word")</formula>
    </cfRule>
  </conditionalFormatting>
  <conditionalFormatting sqref="H2:P15">
    <cfRule type="expression" dxfId="96" priority="20">
      <formula>AND(OR($I2="Addition",$I2="Omission"), H2&lt;&gt;"")</formula>
    </cfRule>
  </conditionalFormatting>
  <conditionalFormatting sqref="K2:K15">
    <cfRule type="expression" dxfId="95" priority="18">
      <formula>AND($K2&lt;&gt;"",$K2&gt;1)</formula>
    </cfRule>
  </conditionalFormatting>
  <conditionalFormatting sqref="M2:N15">
    <cfRule type="expression" dxfId="94" priority="14">
      <formula>$N2="Absent"</formula>
    </cfRule>
    <cfRule type="expression" dxfId="93" priority="15">
      <formula>$N2="NA"</formula>
    </cfRule>
    <cfRule type="expression" dxfId="92" priority="16">
      <formula>AND(OR($I2="Addition",$I2="Omission"), M2="")</formula>
    </cfRule>
    <cfRule type="expression" dxfId="91" priority="17">
      <formula>AND($I2&lt;&gt;"Addition",$I2&lt;&gt;"Omission")</formula>
    </cfRule>
  </conditionalFormatting>
  <conditionalFormatting sqref="O2:O15">
    <cfRule type="expression" dxfId="90" priority="19">
      <formula>OR($I2="Addition",$I2="Omission",$I2 = "Substitution - Word")</formula>
    </cfRule>
  </conditionalFormatting>
  <conditionalFormatting sqref="Q2:Q15">
    <cfRule type="expression" dxfId="89" priority="1">
      <formula>AND(OR($I2="Addition",$I2="Omission"), Q2&lt;&gt;"")</formula>
    </cfRule>
    <cfRule type="expression" dxfId="88" priority="2">
      <formula>AND(OR($I2="Addition",$I2="Omission"), Q2="")</formula>
    </cfRule>
    <cfRule type="expression" dxfId="87" priority="3">
      <formula>AND($I2&lt;&gt;"Addition",$I2&lt;&gt;"Omission",$I2&lt;&gt;"Substitution - Word")</formula>
    </cfRule>
  </conditionalFormatting>
  <conditionalFormatting sqref="R2:T15">
    <cfRule type="expression" dxfId="86" priority="4">
      <formula>AND(AND(LEFT($I2,3)="Sub", RIGHT($I2,4)&lt;&gt;"Form"),$T2&lt;&gt;"")</formula>
    </cfRule>
    <cfRule type="expression" dxfId="85" priority="5">
      <formula>AND(AND(LEFT($I2,3)="Sub", RIGHT($I2,4)&lt;&gt;"Form"),$T2="")</formula>
    </cfRule>
    <cfRule type="expression" dxfId="84" priority="6">
      <formula>"&lt;&gt;AND(LEFT($J2,3)=""Sub"", RIGHT($J2,4)&lt;&gt;""Form"")"</formula>
    </cfRule>
  </conditionalFormatting>
  <conditionalFormatting sqref="U2:U15">
    <cfRule type="expression" dxfId="83" priority="10">
      <formula>AND($W2&lt;&gt;"",OR($AD2="Yes",$AE2&lt;&gt;""))</formula>
    </cfRule>
    <cfRule type="expression" dxfId="82" priority="11">
      <formula>OR($AD2="Yes",$AE2&lt;&gt;"")</formula>
    </cfRule>
    <cfRule type="expression" dxfId="81" priority="25">
      <formula>AND($AD2&lt;&gt;"Yes",$AE2="")</formula>
    </cfRule>
  </conditionalFormatting>
  <conditionalFormatting sqref="U2:AD15">
    <cfRule type="expression" dxfId="80" priority="23">
      <formula>AND($I2&lt;&gt;"",$I2&lt;&gt;"Unclear due to correction")</formula>
    </cfRule>
    <cfRule type="expression" dxfId="79" priority="24">
      <formula>OR($I2="",$I2="Unclear due to correction")</formula>
    </cfRule>
  </conditionalFormatting>
  <conditionalFormatting sqref="V2:V15">
    <cfRule type="expression" dxfId="78" priority="9">
      <formula>AND($I2&lt;&gt;"",$I2&lt;&gt;"Unclear due to correction",$X2="")</formula>
    </cfRule>
  </conditionalFormatting>
  <conditionalFormatting sqref="W2:W15">
    <cfRule type="expression" dxfId="77" priority="12">
      <formula>AND($X2="Yes",$Y2="")</formula>
    </cfRule>
    <cfRule type="expression" dxfId="76" priority="13">
      <formula>$X2=""</formula>
    </cfRule>
  </conditionalFormatting>
  <conditionalFormatting sqref="AB2:AB15">
    <cfRule type="expression" dxfId="75" priority="26">
      <formula>AND(OR($AB2&lt;&gt;"",$AC2&lt;&gt;""),$AD2="")</formula>
    </cfRule>
  </conditionalFormatting>
  <dataValidations count="1">
    <dataValidation allowBlank="1" showInputMessage="1" sqref="V2:V15" xr:uid="{39EE1C05-D706-4D6A-B18C-52793BAEA6EE}"/>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87FE700C-6471-42B1-99FD-C0335A2C7959}">
          <x14:formula1>
            <xm:f>'Data Regularization'!$D$2:$D$1048576</xm:f>
          </x14:formula1>
          <xm:sqref>G2:G15</xm:sqref>
        </x14:dataValidation>
        <x14:dataValidation type="list" allowBlank="1" showInputMessage="1" showErrorMessage="1" xr:uid="{64AE2B10-CC5A-402B-925F-1FF7D31C2C2D}">
          <x14:formula1>
            <xm:f>'Data Regularization'!$E$2:$E$1048576</xm:f>
          </x14:formula1>
          <xm:sqref>K2:K15</xm:sqref>
        </x14:dataValidation>
        <x14:dataValidation type="list" allowBlank="1" showInputMessage="1" showErrorMessage="1" xr:uid="{F292E6D7-1A5D-4081-8D74-D715B30E8E79}">
          <x14:formula1>
            <xm:f>'Data Regularization'!$F$2:$F$1048576</xm:f>
          </x14:formula1>
          <xm:sqref>L2:L15</xm:sqref>
        </x14:dataValidation>
        <x14:dataValidation type="list" allowBlank="1" showInputMessage="1" showErrorMessage="1" xr:uid="{2AE74DAE-42C4-417E-9048-F8D4CD6B524C}">
          <x14:formula1>
            <xm:f>'Data Regularization'!$G$2:$G$1048576</xm:f>
          </x14:formula1>
          <xm:sqref>O2:O15</xm:sqref>
        </x14:dataValidation>
        <x14:dataValidation type="list" allowBlank="1" showInputMessage="1" showErrorMessage="1" xr:uid="{1D83ACD6-4F78-4440-8A3C-9F40F7DCED1C}">
          <x14:formula1>
            <xm:f>'Data Regularization'!$J$2:$J$1048576</xm:f>
          </x14:formula1>
          <xm:sqref>U2:U15 W2:W15</xm:sqref>
        </x14:dataValidation>
        <x14:dataValidation type="list" allowBlank="1" showInputMessage="1" showErrorMessage="1" xr:uid="{A573537C-D222-4BFE-821A-3DD1318F084A}">
          <x14:formula1>
            <xm:f>'Data Regularization'!$K$2:$K$1048576</xm:f>
          </x14:formula1>
          <xm:sqref>X2:X15</xm:sqref>
        </x14:dataValidation>
        <x14:dataValidation type="list" allowBlank="1" showInputMessage="1" showErrorMessage="1" xr:uid="{01399F67-3716-49DB-A265-52D1CF1A9B5E}">
          <x14:formula1>
            <xm:f>'Data Regularization'!$L$2:$L$1048576</xm:f>
          </x14:formula1>
          <xm:sqref>Y2:Y15</xm:sqref>
        </x14:dataValidation>
        <x14:dataValidation type="list" allowBlank="1" showInputMessage="1" showErrorMessage="1" xr:uid="{E975D31D-077C-48B1-99B4-C372ABA57CCC}">
          <x14:formula1>
            <xm:f>'Data Regularization'!$M$2:$M$1048576</xm:f>
          </x14:formula1>
          <xm:sqref>Z2:Z15</xm:sqref>
        </x14:dataValidation>
        <x14:dataValidation type="list" allowBlank="1" showInputMessage="1" showErrorMessage="1" xr:uid="{1A5820D5-094C-4B45-BA97-05A15FC6F78B}">
          <x14:formula1>
            <xm:f>'Data Regularization'!$N$2:$N$1048576</xm:f>
          </x14:formula1>
          <xm:sqref>AB2:AB15</xm:sqref>
        </x14:dataValidation>
        <x14:dataValidation type="list" allowBlank="1" showInputMessage="1" showErrorMessage="1" xr:uid="{D93E98DF-831D-47D9-9B2F-5F0F2811C3D4}">
          <x14:formula1>
            <xm:f>'Data Regularization'!$O$2:$O$1048576</xm:f>
          </x14:formula1>
          <xm:sqref>AC2:AC15</xm:sqref>
        </x14:dataValidation>
        <x14:dataValidation type="list" allowBlank="1" showInputMessage="1" showErrorMessage="1" xr:uid="{C3F52DAB-E4EF-4148-8631-1A59BEBB2DDB}">
          <x14:formula1>
            <xm:f>'Data Regularization'!$P$2:$P$1048576</xm:f>
          </x14:formula1>
          <xm:sqref>AD2:AD15</xm:sqref>
        </x14:dataValidation>
        <x14:dataValidation type="list" allowBlank="1" showInputMessage="1" showErrorMessage="1" xr:uid="{F912E4D4-9ACB-4C47-8B0E-AC827DB2D8AF}">
          <x14:formula1>
            <xm:f>'Data Regularization'!$C$2:$C$50</xm:f>
          </x14:formula1>
          <xm:sqref>F2:F15</xm:sqref>
        </x14:dataValidation>
        <x14:dataValidation type="list" allowBlank="1" showInputMessage="1" showErrorMessage="1" xr:uid="{9B213B59-CFF3-4A3F-9A67-EB8F7D8D73AF}">
          <x14:formula1>
            <xm:f>'Data Regularization'!$A$2:$A$1048576</xm:f>
          </x14:formula1>
          <xm:sqref>D2:D15</xm:sqref>
        </x14:dataValidation>
        <x14:dataValidation type="list" allowBlank="1" showInputMessage="1" showErrorMessage="1" xr:uid="{A8B22940-803E-40F1-96B8-DE0402093C0F}">
          <x14:formula1>
            <xm:f>'Data Regularization'!$B$2:$B$1048576</xm:f>
          </x14:formula1>
          <xm:sqref>E2:E15</xm:sqref>
        </x14:dataValidation>
        <x14:dataValidation type="list" allowBlank="1" showInputMessage="1" showErrorMessage="1" xr:uid="{3EC4AD85-A22F-409B-94F6-D984B50F09A2}">
          <x14:formula1>
            <xm:f>'Data Regularization'!$P$2:$P$4</xm:f>
          </x14:formula1>
          <xm:sqref>AG2:AG15 AE2:AE15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11B98-4B09-4AEC-9204-5107EF46065F}">
  <dimension ref="A1:AH16"/>
  <sheetViews>
    <sheetView workbookViewId="0">
      <selection activeCell="G1" sqref="G1:G1048576"/>
    </sheetView>
  </sheetViews>
  <sheetFormatPr defaultRowHeight="14.5"/>
  <sheetData>
    <row r="1" spans="1:34" s="1" customFormat="1" ht="29">
      <c r="A1" s="1" t="s">
        <v>0</v>
      </c>
      <c r="B1" s="1" t="s">
        <v>5</v>
      </c>
      <c r="C1" s="2" t="s">
        <v>6</v>
      </c>
      <c r="D1" s="1" t="s">
        <v>354</v>
      </c>
      <c r="E1" s="1" t="s">
        <v>355</v>
      </c>
      <c r="F1" s="1" t="s">
        <v>356</v>
      </c>
      <c r="G1" s="1" t="s">
        <v>3</v>
      </c>
      <c r="H1" s="1" t="s">
        <v>357</v>
      </c>
      <c r="I1" s="1" t="s">
        <v>358</v>
      </c>
      <c r="J1" s="1" t="s">
        <v>359</v>
      </c>
      <c r="K1" s="1" t="s">
        <v>360</v>
      </c>
      <c r="L1" s="1" t="s">
        <v>319</v>
      </c>
      <c r="M1" s="1" t="s">
        <v>361</v>
      </c>
      <c r="N1" s="6" t="s">
        <v>362</v>
      </c>
      <c r="O1" s="1" t="s">
        <v>320</v>
      </c>
      <c r="P1" s="1" t="s">
        <v>363</v>
      </c>
      <c r="Q1" s="1" t="s">
        <v>452</v>
      </c>
      <c r="R1" s="1" t="s">
        <v>364</v>
      </c>
      <c r="S1" s="1" t="s">
        <v>449</v>
      </c>
      <c r="T1" s="1" t="s">
        <v>450</v>
      </c>
      <c r="U1" s="1" t="s">
        <v>367</v>
      </c>
      <c r="V1" s="1" t="s">
        <v>368</v>
      </c>
      <c r="W1" s="1" t="s">
        <v>369</v>
      </c>
      <c r="X1" s="1" t="s">
        <v>321</v>
      </c>
      <c r="Y1" s="1" t="s">
        <v>322</v>
      </c>
      <c r="Z1" s="1" t="s">
        <v>323</v>
      </c>
      <c r="AA1" s="1" t="s">
        <v>365</v>
      </c>
      <c r="AB1" s="1" t="s">
        <v>370</v>
      </c>
      <c r="AC1" s="1" t="s">
        <v>324</v>
      </c>
      <c r="AD1" s="1" t="s">
        <v>366</v>
      </c>
      <c r="AE1" s="1" t="s">
        <v>382</v>
      </c>
      <c r="AF1" s="1" t="s">
        <v>380</v>
      </c>
      <c r="AG1" s="1" t="s">
        <v>381</v>
      </c>
    </row>
    <row r="2" spans="1:34" ht="43.5">
      <c r="A2" t="s">
        <v>55</v>
      </c>
      <c r="B2" s="3" t="s">
        <v>177</v>
      </c>
      <c r="C2" s="3" t="s">
        <v>178</v>
      </c>
      <c r="F2" t="s">
        <v>19</v>
      </c>
      <c r="G2" s="7" t="s">
        <v>24</v>
      </c>
      <c r="H2" s="7"/>
      <c r="I2" s="7">
        <v>1</v>
      </c>
      <c r="J2" s="7">
        <v>9</v>
      </c>
      <c r="K2" s="7" t="s">
        <v>325</v>
      </c>
      <c r="L2" s="7" t="s">
        <v>326</v>
      </c>
      <c r="M2" s="7" t="s">
        <v>415</v>
      </c>
      <c r="N2" s="8" t="s">
        <v>416</v>
      </c>
      <c r="O2" s="7"/>
      <c r="P2" s="7">
        <v>4</v>
      </c>
      <c r="Q2" s="7">
        <v>1.9667617268167963</v>
      </c>
      <c r="R2" s="7"/>
      <c r="S2" s="7" t="s">
        <v>451</v>
      </c>
      <c r="T2" s="7" t="s">
        <v>451</v>
      </c>
      <c r="U2" s="7"/>
      <c r="V2" s="7"/>
      <c r="W2" s="7"/>
      <c r="X2" s="7"/>
      <c r="Y2" s="7"/>
      <c r="Z2" s="7"/>
      <c r="AA2" s="7"/>
      <c r="AB2" s="7"/>
      <c r="AC2" s="7"/>
      <c r="AD2" s="7"/>
      <c r="AE2" t="s">
        <v>20</v>
      </c>
      <c r="AF2" t="s">
        <v>20</v>
      </c>
      <c r="AH2">
        <v>0</v>
      </c>
    </row>
    <row r="3" spans="1:34" ht="101.5">
      <c r="A3" t="s">
        <v>129</v>
      </c>
      <c r="B3" s="3" t="s">
        <v>273</v>
      </c>
      <c r="C3" s="3" t="s">
        <v>270</v>
      </c>
      <c r="G3" s="7" t="s">
        <v>25</v>
      </c>
      <c r="H3" s="7"/>
      <c r="I3" s="7">
        <v>1</v>
      </c>
      <c r="J3" s="7">
        <v>9</v>
      </c>
      <c r="K3" s="7" t="s">
        <v>383</v>
      </c>
      <c r="L3" s="7" t="s">
        <v>332</v>
      </c>
      <c r="M3" s="7"/>
      <c r="N3" s="8"/>
      <c r="O3" s="7"/>
      <c r="P3" s="7">
        <v>18</v>
      </c>
      <c r="Q3" s="7">
        <v>8.8504277706755818</v>
      </c>
      <c r="R3" s="7"/>
      <c r="S3" s="7" t="s">
        <v>451</v>
      </c>
      <c r="T3" s="7" t="s">
        <v>451</v>
      </c>
      <c r="U3" s="7"/>
      <c r="V3" s="7"/>
      <c r="W3" s="7"/>
      <c r="X3" s="7"/>
      <c r="Y3" s="7"/>
      <c r="Z3" s="7"/>
      <c r="AA3" s="7"/>
      <c r="AB3" s="7"/>
      <c r="AC3" s="7"/>
      <c r="AD3" s="7"/>
      <c r="AE3" t="s">
        <v>19</v>
      </c>
      <c r="AF3" t="s">
        <v>20</v>
      </c>
      <c r="AH3">
        <v>1</v>
      </c>
    </row>
    <row r="6" spans="1:34">
      <c r="D6" t="s">
        <v>448</v>
      </c>
      <c r="E6">
        <v>20338</v>
      </c>
    </row>
    <row r="7" spans="1:34">
      <c r="D7" t="s">
        <v>453</v>
      </c>
      <c r="E7">
        <f>MEDIAN(Q:Q)</f>
        <v>5.4085947487461894</v>
      </c>
    </row>
    <row r="10" spans="1:34">
      <c r="D10" t="s">
        <v>454</v>
      </c>
      <c r="E10">
        <f>COUNTIFS(G:G, "Addition", Q:Q, "&gt;=" &amp; $E$7)</f>
        <v>0</v>
      </c>
      <c r="F10" s="4" t="s">
        <v>460</v>
      </c>
    </row>
    <row r="11" spans="1:34">
      <c r="D11" t="s">
        <v>455</v>
      </c>
      <c r="E11">
        <f>COUNTIFS(G:G, "Omission", Q:Q, "&gt;=" &amp; $E$7)</f>
        <v>1</v>
      </c>
    </row>
    <row r="12" spans="1:34">
      <c r="D12" t="s">
        <v>456</v>
      </c>
      <c r="E12">
        <f>E10/(E10+E11)</f>
        <v>0</v>
      </c>
    </row>
    <row r="13" spans="1:34">
      <c r="D13" t="s">
        <v>457</v>
      </c>
      <c r="E13">
        <f>COUNTIFS(G:G, "Addition", Q:Q, "&lt;" &amp; $E$7)</f>
        <v>1</v>
      </c>
    </row>
    <row r="14" spans="1:34">
      <c r="D14" t="s">
        <v>458</v>
      </c>
      <c r="E14">
        <f>COUNTIFS(G:G, "Omission", Q:Q, "&lt;" &amp; $E$7)</f>
        <v>0</v>
      </c>
    </row>
    <row r="15" spans="1:34">
      <c r="D15" t="s">
        <v>459</v>
      </c>
      <c r="E15">
        <f>E13/(E13+E14)</f>
        <v>1</v>
      </c>
    </row>
    <row r="16" spans="1:34">
      <c r="D16" t="s">
        <v>475</v>
      </c>
      <c r="E16">
        <f>E12-E15</f>
        <v>-1</v>
      </c>
    </row>
  </sheetData>
  <conditionalFormatting sqref="G2:G3">
    <cfRule type="expression" dxfId="74" priority="7">
      <formula>$I2&lt;&gt;""</formula>
    </cfRule>
    <cfRule type="expression" dxfId="73" priority="8">
      <formula>$I2=""</formula>
    </cfRule>
  </conditionalFormatting>
  <conditionalFormatting sqref="H2:L3 O2:P3">
    <cfRule type="expression" dxfId="72" priority="21">
      <formula>AND(OR($I2="Addition",$I2="Omission"), H2="")</formula>
    </cfRule>
    <cfRule type="expression" dxfId="71" priority="22">
      <formula>AND($I2&lt;&gt;"Addition",$I2&lt;&gt;"Omission",$I2&lt;&gt;"Substitution - Word")</formula>
    </cfRule>
  </conditionalFormatting>
  <conditionalFormatting sqref="H2:P3">
    <cfRule type="expression" dxfId="70" priority="20">
      <formula>AND(OR($I2="Addition",$I2="Omission"), H2&lt;&gt;"")</formula>
    </cfRule>
  </conditionalFormatting>
  <conditionalFormatting sqref="K2:K3">
    <cfRule type="expression" dxfId="69" priority="18">
      <formula>AND($K2&lt;&gt;"",$K2&gt;1)</formula>
    </cfRule>
  </conditionalFormatting>
  <conditionalFormatting sqref="M2:N3">
    <cfRule type="expression" dxfId="68" priority="14">
      <formula>$N2="Absent"</formula>
    </cfRule>
    <cfRule type="expression" dxfId="67" priority="15">
      <formula>$N2="NA"</formula>
    </cfRule>
    <cfRule type="expression" dxfId="66" priority="16">
      <formula>AND(OR($I2="Addition",$I2="Omission"), M2="")</formula>
    </cfRule>
    <cfRule type="expression" dxfId="65" priority="17">
      <formula>AND($I2&lt;&gt;"Addition",$I2&lt;&gt;"Omission")</formula>
    </cfRule>
  </conditionalFormatting>
  <conditionalFormatting sqref="O2:O3">
    <cfRule type="expression" dxfId="64" priority="19">
      <formula>OR($I2="Addition",$I2="Omission",$I2 = "Substitution - Word")</formula>
    </cfRule>
  </conditionalFormatting>
  <conditionalFormatting sqref="Q2:Q3">
    <cfRule type="expression" dxfId="63" priority="1">
      <formula>AND(OR($I2="Addition",$I2="Omission"), Q2&lt;&gt;"")</formula>
    </cfRule>
    <cfRule type="expression" dxfId="62" priority="2">
      <formula>AND(OR($I2="Addition",$I2="Omission"), Q2="")</formula>
    </cfRule>
    <cfRule type="expression" dxfId="61" priority="3">
      <formula>AND($I2&lt;&gt;"Addition",$I2&lt;&gt;"Omission",$I2&lt;&gt;"Substitution - Word")</formula>
    </cfRule>
  </conditionalFormatting>
  <conditionalFormatting sqref="R2:T3">
    <cfRule type="expression" dxfId="60" priority="4">
      <formula>AND(AND(LEFT($I2,3)="Sub", RIGHT($I2,4)&lt;&gt;"Form"),$T2&lt;&gt;"")</formula>
    </cfRule>
    <cfRule type="expression" dxfId="59" priority="5">
      <formula>AND(AND(LEFT($I2,3)="Sub", RIGHT($I2,4)&lt;&gt;"Form"),$T2="")</formula>
    </cfRule>
    <cfRule type="expression" dxfId="58" priority="6">
      <formula>"&lt;&gt;AND(LEFT($J2,3)=""Sub"", RIGHT($J2,4)&lt;&gt;""Form"")"</formula>
    </cfRule>
  </conditionalFormatting>
  <conditionalFormatting sqref="U2:U3">
    <cfRule type="expression" dxfId="57" priority="10">
      <formula>AND($W2&lt;&gt;"",OR($AD2="Yes",$AE2&lt;&gt;""))</formula>
    </cfRule>
    <cfRule type="expression" dxfId="56" priority="11">
      <formula>OR($AD2="Yes",$AE2&lt;&gt;"")</formula>
    </cfRule>
    <cfRule type="expression" dxfId="55" priority="25">
      <formula>AND($AD2&lt;&gt;"Yes",$AE2="")</formula>
    </cfRule>
  </conditionalFormatting>
  <conditionalFormatting sqref="U2:AD3">
    <cfRule type="expression" dxfId="54" priority="23">
      <formula>AND($I2&lt;&gt;"",$I2&lt;&gt;"Unclear due to correction")</formula>
    </cfRule>
    <cfRule type="expression" dxfId="53" priority="24">
      <formula>OR($I2="",$I2="Unclear due to correction")</formula>
    </cfRule>
  </conditionalFormatting>
  <conditionalFormatting sqref="V2:V3">
    <cfRule type="expression" dxfId="52" priority="9">
      <formula>AND($I2&lt;&gt;"",$I2&lt;&gt;"Unclear due to correction",$X2="")</formula>
    </cfRule>
  </conditionalFormatting>
  <conditionalFormatting sqref="W2:W3">
    <cfRule type="expression" dxfId="51" priority="12">
      <formula>AND($X2="Yes",$Y2="")</formula>
    </cfRule>
    <cfRule type="expression" dxfId="50" priority="13">
      <formula>$X2=""</formula>
    </cfRule>
  </conditionalFormatting>
  <conditionalFormatting sqref="AB2:AB3">
    <cfRule type="expression" dxfId="49" priority="26">
      <formula>AND(OR($AB2&lt;&gt;"",$AC2&lt;&gt;""),$AD2="")</formula>
    </cfRule>
  </conditionalFormatting>
  <dataValidations count="1">
    <dataValidation allowBlank="1" showInputMessage="1" sqref="V2:V3" xr:uid="{4F62DD01-A89F-4B12-ACD6-110693F343C5}"/>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5">
        <x14:dataValidation type="list" allowBlank="1" showInputMessage="1" showErrorMessage="1" xr:uid="{A5BF6DA9-A46A-4225-8087-30EB7C348908}">
          <x14:formula1>
            <xm:f>'Data Regularization'!$D$2:$D$1048576</xm:f>
          </x14:formula1>
          <xm:sqref>G2:G3</xm:sqref>
        </x14:dataValidation>
        <x14:dataValidation type="list" allowBlank="1" showInputMessage="1" showErrorMessage="1" xr:uid="{9478965E-1D88-454D-9B04-BC1586790F7D}">
          <x14:formula1>
            <xm:f>'Data Regularization'!$E$2:$E$1048576</xm:f>
          </x14:formula1>
          <xm:sqref>K2:K3</xm:sqref>
        </x14:dataValidation>
        <x14:dataValidation type="list" allowBlank="1" showInputMessage="1" showErrorMessage="1" xr:uid="{429524E9-9FA8-48A0-97D6-2AB2A40C5E4F}">
          <x14:formula1>
            <xm:f>'Data Regularization'!$F$2:$F$1048576</xm:f>
          </x14:formula1>
          <xm:sqref>L2:L3</xm:sqref>
        </x14:dataValidation>
        <x14:dataValidation type="list" allowBlank="1" showInputMessage="1" showErrorMessage="1" xr:uid="{31D0A389-6273-4A7D-A328-1680D915B020}">
          <x14:formula1>
            <xm:f>'Data Regularization'!$G$2:$G$1048576</xm:f>
          </x14:formula1>
          <xm:sqref>O2:O3</xm:sqref>
        </x14:dataValidation>
        <x14:dataValidation type="list" allowBlank="1" showInputMessage="1" showErrorMessage="1" xr:uid="{241A5A7B-E2C3-450F-8200-B7EF86F06A09}">
          <x14:formula1>
            <xm:f>'Data Regularization'!$J$2:$J$1048576</xm:f>
          </x14:formula1>
          <xm:sqref>W2:W3 U2:U3</xm:sqref>
        </x14:dataValidation>
        <x14:dataValidation type="list" allowBlank="1" showInputMessage="1" showErrorMessage="1" xr:uid="{9E17ECE3-D650-406C-9B9E-794C7351B431}">
          <x14:formula1>
            <xm:f>'Data Regularization'!$K$2:$K$1048576</xm:f>
          </x14:formula1>
          <xm:sqref>X2:X3</xm:sqref>
        </x14:dataValidation>
        <x14:dataValidation type="list" allowBlank="1" showInputMessage="1" showErrorMessage="1" xr:uid="{822460C6-31C8-48FD-B0AC-3263EDC2F6AF}">
          <x14:formula1>
            <xm:f>'Data Regularization'!$L$2:$L$1048576</xm:f>
          </x14:formula1>
          <xm:sqref>Y2:Y3</xm:sqref>
        </x14:dataValidation>
        <x14:dataValidation type="list" allowBlank="1" showInputMessage="1" showErrorMessage="1" xr:uid="{B4E6C077-162C-4431-97A0-B8BD3756FA35}">
          <x14:formula1>
            <xm:f>'Data Regularization'!$M$2:$M$1048576</xm:f>
          </x14:formula1>
          <xm:sqref>Z2:Z3</xm:sqref>
        </x14:dataValidation>
        <x14:dataValidation type="list" allowBlank="1" showInputMessage="1" showErrorMessage="1" xr:uid="{C306323E-28B9-4A5C-B5BC-C668C0233D93}">
          <x14:formula1>
            <xm:f>'Data Regularization'!$N$2:$N$1048576</xm:f>
          </x14:formula1>
          <xm:sqref>AB2:AB3</xm:sqref>
        </x14:dataValidation>
        <x14:dataValidation type="list" allowBlank="1" showInputMessage="1" showErrorMessage="1" xr:uid="{AF82709D-0FF5-4C02-BBD8-70CD10E950EC}">
          <x14:formula1>
            <xm:f>'Data Regularization'!$O$2:$O$1048576</xm:f>
          </x14:formula1>
          <xm:sqref>AC2:AC3</xm:sqref>
        </x14:dataValidation>
        <x14:dataValidation type="list" allowBlank="1" showInputMessage="1" showErrorMessage="1" xr:uid="{ABB119E6-7CE5-45AA-B77D-845038E75282}">
          <x14:formula1>
            <xm:f>'Data Regularization'!$P$2:$P$1048576</xm:f>
          </x14:formula1>
          <xm:sqref>AD2:AD3</xm:sqref>
        </x14:dataValidation>
        <x14:dataValidation type="list" allowBlank="1" showInputMessage="1" showErrorMessage="1" xr:uid="{7DE4B289-756E-4F65-981A-68755677DEC5}">
          <x14:formula1>
            <xm:f>'Data Regularization'!$C$2:$C$50</xm:f>
          </x14:formula1>
          <xm:sqref>F2:F3</xm:sqref>
        </x14:dataValidation>
        <x14:dataValidation type="list" allowBlank="1" showInputMessage="1" showErrorMessage="1" xr:uid="{1DA1E671-BE7B-4238-BDA7-7782F08D8C40}">
          <x14:formula1>
            <xm:f>'Data Regularization'!$A$2:$A$1048576</xm:f>
          </x14:formula1>
          <xm:sqref>D2:D3</xm:sqref>
        </x14:dataValidation>
        <x14:dataValidation type="list" allowBlank="1" showInputMessage="1" showErrorMessage="1" xr:uid="{CDF14EB5-0562-4126-97E5-95D6C13EFD4C}">
          <x14:formula1>
            <xm:f>'Data Regularization'!$B$2:$B$1048576</xm:f>
          </x14:formula1>
          <xm:sqref>E2:E3</xm:sqref>
        </x14:dataValidation>
        <x14:dataValidation type="list" allowBlank="1" showInputMessage="1" showErrorMessage="1" xr:uid="{13E6DA6B-F2A3-414A-9744-CBE61016E137}">
          <x14:formula1>
            <xm:f>'Data Regularization'!$P$2:$P$4</xm:f>
          </x14:formula1>
          <xm:sqref>AG2:AG3 AE2:AE3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04E01-46CF-47A2-B4AE-5709267E593E}">
  <dimension ref="A1:AJ23"/>
  <sheetViews>
    <sheetView workbookViewId="0">
      <selection activeCell="G1" sqref="G1:G1048576"/>
    </sheetView>
  </sheetViews>
  <sheetFormatPr defaultRowHeight="14.5"/>
  <sheetData>
    <row r="1" spans="1:36" s="1" customFormat="1" ht="29">
      <c r="A1" s="1" t="s">
        <v>0</v>
      </c>
      <c r="B1" s="1" t="s">
        <v>5</v>
      </c>
      <c r="C1" s="2" t="s">
        <v>6</v>
      </c>
      <c r="D1" s="1" t="s">
        <v>354</v>
      </c>
      <c r="E1" s="1" t="s">
        <v>355</v>
      </c>
      <c r="F1" s="1" t="s">
        <v>356</v>
      </c>
      <c r="G1" s="1" t="s">
        <v>3</v>
      </c>
      <c r="H1" s="1" t="s">
        <v>357</v>
      </c>
      <c r="I1" s="1" t="s">
        <v>358</v>
      </c>
      <c r="J1" s="1" t="s">
        <v>359</v>
      </c>
      <c r="K1" s="1" t="s">
        <v>360</v>
      </c>
      <c r="L1" s="1" t="s">
        <v>319</v>
      </c>
      <c r="M1" s="1" t="s">
        <v>361</v>
      </c>
      <c r="N1" s="6" t="s">
        <v>362</v>
      </c>
      <c r="O1" s="1" t="s">
        <v>320</v>
      </c>
      <c r="P1" s="1" t="s">
        <v>363</v>
      </c>
      <c r="Q1" s="1" t="s">
        <v>364</v>
      </c>
      <c r="R1" s="1" t="s">
        <v>449</v>
      </c>
      <c r="S1" s="1" t="s">
        <v>450</v>
      </c>
      <c r="T1" s="1" t="s">
        <v>465</v>
      </c>
      <c r="U1" s="1" t="s">
        <v>466</v>
      </c>
      <c r="V1" s="1" t="s">
        <v>467</v>
      </c>
      <c r="W1" s="1" t="s">
        <v>367</v>
      </c>
      <c r="X1" s="1" t="s">
        <v>368</v>
      </c>
      <c r="Y1" s="1" t="s">
        <v>369</v>
      </c>
      <c r="Z1" s="1" t="s">
        <v>321</v>
      </c>
      <c r="AA1" s="1" t="s">
        <v>322</v>
      </c>
      <c r="AB1" s="1" t="s">
        <v>323</v>
      </c>
      <c r="AC1" s="1" t="s">
        <v>365</v>
      </c>
      <c r="AD1" s="1" t="s">
        <v>370</v>
      </c>
      <c r="AE1" s="1" t="s">
        <v>324</v>
      </c>
      <c r="AF1" s="1" t="s">
        <v>366</v>
      </c>
      <c r="AG1" s="1" t="s">
        <v>382</v>
      </c>
      <c r="AH1" s="1" t="s">
        <v>380</v>
      </c>
      <c r="AI1" s="1" t="s">
        <v>381</v>
      </c>
    </row>
    <row r="2" spans="1:36" ht="29">
      <c r="A2" t="s">
        <v>48</v>
      </c>
      <c r="B2" s="3" t="s">
        <v>172</v>
      </c>
      <c r="C2" s="3" t="s">
        <v>171</v>
      </c>
      <c r="G2" s="7" t="s">
        <v>372</v>
      </c>
      <c r="H2" s="7"/>
      <c r="I2" s="7"/>
      <c r="J2" s="7"/>
      <c r="K2" s="7"/>
      <c r="L2" s="7"/>
      <c r="M2" s="7"/>
      <c r="N2" s="8"/>
      <c r="O2" s="7"/>
      <c r="P2" s="7"/>
      <c r="Q2" s="7">
        <v>-249</v>
      </c>
      <c r="R2" s="7">
        <v>280</v>
      </c>
      <c r="S2" s="7">
        <v>31</v>
      </c>
      <c r="T2" s="10">
        <v>137.67332087717574</v>
      </c>
      <c r="U2" s="10">
        <v>15.242403382830171</v>
      </c>
      <c r="V2" s="10">
        <v>-122.43091749434556</v>
      </c>
      <c r="W2" s="7"/>
      <c r="X2" s="7"/>
      <c r="Y2" s="7"/>
      <c r="Z2" s="7"/>
      <c r="AA2" s="7"/>
      <c r="AB2" s="7"/>
      <c r="AC2" s="7"/>
      <c r="AD2" s="7"/>
      <c r="AE2" s="7"/>
      <c r="AF2" s="7"/>
      <c r="AG2" t="s">
        <v>19</v>
      </c>
      <c r="AH2" t="s">
        <v>20</v>
      </c>
      <c r="AJ2">
        <v>1</v>
      </c>
    </row>
    <row r="3" spans="1:36" ht="29">
      <c r="A3" t="s">
        <v>56</v>
      </c>
      <c r="B3" s="3" t="s">
        <v>59</v>
      </c>
      <c r="C3" s="3" t="s">
        <v>60</v>
      </c>
      <c r="G3" s="7" t="s">
        <v>372</v>
      </c>
      <c r="H3" s="7"/>
      <c r="I3" s="7"/>
      <c r="J3" s="7"/>
      <c r="K3" s="7"/>
      <c r="L3" s="7"/>
      <c r="M3" s="7"/>
      <c r="N3" s="8"/>
      <c r="O3" s="7"/>
      <c r="P3" s="7"/>
      <c r="Q3" s="7">
        <v>7</v>
      </c>
      <c r="R3" s="7">
        <v>1</v>
      </c>
      <c r="S3" s="7">
        <v>8</v>
      </c>
      <c r="T3" s="10">
        <v>0.49169043170419907</v>
      </c>
      <c r="U3" s="10">
        <v>3.9335234536335926</v>
      </c>
      <c r="V3" s="10">
        <v>3.4418330219293933</v>
      </c>
      <c r="W3" s="7"/>
      <c r="X3" s="7"/>
      <c r="Y3" s="7"/>
      <c r="Z3" s="7"/>
      <c r="AA3" s="7"/>
      <c r="AB3" s="7"/>
      <c r="AC3" s="7"/>
      <c r="AD3" s="7"/>
      <c r="AE3" s="7"/>
      <c r="AF3" s="7"/>
      <c r="AG3" t="s">
        <v>20</v>
      </c>
      <c r="AH3" t="s">
        <v>20</v>
      </c>
      <c r="AJ3">
        <v>0</v>
      </c>
    </row>
    <row r="4" spans="1:36">
      <c r="A4" t="s">
        <v>125</v>
      </c>
      <c r="B4" s="3" t="s">
        <v>127</v>
      </c>
      <c r="C4" s="3" t="s">
        <v>128</v>
      </c>
      <c r="F4" t="s">
        <v>19</v>
      </c>
      <c r="G4" s="7" t="s">
        <v>372</v>
      </c>
      <c r="H4" s="7"/>
      <c r="I4" s="7"/>
      <c r="J4" s="7"/>
      <c r="K4" s="7"/>
      <c r="L4" s="7"/>
      <c r="M4" s="7"/>
      <c r="N4" s="8"/>
      <c r="O4" s="7"/>
      <c r="P4" s="7"/>
      <c r="Q4" s="7">
        <v>-1</v>
      </c>
      <c r="R4" s="7">
        <v>1</v>
      </c>
      <c r="S4" s="7">
        <v>0</v>
      </c>
      <c r="T4" s="10">
        <v>0.49169043170419907</v>
      </c>
      <c r="U4" s="10">
        <v>0</v>
      </c>
      <c r="V4" s="10">
        <v>-0.49169043170419907</v>
      </c>
      <c r="W4" s="7"/>
      <c r="X4" s="7"/>
      <c r="Y4" s="7"/>
      <c r="Z4" s="7"/>
      <c r="AA4" s="7"/>
      <c r="AB4" s="7"/>
      <c r="AC4" s="7"/>
      <c r="AD4" s="7"/>
      <c r="AE4" s="7"/>
      <c r="AF4" s="7"/>
      <c r="AG4" t="s">
        <v>19</v>
      </c>
      <c r="AH4" t="s">
        <v>20</v>
      </c>
      <c r="AJ4">
        <v>1</v>
      </c>
    </row>
    <row r="7" spans="1:36">
      <c r="D7" t="s">
        <v>448</v>
      </c>
      <c r="E7">
        <v>20338</v>
      </c>
    </row>
    <row r="10" spans="1:36">
      <c r="D10" t="s">
        <v>468</v>
      </c>
      <c r="E10">
        <f>COUNTIF(Q:Q, "&gt;0")</f>
        <v>1</v>
      </c>
    </row>
    <row r="11" spans="1:36">
      <c r="D11" t="s">
        <v>469</v>
      </c>
      <c r="E11">
        <f>COUNTIF(Q:Q, "&lt;0")</f>
        <v>2</v>
      </c>
    </row>
    <row r="12" spans="1:36">
      <c r="D12" t="s">
        <v>470</v>
      </c>
      <c r="E12">
        <f>_xlfn.BINOM.DIST(MIN(E10,E11),(E10+E11),0.5,TRUE)*2</f>
        <v>1</v>
      </c>
    </row>
    <row r="14" spans="1:36">
      <c r="D14" t="s">
        <v>471</v>
      </c>
      <c r="E14">
        <f>AVERAGE(Q:Q)</f>
        <v>-81</v>
      </c>
    </row>
    <row r="15" spans="1:36">
      <c r="D15" t="s">
        <v>472</v>
      </c>
      <c r="E15">
        <f>_xlfn.STDEV.S(Q:Q)</f>
        <v>145.54724318928203</v>
      </c>
    </row>
    <row r="18" spans="4:5">
      <c r="D18" t="s">
        <v>473</v>
      </c>
      <c r="E18">
        <f>AVERAGE(V:V)</f>
        <v>-39.826924968040124</v>
      </c>
    </row>
    <row r="19" spans="4:5">
      <c r="D19" t="s">
        <v>474</v>
      </c>
      <c r="E19">
        <f>_xlfn.STDEV.S(V:V)</f>
        <v>71.564186837094127</v>
      </c>
    </row>
    <row r="22" spans="4:5">
      <c r="D22" t="s">
        <v>476</v>
      </c>
      <c r="E22">
        <f>COUNT(V:V)</f>
        <v>3</v>
      </c>
    </row>
    <row r="23" spans="4:5">
      <c r="D23" t="s">
        <v>477</v>
      </c>
      <c r="E23">
        <f>_xlfn.STDEV.P(V:V)</f>
        <v>58.431913869360322</v>
      </c>
    </row>
  </sheetData>
  <conditionalFormatting sqref="G2:G4">
    <cfRule type="expression" dxfId="48" priority="7">
      <formula>$I2&lt;&gt;""</formula>
    </cfRule>
    <cfRule type="expression" dxfId="47" priority="8">
      <formula>$I2=""</formula>
    </cfRule>
  </conditionalFormatting>
  <conditionalFormatting sqref="H2:L4 O2:P4">
    <cfRule type="expression" dxfId="46" priority="21">
      <formula>AND(OR($I2="Addition",$I2="Omission"), H2="")</formula>
    </cfRule>
    <cfRule type="expression" dxfId="45" priority="22">
      <formula>AND($I2&lt;&gt;"Addition",$I2&lt;&gt;"Omission",$I2&lt;&gt;"Substitution - Word")</formula>
    </cfRule>
  </conditionalFormatting>
  <conditionalFormatting sqref="H2:P4">
    <cfRule type="expression" dxfId="44" priority="20">
      <formula>AND(OR($I2="Addition",$I2="Omission"), H2&lt;&gt;"")</formula>
    </cfRule>
  </conditionalFormatting>
  <conditionalFormatting sqref="K2:K4">
    <cfRule type="expression" dxfId="43" priority="18">
      <formula>AND($K2&lt;&gt;"",$K2&gt;1)</formula>
    </cfRule>
  </conditionalFormatting>
  <conditionalFormatting sqref="M2:N4">
    <cfRule type="expression" dxfId="42" priority="14">
      <formula>$N2="Absent"</formula>
    </cfRule>
    <cfRule type="expression" dxfId="41" priority="15">
      <formula>$N2="NA"</formula>
    </cfRule>
    <cfRule type="expression" dxfId="40" priority="16">
      <formula>AND(OR($I2="Addition",$I2="Omission"), M2="")</formula>
    </cfRule>
    <cfRule type="expression" dxfId="39" priority="17">
      <formula>AND($I2&lt;&gt;"Addition",$I2&lt;&gt;"Omission")</formula>
    </cfRule>
  </conditionalFormatting>
  <conditionalFormatting sqref="O2:O4">
    <cfRule type="expression" dxfId="38" priority="19">
      <formula>OR($I2="Addition",$I2="Omission",$I2 = "Substitution - Word")</formula>
    </cfRule>
  </conditionalFormatting>
  <conditionalFormatting sqref="Q2:V4">
    <cfRule type="expression" dxfId="37" priority="1">
      <formula>AND(AND(LEFT($I2,3)="Sub", RIGHT($I2,4)&lt;&gt;"Form"),$S2&lt;&gt;"")</formula>
    </cfRule>
    <cfRule type="expression" dxfId="36" priority="2">
      <formula>AND(AND(LEFT($I2,3)="Sub", RIGHT($I2,4)&lt;&gt;"Form"),$S2="")</formula>
    </cfRule>
    <cfRule type="expression" dxfId="35" priority="3">
      <formula>"&lt;&gt;AND(LEFT($J2,3)=""Sub"", RIGHT($J2,4)&lt;&gt;""Form"")"</formula>
    </cfRule>
  </conditionalFormatting>
  <conditionalFormatting sqref="W2:W4">
    <cfRule type="expression" dxfId="34" priority="10">
      <formula>AND($Y2&lt;&gt;"",OR($AF2="Yes",$AG2&lt;&gt;""))</formula>
    </cfRule>
    <cfRule type="expression" dxfId="33" priority="11">
      <formula>OR($AF2="Yes",$AG2&lt;&gt;"")</formula>
    </cfRule>
    <cfRule type="expression" dxfId="32" priority="25">
      <formula>AND($AF2&lt;&gt;"Yes",$AG2="")</formula>
    </cfRule>
  </conditionalFormatting>
  <conditionalFormatting sqref="W2:AF4">
    <cfRule type="expression" dxfId="31" priority="23">
      <formula>AND($I2&lt;&gt;"",$I2&lt;&gt;"Unclear due to correction")</formula>
    </cfRule>
    <cfRule type="expression" dxfId="30" priority="24">
      <formula>OR($I2="",$I2="Unclear due to correction")</formula>
    </cfRule>
  </conditionalFormatting>
  <conditionalFormatting sqref="X2:X4">
    <cfRule type="expression" dxfId="29" priority="9">
      <formula>AND($I2&lt;&gt;"",$I2&lt;&gt;"Unclear due to correction",$Z2="")</formula>
    </cfRule>
  </conditionalFormatting>
  <conditionalFormatting sqref="Y2:Y4">
    <cfRule type="expression" dxfId="28" priority="12">
      <formula>AND($Z2="Yes",$AA2="")</formula>
    </cfRule>
    <cfRule type="expression" dxfId="27" priority="13">
      <formula>$Z2=""</formula>
    </cfRule>
  </conditionalFormatting>
  <conditionalFormatting sqref="AD2:AD4">
    <cfRule type="expression" dxfId="26" priority="26">
      <formula>AND(OR($AD2&lt;&gt;"",$AE2&lt;&gt;""),$AF2="")</formula>
    </cfRule>
  </conditionalFormatting>
  <dataValidations count="1">
    <dataValidation allowBlank="1" showInputMessage="1" sqref="X2:X4" xr:uid="{DCAB4DCE-0510-488E-BBBC-7EFFDF2B635A}"/>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1BE4DC1D-AEFE-4E1F-9876-B22F6E4A7D4F}">
          <x14:formula1>
            <xm:f>'Data Regularization'!$D$2:$D$1048576</xm:f>
          </x14:formula1>
          <xm:sqref>G2:G4</xm:sqref>
        </x14:dataValidation>
        <x14:dataValidation type="list" allowBlank="1" showInputMessage="1" showErrorMessage="1" xr:uid="{E923AA5D-2DCC-4811-BE39-0807589FF3FD}">
          <x14:formula1>
            <xm:f>'Data Regularization'!$E$2:$E$1048576</xm:f>
          </x14:formula1>
          <xm:sqref>K2:K4</xm:sqref>
        </x14:dataValidation>
        <x14:dataValidation type="list" allowBlank="1" showInputMessage="1" showErrorMessage="1" xr:uid="{53C5785A-3A2F-4BAB-B0D7-A8B08F9D0AD9}">
          <x14:formula1>
            <xm:f>'Data Regularization'!$F$2:$F$1048576</xm:f>
          </x14:formula1>
          <xm:sqref>L2:L4</xm:sqref>
        </x14:dataValidation>
        <x14:dataValidation type="list" allowBlank="1" showInputMessage="1" showErrorMessage="1" xr:uid="{94FDA2BA-9B50-4504-AECF-7517CEB98B99}">
          <x14:formula1>
            <xm:f>'Data Regularization'!$G$2:$G$1048576</xm:f>
          </x14:formula1>
          <xm:sqref>O2:O4</xm:sqref>
        </x14:dataValidation>
        <x14:dataValidation type="list" allowBlank="1" showInputMessage="1" showErrorMessage="1" xr:uid="{36ED0C3E-32A4-4A5E-9BE6-15D00D8BAEB4}">
          <x14:formula1>
            <xm:f>'Data Regularization'!$J$2:$J$1048576</xm:f>
          </x14:formula1>
          <xm:sqref>Y2:Y4 W2:W4</xm:sqref>
        </x14:dataValidation>
        <x14:dataValidation type="list" allowBlank="1" showInputMessage="1" showErrorMessage="1" xr:uid="{B5063263-6EA6-4173-8D3E-AF23FA1CA10B}">
          <x14:formula1>
            <xm:f>'Data Regularization'!$K$2:$K$1048576</xm:f>
          </x14:formula1>
          <xm:sqref>Z2:Z4</xm:sqref>
        </x14:dataValidation>
        <x14:dataValidation type="list" allowBlank="1" showInputMessage="1" showErrorMessage="1" xr:uid="{73450556-44A8-46B8-8168-20F0EC4CF16D}">
          <x14:formula1>
            <xm:f>'Data Regularization'!$L$2:$L$1048576</xm:f>
          </x14:formula1>
          <xm:sqref>AA2:AA4</xm:sqref>
        </x14:dataValidation>
        <x14:dataValidation type="list" allowBlank="1" showInputMessage="1" showErrorMessage="1" xr:uid="{62FE57C8-0422-410A-A482-F3E9E7EA0C63}">
          <x14:formula1>
            <xm:f>'Data Regularization'!$M$2:$M$1048576</xm:f>
          </x14:formula1>
          <xm:sqref>AB2:AB4</xm:sqref>
        </x14:dataValidation>
        <x14:dataValidation type="list" allowBlank="1" showInputMessage="1" showErrorMessage="1" xr:uid="{C2985FC6-BE34-43CB-B749-8B1761A9E3ED}">
          <x14:formula1>
            <xm:f>'Data Regularization'!$N$2:$N$1048576</xm:f>
          </x14:formula1>
          <xm:sqref>AD2:AD4</xm:sqref>
        </x14:dataValidation>
        <x14:dataValidation type="list" allowBlank="1" showInputMessage="1" showErrorMessage="1" xr:uid="{4AE05664-F17D-4845-B595-448F445BFF39}">
          <x14:formula1>
            <xm:f>'Data Regularization'!$O$2:$O$1048576</xm:f>
          </x14:formula1>
          <xm:sqref>AE2:AE4</xm:sqref>
        </x14:dataValidation>
        <x14:dataValidation type="list" allowBlank="1" showInputMessage="1" showErrorMessage="1" xr:uid="{6F52AB43-E615-476C-804E-684478651CE4}">
          <x14:formula1>
            <xm:f>'Data Regularization'!$P$2:$P$1048576</xm:f>
          </x14:formula1>
          <xm:sqref>AF2:AF4</xm:sqref>
        </x14:dataValidation>
        <x14:dataValidation type="list" allowBlank="1" showInputMessage="1" showErrorMessage="1" xr:uid="{EB325734-5977-4830-BCBD-DBF5E9239624}">
          <x14:formula1>
            <xm:f>'Data Regularization'!$C$2:$C$50</xm:f>
          </x14:formula1>
          <xm:sqref>F2:F4</xm:sqref>
        </x14:dataValidation>
        <x14:dataValidation type="list" allowBlank="1" showInputMessage="1" showErrorMessage="1" xr:uid="{F97A383E-5EE3-4B6A-98F8-172027FDABEE}">
          <x14:formula1>
            <xm:f>'Data Regularization'!$A$2:$A$1048576</xm:f>
          </x14:formula1>
          <xm:sqref>D2:D4</xm:sqref>
        </x14:dataValidation>
        <x14:dataValidation type="list" allowBlank="1" showInputMessage="1" showErrorMessage="1" xr:uid="{CDA9E54E-CB60-4639-B389-DA6AA65015DA}">
          <x14:formula1>
            <xm:f>'Data Regularization'!$B$2:$B$1048576</xm:f>
          </x14:formula1>
          <xm:sqref>E2:E4</xm:sqref>
        </x14:dataValidation>
        <x14:dataValidation type="list" allowBlank="1" showInputMessage="1" showErrorMessage="1" xr:uid="{071A6C03-AB9E-4CF5-A533-29B0B053102B}">
          <x14:formula1>
            <xm:f>'Data Regularization'!$P$2:$P$4</xm:f>
          </x14:formula1>
          <xm:sqref>AI2:AI4 AG2:AG4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25D12-6B7D-4385-A278-3A874E564833}">
  <dimension ref="A1:AH7"/>
  <sheetViews>
    <sheetView workbookViewId="0">
      <selection activeCell="F18" sqref="F18"/>
    </sheetView>
  </sheetViews>
  <sheetFormatPr defaultRowHeight="14.5"/>
  <sheetData>
    <row r="1" spans="1:34" s="1" customFormat="1" ht="29">
      <c r="A1" s="1" t="s">
        <v>0</v>
      </c>
      <c r="B1" s="1" t="s">
        <v>5</v>
      </c>
      <c r="C1" s="2" t="s">
        <v>6</v>
      </c>
      <c r="D1" s="1" t="s">
        <v>354</v>
      </c>
      <c r="E1" s="1" t="s">
        <v>355</v>
      </c>
      <c r="F1" s="1" t="s">
        <v>356</v>
      </c>
      <c r="G1" s="1" t="s">
        <v>7</v>
      </c>
      <c r="H1" s="1" t="s">
        <v>3</v>
      </c>
      <c r="I1" s="1" t="s">
        <v>357</v>
      </c>
      <c r="J1" s="1" t="s">
        <v>358</v>
      </c>
      <c r="K1" s="1" t="s">
        <v>359</v>
      </c>
      <c r="L1" s="1" t="s">
        <v>360</v>
      </c>
      <c r="M1" s="1" t="s">
        <v>319</v>
      </c>
      <c r="N1" s="1" t="s">
        <v>361</v>
      </c>
      <c r="O1" s="6" t="s">
        <v>362</v>
      </c>
      <c r="P1" s="1" t="s">
        <v>320</v>
      </c>
      <c r="Q1" s="1" t="s">
        <v>363</v>
      </c>
      <c r="R1" s="1" t="s">
        <v>364</v>
      </c>
      <c r="S1" s="1" t="s">
        <v>449</v>
      </c>
      <c r="T1" s="1" t="s">
        <v>450</v>
      </c>
      <c r="U1" s="1" t="s">
        <v>367</v>
      </c>
      <c r="V1" s="1" t="s">
        <v>368</v>
      </c>
      <c r="W1" s="1" t="s">
        <v>369</v>
      </c>
      <c r="X1" s="1" t="s">
        <v>321</v>
      </c>
      <c r="Y1" s="1" t="s">
        <v>322</v>
      </c>
      <c r="Z1" s="1" t="s">
        <v>323</v>
      </c>
      <c r="AA1" s="1" t="s">
        <v>365</v>
      </c>
      <c r="AB1" s="1" t="s">
        <v>370</v>
      </c>
      <c r="AC1" s="1" t="s">
        <v>324</v>
      </c>
      <c r="AD1" s="1" t="s">
        <v>366</v>
      </c>
      <c r="AE1" s="1" t="s">
        <v>382</v>
      </c>
      <c r="AF1" s="1" t="s">
        <v>380</v>
      </c>
      <c r="AG1" s="1" t="s">
        <v>381</v>
      </c>
    </row>
    <row r="2" spans="1:34" ht="29">
      <c r="A2" t="s">
        <v>120</v>
      </c>
      <c r="B2" s="3" t="s">
        <v>190</v>
      </c>
      <c r="C2" s="3" t="s">
        <v>189</v>
      </c>
      <c r="G2" t="s">
        <v>401</v>
      </c>
      <c r="H2" s="7" t="s">
        <v>374</v>
      </c>
      <c r="I2" s="7"/>
      <c r="J2" s="7"/>
      <c r="K2" s="7"/>
      <c r="L2" s="7"/>
      <c r="M2" s="7"/>
      <c r="N2" s="7"/>
      <c r="O2" s="8"/>
      <c r="P2" s="7"/>
      <c r="Q2" s="7"/>
      <c r="R2" s="7"/>
      <c r="S2" s="7" t="s">
        <v>451</v>
      </c>
      <c r="T2" s="7" t="s">
        <v>451</v>
      </c>
      <c r="U2" s="7" t="s">
        <v>371</v>
      </c>
      <c r="V2" s="7"/>
      <c r="W2" s="7"/>
      <c r="X2" s="7"/>
      <c r="Y2" s="7"/>
      <c r="Z2" s="7"/>
      <c r="AA2" s="7"/>
      <c r="AB2" s="7"/>
      <c r="AC2" s="7"/>
      <c r="AD2" s="7"/>
      <c r="AE2" t="s">
        <v>19</v>
      </c>
      <c r="AF2" t="s">
        <v>20</v>
      </c>
      <c r="AH2">
        <v>1</v>
      </c>
    </row>
    <row r="5" spans="1:34">
      <c r="D5" t="s">
        <v>478</v>
      </c>
      <c r="E5">
        <f>COUNTIF(U:U, "Harmonizing")</f>
        <v>0</v>
      </c>
    </row>
    <row r="6" spans="1:34">
      <c r="D6" t="s">
        <v>479</v>
      </c>
      <c r="E6">
        <f>COUNTIF(U:U, "Disharmonizing")</f>
        <v>1</v>
      </c>
    </row>
    <row r="7" spans="1:34">
      <c r="D7" t="s">
        <v>480</v>
      </c>
      <c r="E7">
        <f>E5/(E5+E6)</f>
        <v>0</v>
      </c>
    </row>
  </sheetData>
  <conditionalFormatting sqref="H2">
    <cfRule type="expression" dxfId="25" priority="4">
      <formula>$J2&lt;&gt;""</formula>
    </cfRule>
    <cfRule type="expression" dxfId="24" priority="5">
      <formula>$J2=""</formula>
    </cfRule>
  </conditionalFormatting>
  <conditionalFormatting sqref="I2:M2 P2:Q2">
    <cfRule type="expression" dxfId="23" priority="21">
      <formula>AND(OR($J2="Addition",$J2="Omission"), I2="")</formula>
    </cfRule>
    <cfRule type="expression" dxfId="22" priority="22">
      <formula>AND($J2&lt;&gt;"Addition",$J2&lt;&gt;"Omission",$J2&lt;&gt;"Substitution - Word")</formula>
    </cfRule>
  </conditionalFormatting>
  <conditionalFormatting sqref="I2:Q2">
    <cfRule type="expression" dxfId="21" priority="20">
      <formula>AND(OR($J2="Addition",$J2="Omission"), I2&lt;&gt;"")</formula>
    </cfRule>
  </conditionalFormatting>
  <conditionalFormatting sqref="L2">
    <cfRule type="expression" dxfId="20" priority="15">
      <formula>AND($L2&lt;&gt;"",$L2&gt;1)</formula>
    </cfRule>
  </conditionalFormatting>
  <conditionalFormatting sqref="N2:O2">
    <cfRule type="expression" dxfId="19" priority="11">
      <formula>$O2="Absent"</formula>
    </cfRule>
    <cfRule type="expression" dxfId="18" priority="12">
      <formula>$O2="NA"</formula>
    </cfRule>
    <cfRule type="expression" dxfId="17" priority="13">
      <formula>AND(OR($J2="Addition",$J2="Omission"), N2="")</formula>
    </cfRule>
    <cfRule type="expression" dxfId="16" priority="14">
      <formula>AND($J2&lt;&gt;"Addition",$J2&lt;&gt;"Omission")</formula>
    </cfRule>
  </conditionalFormatting>
  <conditionalFormatting sqref="P2">
    <cfRule type="expression" dxfId="15" priority="16">
      <formula>OR($J2="Addition",$J2="Omission",$J2 = "Substitution - Word")</formula>
    </cfRule>
  </conditionalFormatting>
  <conditionalFormatting sqref="R2">
    <cfRule type="expression" dxfId="14" priority="17">
      <formula>AND(AND(LEFT($J2,3)="Sub", RIGHT($J2,4)&lt;&gt;"Form"),$V2&lt;&gt;"")</formula>
    </cfRule>
    <cfRule type="expression" dxfId="13" priority="18">
      <formula>AND(AND(LEFT($J2,3)="Sub", RIGHT($J2,4)&lt;&gt;"Form"),$V2="")</formula>
    </cfRule>
    <cfRule type="expression" dxfId="12" priority="19">
      <formula>"&lt;&gt;AND(LEFT($J2,3)=""Sub"", RIGHT($J2,4)&lt;&gt;""Form"")"</formula>
    </cfRule>
  </conditionalFormatting>
  <conditionalFormatting sqref="S2:T2">
    <cfRule type="expression" dxfId="11" priority="1">
      <formula>AND(AND(LEFT($J2,3)="Sub", RIGHT($J2,4)&lt;&gt;"Form"),$T2&lt;&gt;"")</formula>
    </cfRule>
    <cfRule type="expression" dxfId="10" priority="2">
      <formula>AND(AND(LEFT($J2,3)="Sub", RIGHT($J2,4)&lt;&gt;"Form"),$T2="")</formula>
    </cfRule>
    <cfRule type="expression" dxfId="9" priority="3">
      <formula>"&lt;&gt;AND(LEFT($J2,3)=""Sub"", RIGHT($J2,4)&lt;&gt;""Form"")"</formula>
    </cfRule>
  </conditionalFormatting>
  <conditionalFormatting sqref="U2">
    <cfRule type="expression" dxfId="8" priority="7">
      <formula>AND($W2&lt;&gt;"",OR($AD2="Yes",$AE2&lt;&gt;""))</formula>
    </cfRule>
    <cfRule type="expression" dxfId="7" priority="8">
      <formula>OR($AD2="Yes",$AE2&lt;&gt;"")</formula>
    </cfRule>
    <cfRule type="expression" dxfId="6" priority="25">
      <formula>AND($AD2&lt;&gt;"Yes",$AE2="")</formula>
    </cfRule>
  </conditionalFormatting>
  <conditionalFormatting sqref="U2:AD2">
    <cfRule type="expression" dxfId="5" priority="23">
      <formula>AND($J2&lt;&gt;"",$J2&lt;&gt;"Unclear due to correction")</formula>
    </cfRule>
    <cfRule type="expression" dxfId="4" priority="24">
      <formula>OR($J2="",$J2="Unclear due to correction")</formula>
    </cfRule>
  </conditionalFormatting>
  <conditionalFormatting sqref="V2">
    <cfRule type="expression" dxfId="3" priority="6">
      <formula>AND($J2&lt;&gt;"",$J2&lt;&gt;"Unclear due to correction",$X2="")</formula>
    </cfRule>
  </conditionalFormatting>
  <conditionalFormatting sqref="W2">
    <cfRule type="expression" dxfId="2" priority="9">
      <formula>AND($X2="Yes",$Y2="")</formula>
    </cfRule>
    <cfRule type="expression" dxfId="1" priority="10">
      <formula>$X2=""</formula>
    </cfRule>
  </conditionalFormatting>
  <conditionalFormatting sqref="AB2">
    <cfRule type="expression" dxfId="0" priority="26">
      <formula>AND(OR($AB2&lt;&gt;"",$AC2&lt;&gt;""),$AD2="")</formula>
    </cfRule>
  </conditionalFormatting>
  <dataValidations count="1">
    <dataValidation allowBlank="1" showInputMessage="1" sqref="V2" xr:uid="{2B41D06C-E6B1-4F2C-9DA9-795A254EC929}"/>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5">
        <x14:dataValidation type="list" allowBlank="1" showInputMessage="1" showErrorMessage="1" xr:uid="{6150797D-4F67-42EE-8B1C-836002A9BEB0}">
          <x14:formula1>
            <xm:f>'Data Regularization'!$D$2:$D$1048576</xm:f>
          </x14:formula1>
          <xm:sqref>H2</xm:sqref>
        </x14:dataValidation>
        <x14:dataValidation type="list" allowBlank="1" showInputMessage="1" showErrorMessage="1" xr:uid="{9525B1D3-244C-4C08-893A-8D0F216F9743}">
          <x14:formula1>
            <xm:f>'Data Regularization'!$E$2:$E$1048576</xm:f>
          </x14:formula1>
          <xm:sqref>L2</xm:sqref>
        </x14:dataValidation>
        <x14:dataValidation type="list" allowBlank="1" showInputMessage="1" showErrorMessage="1" xr:uid="{F17A275E-FE3D-40D7-856E-FEA911121DD6}">
          <x14:formula1>
            <xm:f>'Data Regularization'!$F$2:$F$1048576</xm:f>
          </x14:formula1>
          <xm:sqref>M2</xm:sqref>
        </x14:dataValidation>
        <x14:dataValidation type="list" allowBlank="1" showInputMessage="1" showErrorMessage="1" xr:uid="{2B5DA62E-B0C8-453D-ADFA-A84B1518A574}">
          <x14:formula1>
            <xm:f>'Data Regularization'!$G$2:$G$1048576</xm:f>
          </x14:formula1>
          <xm:sqref>P2</xm:sqref>
        </x14:dataValidation>
        <x14:dataValidation type="list" allowBlank="1" showInputMessage="1" showErrorMessage="1" xr:uid="{17DC3ABB-4EFB-4220-8A21-B970FBD87280}">
          <x14:formula1>
            <xm:f>'Data Regularization'!$J$2:$J$1048576</xm:f>
          </x14:formula1>
          <xm:sqref>W2 U2</xm:sqref>
        </x14:dataValidation>
        <x14:dataValidation type="list" allowBlank="1" showInputMessage="1" showErrorMessage="1" xr:uid="{0611C09F-51D8-4D9E-8D71-098D8F432781}">
          <x14:formula1>
            <xm:f>'Data Regularization'!$K$2:$K$1048576</xm:f>
          </x14:formula1>
          <xm:sqref>X2</xm:sqref>
        </x14:dataValidation>
        <x14:dataValidation type="list" allowBlank="1" showInputMessage="1" showErrorMessage="1" xr:uid="{D57CE7F7-2DE1-4D31-9D7A-32A88B3015C5}">
          <x14:formula1>
            <xm:f>'Data Regularization'!$L$2:$L$1048576</xm:f>
          </x14:formula1>
          <xm:sqref>Y2</xm:sqref>
        </x14:dataValidation>
        <x14:dataValidation type="list" allowBlank="1" showInputMessage="1" showErrorMessage="1" xr:uid="{4A0966E9-3A11-4CB1-B860-8B8063FCB08C}">
          <x14:formula1>
            <xm:f>'Data Regularization'!$M$2:$M$1048576</xm:f>
          </x14:formula1>
          <xm:sqref>Z2</xm:sqref>
        </x14:dataValidation>
        <x14:dataValidation type="list" allowBlank="1" showInputMessage="1" showErrorMessage="1" xr:uid="{B3CDB78D-7485-42A1-B6FF-D0490DE9D03D}">
          <x14:formula1>
            <xm:f>'Data Regularization'!$N$2:$N$1048576</xm:f>
          </x14:formula1>
          <xm:sqref>AB2</xm:sqref>
        </x14:dataValidation>
        <x14:dataValidation type="list" allowBlank="1" showInputMessage="1" showErrorMessage="1" xr:uid="{25C423CA-C589-4E20-B43F-B63AB8FF1171}">
          <x14:formula1>
            <xm:f>'Data Regularization'!$O$2:$O$1048576</xm:f>
          </x14:formula1>
          <xm:sqref>AC2</xm:sqref>
        </x14:dataValidation>
        <x14:dataValidation type="list" allowBlank="1" showInputMessage="1" showErrorMessage="1" xr:uid="{83345875-A76E-4F1F-B44F-D11F7DEB2147}">
          <x14:formula1>
            <xm:f>'Data Regularization'!$P$2:$P$1048576</xm:f>
          </x14:formula1>
          <xm:sqref>AD2</xm:sqref>
        </x14:dataValidation>
        <x14:dataValidation type="list" allowBlank="1" showInputMessage="1" showErrorMessage="1" xr:uid="{6950A105-9CA1-4662-BD7D-A93261DEF709}">
          <x14:formula1>
            <xm:f>'Data Regularization'!$C$2:$C$50</xm:f>
          </x14:formula1>
          <xm:sqref>F2</xm:sqref>
        </x14:dataValidation>
        <x14:dataValidation type="list" allowBlank="1" showInputMessage="1" showErrorMessage="1" xr:uid="{058CFC46-C3C2-431A-9E6C-C70A50CFE961}">
          <x14:formula1>
            <xm:f>'Data Regularization'!$A$2:$A$1048576</xm:f>
          </x14:formula1>
          <xm:sqref>D2</xm:sqref>
        </x14:dataValidation>
        <x14:dataValidation type="list" allowBlank="1" showInputMessage="1" showErrorMessage="1" xr:uid="{525CE397-FB82-470F-9CB1-1B4152C8B6CD}">
          <x14:formula1>
            <xm:f>'Data Regularization'!$B$2:$B$1048576</xm:f>
          </x14:formula1>
          <xm:sqref>E2</xm:sqref>
        </x14:dataValidation>
        <x14:dataValidation type="list" allowBlank="1" showInputMessage="1" showErrorMessage="1" xr:uid="{509D3B6E-6353-41F9-B447-D15DCB8A4563}">
          <x14:formula1>
            <xm:f>'Data Regularization'!$P$2:$P$4</xm:f>
          </x14:formula1>
          <xm:sqref>AE2:AG2</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3B06-787C-4B31-A63D-6EE4499E2F95}">
  <dimension ref="A1:B6"/>
  <sheetViews>
    <sheetView workbookViewId="0">
      <selection activeCell="B6" sqref="B6"/>
    </sheetView>
  </sheetViews>
  <sheetFormatPr defaultRowHeight="14.5"/>
  <cols>
    <col min="1" max="1" width="24.54296875" bestFit="1" customWidth="1"/>
  </cols>
  <sheetData>
    <row r="1" spans="1:2">
      <c r="A1" t="s">
        <v>481</v>
      </c>
      <c r="B1">
        <v>1711</v>
      </c>
    </row>
    <row r="2" spans="1:2">
      <c r="A2" t="s">
        <v>482</v>
      </c>
      <c r="B2">
        <f>COUNTA('Unfiltered Data'!A:A) - 1</f>
        <v>113</v>
      </c>
    </row>
    <row r="3" spans="1:2">
      <c r="A3" t="s">
        <v>483</v>
      </c>
      <c r="B3">
        <f>COUNTA('Gen-filters'!A:A) - 1</f>
        <v>68</v>
      </c>
    </row>
    <row r="5" spans="1:2">
      <c r="A5" t="s">
        <v>484</v>
      </c>
      <c r="B5">
        <f>(B2/B1)*1000</f>
        <v>66.043249561659849</v>
      </c>
    </row>
    <row r="6" spans="1:2">
      <c r="A6" t="s">
        <v>485</v>
      </c>
      <c r="B6">
        <f>(B3/B1)*1000</f>
        <v>39.742840444184694</v>
      </c>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87C49-01DA-48C5-8025-6B0AFC714D69}">
  <dimension ref="A2:D12"/>
  <sheetViews>
    <sheetView workbookViewId="0">
      <selection activeCell="D10" sqref="D10:D12"/>
    </sheetView>
  </sheetViews>
  <sheetFormatPr defaultRowHeight="14.5"/>
  <sheetData>
    <row r="2" spans="1:4">
      <c r="A2" t="s">
        <v>487</v>
      </c>
    </row>
    <row r="3" spans="1:4">
      <c r="A3" t="s">
        <v>19</v>
      </c>
      <c r="B3">
        <f>COUNTIF('Unfiltered Data'!G:G, "Yes")</f>
        <v>1</v>
      </c>
    </row>
    <row r="4" spans="1:4">
      <c r="A4" t="s">
        <v>20</v>
      </c>
      <c r="B4">
        <f>COUNTIF('Unfiltered Data'!G:G, "No")</f>
        <v>0</v>
      </c>
    </row>
    <row r="5" spans="1:4">
      <c r="A5" t="s">
        <v>488</v>
      </c>
      <c r="B5">
        <f>B3/SUM(B3:B4)</f>
        <v>1</v>
      </c>
    </row>
    <row r="8" spans="1:4">
      <c r="A8" t="s">
        <v>489</v>
      </c>
    </row>
    <row r="9" spans="1:4">
      <c r="B9" t="s">
        <v>490</v>
      </c>
      <c r="C9" t="s">
        <v>494</v>
      </c>
      <c r="D9" t="s">
        <v>491</v>
      </c>
    </row>
    <row r="10" spans="1:4">
      <c r="A10" t="s">
        <v>19</v>
      </c>
      <c r="B10">
        <f>COUNTIF('Unfiltered Data'!H:H, "Yes")</f>
        <v>28</v>
      </c>
      <c r="C10">
        <f>B10/'Gen-Error-Rates'!$B$2</f>
        <v>0.24778761061946902</v>
      </c>
      <c r="D10">
        <f>B10/SUM($B$10:$B$12)</f>
        <v>0.90322580645161288</v>
      </c>
    </row>
    <row r="11" spans="1:4">
      <c r="A11" t="s">
        <v>492</v>
      </c>
      <c r="B11">
        <f>COUNTIF('Unfiltered Data'!H:H, "Yes, partially")</f>
        <v>2</v>
      </c>
      <c r="C11">
        <f>B11/'Gen-Error-Rates'!$B$2</f>
        <v>1.7699115044247787E-2</v>
      </c>
      <c r="D11">
        <f t="shared" ref="D11:D12" si="0">B11/SUM($B$10:$B$12)</f>
        <v>6.4516129032258063E-2</v>
      </c>
    </row>
    <row r="12" spans="1:4">
      <c r="A12" t="s">
        <v>493</v>
      </c>
      <c r="B12">
        <f>COUNTIF('Unfiltered Data'!H:H, "Yes, to another error")</f>
        <v>1</v>
      </c>
      <c r="C12">
        <f>B12/'Gen-Error-Rates'!$B$2</f>
        <v>8.8495575221238937E-3</v>
      </c>
      <c r="D12">
        <f t="shared" si="0"/>
        <v>3.2258064516129031E-2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156D7-421F-42E5-9F55-F22A94A76A4F}">
  <dimension ref="A1:P21"/>
  <sheetViews>
    <sheetView workbookViewId="0">
      <pane ySplit="1" topLeftCell="A2" activePane="bottomLeft" state="frozen"/>
      <selection pane="bottomLeft" activeCell="K3" sqref="K3:K5"/>
    </sheetView>
  </sheetViews>
  <sheetFormatPr defaultRowHeight="14.5"/>
  <sheetData>
    <row r="1" spans="1:16">
      <c r="A1" s="1" t="s">
        <v>8</v>
      </c>
      <c r="B1" s="1" t="s">
        <v>9</v>
      </c>
      <c r="C1" s="1" t="s">
        <v>10</v>
      </c>
      <c r="D1" s="1" t="s">
        <v>3</v>
      </c>
      <c r="E1" s="1" t="s">
        <v>318</v>
      </c>
      <c r="F1" s="1" t="s">
        <v>319</v>
      </c>
      <c r="G1" s="1" t="s">
        <v>320</v>
      </c>
      <c r="H1" s="1" t="s">
        <v>367</v>
      </c>
      <c r="I1" s="1" t="s">
        <v>368</v>
      </c>
      <c r="J1" s="1" t="s">
        <v>369</v>
      </c>
      <c r="K1" s="1" t="s">
        <v>321</v>
      </c>
      <c r="L1" s="1" t="s">
        <v>322</v>
      </c>
      <c r="M1" s="1" t="s">
        <v>323</v>
      </c>
      <c r="N1" s="1" t="s">
        <v>370</v>
      </c>
      <c r="O1" s="1" t="s">
        <v>324</v>
      </c>
      <c r="P1" s="1" t="s">
        <v>366</v>
      </c>
    </row>
    <row r="2" spans="1:16">
      <c r="A2" s="1"/>
    </row>
    <row r="3" spans="1:16">
      <c r="A3" t="s">
        <v>11</v>
      </c>
      <c r="B3" t="s">
        <v>19</v>
      </c>
      <c r="C3" t="s">
        <v>19</v>
      </c>
      <c r="D3" t="s">
        <v>24</v>
      </c>
      <c r="E3" t="s">
        <v>325</v>
      </c>
      <c r="F3" t="s">
        <v>326</v>
      </c>
      <c r="G3" t="s">
        <v>327</v>
      </c>
      <c r="H3" t="s">
        <v>4</v>
      </c>
      <c r="I3" t="s">
        <v>19</v>
      </c>
      <c r="J3" t="s">
        <v>4</v>
      </c>
      <c r="K3" t="s">
        <v>328</v>
      </c>
      <c r="L3" t="s">
        <v>19</v>
      </c>
      <c r="M3" t="s">
        <v>329</v>
      </c>
      <c r="N3" t="s">
        <v>19</v>
      </c>
      <c r="O3" t="s">
        <v>330</v>
      </c>
      <c r="P3" t="s">
        <v>19</v>
      </c>
    </row>
    <row r="4" spans="1:16">
      <c r="A4" t="s">
        <v>12</v>
      </c>
      <c r="B4" t="s">
        <v>21</v>
      </c>
      <c r="C4" t="s">
        <v>22</v>
      </c>
      <c r="D4" t="s">
        <v>25</v>
      </c>
      <c r="E4" t="s">
        <v>331</v>
      </c>
      <c r="F4" t="s">
        <v>332</v>
      </c>
      <c r="G4" t="s">
        <v>333</v>
      </c>
      <c r="H4" t="s">
        <v>371</v>
      </c>
      <c r="I4" t="s">
        <v>20</v>
      </c>
      <c r="J4" t="s">
        <v>371</v>
      </c>
      <c r="K4" t="s">
        <v>486</v>
      </c>
      <c r="L4" t="s">
        <v>20</v>
      </c>
      <c r="M4" t="s">
        <v>335</v>
      </c>
      <c r="N4" t="s">
        <v>20</v>
      </c>
      <c r="O4" t="s">
        <v>336</v>
      </c>
      <c r="P4" t="s">
        <v>20</v>
      </c>
    </row>
    <row r="5" spans="1:16">
      <c r="A5" t="s">
        <v>13</v>
      </c>
      <c r="B5" t="s">
        <v>20</v>
      </c>
      <c r="C5" t="s">
        <v>23</v>
      </c>
      <c r="D5" t="s">
        <v>372</v>
      </c>
      <c r="E5" t="s">
        <v>337</v>
      </c>
      <c r="F5" t="s">
        <v>373</v>
      </c>
      <c r="K5" t="s">
        <v>334</v>
      </c>
      <c r="M5" t="s">
        <v>339</v>
      </c>
      <c r="O5" t="s">
        <v>340</v>
      </c>
    </row>
    <row r="6" spans="1:16">
      <c r="A6" t="s">
        <v>17</v>
      </c>
      <c r="C6" t="s">
        <v>20</v>
      </c>
      <c r="D6" t="s">
        <v>374</v>
      </c>
      <c r="E6" t="s">
        <v>341</v>
      </c>
      <c r="M6" t="s">
        <v>342</v>
      </c>
      <c r="O6" t="s">
        <v>343</v>
      </c>
    </row>
    <row r="7" spans="1:16">
      <c r="A7" t="s">
        <v>28</v>
      </c>
      <c r="D7" t="s">
        <v>375</v>
      </c>
      <c r="E7" t="s">
        <v>344</v>
      </c>
      <c r="M7" t="s">
        <v>390</v>
      </c>
    </row>
    <row r="8" spans="1:16">
      <c r="A8" t="s">
        <v>29</v>
      </c>
      <c r="D8" t="s">
        <v>26</v>
      </c>
      <c r="E8" t="s">
        <v>346</v>
      </c>
      <c r="M8" t="s">
        <v>345</v>
      </c>
    </row>
    <row r="9" spans="1:16">
      <c r="A9" t="s">
        <v>10</v>
      </c>
      <c r="D9" t="s">
        <v>27</v>
      </c>
      <c r="E9" t="s">
        <v>348</v>
      </c>
      <c r="M9" t="s">
        <v>347</v>
      </c>
    </row>
    <row r="10" spans="1:16">
      <c r="A10" t="s">
        <v>14</v>
      </c>
      <c r="D10" t="s">
        <v>30</v>
      </c>
      <c r="E10" t="s">
        <v>350</v>
      </c>
      <c r="M10" t="s">
        <v>349</v>
      </c>
    </row>
    <row r="11" spans="1:16">
      <c r="A11" t="s">
        <v>18</v>
      </c>
      <c r="E11" t="s">
        <v>352</v>
      </c>
      <c r="M11" t="s">
        <v>351</v>
      </c>
    </row>
    <row r="12" spans="1:16">
      <c r="A12" t="s">
        <v>376</v>
      </c>
      <c r="E12" t="s">
        <v>377</v>
      </c>
      <c r="M12" t="s">
        <v>418</v>
      </c>
    </row>
    <row r="13" spans="1:16">
      <c r="A13" t="s">
        <v>31</v>
      </c>
      <c r="E13" t="s">
        <v>383</v>
      </c>
      <c r="M13" t="s">
        <v>417</v>
      </c>
    </row>
    <row r="14" spans="1:16">
      <c r="A14" t="s">
        <v>32</v>
      </c>
      <c r="E14" t="s">
        <v>353</v>
      </c>
    </row>
    <row r="15" spans="1:16">
      <c r="A15" t="s">
        <v>33</v>
      </c>
    </row>
    <row r="16" spans="1:16">
      <c r="A16" t="s">
        <v>15</v>
      </c>
    </row>
    <row r="17" spans="1:1">
      <c r="A17" t="s">
        <v>16</v>
      </c>
    </row>
    <row r="18" spans="1:1">
      <c r="A18" t="s">
        <v>34</v>
      </c>
    </row>
    <row r="19" spans="1:1">
      <c r="A19" t="s">
        <v>35</v>
      </c>
    </row>
    <row r="20" spans="1:1">
      <c r="A20" t="s">
        <v>419</v>
      </c>
    </row>
    <row r="21" spans="1:1">
      <c r="A21"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Unfiltered Data</vt:lpstr>
      <vt:lpstr>Gen-filters</vt:lpstr>
      <vt:lpstr>AddOmits</vt:lpstr>
      <vt:lpstr>WF_AO_LM</vt:lpstr>
      <vt:lpstr>WF_AO_HM</vt:lpstr>
      <vt:lpstr>WF_SUB</vt:lpstr>
      <vt:lpstr>Harmonization</vt:lpstr>
      <vt:lpstr>Gen-filters_2</vt:lpstr>
      <vt:lpstr>AddOmits_2</vt:lpstr>
      <vt:lpstr>WF_AO_LM_2</vt:lpstr>
      <vt:lpstr>WF_AO_HM_2</vt:lpstr>
      <vt:lpstr>WF_SUB_2</vt:lpstr>
      <vt:lpstr>Harmonization_2</vt:lpstr>
      <vt:lpstr>Gen-Error-Rates</vt:lpstr>
      <vt:lpstr>Corrections</vt:lpstr>
      <vt:lpstr>Data Regularization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Wilken</dc:creator>
  <cp:lastModifiedBy>Jonathan Wilken</cp:lastModifiedBy>
  <dcterms:created xsi:type="dcterms:W3CDTF">2022-11-18T18:06:54Z</dcterms:created>
  <dcterms:modified xsi:type="dcterms:W3CDTF">2025-10-23T16:57:07Z</dcterms:modified>
</cp:coreProperties>
</file>