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https://d.docs.live.net/186593bc330ab858/Cambridge PhD/Thesis/8 Corrections/Files to Upload/To Github/Manuscript Variant Workbooks/"/>
    </mc:Choice>
  </mc:AlternateContent>
  <xr:revisionPtr revIDLastSave="348" documentId="13_ncr:1_{E86589DA-4926-41B0-8A12-72B1132EB0AB}" xr6:coauthVersionLast="47" xr6:coauthVersionMax="47" xr10:uidLastSave="{AAF7A3B5-8B46-4E1F-A4A5-D6AB7D0F8352}"/>
  <bookViews>
    <workbookView xWindow="-110" yWindow="-110" windowWidth="25820" windowHeight="15500" xr2:uid="{5BB4D106-A247-41F8-A104-83D51E35EC09}"/>
  </bookViews>
  <sheets>
    <sheet name="Unfiltered Data" sheetId="4" r:id="rId1"/>
    <sheet name="Gen-filters" sheetId="8" r:id="rId2"/>
    <sheet name="AddOmits" sheetId="9" r:id="rId3"/>
    <sheet name="WF_AO_LM" sheetId="12" r:id="rId4"/>
    <sheet name="WF_AO_HM" sheetId="11" r:id="rId5"/>
    <sheet name="WF_SUB" sheetId="13" r:id="rId6"/>
    <sheet name="Harmonization" sheetId="14" r:id="rId7"/>
    <sheet name="Gen-Error-Rates" sheetId="15" r:id="rId8"/>
    <sheet name="Corrections" sheetId="17" r:id="rId9"/>
    <sheet name="Data Regularization" sheetId="3" r:id="rId10"/>
  </sheets>
  <definedNames>
    <definedName name="_xlnm._FilterDatabase" localSheetId="2" hidden="1">AddOmits!$A$1:$AF$25</definedName>
    <definedName name="_xlnm._FilterDatabase" localSheetId="1" hidden="1">'Gen-filters'!$A$1:$AE$1</definedName>
    <definedName name="_xlnm._FilterDatabase" localSheetId="0" hidden="1">'Unfiltered Data'!$A$1:$AI$188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7" l="1"/>
  <c r="B10" i="17"/>
  <c r="B9" i="17"/>
  <c r="D9" i="17" s="1"/>
  <c r="B3" i="17"/>
  <c r="B2" i="17"/>
  <c r="T3" i="13"/>
  <c r="U3" i="13"/>
  <c r="T4" i="13"/>
  <c r="U4" i="13"/>
  <c r="V4" i="13"/>
  <c r="T5" i="13"/>
  <c r="U5" i="13"/>
  <c r="V5" i="13" s="1"/>
  <c r="T6" i="13"/>
  <c r="U6" i="13"/>
  <c r="T7" i="13"/>
  <c r="U7" i="13"/>
  <c r="V7" i="13"/>
  <c r="T8" i="13"/>
  <c r="U8" i="13"/>
  <c r="V8" i="13"/>
  <c r="T9" i="13"/>
  <c r="U9" i="13"/>
  <c r="V9" i="13"/>
  <c r="T10" i="13"/>
  <c r="U10" i="13"/>
  <c r="V10" i="13"/>
  <c r="T11" i="13"/>
  <c r="U11" i="13"/>
  <c r="V11" i="13"/>
  <c r="T12" i="13"/>
  <c r="U12" i="13"/>
  <c r="V12" i="13" s="1"/>
  <c r="T13" i="13"/>
  <c r="V13" i="13" s="1"/>
  <c r="U13" i="13"/>
  <c r="T14" i="13"/>
  <c r="U14" i="13"/>
  <c r="V14" i="13"/>
  <c r="T15" i="13"/>
  <c r="U15" i="13"/>
  <c r="V15" i="13"/>
  <c r="U2" i="13"/>
  <c r="T2" i="13"/>
  <c r="V2" i="13"/>
  <c r="Q25" i="9"/>
  <c r="Q24" i="9"/>
  <c r="Q23" i="9"/>
  <c r="Q22" i="9"/>
  <c r="Q21" i="9"/>
  <c r="Q20" i="9"/>
  <c r="Q19" i="9"/>
  <c r="Q18" i="9"/>
  <c r="Q17" i="9"/>
  <c r="Q16" i="9"/>
  <c r="Q15" i="9"/>
  <c r="Q14" i="9"/>
  <c r="Q13" i="9"/>
  <c r="Q12" i="9"/>
  <c r="Q11" i="9"/>
  <c r="Q10" i="9"/>
  <c r="Q9" i="9"/>
  <c r="Q8" i="9"/>
  <c r="Q7" i="9"/>
  <c r="Q6" i="9"/>
  <c r="Q5" i="9"/>
  <c r="Q4" i="9"/>
  <c r="Q3" i="9"/>
  <c r="Q2" i="9"/>
  <c r="V6" i="13" l="1"/>
  <c r="V3" i="13"/>
  <c r="D10" i="17"/>
  <c r="D11" i="17"/>
  <c r="B4" i="17"/>
  <c r="E29" i="13" l="1"/>
  <c r="E30" i="13"/>
  <c r="B3" i="15"/>
  <c r="B6" i="15" s="1"/>
  <c r="B2" i="15"/>
  <c r="B5" i="15" l="1"/>
  <c r="C11" i="17"/>
  <c r="C9" i="17"/>
  <c r="C10" i="17"/>
  <c r="E21" i="14"/>
  <c r="E20" i="14"/>
  <c r="E22" i="14" l="1"/>
  <c r="E34" i="13"/>
  <c r="E33" i="13"/>
  <c r="E30" i="12" l="1"/>
  <c r="E29" i="12"/>
  <c r="E28" i="12"/>
  <c r="E17" i="12"/>
  <c r="E24" i="12" s="1"/>
  <c r="E7" i="11"/>
  <c r="E14" i="11" s="1"/>
  <c r="E10" i="11" l="1"/>
  <c r="E11" i="11"/>
  <c r="E13" i="11"/>
  <c r="E15" i="11" s="1"/>
  <c r="E20" i="12"/>
  <c r="E23" i="12"/>
  <c r="E25" i="12" s="1"/>
  <c r="E21" i="12"/>
  <c r="E12" i="11" l="1"/>
  <c r="E16" i="11"/>
  <c r="E22" i="12"/>
  <c r="E26" i="13"/>
  <c r="E25" i="13"/>
  <c r="E22" i="13"/>
  <c r="E21" i="13"/>
  <c r="E23" i="13" s="1"/>
  <c r="V188" i="4"/>
  <c r="U188" i="4"/>
  <c r="V187" i="4"/>
  <c r="U187" i="4"/>
  <c r="V185" i="4"/>
  <c r="U185" i="4"/>
  <c r="V183" i="4"/>
  <c r="U183" i="4"/>
  <c r="V182" i="4"/>
  <c r="U182" i="4"/>
  <c r="V181" i="4"/>
  <c r="U181" i="4"/>
  <c r="V180" i="4"/>
  <c r="U180" i="4"/>
  <c r="V179" i="4"/>
  <c r="U179" i="4"/>
  <c r="V177" i="4"/>
  <c r="U177" i="4"/>
  <c r="V176" i="4"/>
  <c r="U176" i="4"/>
  <c r="V175" i="4"/>
  <c r="U175" i="4"/>
  <c r="V174" i="4"/>
  <c r="U174" i="4"/>
  <c r="V173" i="4"/>
  <c r="U173" i="4"/>
  <c r="V172" i="4"/>
  <c r="U172" i="4"/>
  <c r="V170" i="4"/>
  <c r="U170" i="4"/>
  <c r="V169" i="4"/>
  <c r="U169" i="4"/>
  <c r="V168" i="4"/>
  <c r="U168" i="4"/>
  <c r="V166" i="4"/>
  <c r="U166" i="4"/>
  <c r="V165" i="4"/>
  <c r="U165" i="4"/>
  <c r="V164" i="4"/>
  <c r="U164" i="4"/>
  <c r="V163" i="4"/>
  <c r="U163" i="4"/>
  <c r="V162" i="4"/>
  <c r="U162" i="4"/>
  <c r="V160" i="4"/>
  <c r="U160" i="4"/>
  <c r="V159" i="4"/>
  <c r="U159" i="4"/>
  <c r="V158" i="4"/>
  <c r="U158" i="4"/>
  <c r="V157" i="4"/>
  <c r="U157" i="4"/>
  <c r="V156" i="4"/>
  <c r="U156" i="4"/>
  <c r="V155" i="4"/>
  <c r="U155" i="4"/>
  <c r="V153" i="4"/>
  <c r="U153" i="4"/>
  <c r="V152" i="4"/>
  <c r="U152" i="4"/>
  <c r="V150" i="4"/>
  <c r="U150" i="4"/>
  <c r="V149" i="4"/>
  <c r="U149" i="4"/>
  <c r="V148" i="4"/>
  <c r="U148" i="4"/>
  <c r="V147" i="4"/>
  <c r="U147" i="4"/>
  <c r="V146" i="4"/>
  <c r="U146" i="4"/>
  <c r="V145" i="4"/>
  <c r="U145" i="4"/>
  <c r="V144" i="4"/>
  <c r="U144" i="4"/>
  <c r="V143" i="4"/>
  <c r="U143" i="4"/>
  <c r="V142" i="4"/>
  <c r="U142" i="4"/>
  <c r="V141" i="4"/>
  <c r="U141" i="4"/>
  <c r="V140" i="4"/>
  <c r="U140" i="4"/>
  <c r="V139" i="4"/>
  <c r="U139" i="4"/>
  <c r="V138" i="4"/>
  <c r="U138" i="4"/>
  <c r="V137" i="4"/>
  <c r="U137" i="4"/>
  <c r="V136" i="4"/>
  <c r="U136" i="4"/>
  <c r="V135" i="4"/>
  <c r="U135" i="4"/>
  <c r="V134" i="4"/>
  <c r="U134" i="4"/>
  <c r="V133" i="4"/>
  <c r="U133" i="4"/>
  <c r="V132" i="4"/>
  <c r="U132" i="4"/>
  <c r="V131" i="4"/>
  <c r="U131" i="4"/>
  <c r="V130" i="4"/>
  <c r="U130" i="4"/>
  <c r="V129" i="4"/>
  <c r="U129" i="4"/>
  <c r="V128" i="4"/>
  <c r="U128" i="4"/>
  <c r="V127" i="4"/>
  <c r="U127" i="4"/>
  <c r="V126" i="4"/>
  <c r="U126" i="4"/>
  <c r="V125" i="4"/>
  <c r="U125" i="4"/>
  <c r="V124" i="4"/>
  <c r="U124" i="4"/>
  <c r="V123" i="4"/>
  <c r="U123" i="4"/>
  <c r="V122" i="4"/>
  <c r="U122" i="4"/>
  <c r="V121" i="4"/>
  <c r="U121" i="4"/>
  <c r="V120" i="4"/>
  <c r="U120" i="4"/>
  <c r="V118" i="4"/>
  <c r="U118" i="4"/>
  <c r="V117" i="4"/>
  <c r="U117" i="4"/>
  <c r="V116" i="4"/>
  <c r="U116" i="4"/>
  <c r="V115" i="4"/>
  <c r="U115" i="4"/>
  <c r="V114" i="4"/>
  <c r="U114" i="4"/>
  <c r="V113" i="4"/>
  <c r="U113" i="4"/>
  <c r="V112" i="4"/>
  <c r="U112" i="4"/>
  <c r="V111" i="4"/>
  <c r="U111" i="4"/>
  <c r="V110" i="4"/>
  <c r="U110" i="4"/>
  <c r="V109" i="4"/>
  <c r="U109" i="4"/>
  <c r="V108" i="4"/>
  <c r="U108" i="4"/>
  <c r="V107" i="4"/>
  <c r="U107" i="4"/>
  <c r="V103" i="4"/>
  <c r="U103" i="4"/>
  <c r="V102" i="4"/>
  <c r="U102" i="4"/>
  <c r="V101" i="4"/>
  <c r="U101" i="4"/>
  <c r="V99" i="4"/>
  <c r="U99" i="4"/>
  <c r="V98" i="4"/>
  <c r="U98" i="4"/>
  <c r="V97" i="4"/>
  <c r="U97" i="4"/>
  <c r="V96" i="4"/>
  <c r="U96" i="4"/>
  <c r="V95" i="4"/>
  <c r="U95" i="4"/>
  <c r="V94" i="4"/>
  <c r="U94" i="4"/>
  <c r="V93" i="4"/>
  <c r="U93" i="4"/>
  <c r="V92" i="4"/>
  <c r="U92" i="4"/>
  <c r="V91" i="4"/>
  <c r="U91" i="4"/>
  <c r="V90" i="4"/>
  <c r="U90" i="4"/>
  <c r="V89" i="4"/>
  <c r="U89" i="4"/>
  <c r="V88" i="4"/>
  <c r="U88" i="4"/>
  <c r="V87" i="4"/>
  <c r="U87" i="4"/>
  <c r="V86" i="4"/>
  <c r="U86" i="4"/>
  <c r="V85" i="4"/>
  <c r="U85" i="4"/>
  <c r="V84" i="4"/>
  <c r="U84" i="4"/>
  <c r="V83" i="4"/>
  <c r="U83" i="4"/>
  <c r="V82" i="4"/>
  <c r="U82" i="4"/>
  <c r="V81" i="4"/>
  <c r="U81" i="4"/>
  <c r="V79" i="4"/>
  <c r="U79" i="4"/>
  <c r="V78" i="4"/>
  <c r="U78" i="4"/>
  <c r="V75" i="4"/>
  <c r="U75" i="4"/>
  <c r="V71" i="4"/>
  <c r="U71" i="4"/>
  <c r="V70" i="4"/>
  <c r="U70" i="4"/>
  <c r="V69" i="4"/>
  <c r="U69" i="4"/>
  <c r="V68" i="4"/>
  <c r="U68" i="4"/>
  <c r="V66" i="4"/>
  <c r="U66" i="4"/>
  <c r="V65" i="4"/>
  <c r="U65" i="4"/>
  <c r="V64" i="4"/>
  <c r="U64" i="4"/>
  <c r="V63" i="4"/>
  <c r="U63" i="4"/>
  <c r="V61" i="4"/>
  <c r="U61" i="4"/>
  <c r="V60" i="4"/>
  <c r="U60" i="4"/>
  <c r="V59" i="4"/>
  <c r="U59" i="4"/>
  <c r="V58" i="4"/>
  <c r="U58" i="4"/>
  <c r="V56" i="4"/>
  <c r="U56" i="4"/>
  <c r="V55" i="4"/>
  <c r="U55" i="4"/>
  <c r="V54" i="4"/>
  <c r="U54" i="4"/>
  <c r="V53" i="4"/>
  <c r="U53" i="4"/>
  <c r="V52" i="4"/>
  <c r="U52" i="4"/>
  <c r="V51" i="4"/>
  <c r="U51" i="4"/>
  <c r="V50" i="4"/>
  <c r="U50" i="4"/>
  <c r="V49" i="4"/>
  <c r="U49" i="4"/>
  <c r="V47" i="4"/>
  <c r="U47" i="4"/>
  <c r="V46" i="4"/>
  <c r="U46" i="4"/>
  <c r="V45" i="4"/>
  <c r="U45" i="4"/>
  <c r="V44" i="4"/>
  <c r="U44" i="4"/>
  <c r="V43" i="4"/>
  <c r="U43" i="4"/>
  <c r="V42" i="4"/>
  <c r="U42" i="4"/>
  <c r="V41" i="4"/>
  <c r="U41" i="4"/>
  <c r="V40" i="4"/>
  <c r="U40" i="4"/>
  <c r="V39" i="4"/>
  <c r="U39" i="4"/>
  <c r="V37" i="4"/>
  <c r="U37" i="4"/>
  <c r="V35" i="4"/>
  <c r="U35" i="4"/>
  <c r="V34" i="4"/>
  <c r="U34" i="4"/>
  <c r="V32" i="4"/>
  <c r="U32" i="4"/>
  <c r="V31" i="4"/>
  <c r="U31" i="4"/>
  <c r="V30" i="4"/>
  <c r="U30" i="4"/>
  <c r="V29" i="4"/>
  <c r="U29" i="4"/>
  <c r="V28" i="4"/>
  <c r="U28" i="4"/>
  <c r="V27" i="4"/>
  <c r="U27" i="4"/>
  <c r="V26" i="4"/>
  <c r="U26" i="4"/>
  <c r="V25" i="4"/>
  <c r="U25" i="4"/>
  <c r="V24" i="4"/>
  <c r="U24" i="4"/>
  <c r="V23" i="4"/>
  <c r="U23" i="4"/>
  <c r="V22" i="4"/>
  <c r="U22" i="4"/>
  <c r="V21" i="4"/>
  <c r="U21" i="4"/>
  <c r="V20" i="4"/>
  <c r="U20" i="4"/>
  <c r="V19" i="4"/>
  <c r="U19" i="4"/>
  <c r="V17" i="4"/>
  <c r="U17" i="4"/>
  <c r="V16" i="4"/>
  <c r="U16" i="4"/>
  <c r="V15" i="4"/>
  <c r="U15" i="4"/>
  <c r="V14" i="4"/>
  <c r="U14" i="4"/>
  <c r="V13" i="4"/>
  <c r="U13" i="4"/>
  <c r="V11" i="4"/>
  <c r="U11" i="4"/>
  <c r="V10" i="4"/>
  <c r="U10" i="4"/>
  <c r="V9" i="4"/>
  <c r="U9" i="4"/>
  <c r="V8" i="4"/>
  <c r="U8" i="4"/>
  <c r="V7" i="4"/>
  <c r="U7" i="4"/>
  <c r="V6" i="4"/>
  <c r="U6" i="4"/>
  <c r="V5" i="4"/>
  <c r="U5" i="4"/>
  <c r="V4" i="4"/>
  <c r="U4" i="4"/>
  <c r="V3" i="4"/>
  <c r="U3" i="4"/>
  <c r="V2" i="4"/>
  <c r="U2" i="4"/>
  <c r="E74" i="9"/>
  <c r="D74" i="9"/>
  <c r="E73" i="9"/>
  <c r="D73" i="9"/>
  <c r="E72" i="9"/>
  <c r="D72" i="9"/>
  <c r="E71" i="9"/>
  <c r="D71" i="9"/>
  <c r="E70" i="9"/>
  <c r="D70" i="9"/>
  <c r="F73" i="9" l="1"/>
  <c r="F72" i="9"/>
  <c r="F70" i="9"/>
  <c r="F74" i="9"/>
  <c r="F71" i="9"/>
  <c r="E66" i="9"/>
  <c r="D66" i="9"/>
  <c r="E65" i="9"/>
  <c r="D65" i="9"/>
  <c r="E64" i="9"/>
  <c r="D64" i="9"/>
  <c r="E59" i="9"/>
  <c r="D59" i="9"/>
  <c r="E58" i="9"/>
  <c r="D58" i="9"/>
  <c r="F65" i="9" l="1"/>
  <c r="F58" i="9"/>
  <c r="F66" i="9"/>
  <c r="F59" i="9"/>
  <c r="F64" i="9"/>
  <c r="E53" i="9"/>
  <c r="D53" i="9"/>
  <c r="E52" i="9"/>
  <c r="D52" i="9"/>
  <c r="E47" i="9"/>
  <c r="D47" i="9"/>
  <c r="E46" i="9"/>
  <c r="D46" i="9"/>
  <c r="F60" i="9" l="1"/>
  <c r="F52" i="9"/>
  <c r="E48" i="9"/>
  <c r="D48" i="9"/>
  <c r="F48" i="9" s="1"/>
  <c r="F47" i="9"/>
  <c r="F53" i="9"/>
  <c r="F54" i="9" s="1"/>
  <c r="F46" i="9"/>
  <c r="F39" i="9" l="1"/>
  <c r="F38" i="9"/>
  <c r="F34" i="9"/>
  <c r="F33" i="9"/>
  <c r="F40" i="9" l="1"/>
  <c r="F35" i="9"/>
  <c r="F41" i="9" l="1"/>
  <c r="F29" i="9"/>
  <c r="F28" i="9"/>
  <c r="F30" i="9" l="1"/>
  <c r="AI192" i="4" l="1"/>
  <c r="T18" i="4" l="1"/>
  <c r="T186" i="4"/>
  <c r="T184" i="4"/>
  <c r="T178" i="4"/>
  <c r="T171" i="4"/>
  <c r="T167" i="4"/>
  <c r="T161" i="4"/>
  <c r="T154" i="4"/>
  <c r="T151" i="4"/>
  <c r="T119" i="4"/>
  <c r="T106" i="4"/>
  <c r="T105" i="4"/>
  <c r="T104" i="4"/>
  <c r="T100" i="4"/>
  <c r="T80" i="4"/>
  <c r="T77" i="4"/>
  <c r="T76" i="4"/>
  <c r="T73" i="4"/>
  <c r="T74" i="4"/>
  <c r="T72" i="4"/>
  <c r="T67" i="4"/>
  <c r="T62" i="4"/>
  <c r="T57" i="4"/>
  <c r="T48" i="4"/>
  <c r="T33" i="4"/>
  <c r="T38" i="4"/>
  <c r="T36" i="4"/>
  <c r="T12" i="4"/>
  <c r="E193" i="4"/>
  <c r="E194" i="4"/>
  <c r="U73" i="4"/>
  <c r="V72" i="4"/>
  <c r="V184" i="4"/>
  <c r="V106" i="4"/>
  <c r="V104" i="4"/>
  <c r="V171" i="4"/>
  <c r="V77" i="4"/>
  <c r="U77" i="4"/>
  <c r="V38" i="4"/>
  <c r="U80" i="4"/>
  <c r="U167" i="4"/>
  <c r="U171" i="4"/>
  <c r="V151" i="4"/>
  <c r="U38" i="4"/>
  <c r="U57" i="4"/>
  <c r="U186" i="4"/>
  <c r="V73" i="4"/>
  <c r="V105" i="4"/>
  <c r="U119" i="4"/>
  <c r="V100" i="4"/>
  <c r="U36" i="4"/>
  <c r="U67" i="4"/>
  <c r="U184" i="4"/>
  <c r="U178" i="4"/>
  <c r="V33" i="4"/>
  <c r="V119" i="4"/>
  <c r="U74" i="4"/>
  <c r="U18" i="4"/>
  <c r="V57" i="4"/>
  <c r="U154" i="4"/>
  <c r="U100" i="4"/>
  <c r="U161" i="4"/>
  <c r="U151" i="4"/>
  <c r="U48" i="4"/>
  <c r="V12" i="4"/>
  <c r="V67" i="4"/>
  <c r="U72" i="4"/>
  <c r="V48" i="4"/>
  <c r="U104" i="4"/>
  <c r="U62" i="4"/>
  <c r="U76" i="4"/>
  <c r="V186" i="4"/>
  <c r="U105" i="4"/>
  <c r="V36" i="4"/>
  <c r="V167" i="4"/>
  <c r="V74" i="4"/>
  <c r="V62" i="4"/>
  <c r="U12" i="4"/>
  <c r="V76" i="4"/>
  <c r="V154" i="4"/>
  <c r="U106" i="4"/>
  <c r="V161" i="4"/>
  <c r="V178" i="4"/>
  <c r="V80" i="4"/>
  <c r="U33" i="4"/>
  <c r="V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Jonathan Wilken</author>
    <author>tc={0BE1A09E-FBE7-4E10-B4C5-E1DD245F15EC}</author>
    <author>tc={C87C3234-E60D-49BA-ACD1-45B968C3C119}</author>
  </authors>
  <commentList>
    <comment ref="B1" authorId="0" shapeId="0" xr:uid="{0955110F-632C-4CF5-AFC3-F8D7498CCF69}">
      <text>
        <r>
          <rPr>
            <b/>
            <sz val="9"/>
            <color indexed="81"/>
            <rFont val="Tahoma"/>
            <family val="2"/>
          </rPr>
          <t>Jonathan Wilken:</t>
        </r>
        <r>
          <rPr>
            <sz val="9"/>
            <color indexed="81"/>
            <rFont val="Tahoma"/>
            <family val="2"/>
          </rPr>
          <t xml:space="preserve">
Page.Column.line range of autograph reading</t>
        </r>
      </text>
    </comment>
    <comment ref="C1" authorId="0" shapeId="0" xr:uid="{8BC2BBBF-7554-4907-93C5-081112220CEA}">
      <text>
        <r>
          <rPr>
            <b/>
            <sz val="9"/>
            <color indexed="81"/>
            <rFont val="Tahoma"/>
            <family val="2"/>
          </rPr>
          <t>Jonathan Wilken:</t>
        </r>
        <r>
          <rPr>
            <sz val="9"/>
            <color indexed="81"/>
            <rFont val="Tahoma"/>
            <family val="2"/>
          </rPr>
          <t xml:space="preserve">
Page.Column.line range of apograph reading</t>
        </r>
      </text>
    </comment>
    <comment ref="D1" authorId="0" shapeId="0" xr:uid="{8D5F267D-0287-4D2E-B950-A14A58CBE49A}">
      <text>
        <r>
          <rPr>
            <b/>
            <sz val="9"/>
            <color indexed="81"/>
            <rFont val="Tahoma"/>
            <family val="2"/>
          </rPr>
          <t>Jonathan Wilken:</t>
        </r>
        <r>
          <rPr>
            <sz val="9"/>
            <color indexed="81"/>
            <rFont val="Tahoma"/>
            <family val="2"/>
          </rPr>
          <t xml:space="preserve">
Reading from autograph (i.e., the older MS that was copied)</t>
        </r>
      </text>
    </comment>
    <comment ref="E1" authorId="0" shapeId="0" xr:uid="{BE32F1D8-10BE-43CA-89E8-61D3FB40C739}">
      <text>
        <r>
          <rPr>
            <b/>
            <sz val="9"/>
            <color indexed="81"/>
            <rFont val="Tahoma"/>
            <family val="2"/>
          </rPr>
          <t>Jonathan Wilken:</t>
        </r>
        <r>
          <rPr>
            <sz val="9"/>
            <color indexed="81"/>
            <rFont val="Tahoma"/>
            <family val="2"/>
          </rPr>
          <t xml:space="preserve">
Reading from apograph (i.e., younger copy)</t>
        </r>
      </text>
    </comment>
    <comment ref="F1" authorId="0" shapeId="0" xr:uid="{E2B98085-8086-4985-A30F-B5FFA0D11223}">
      <text>
        <r>
          <rPr>
            <b/>
            <sz val="9"/>
            <color indexed="81"/>
            <rFont val="Tahoma"/>
            <family val="2"/>
          </rPr>
          <t>Jonathan Wilken:</t>
        </r>
        <r>
          <rPr>
            <sz val="9"/>
            <color indexed="81"/>
            <rFont val="Tahoma"/>
            <family val="2"/>
          </rPr>
          <t xml:space="preserve">
Potential reasons why this reading should not be included in data analysis</t>
        </r>
      </text>
    </comment>
    <comment ref="G1" authorId="0" shapeId="0" xr:uid="{612536B9-5EA1-4912-8D4B-DB753FEF2B20}">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H1" authorId="0" shapeId="0" xr:uid="{80EDB015-0574-48EE-9168-E8805D61A336}">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J1" authorId="0" shapeId="0" xr:uid="{7EDB7A32-4189-4429-8AE3-7E0BD01D335D}">
      <text>
        <r>
          <rPr>
            <b/>
            <sz val="9"/>
            <color indexed="81"/>
            <rFont val="Tahoma"/>
            <family val="2"/>
          </rPr>
          <t>Jonathan Wilken:</t>
        </r>
        <r>
          <rPr>
            <sz val="9"/>
            <color indexed="81"/>
            <rFont val="Tahoma"/>
            <family val="2"/>
          </rPr>
          <t xml:space="preserve">
Add, omit, transposition, substitution, combo</t>
        </r>
      </text>
    </comment>
    <comment ref="K1" authorId="0" shapeId="0" xr:uid="{DABDA6E0-3AFC-43AF-A82A-BA28C75C7D65}">
      <text>
        <r>
          <rPr>
            <b/>
            <sz val="9"/>
            <color indexed="81"/>
            <rFont val="Tahoma"/>
            <family val="2"/>
          </rPr>
          <t>Jonathan Wilken:</t>
        </r>
        <r>
          <rPr>
            <sz val="9"/>
            <color indexed="81"/>
            <rFont val="Tahoma"/>
            <family val="2"/>
          </rPr>
          <t xml:space="preserve">
For add/omits. Should only be used if complete phrases &gt;= 1. Set to 0 for &lt; 1.
</t>
        </r>
      </text>
    </comment>
    <comment ref="L1" authorId="0" shapeId="0" xr:uid="{25972839-4566-48DF-9B41-C1766C6E049D}">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M1" authorId="0" shapeId="0" xr:uid="{1C568D50-0D25-4EC5-A3DB-C78166929F8E}">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N1" authorId="0" shapeId="0" xr:uid="{D6DCA652-4623-461E-BCF3-AFAEE6CB2D56}">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O1" authorId="0" shapeId="0" xr:uid="{554FD06B-8FDB-4FDD-82CD-0D0AF05C9701}">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P1" authorId="0" shapeId="0" xr:uid="{465A8F28-EEC1-4C2F-BAF4-49923D13923E}">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Q1" authorId="0" shapeId="0" xr:uid="{E069B37A-94FF-46F7-9ED4-85A9A81F0030}">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R1" authorId="0" shapeId="0" xr:uid="{4DD1A8B6-A8C5-46C3-AC55-C50BC6810737}">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S1" authorId="0" shapeId="0" xr:uid="{5F18758B-3C29-4021-82E4-ADA1DB851E1B}">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T1" authorId="0" shapeId="0" xr:uid="{5D7940E4-51BA-4B3D-954F-365FC7256B01}">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U1" authorId="1" shapeId="0" xr:uid="{0BE1A09E-FBE7-4E10-B4C5-E1DD245F15EC}">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V1" authorId="2" shapeId="0" xr:uid="{C87C3234-E60D-49BA-ACD1-45B968C3C119}">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Y1" authorId="0" shapeId="0" xr:uid="{7BA91D01-19F9-4C99-9A43-A566E1936C1C}">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7A909270-3813-40B3-9595-A01C9ACE7DF0}">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1E67BCAF-2EE0-4485-A0EC-14B6B1E8346F}">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09B0EAC1-320C-4611-802D-7EC3C6804825}">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0B9969CD-2436-427A-98D9-A6838589AA7B}">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D59536B5-7D48-4F22-B9CC-BD0332C478E2}">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7870443E-07A3-4687-B0A0-3EA98F2DDFD0}">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Jonathan Wilken</author>
    <author>tc={2203BEF6-5F3C-4A79-AF8C-E8D8EBD5BE9F}</author>
    <author>tc={720ABC9A-DA16-436A-A19F-9DE314E5C42E}</author>
  </authors>
  <commentList>
    <comment ref="B1" authorId="0" shapeId="0" xr:uid="{7954FED0-D874-4E24-A889-481CF070CF60}">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45298F2E-EA78-4BB8-8983-6409800A01A8}">
      <text>
        <r>
          <rPr>
            <b/>
            <sz val="9"/>
            <color indexed="81"/>
            <rFont val="Tahoma"/>
            <family val="2"/>
          </rPr>
          <t>Jonathan Wilken:</t>
        </r>
        <r>
          <rPr>
            <sz val="9"/>
            <color indexed="81"/>
            <rFont val="Tahoma"/>
            <family val="2"/>
          </rPr>
          <t xml:space="preserve">
Reading from apograph (i.e., younger copy)</t>
        </r>
      </text>
    </comment>
    <comment ref="D1" authorId="0" shapeId="0" xr:uid="{712A8E35-F389-46FD-B469-4CDDF561C3DF}">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7F70ECC0-53FF-44DA-B655-11694119006D}">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C0C25324-0FF3-42B5-949C-F1D196E3186F}">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C95AF525-A572-4A75-B575-7752E5E956ED}">
      <text>
        <r>
          <rPr>
            <b/>
            <sz val="9"/>
            <color indexed="81"/>
            <rFont val="Tahoma"/>
            <family val="2"/>
          </rPr>
          <t>Jonathan Wilken:</t>
        </r>
        <r>
          <rPr>
            <sz val="9"/>
            <color indexed="81"/>
            <rFont val="Tahoma"/>
            <family val="2"/>
          </rPr>
          <t xml:space="preserve">
Add, omit, transposition, substitution, combo</t>
        </r>
      </text>
    </comment>
    <comment ref="H1" authorId="0" shapeId="0" xr:uid="{987C1A68-A954-4B3B-97F3-00A20DD70877}">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D462F541-D65E-4BAC-8413-DB879DFA997C}">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2E5094F7-12B8-4FD4-9E4D-8783415CEBA4}">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DF8FAA3B-176E-4EE2-B1EB-83035EBC01CB}">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36F366A9-C7D5-4AB6-AE31-2A5DD798F581}">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DDB18ED5-26E8-4084-9372-4FB04B1A69FC}">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FD3F0A3F-D0EA-4D87-BF98-DB55AC864E94}">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631459C0-FCD4-4B33-BB61-16B1CCC993BF}">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88133F2B-47A7-4FB1-B14A-7769AF43EA40}">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5A7338F1-7F57-4A11-998E-81D56491CA5B}">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2203BEF6-5F3C-4A79-AF8C-E8D8EBD5BE9F}">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720ABC9A-DA16-436A-A19F-9DE314E5C42E}">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V1" authorId="0" shapeId="0" xr:uid="{516F84B9-DBD9-4B49-AE58-54E998035B8B}">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W1" authorId="0" shapeId="0" xr:uid="{F33E5AE4-8188-47DE-A6B7-96BE4A90DF7D}">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X1" authorId="0" shapeId="0" xr:uid="{A947B715-07A7-4711-80DE-2EBD55809AE2}">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Y1" authorId="0" shapeId="0" xr:uid="{B270D760-3D21-4BE0-BD7C-AFDBB0FFED9F}">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A1" authorId="0" shapeId="0" xr:uid="{DA919D6F-A82A-4FDB-8D3B-A6F84C1100F0}">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B1" authorId="0" shapeId="0" xr:uid="{30BC5978-6A40-4198-8005-4EE97DF2C9E1}">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C1" authorId="0" shapeId="0" xr:uid="{3635D176-CC8F-4E97-AD11-F3F88239695B}">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Jonathan Wilken</author>
    <author>tc={BEFD02FD-5081-40E0-B40B-1493CAB5D26B}</author>
    <author>tc={B6ABADFE-AB83-40A3-81DC-682EC19E3067}</author>
    <author>tc={DA409B30-AF5D-45E8-A2B8-EEDEE8188C66}</author>
    <author>tc={A8FDC6A2-AB57-40F9-BB72-2CBFE0428A2D}</author>
    <author>tc={4A072C26-9B69-445A-AF28-F56801A6B483}</author>
    <author>tc={AA30B78D-3FB4-4FDC-A8D2-2997CD2F510E}</author>
    <author>tc={BF3D0217-353D-4DC4-A203-9B4AEBDB1156}</author>
    <author>tc={FCF4F61B-9FCB-4A42-B962-06CB404B545C}</author>
    <author>tc={15711268-7880-4D53-95B2-995E6B2F1373}</author>
    <author>tc={843407B8-A069-48CA-A629-E138DDBC52EC}</author>
    <author>tc={FC531600-6F03-4BE4-A7DE-3B201E6C755C}</author>
    <author>tc={C3A9F892-D853-4649-822E-4E6D8CC2EA20}</author>
    <author>tc={D28F374D-4B66-491C-B097-9EF2BF3D3C3D}</author>
    <author>tc={27208BC2-55E3-44CB-BA0F-5BE58B594037}</author>
    <author>tc={B8F32DDB-2D72-446D-9E11-14165B807778}</author>
    <author>tc={20A838B2-F2DC-4981-B439-ECBD6904334A}</author>
    <author>tc={82D4ED8C-6F39-43AE-921A-A264A2A70BF5}</author>
    <author>tc={143F7DF0-3EEF-4A69-9AA3-8496ABDFB33E}</author>
    <author>tc={53EF3526-13F0-4328-AF3C-4E4B4092086E}</author>
    <author>tc={5ADC148A-2FF6-4CF4-8867-DAB6513FB643}</author>
    <author>tc={755747AF-51A3-413C-91ED-73903E88C514}</author>
    <author>tc={A70DEFDC-0FDA-48D9-9932-903F4DD02625}</author>
    <author>tc={7391DD21-C287-4178-B793-A3388CF621F5}</author>
    <author>tc={8C123A2D-A266-4A40-ADC7-A41C5AAD945A}</author>
    <author>tc={B10EE9DC-8798-48B0-8898-20578EE1E9A4}</author>
    <author>tc={A1A8E358-9CDD-4446-A88B-67689172664A}</author>
    <author>tc={0ECBC230-7778-47A7-AFEE-CC181820783D}</author>
    <author>tc={45715D22-33ED-4369-A258-8F4B7889899F}</author>
    <author>tc={DBD86872-FBCD-46E7-9F07-9147B4774720}</author>
    <author>tc={A11E32A8-A24C-4D9A-85FB-BB01BD7B54F3}</author>
    <author>tc={C8C4F37C-A8FB-4C9C-BFA1-AF8AAB3987DF}</author>
    <author>tc={DA8C1616-E569-4F2B-AE68-B5A0F632045A}</author>
    <author>tc={38DD8214-AA1B-46B9-A896-DD2D994B64B4}</author>
    <author>tc={70567C2A-82D6-4F24-8E47-6CE6530DE740}</author>
    <author>tc={D0E69B72-39A1-4024-89A3-1FF72DD012DB}</author>
    <author>tc={DAF112EC-00E2-4DFE-8F46-5F874C7B5B8A}</author>
    <author>tc={D850D3AA-C36C-4B8A-8B45-7035A9D5F271}</author>
    <author>tc={E4025728-3358-4C5F-8E6C-0BA45D397DB4}</author>
    <author>tc={62536E5A-0CE0-4778-BC50-DB1158CF11FF}</author>
    <author>tc={BC5A8332-F2A4-4530-891C-2D79B0C15B1E}</author>
    <author>tc={E90F27DC-A959-490F-B297-C89C4D488888}</author>
    <author>tc={5A1FCED5-4009-4C24-B022-85E0C95AEFBB}</author>
    <author>tc={DC65BBC1-CE65-42F3-A2E0-FE9B3DFAD61F}</author>
    <author>tc={76CA6627-F84E-4B03-8EEF-4489BFD8AF1B}</author>
  </authors>
  <commentList>
    <comment ref="B1" authorId="0" shapeId="0" xr:uid="{48E1BFF0-F8BA-4C32-961F-EE00E1D386B7}">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A5D1548C-E1EF-4F04-937B-18F36A8F1A0C}">
      <text>
        <r>
          <rPr>
            <b/>
            <sz val="9"/>
            <color indexed="81"/>
            <rFont val="Tahoma"/>
            <family val="2"/>
          </rPr>
          <t>Jonathan Wilken:</t>
        </r>
        <r>
          <rPr>
            <sz val="9"/>
            <color indexed="81"/>
            <rFont val="Tahoma"/>
            <family val="2"/>
          </rPr>
          <t xml:space="preserve">
Reading from apograph (i.e., younger copy)</t>
        </r>
      </text>
    </comment>
    <comment ref="D1" authorId="0" shapeId="0" xr:uid="{874E70A6-0B67-4529-98A5-A56DFC3486DB}">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0D991F06-F069-43F7-B6FA-4DB6A8222284}">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DBF34214-FA08-471A-9852-44DA2E322996}">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98FD306E-0D5D-46F2-B8D2-074F81162669}">
      <text>
        <r>
          <rPr>
            <b/>
            <sz val="9"/>
            <color indexed="81"/>
            <rFont val="Tahoma"/>
            <family val="2"/>
          </rPr>
          <t>Jonathan Wilken:</t>
        </r>
        <r>
          <rPr>
            <sz val="9"/>
            <color indexed="81"/>
            <rFont val="Tahoma"/>
            <family val="2"/>
          </rPr>
          <t xml:space="preserve">
Add, omit, transposition, substitution, combo</t>
        </r>
      </text>
    </comment>
    <comment ref="H1" authorId="0" shapeId="0" xr:uid="{19D94911-0F3D-439A-83ED-88D8FAD21819}">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8CAB637A-C586-4B45-BC2B-E86111A6E415}">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F0673353-6987-4B96-9931-B89D7AB77D27}">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D8CDC225-FEF8-437F-B427-B2F94582D7A4}">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C73D48A4-23E4-4DCF-ADEC-0F56544EC5E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FB1BF334-4E6E-4FC8-92D8-02989B036C7A}">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43EF350F-0AE0-4437-9199-1FABFE84FB82}">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EA96AD39-1EE8-4B6B-8A39-B0CD4549E02C}">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55D164BD-64F9-4CDB-8EC5-48A44F12CE79}">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673B5F6B-460B-4F79-B234-C437D132723E}">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BEFD02FD-5081-40E0-B40B-1493CAB5D26B}">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B6ABADFE-AB83-40A3-81DC-682EC19E3067}">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F5304620-6A12-44F2-897C-DEC3899F8EA3}">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9656749E-433C-441A-AC6C-F91CA3D82F72}">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E695D20B-F521-4409-896A-D32D1D9EF6A9}">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A3807C1E-767C-41F8-981E-A21FEE995C1D}">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1BEF7459-0A08-4EEE-9C8E-97FA2D09B867}">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94606754-6286-4AF9-BDEE-C7C4E86DEB54}">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7E67A625-6012-4AA5-84C0-0DFBA75077CF}">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F28" authorId="3" shapeId="0" xr:uid="{DA409B30-AF5D-45E8-A2B8-EEDEE8188C66}">
      <text>
        <t>[Threaded comment]
Your version of Excel allows you to read this threaded comment; however, any edits to it will get removed if the file is opened in a newer version of Excel. Learn more: https://go.microsoft.com/fwlink/?linkid=870924
Comment:
    Raw number of additions</t>
      </text>
    </comment>
    <comment ref="B29" authorId="4" shapeId="0" xr:uid="{A8FDC6A2-AB57-40F9-BB72-2CBFE0428A2D}">
      <text>
        <t>[Threaded comment]
Your version of Excel allows you to read this threaded comment; however, any edits to it will get removed if the file is opened in a newer version of Excel. Learn more: https://go.microsoft.com/fwlink/?linkid=870924
Comment:
    "Low Meaning" words</t>
      </text>
    </comment>
    <comment ref="C29" authorId="5" shapeId="0" xr:uid="{4A072C26-9B69-445A-AF28-F56801A6B483}">
      <text>
        <t>[Threaded comment]
Your version of Excel allows you to read this threaded comment; however, any edits to it will get removed if the file is opened in a newer version of Excel. Learn more: https://go.microsoft.com/fwlink/?linkid=870924
Comment:
    "High Meaning" words</t>
      </text>
    </comment>
    <comment ref="F29" authorId="6" shapeId="0" xr:uid="{AA30B78D-3FB4-4FDC-A8D2-2997CD2F510E}">
      <text>
        <t>[Threaded comment]
Your version of Excel allows you to read this threaded comment; however, any edits to it will get removed if the file is opened in a newer version of Excel. Learn more: https://go.microsoft.com/fwlink/?linkid=870924
Comment:
    Raw number of omissions</t>
      </text>
    </comment>
    <comment ref="F30" authorId="7" shapeId="0" xr:uid="{BF3D0217-353D-4DC4-A203-9B4AEBDB1156}">
      <text>
        <t>[Threaded comment]
Your version of Excel allows you to read this threaded comment; however, any edits to it will get removed if the file is opened in a newer version of Excel. Learn more: https://go.microsoft.com/fwlink/?linkid=870924
Comment:
    % of add-omits that are additions</t>
      </text>
    </comment>
    <comment ref="F33" authorId="8" shapeId="0" xr:uid="{FCF4F61B-9FCB-4A42-B962-06CB404B545C}">
      <text>
        <t>[Threaded comment]
Your version of Excel allows you to read this threaded comment; however, any edits to it will get removed if the file is opened in a newer version of Excel. Learn more: https://go.microsoft.com/fwlink/?linkid=870924
Comment:
    Raw number of additions of "low meaning" words. See LM column for included word types (and adjust equation as necessary)</t>
      </text>
    </comment>
    <comment ref="F34" authorId="9" shapeId="0" xr:uid="{15711268-7880-4D53-95B2-995E6B2F1373}">
      <text>
        <t>[Threaded comment]
Your version of Excel allows you to read this threaded comment; however, any edits to it will get removed if the file is opened in a newer version of Excel. Learn more: https://go.microsoft.com/fwlink/?linkid=870924
Comment:
    Raw number of omissions of "low meaning" words. See LM column for included word types (and adjust equation as necessary)</t>
      </text>
    </comment>
    <comment ref="F35" authorId="10" shapeId="0" xr:uid="{843407B8-A069-48CA-A629-E138DDBC52EC}">
      <text>
        <t>[Threaded comment]
Your version of Excel allows you to read this threaded comment; however, any edits to it will get removed if the file is opened in a newer version of Excel. Learn more: https://go.microsoft.com/fwlink/?linkid=870924
Comment:
    Addition rate for "low meaning" words. See LM column for included word types (and adjust equation as necessary)</t>
      </text>
    </comment>
    <comment ref="F38" authorId="11" shapeId="0" xr:uid="{FC531600-6F03-4BE4-A7DE-3B201E6C755C}">
      <text>
        <t>[Threaded comment]
Your version of Excel allows you to read this threaded comment; however, any edits to it will get removed if the file is opened in a newer version of Excel. Learn more: https://go.microsoft.com/fwlink/?linkid=870924
Comment:
    Raw number of additions of "high meaning" words. See HM column for included word types (and adjust equation as necessary)</t>
      </text>
    </comment>
    <comment ref="F39" authorId="12" shapeId="0" xr:uid="{C3A9F892-D853-4649-822E-4E6D8CC2EA20}">
      <text>
        <t>[Threaded comment]
Your version of Excel allows you to read this threaded comment; however, any edits to it will get removed if the file is opened in a newer version of Excel. Learn more: https://go.microsoft.com/fwlink/?linkid=870924
Comment:
    Raw number of omissions of "high meaning" words. See HM column for included word types (and adjust equation as necessary)</t>
      </text>
    </comment>
    <comment ref="F40" authorId="13" shapeId="0" xr:uid="{D28F374D-4B66-491C-B097-9EF2BF3D3C3D}">
      <text>
        <t>[Threaded comment]
Your version of Excel allows you to read this threaded comment; however, any edits to it will get removed if the file is opened in a newer version of Excel. Learn more: https://go.microsoft.com/fwlink/?linkid=870924
Comment:
    Addition rate for "high meaning" words. See HM column for included word types (and adjust equation as necessary)</t>
      </text>
    </comment>
    <comment ref="D46" authorId="14" shapeId="0" xr:uid="{27208BC2-55E3-44CB-BA0F-5BE58B594037}">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46" authorId="15" shapeId="0" xr:uid="{B8F32DDB-2D72-446D-9E11-14165B807778}">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F46" authorId="16" shapeId="0" xr:uid="{20A838B2-F2DC-4981-B439-ECBD6904334A}">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additions. I.e., a percent frequency indicating how often an addition generates visual cues</t>
      </text>
    </comment>
    <comment ref="D47" authorId="17" shapeId="0" xr:uid="{82D4ED8C-6F39-43AE-921A-A264A2A70BF5}">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E47" authorId="18" shapeId="0" xr:uid="{143F7DF0-3EEF-4A69-9AA3-8496ABDFB33E}">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F47" authorId="19" shapeId="0" xr:uid="{53EF3526-13F0-4328-AF3C-4E4B4092086E}">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omissions. I.e., the percentage of omissions that could plausibly be due to visual cues</t>
      </text>
    </comment>
    <comment ref="D48" authorId="20" shapeId="0" xr:uid="{5ADC148A-2FF6-4CF4-8867-DAB6513FB643}">
      <text>
        <t>[Threaded comment]
Your version of Excel allows you to read this threaded comment; however, any edits to it will get removed if the file is opened in a newer version of Excel. Learn more: https://go.microsoft.com/fwlink/?linkid=870924
Comment:
    The total number of add-omits that involve visual cues</t>
      </text>
    </comment>
    <comment ref="E48" authorId="21" shapeId="0" xr:uid="{755747AF-51A3-413C-91ED-73903E88C514}">
      <text>
        <t>[Threaded comment]
Your version of Excel allows you to read this threaded comment; however, any edits to it will get removed if the file is opened in a newer version of Excel. Learn more: https://go.microsoft.com/fwlink/?linkid=870924
Comment:
    The total number of add-omits that involve NO visual cues (given the definition of this project, i.e., 3-character minimum similarity in critical regions)</t>
      </text>
    </comment>
    <comment ref="F48" authorId="22" shapeId="0" xr:uid="{A70DEFDC-0FDA-48D9-9932-903F4DD02625}">
      <text>
        <t>[Threaded comment]
Your version of Excel allows you to read this threaded comment; however, any edits to it will get removed if the file is opened in a newer version of Excel. Learn more: https://go.microsoft.com/fwlink/?linkid=870924
Comment:
    The percentage of all add-omits that involve visual cues</t>
      </text>
    </comment>
    <comment ref="D52" authorId="23" shapeId="0" xr:uid="{7391DD21-C287-4178-B793-A3388CF621F5}">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E52" authorId="24" shapeId="0" xr:uid="{8C123A2D-A266-4A40-ADC7-A41C5AAD945A}">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D53" authorId="25" shapeId="0" xr:uid="{B10EE9DC-8798-48B0-8898-20578EE1E9A4}">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53" authorId="26" shapeId="0" xr:uid="{A1A8E358-9CDD-4446-A88B-67689172664A}">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D58" authorId="27" shapeId="0" xr:uid="{0ECBC230-7778-47A7-AFEE-CC181820783D}">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additions. I.e., the number of additions that do not result in dittography</t>
      </text>
    </comment>
    <comment ref="E58" authorId="28" shapeId="0" xr:uid="{45715D22-33ED-4369-A258-8F4B7889899F}">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omissions. I.e., the number of omissions that did not undo a dittographic reading</t>
      </text>
    </comment>
    <comment ref="D59" authorId="29" shapeId="0" xr:uid="{DBD86872-FBCD-46E7-9F07-9147B4774720}">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additions. I.e., the number of additions that result in dittography</t>
      </text>
    </comment>
    <comment ref="E59" authorId="30" shapeId="0" xr:uid="{A11E32A8-A24C-4D9A-85FB-BB01BD7B54F3}">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omissions. I.e., the number omissions where the omitted word(s) is/are dittographies</t>
      </text>
    </comment>
    <comment ref="D64" authorId="31" shapeId="0" xr:uid="{C8C4F37C-A8FB-4C9C-BFA1-AF8AAB3987DF}">
      <text>
        <t>[Threaded comment]
Your version of Excel allows you to read this threaded comment; however, any edits to it will get removed if the file is opened in a newer version of Excel. Learn more: https://go.microsoft.com/fwlink/?linkid=870924
Comment:
    Additions of one word</t>
      </text>
    </comment>
    <comment ref="E64" authorId="32" shapeId="0" xr:uid="{DA8C1616-E569-4F2B-AE68-B5A0F632045A}">
      <text>
        <t>[Threaded comment]
Your version of Excel allows you to read this threaded comment; however, any edits to it will get removed if the file is opened in a newer version of Excel. Learn more: https://go.microsoft.com/fwlink/?linkid=870924
Comment:
    Omissions of one word</t>
      </text>
    </comment>
    <comment ref="F64" authorId="33" shapeId="0" xr:uid="{38DD8214-AA1B-46B9-A896-DD2D994B64B4}">
      <text>
        <t>[Threaded comment]
Your version of Excel allows you to read this threaded comment; however, any edits to it will get removed if the file is opened in a newer version of Excel. Learn more: https://go.microsoft.com/fwlink/?linkid=870924
Comment:
    Add ratio for single-word variants</t>
      </text>
    </comment>
    <comment ref="D65" authorId="34" shapeId="0" xr:uid="{70567C2A-82D6-4F24-8E47-6CE6530DE740}">
      <text>
        <t>[Threaded comment]
Your version of Excel allows you to read this threaded comment; however, any edits to it will get removed if the file is opened in a newer version of Excel. Learn more: https://go.microsoft.com/fwlink/?linkid=870924
Comment:
    Additions of 2-3 words</t>
      </text>
    </comment>
    <comment ref="E65" authorId="35" shapeId="0" xr:uid="{D0E69B72-39A1-4024-89A3-1FF72DD012DB}">
      <text>
        <t>[Threaded comment]
Your version of Excel allows you to read this threaded comment; however, any edits to it will get removed if the file is opened in a newer version of Excel. Learn more: https://go.microsoft.com/fwlink/?linkid=870924
Comment:
    Omissions of 2-3 words</t>
      </text>
    </comment>
    <comment ref="F65" authorId="36" shapeId="0" xr:uid="{DAF112EC-00E2-4DFE-8F46-5F874C7B5B8A}">
      <text>
        <t>[Threaded comment]
Your version of Excel allows you to read this threaded comment; however, any edits to it will get removed if the file is opened in a newer version of Excel. Learn more: https://go.microsoft.com/fwlink/?linkid=870924
Comment:
    Add ratio for variants of 2-3 words</t>
      </text>
    </comment>
    <comment ref="D66" authorId="37" shapeId="0" xr:uid="{D850D3AA-C36C-4B8A-8B45-7035A9D5F271}">
      <text>
        <t>[Threaded comment]
Your version of Excel allows you to read this threaded comment; however, any edits to it will get removed if the file is opened in a newer version of Excel. Learn more: https://go.microsoft.com/fwlink/?linkid=870924
Comment:
    Additions of 4 or more words</t>
      </text>
    </comment>
    <comment ref="E66" authorId="38" shapeId="0" xr:uid="{E4025728-3358-4C5F-8E6C-0BA45D397DB4}">
      <text>
        <t>[Threaded comment]
Your version of Excel allows you to read this threaded comment; however, any edits to it will get removed if the file is opened in a newer version of Excel. Learn more: https://go.microsoft.com/fwlink/?linkid=870924
Comment:
    Omissions of 4 or more words</t>
      </text>
    </comment>
    <comment ref="F66" authorId="39" shapeId="0" xr:uid="{62536E5A-0CE0-4778-BC50-DB1158CF11FF}">
      <text>
        <t>[Threaded comment]
Your version of Excel allows you to read this threaded comment; however, any edits to it will get removed if the file is opened in a newer version of Excel. Learn more: https://go.microsoft.com/fwlink/?linkid=870924
Comment:
    Add ratio for variants of 4 or more words</t>
      </text>
    </comment>
    <comment ref="C69" authorId="40" shapeId="0" xr:uid="{BC5A8332-F2A4-4530-891C-2D79B0C15B1E}">
      <text>
        <t>[Threaded comment]
Your version of Excel allows you to read this threaded comment; however, any edits to it will get removed if the file is opened in a newer version of Excel. Learn more: https://go.microsoft.com/fwlink/?linkid=870924
Comment:
    Number of words added or omitted</t>
      </text>
    </comment>
    <comment ref="D69" authorId="41" shapeId="0" xr:uid="{E90F27DC-A959-490F-B297-C89C4D488888}">
      <text>
        <t>[Threaded comment]
Your version of Excel allows you to read this threaded comment; however, any edits to it will get removed if the file is opened in a newer version of Excel. Learn more: https://go.microsoft.com/fwlink/?linkid=870924
Comment:
    Number of additions involving the number of words specified in the "Length" column</t>
      </text>
    </comment>
    <comment ref="E69" authorId="42" shapeId="0" xr:uid="{5A1FCED5-4009-4C24-B022-85E0C95AEFBB}">
      <text>
        <t>[Threaded comment]
Your version of Excel allows you to read this threaded comment; however, any edits to it will get removed if the file is opened in a newer version of Excel. Learn more: https://go.microsoft.com/fwlink/?linkid=870924
Comment:
    Number of omissions involving the number of words specified in the "Length" column</t>
      </text>
    </comment>
    <comment ref="F69" authorId="43" shapeId="0" xr:uid="{DC65BBC1-CE65-42F3-A2E0-FE9B3DFAD61F}">
      <text>
        <t>[Threaded comment]
Your version of Excel allows you to read this threaded comment; however, any edits to it will get removed if the file is opened in a newer version of Excel. Learn more: https://go.microsoft.com/fwlink/?linkid=870924
Comment:
    The addition rate for add-omits involving the number of words indicated in the "Length" column</t>
      </text>
    </comment>
    <comment ref="D77" authorId="44" shapeId="0" xr:uid="{76CA6627-F84E-4B03-8EEF-4489BFD8AF1B}">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Jonathan Wilken</author>
    <author>tc={F8B3F60D-40B9-489F-821F-7F8F9365305A}</author>
    <author>tc={75FB77B7-46F0-4B97-A14A-D5ACE243FE14}</author>
    <author>tc={EAB025D5-4B02-48C0-AB3C-2CC3F0164DA9}</author>
    <author>tc={34E35FE1-32B8-4492-8D1E-E002495822B7}</author>
    <author>tc={1C08E9A7-9DBE-4287-8F1C-B319A1FAE0C9}</author>
    <author>tc={3294BA91-65C3-45DC-BE94-3447A2686984}</author>
    <author>tc={176F4F2E-6DB5-4882-83A3-D120DAD21A75}</author>
    <author>tc={A44BBAFF-9699-4CAB-BFB1-CB322E776FC7}</author>
    <author>tc={FD93D019-2CDF-4286-A520-62F4D1F27F96}</author>
    <author>tc={E98B4A87-41C2-4681-9427-115BE2214296}</author>
    <author>tc={5256CE1B-1E5A-4082-906E-9CD7BF02A4A4}</author>
    <author>tc={453DD099-3CD0-44DA-BB89-0711F1834ED7}</author>
    <author>tc={E6C4CDD7-F05C-4FEF-A424-02D7B6E83E71}</author>
  </authors>
  <commentList>
    <comment ref="B1" authorId="0" shapeId="0" xr:uid="{1FFF577B-4943-43AD-A500-EF1755666387}">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2BC16987-C779-4FBE-8A55-6B9923E4E80A}">
      <text>
        <r>
          <rPr>
            <b/>
            <sz val="9"/>
            <color indexed="81"/>
            <rFont val="Tahoma"/>
            <family val="2"/>
          </rPr>
          <t>Jonathan Wilken:</t>
        </r>
        <r>
          <rPr>
            <sz val="9"/>
            <color indexed="81"/>
            <rFont val="Tahoma"/>
            <family val="2"/>
          </rPr>
          <t xml:space="preserve">
Reading from apograph (i.e., younger copy)</t>
        </r>
      </text>
    </comment>
    <comment ref="D1" authorId="0" shapeId="0" xr:uid="{86223A69-0947-44AE-AE2D-437DD124947C}">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68E0C8C3-1A02-41C7-A18D-A825E43F7EFA}">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60885685-A26D-4304-BD5C-736AB08FE352}">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4B7048E8-6974-458D-812F-FB4680E3CD4A}">
      <text>
        <r>
          <rPr>
            <b/>
            <sz val="9"/>
            <color indexed="81"/>
            <rFont val="Tahoma"/>
            <family val="2"/>
          </rPr>
          <t>Jonathan Wilken:</t>
        </r>
        <r>
          <rPr>
            <sz val="9"/>
            <color indexed="81"/>
            <rFont val="Tahoma"/>
            <family val="2"/>
          </rPr>
          <t xml:space="preserve">
Add, omit, transposition, substitution, combo</t>
        </r>
      </text>
    </comment>
    <comment ref="H1" authorId="0" shapeId="0" xr:uid="{485DD664-BA43-4D30-A56D-EABDE44B4108}">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B7251D2B-7916-4802-9212-D781B36E4B93}">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DF6AF876-D2FD-4CA8-AE8C-AFE7E5FB29EE}">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8D79773B-BB9A-4548-AE38-3D7A4D56CAE0}">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487D0D5F-262B-4ED4-B6D4-22140C1F26F6}">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C2DBEF7A-D931-471C-A433-176E53ABB73E}">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9859C4D9-CC5C-439D-8EC6-3AF912A1209B}">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1696A46D-A552-4E1D-8C59-CC189B22CF33}">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9C514D54-D199-48AA-8E7E-F7E0441D6527}">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EBE4DC26-9E17-4B0A-A943-DED5A232CD0A}">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F8B3F60D-40B9-489F-821F-7F8F9365305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75FB77B7-46F0-4B97-A14A-D5ACE243FE14}">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E5F941DF-01F7-43B1-9238-3A7A6BC831C6}">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9807048F-EE2E-4177-BCF9-469FFE57A16F}">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31979FEA-500E-49E1-929C-E2C8385F3ED9}">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168C8C25-F01B-4270-9597-BDF4415350AA}">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52E33151-AD5E-4EF4-BA1F-8867B800A095}">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97914219-A0C1-4185-A3DA-E1A5D9ED84EB}">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B506CEB1-6F67-4827-B964-3C71DBB0489B}">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6" authorId="3" shapeId="0" xr:uid="{EAB025D5-4B02-48C0-AB3C-2CC3F0164DA9}">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17" authorId="4" shapeId="0" xr:uid="{34E35FE1-32B8-4492-8D1E-E002495822B7}">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20" authorId="5" shapeId="0" xr:uid="{1C08E9A7-9DBE-4287-8F1C-B319A1FAE0C9}">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21" authorId="6" shapeId="0" xr:uid="{3294BA91-65C3-45DC-BE94-3447A2686984}">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22" authorId="7" shapeId="0" xr:uid="{176F4F2E-6DB5-4882-83A3-D120DAD21A75}">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23" authorId="8" shapeId="0" xr:uid="{A44BBAFF-9699-4CAB-BFB1-CB322E776FC7}">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24" authorId="9" shapeId="0" xr:uid="{FD93D019-2CDF-4286-A520-62F4D1F27F96}">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25" authorId="10" shapeId="0" xr:uid="{E98B4A87-41C2-4681-9427-115BE2214296}">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28" authorId="11" shapeId="0" xr:uid="{5256CE1B-1E5A-4082-906E-9CD7BF02A4A4}">
      <text>
        <t>[Threaded comment]
Your version of Excel allows you to read this threaded comment; however, any edits to it will get removed if the file is opened in a newer version of Excel. Learn more: https://go.microsoft.com/fwlink/?linkid=870924
Comment:
    Articular additions: the number of additions of an article</t>
      </text>
    </comment>
    <comment ref="D29" authorId="12" shapeId="0" xr:uid="{453DD099-3CD0-44DA-BB89-0711F1834ED7}">
      <text>
        <t>[Threaded comment]
Your version of Excel allows you to read this threaded comment; however, any edits to it will get removed if the file is opened in a newer version of Excel. Learn more: https://go.microsoft.com/fwlink/?linkid=870924
Comment:
    Articular omissions: the number of omissions of an article</t>
      </text>
    </comment>
    <comment ref="D30" authorId="13" shapeId="0" xr:uid="{E6C4CDD7-F05C-4FEF-A424-02D7B6E83E71}">
      <text>
        <t>[Threaded comment]
Your version of Excel allows you to read this threaded comment; however, any edits to it will get removed if the file is opened in a newer version of Excel. Learn more: https://go.microsoft.com/fwlink/?linkid=870924
Comment:
    Articular add ratio: the add ratio for the definite article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Jonathan Wilken</author>
    <author>tc={DBD2AA2D-E0AB-4260-951B-D7D7307C8C4B}</author>
    <author>tc={65275AD8-8574-4733-81E3-B5D3DD666AAC}</author>
    <author>tc={A8757892-0451-4803-B008-063F30B5F0DA}</author>
    <author>tc={C99D9421-EDE2-4C15-A15D-4085A0FBBE31}</author>
    <author>tc={4AC6D097-DE2F-46A6-A9F0-2C4031D8CB46}</author>
    <author>tc={0A11372D-9509-454E-9619-85C9F3EEE715}</author>
    <author>tc={25DBE96D-E908-4818-B285-604524FB5BB0}</author>
    <author>tc={FA4BE9DD-2F5F-471D-953E-243DE140F2F9}</author>
    <author>tc={63EBA0D7-2C13-42B8-8A33-69FC0650200B}</author>
    <author>tc={1EDEB638-637D-4420-8D58-602EB3E5855C}</author>
    <author>tc={FFF755B3-E1CA-4D5B-8F1C-0EF3FB2A6138}</author>
  </authors>
  <commentList>
    <comment ref="B1" authorId="0" shapeId="0" xr:uid="{AC3B1D0D-ACE7-48CC-9CFD-C7322A6415AA}">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67DB92B8-FADC-4FB2-82DA-A5000CDDED05}">
      <text>
        <r>
          <rPr>
            <b/>
            <sz val="9"/>
            <color indexed="81"/>
            <rFont val="Tahoma"/>
            <family val="2"/>
          </rPr>
          <t>Jonathan Wilken:</t>
        </r>
        <r>
          <rPr>
            <sz val="9"/>
            <color indexed="81"/>
            <rFont val="Tahoma"/>
            <family val="2"/>
          </rPr>
          <t xml:space="preserve">
Reading from apograph (i.e., younger copy)</t>
        </r>
      </text>
    </comment>
    <comment ref="D1" authorId="0" shapeId="0" xr:uid="{E63D3AA0-1DCE-4D9C-8CC3-8E3F6F9DB65D}">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A0B371EB-20DD-46A9-AB71-C4BCD3DC4B35}">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9C630678-9C96-41E4-9970-4ECE9E7CA26E}">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BCBCC27F-87A7-46E7-9C12-B85725BA681E}">
      <text>
        <r>
          <rPr>
            <b/>
            <sz val="9"/>
            <color indexed="81"/>
            <rFont val="Tahoma"/>
            <family val="2"/>
          </rPr>
          <t>Jonathan Wilken:</t>
        </r>
        <r>
          <rPr>
            <sz val="9"/>
            <color indexed="81"/>
            <rFont val="Tahoma"/>
            <family val="2"/>
          </rPr>
          <t xml:space="preserve">
Add, omit, transposition, substitution, combo</t>
        </r>
      </text>
    </comment>
    <comment ref="H1" authorId="0" shapeId="0" xr:uid="{85501E0A-E28B-45BE-8950-C33140AB3602}">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13347ECC-60E2-41A5-8204-402E93A557B1}">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CCD25C94-7A38-465F-9FC1-2E9EDD3ED417}">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5C9ACDF7-554C-4235-B7DE-F12D9E654C5F}">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A090591B-40C0-4CD5-9C83-E7B77EFD16C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031566C4-6594-4579-A8A1-0D3E25D97D1A}">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3F31D644-2221-4A77-888A-1729269D149B}">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09E86ABE-BEF3-4420-8E9C-2C80DA989CCD}">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AF3A2C3A-E898-4DB3-A78E-6EF568AC09F2}">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B1C2F20A-3E6A-4213-AED4-863DA9EE55F9}">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DBD2AA2D-E0AB-4260-951B-D7D7307C8C4B}">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65275AD8-8574-4733-81E3-B5D3DD666AAC}">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510EE660-CD46-4BEE-B8DB-C0ACC802FDF1}">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BDAF58AF-D8DE-4878-A4B9-91977E5E7C6C}">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F9095E98-C019-44E7-9E85-AA3E1F9EE888}">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0AA5BD46-AE22-426A-A152-585A0FA5E226}">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A3945FDD-4082-4A3E-8C29-6F88BA5EAAAC}">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43DC4DF7-7CB9-44A0-B80D-634987A8F095}">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E5956DF5-428A-40CE-BBBC-CB6D9700C9F0}">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6" authorId="3" shapeId="0" xr:uid="{A8757892-0451-4803-B008-063F30B5F0DA}">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7" authorId="4" shapeId="0" xr:uid="{C99D9421-EDE2-4C15-A15D-4085A0FBBE31}">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10" authorId="5" shapeId="0" xr:uid="{4AC6D097-DE2F-46A6-A9F0-2C4031D8CB46}">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11" authorId="6" shapeId="0" xr:uid="{0A11372D-9509-454E-9619-85C9F3EEE715}">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12" authorId="7" shapeId="0" xr:uid="{25DBE96D-E908-4818-B285-604524FB5BB0}">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13" authorId="8" shapeId="0" xr:uid="{FA4BE9DD-2F5F-471D-953E-243DE140F2F9}">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14" authorId="9" shapeId="0" xr:uid="{63EBA0D7-2C13-42B8-8A33-69FC0650200B}">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15" authorId="10" shapeId="0" xr:uid="{1EDEB638-637D-4420-8D58-602EB3E5855C}">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16" authorId="11" shapeId="0" xr:uid="{FFF755B3-E1CA-4D5B-8F1C-0EF3FB2A6138}">
      <text>
        <t>[Threaded comment]
Your version of Excel allows you to read this threaded comment; however, any edits to it will get removed if the file is opened in a newer version of Excel. Learn more: https://go.microsoft.com/fwlink/?linkid=870924
Comment:
    The difference in add ratio based on word frequency category. If scribes exhibit preference for the familiar, the HF add ratio should usually be higher than the LF add ratio (thus, the Add Ratio Difference should be positive)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Jonathan Wilken</author>
    <author>tc={5F103F20-7AEE-4206-A052-905D551C60DF}</author>
    <author>tc={3921A440-E807-462B-A530-5331EA7F31C2}</author>
    <author>tc={DB337EFB-4000-4271-9F95-0D8404EAA0C3}</author>
    <author>tc={BE247F1D-DF88-470D-9D4C-92AA1DFAF6A3}</author>
    <author>tc={B0799A1D-9566-485F-8F43-32D964C90222}</author>
  </authors>
  <commentList>
    <comment ref="B1" authorId="0" shapeId="0" xr:uid="{1F52FDF8-BD84-4DF9-8940-ABA3129FD0BE}">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7B7EEDA6-D215-4F04-8E31-727ACFB23A65}">
      <text>
        <r>
          <rPr>
            <b/>
            <sz val="9"/>
            <color indexed="81"/>
            <rFont val="Tahoma"/>
            <family val="2"/>
          </rPr>
          <t>Jonathan Wilken:</t>
        </r>
        <r>
          <rPr>
            <sz val="9"/>
            <color indexed="81"/>
            <rFont val="Tahoma"/>
            <family val="2"/>
          </rPr>
          <t xml:space="preserve">
Reading from apograph (i.e., younger copy)</t>
        </r>
      </text>
    </comment>
    <comment ref="D1" authorId="0" shapeId="0" xr:uid="{43A2C76E-B275-4A5A-AE13-06B5C9736046}">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98E998EC-3411-47F3-BC89-DCCDC1EEE5D8}">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3E7DE6A6-C68D-464E-B052-202544CBC731}">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9BCB8C38-33F6-40FD-BD9B-6C39983C47C2}">
      <text>
        <r>
          <rPr>
            <b/>
            <sz val="9"/>
            <color indexed="81"/>
            <rFont val="Tahoma"/>
            <family val="2"/>
          </rPr>
          <t>Jonathan Wilken:</t>
        </r>
        <r>
          <rPr>
            <sz val="9"/>
            <color indexed="81"/>
            <rFont val="Tahoma"/>
            <family val="2"/>
          </rPr>
          <t xml:space="preserve">
Add, omit, transposition, substitution, combo</t>
        </r>
      </text>
    </comment>
    <comment ref="H1" authorId="0" shapeId="0" xr:uid="{F31791B5-5C3B-4E1B-9262-5AFBE3A26D5E}">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1B054996-7562-47B2-86B6-AC7879181BB1}">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8493E56D-1F4C-467B-AFE5-73330EAF312F}">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6BF9E661-FDC4-4482-961C-E81AFE2FC6BB}">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6734AB31-1BA8-48C7-8146-4DA9A451340A}">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E6EC6663-C441-4CE2-BC35-74D5D606E853}">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B4A2781C-A751-4D8A-B4D9-4388AFB854E1}">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CE568C83-7DDE-480A-8EDC-57EA3216581B}">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6A51C207-A85C-47C4-865C-38CE758B37FC}">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9AB757A8-7303-48BC-BE5D-AF7B8D05371A}">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5F103F20-7AEE-4206-A052-905D551C60DF}">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3921A440-E807-462B-A530-5331EA7F31C2}">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Y1" authorId="0" shapeId="0" xr:uid="{48290497-B86E-44FB-9D92-5A2F462400E7}">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BCAFB350-EB75-4F3D-88D2-565623B51A85}">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FB687760-F4C7-47AE-9037-626079856497}">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D40F2A31-D50C-46DC-8E01-403BE9F354AE}">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495D39DE-BBD2-457C-AD7C-517BF9788519}">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A2DDCAC4-A1D9-4F92-BAD0-873BD0FF892D}">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436FDA9D-EAF4-4669-8996-A46DF5AA0E0E}">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8" authorId="3" shapeId="0" xr:uid="{DB337EFB-4000-4271-9F95-0D8404EAA0C3}">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33" authorId="4" shapeId="0" xr:uid="{BE247F1D-DF88-470D-9D4C-92AA1DFAF6A3}">
      <text>
        <t>[Threaded comment]
Your version of Excel allows you to read this threaded comment; however, any edits to it will get removed if the file is opened in a newer version of Excel. Learn more: https://go.microsoft.com/fwlink/?linkid=870924
Comment:
    Total number of substitutions for which a word frequency difference could be calculated</t>
      </text>
    </comment>
    <comment ref="D34" authorId="5" shapeId="0" xr:uid="{B0799A1D-9566-485F-8F43-32D964C90222}">
      <text>
        <t>[Threaded comment]
Your version of Excel allows you to read this threaded comment; however, any edits to it will get removed if the file is opened in a newer version of Excel. Learn more: https://go.microsoft.com/fwlink/?linkid=870924
Comment:
    The standard deviation of word frequency difference scores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Jonathan Wilken</author>
    <author>tc={F4B4C5A4-3246-4032-B1D8-165C164A5D65}</author>
    <author>tc={AD328834-B5AD-44BA-B659-EE42B3C3E417}</author>
    <author>tc={F7CC5031-C068-4958-9291-A0EA6D93DBBB}</author>
    <author>tc={43A919E2-9981-4DD9-AD96-4601D145ADFC}</author>
    <author>tc={FEC708A9-70FD-4C58-AB27-F6C8F344E5A0}</author>
  </authors>
  <commentList>
    <comment ref="B1" authorId="0" shapeId="0" xr:uid="{C2E6C457-B212-4BA6-BEB2-55CBC799643B}">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6460A069-0379-426B-A3E3-4B316F9117FD}">
      <text>
        <r>
          <rPr>
            <b/>
            <sz val="9"/>
            <color indexed="81"/>
            <rFont val="Tahoma"/>
            <family val="2"/>
          </rPr>
          <t>Jonathan Wilken:</t>
        </r>
        <r>
          <rPr>
            <sz val="9"/>
            <color indexed="81"/>
            <rFont val="Tahoma"/>
            <family val="2"/>
          </rPr>
          <t xml:space="preserve">
Reading from apograph (i.e., younger copy)</t>
        </r>
      </text>
    </comment>
    <comment ref="D1" authorId="0" shapeId="0" xr:uid="{1D1AFEC6-77DC-4BBD-B673-05E399D1B39D}">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E3B0C8FB-EA0E-40E0-AAB3-9529BF4AA8D8}">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7EC4453C-C60D-4B3D-86CD-686C06F8F3BD}">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H1" authorId="0" shapeId="0" xr:uid="{95A254D0-8ED8-437F-8912-200747CDF853}">
      <text>
        <r>
          <rPr>
            <b/>
            <sz val="9"/>
            <color indexed="81"/>
            <rFont val="Tahoma"/>
            <family val="2"/>
          </rPr>
          <t>Jonathan Wilken:</t>
        </r>
        <r>
          <rPr>
            <sz val="9"/>
            <color indexed="81"/>
            <rFont val="Tahoma"/>
            <family val="2"/>
          </rPr>
          <t xml:space="preserve">
Add, omit, transposition, substitution, combo</t>
        </r>
      </text>
    </comment>
    <comment ref="I1" authorId="0" shapeId="0" xr:uid="{7295CFE1-50B4-43B9-B2E8-6CF23023FA24}">
      <text>
        <r>
          <rPr>
            <b/>
            <sz val="9"/>
            <color indexed="81"/>
            <rFont val="Tahoma"/>
            <family val="2"/>
          </rPr>
          <t>Jonathan Wilken:</t>
        </r>
        <r>
          <rPr>
            <sz val="9"/>
            <color indexed="81"/>
            <rFont val="Tahoma"/>
            <family val="2"/>
          </rPr>
          <t xml:space="preserve">
For add/omits. Should only be used if complete phrases &gt;= 1. Set to 0 for &lt; 1.
</t>
        </r>
      </text>
    </comment>
    <comment ref="J1" authorId="0" shapeId="0" xr:uid="{36B50988-7255-47FE-BDC1-8963B603ED45}">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K1" authorId="0" shapeId="0" xr:uid="{89053A13-EC85-43EF-902D-2B4117E55BED}">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L1" authorId="0" shapeId="0" xr:uid="{73982E6B-7932-4C57-B327-B85754E99025}">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M1" authorId="0" shapeId="0" xr:uid="{FBAE915E-8EF6-4AE1-BDD3-6F841C7AAE42}">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N1" authorId="0" shapeId="0" xr:uid="{2A7124D4-4A8E-430D-9923-0F09AD49A49D}">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O1" authorId="0" shapeId="0" xr:uid="{FB8D8CAC-A60D-42F4-84B5-6CACF91E987A}">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P1" authorId="0" shapeId="0" xr:uid="{CCB63CC7-D178-4A4A-8E43-AC8E1605E001}">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Q1" authorId="0" shapeId="0" xr:uid="{C2238336-4301-41D2-A28D-6AE59855E8BF}">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DD062F35-062E-48B0-B591-82E459B5EEB0}">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F4B4C5A4-3246-4032-B1D8-165C164A5D65}">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AD328834-B5AD-44BA-B659-EE42B3C3E417}">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FA387B5E-2B50-43F7-A811-E2AA8E4F5F40}">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84084412-AEBF-441E-9F85-4753A88BC536}">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F0F0113B-81E9-42FD-BAC4-45A03BF26208}">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EC4E93B6-B9C6-4E80-AEDC-959DA33BA95A}">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F5DF567A-2D6E-48B8-B819-AB70A4838B07}">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7F259A1D-D5DE-4200-998B-252A84FE6FA3}">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D08E0457-A35A-49A8-AEC7-3F5946DC2646}">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20" authorId="3" shapeId="0" xr:uid="{F7CC5031-C068-4958-9291-A0EA6D93DBBB}">
      <text>
        <t>[Threaded comment]
Your version of Excel allows you to read this threaded comment; however, any edits to it will get removed if the file is opened in a newer version of Excel. Learn more: https://go.microsoft.com/fwlink/?linkid=870924
Comment:
    The number of variants that harmonized to parallel phrases in the near context</t>
      </text>
    </comment>
    <comment ref="D21" authorId="4" shapeId="0" xr:uid="{43A919E2-9981-4DD9-AD96-4601D145ADFC}">
      <text>
        <t>[Threaded comment]
Your version of Excel allows you to read this threaded comment; however, any edits to it will get removed if the file is opened in a newer version of Excel. Learn more: https://go.microsoft.com/fwlink/?linkid=870924
Comment:
    The number of variants that disharmonized from  parallel phrases in the near context</t>
      </text>
    </comment>
    <comment ref="D22" authorId="5" shapeId="0" xr:uid="{FEC708A9-70FD-4C58-AB27-F6C8F344E5A0}">
      <text>
        <t>[Threaded comment]
Your version of Excel allows you to read this threaded comment; however, any edits to it will get removed if the file is opened in a newer version of Excel. Learn more: https://go.microsoft.com/fwlink/?linkid=870924
Comment:
    The ratio of harmonizations to disharmonizations; = harmonizations / (harmonizations + disharmonizations)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tc={C4B2FD29-E485-44A6-904A-32D5014E5899}</author>
    <author>tc={9304BCE1-2907-4236-91FA-088E74823AA7}</author>
    <author>tc={EBDDB76B-ECE8-4647-BDB6-0A838853E4A1}</author>
    <author>tc={EDB55FA4-A7AC-4BB4-8A25-D3FA97E4B582}</author>
    <author>tc={9DDAA3A4-5356-41D5-80C1-6F21E5FE1460}</author>
  </authors>
  <commentList>
    <comment ref="A1" authorId="0" shapeId="0" xr:uid="{C4B2FD29-E485-44A6-904A-32D5014E5899}">
      <text>
        <t>[Threaded comment]
Your version of Excel allows you to read this threaded comment; however, any edits to it will get removed if the file is opened in a newer version of Excel. Learn more: https://go.microsoft.com/fwlink/?linkid=870924
Comment:
    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
      </text>
    </comment>
    <comment ref="A2" authorId="1" shapeId="0" xr:uid="{9304BCE1-2907-4236-91FA-088E74823AA7}">
      <text>
        <t>[Threaded comment]
Your version of Excel allows you to read this threaded comment; however, any edits to it will get removed if the file is opened in a newer version of Excel. Learn more: https://go.microsoft.com/fwlink/?linkid=870924
Comment:
    The number of total deviations from the exemplar. Includes itacisms, orthographic changes, nonsense readings etc.</t>
      </text>
    </comment>
    <comment ref="A3" authorId="2" shapeId="0" xr:uid="{EBDDB76B-ECE8-4647-BDB6-0A838853E4A1}">
      <text>
        <t>[Threaded comment]
Your version of Excel allows you to read this threaded comment; however, any edits to it will get removed if the file is opened in a newer version of Excel. Learn more: https://go.microsoft.com/fwlink/?linkid=870924
Comment:
    The number of "meaningful" variants produced by the scribe. Should be based on the "general filters" page, with those readings excluded that have not been deemed fit for analysis (e.g., nonsense readings and corrections thereof, itacisms etc.)</t>
      </text>
    </comment>
    <comment ref="A5" authorId="3" shapeId="0" xr:uid="{EDB55FA4-A7AC-4BB4-8A25-D3FA97E4B582}">
      <text>
        <t>[Threaded comment]
Your version of Excel allows you to read this threaded comment; however, any edits to it will get removed if the file is opened in a newer version of Excel. Learn more: https://go.microsoft.com/fwlink/?linkid=870924
Comment:
    The rate of error generation per 1000 words in the apograph. Figure includes itacisms, orthographic changes, nonsense readings etc.</t>
      </text>
    </comment>
    <comment ref="A6" authorId="4" shapeId="0" xr:uid="{9DDAA3A4-5356-41D5-80C1-6F21E5FE1460}">
      <text>
        <t>[Threaded comment]
Your version of Excel allows you to read this threaded comment; however, any edits to it will get removed if the file is opened in a newer version of Excel. Learn more: https://go.microsoft.com/fwlink/?linkid=870924
Comment:
    Frequency of "meaningful" errors per 1000 words in the apograph. "Meaningful" errors are defined by the general filters applied to the raw data. (Here, this means the exclusion of such readings as itacisms, orthographic changes, variants involving nonsense readings etc.)</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Jonathan Wilken</author>
    <author>tc={A1C5332B-88AA-4B83-AAD9-A3B93A9071E6}</author>
    <author>tc={1B9938A4-1C03-4D8C-9F9D-9A6F1DAD277F}</author>
    <author>tc={F80E6062-5FB5-40A2-84DD-622A30330BE2}</author>
    <author>tc={6A36EA43-D646-40E2-B193-E1084727A5A3}</author>
  </authors>
  <commentList>
    <comment ref="A1" authorId="0" shapeId="0" xr:uid="{D9DC8817-7025-4527-99E4-108A31973259}">
      <text>
        <r>
          <rPr>
            <b/>
            <sz val="9"/>
            <color indexed="81"/>
            <rFont val="Tahoma"/>
            <family val="2"/>
          </rPr>
          <t>Jonathan Wilken:</t>
        </r>
        <r>
          <rPr>
            <sz val="9"/>
            <color indexed="81"/>
            <rFont val="Tahoma"/>
            <family val="2"/>
          </rPr>
          <t xml:space="preserve">
Potential reasons why this reading should not be included in data analysis</t>
        </r>
      </text>
    </comment>
    <comment ref="B1" authorId="0" shapeId="0" xr:uid="{DBD73787-D636-450D-B8CA-A1C3187C2760}">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C1" authorId="0" shapeId="0" xr:uid="{AA1F8A15-4472-4A06-84C7-ADFB670CE0A9}">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D1" authorId="0" shapeId="0" xr:uid="{4874C4CE-DC41-4F37-B255-010D505F7E2F}">
      <text>
        <r>
          <rPr>
            <b/>
            <sz val="9"/>
            <color indexed="81"/>
            <rFont val="Tahoma"/>
            <family val="2"/>
          </rPr>
          <t>Jonathan Wilken:</t>
        </r>
        <r>
          <rPr>
            <sz val="9"/>
            <color indexed="81"/>
            <rFont val="Tahoma"/>
            <family val="2"/>
          </rPr>
          <t xml:space="preserve">
Add, omit, transposition, substitution, combo</t>
        </r>
      </text>
    </comment>
    <comment ref="K3" authorId="1" shapeId="0" xr:uid="{A1C5332B-88AA-4B83-AAD9-A3B93A9071E6}">
      <text>
        <t>[Threaded comment]
Your version of Excel allows you to read this threaded comment; however, any edits to it will get removed if the file is opened in a newer version of Excel. Learn more: https://go.microsoft.com/fwlink/?linkid=870924
Comment:
    The apograph reading is singular and the autograph reading is not. The singular readings method would detect this variant</t>
      </text>
    </comment>
    <comment ref="K4" authorId="2" shapeId="0" xr:uid="{1B9938A4-1C03-4D8C-9F9D-9A6F1DAD277F}">
      <text>
        <t>[Threaded comment]
Your version of Excel allows you to read this threaded comment; however, any edits to it will get removed if the file is opened in a newer version of Excel. Learn more: https://go.microsoft.com/fwlink/?linkid=870924
Comment:
    That is, the autograph contains a singular reading and the apograph followed it</t>
      </text>
    </comment>
    <comment ref="K5" authorId="3" shapeId="0" xr:uid="{F80E6062-5FB5-40A2-84DD-622A30330BE2}">
      <text>
        <t>[Threaded comment]
Your version of Excel allows you to read this threaded comment; however, any edits to it will get removed if the file is opened in a newer version of Excel. Learn more: https://go.microsoft.com/fwlink/?linkid=870924
Comment:
    The apograph reading is not singular: other witnesses contain the same reading. These are real variants produced by the apograph scribe, but the singular readings method would not detect them</t>
      </text>
    </comment>
    <comment ref="M13" authorId="4" shapeId="0" xr:uid="{6A36EA43-D646-40E2-B193-E1084727A5A3}">
      <text>
        <t>[Threaded comment]
Your version of Excel allows you to read this threaded comment; however, any edits to it will get removed if the file is opened in a newer version of Excel. Learn more: https://go.microsoft.com/fwlink/?linkid=870924
Comment:
    For words which have multiple common forms not impacting their inflection (e.g., ουκ-ουχ-ου, επι-επ-εφ)</t>
      </text>
    </comment>
  </commentList>
</comments>
</file>

<file path=xl/sharedStrings.xml><?xml version="1.0" encoding="utf-8"?>
<sst xmlns="http://schemas.openxmlformats.org/spreadsheetml/2006/main" count="3110" uniqueCount="736">
  <si>
    <t>Verse Ref</t>
  </si>
  <si>
    <t>Phys Loc 1</t>
  </si>
  <si>
    <t>Phys Loc 2</t>
  </si>
  <si>
    <t>Basic Type</t>
  </si>
  <si>
    <t>Harmonizing</t>
  </si>
  <si>
    <t>Detail</t>
  </si>
  <si>
    <t>Exclusion grounds</t>
  </si>
  <si>
    <t>Corrector followed</t>
  </si>
  <si>
    <t>Apograph corrected</t>
  </si>
  <si>
    <t>εποιησεν</t>
  </si>
  <si>
    <t>αγιων</t>
  </si>
  <si>
    <t>αι</t>
  </si>
  <si>
    <t>εποιησαν</t>
  </si>
  <si>
    <t>χρυσιου</t>
  </si>
  <si>
    <t>υφαντον</t>
  </si>
  <si>
    <t>αυτο</t>
  </si>
  <si>
    <t>αυτου</t>
  </si>
  <si>
    <t>Exod.36.14</t>
  </si>
  <si>
    <t>επωμειδος</t>
  </si>
  <si>
    <t>επωμιδους</t>
  </si>
  <si>
    <t>Exod.36.17</t>
  </si>
  <si>
    <t>σαρδιον</t>
  </si>
  <si>
    <t>σαρδιων</t>
  </si>
  <si>
    <t>Exod.36.19</t>
  </si>
  <si>
    <t>Exod.36.20</t>
  </si>
  <si>
    <t>χρυσειω</t>
  </si>
  <si>
    <t>Exod.36.21</t>
  </si>
  <si>
    <t>ενγεγλυμμενοι</t>
  </si>
  <si>
    <t>ενγεγλυμενα</t>
  </si>
  <si>
    <t>Exod.36.22</t>
  </si>
  <si>
    <t>ενπλοκιου</t>
  </si>
  <si>
    <t>εμπλοκιου</t>
  </si>
  <si>
    <t>χρυσειου</t>
  </si>
  <si>
    <t>Exod.36.25</t>
  </si>
  <si>
    <t>Exod.36.26</t>
  </si>
  <si>
    <t>οπισθιου</t>
  </si>
  <si>
    <t>οπισθου</t>
  </si>
  <si>
    <t>Exod.36.28</t>
  </si>
  <si>
    <t>συνεσφιγξεν</t>
  </si>
  <si>
    <t>συνεοφιξεν</t>
  </si>
  <si>
    <t>δακτυλιους</t>
  </si>
  <si>
    <t>δακτυλειους</t>
  </si>
  <si>
    <t>λογιον</t>
  </si>
  <si>
    <t>λογειον</t>
  </si>
  <si>
    <t>Exod.37.3</t>
  </si>
  <si>
    <t>υφαντου</t>
  </si>
  <si>
    <t>Exod.37.4</t>
  </si>
  <si>
    <t>κεφαλειδες</t>
  </si>
  <si>
    <t>κεφαλιδες</t>
  </si>
  <si>
    <t>Exod.37.5</t>
  </si>
  <si>
    <t>Exod.38.1</t>
  </si>
  <si>
    <t>δυο</t>
  </si>
  <si>
    <t>πηχεως</t>
  </si>
  <si>
    <t>Exod.38.3</t>
  </si>
  <si>
    <t>τσσσαρας</t>
  </si>
  <si>
    <t>τεσσαρας</t>
  </si>
  <si>
    <t>Exod.38.4</t>
  </si>
  <si>
    <t>εισηνεγκεν</t>
  </si>
  <si>
    <t>εισενεγκεν</t>
  </si>
  <si>
    <t>Exod.38.5</t>
  </si>
  <si>
    <t>Exod.38.8</t>
  </si>
  <si>
    <t>συνσκιαζοντες</t>
  </si>
  <si>
    <t>συσκιαζοντες</t>
  </si>
  <si>
    <t>Exod.38.9</t>
  </si>
  <si>
    <t>Exod.38.10</t>
  </si>
  <si>
    <t>αυτους</t>
  </si>
  <si>
    <t>τραπεζαν</t>
  </si>
  <si>
    <t>αυτοις</t>
  </si>
  <si>
    <t>αυτων</t>
  </si>
  <si>
    <t>αγιον</t>
  </si>
  <si>
    <t>θυσιαστηριον</t>
  </si>
  <si>
    <t>Exod.40.12</t>
  </si>
  <si>
    <t>Exod.40.19</t>
  </si>
  <si>
    <t>εξετεινεν</t>
  </si>
  <si>
    <t>εξετεινε</t>
  </si>
  <si>
    <t>Exod.40.21</t>
  </si>
  <si>
    <t>κατακαλυμμα</t>
  </si>
  <si>
    <t>καταλυμμα</t>
  </si>
  <si>
    <t>Exod.40.22</t>
  </si>
  <si>
    <t>τραπεσαν</t>
  </si>
  <si>
    <t>Exod.40.23</t>
  </si>
  <si>
    <t>προεθηκεν</t>
  </si>
  <si>
    <t>προσεθηκεν</t>
  </si>
  <si>
    <t>Exod.40.25</t>
  </si>
  <si>
    <t>εναντι</t>
  </si>
  <si>
    <t>εναναντι</t>
  </si>
  <si>
    <t>Exod.40.30</t>
  </si>
  <si>
    <t>προσπορευωνται</t>
  </si>
  <si>
    <t>προσπορευονται</t>
  </si>
  <si>
    <t>Exod.40.35</t>
  </si>
  <si>
    <t>επεσκιαζεν</t>
  </si>
  <si>
    <t>επεσκιαξεν</t>
  </si>
  <si>
    <t>Exod.40.36</t>
  </si>
  <si>
    <t>Exod.40.38</t>
  </si>
  <si>
    <t>νυκτος</t>
  </si>
  <si>
    <t>νυκτας</t>
  </si>
  <si>
    <t>Lev.1.3</t>
  </si>
  <si>
    <t>ολοκαυτωμα</t>
  </si>
  <si>
    <t>ολοκαυτομα</t>
  </si>
  <si>
    <t>Lev.1.4</t>
  </si>
  <si>
    <t>επιθησει</t>
  </si>
  <si>
    <t>εξειλασασθαι</t>
  </si>
  <si>
    <t>εξειλασασθει</t>
  </si>
  <si>
    <t>Lev.1.5</t>
  </si>
  <si>
    <t>προσοισουσιν</t>
  </si>
  <si>
    <t>προσουσιν</t>
  </si>
  <si>
    <t>Lev.1.9</t>
  </si>
  <si>
    <t>οσμη</t>
  </si>
  <si>
    <t>οσμης</t>
  </si>
  <si>
    <t>Lev.1.11</t>
  </si>
  <si>
    <t>αυτον</t>
  </si>
  <si>
    <t>Lev.1.14</t>
  </si>
  <si>
    <t>πετεινων</t>
  </si>
  <si>
    <t>πετηνων</t>
  </si>
  <si>
    <t>Lev.1.15</t>
  </si>
  <si>
    <t>ουσιαστηριον</t>
  </si>
  <si>
    <t>Lev.1.17</t>
  </si>
  <si>
    <t>θυσια</t>
  </si>
  <si>
    <t>θυσιας</t>
  </si>
  <si>
    <t>Lev.2.2</t>
  </si>
  <si>
    <t>αυτα</t>
  </si>
  <si>
    <t>Lev.2.3</t>
  </si>
  <si>
    <t>Lev.2.4</t>
  </si>
  <si>
    <t>διακεχρεισμενα</t>
  </si>
  <si>
    <t>διακεχρωσμενα</t>
  </si>
  <si>
    <t>Lev.2.5</t>
  </si>
  <si>
    <t>πειφυραμενη</t>
  </si>
  <si>
    <t>πεφυραμενη</t>
  </si>
  <si>
    <t>Lev.2.10</t>
  </si>
  <si>
    <t>καταλειφθεν</t>
  </si>
  <si>
    <t>καταλειφεν</t>
  </si>
  <si>
    <t>Lev.2.11</t>
  </si>
  <si>
    <t>μελι</t>
  </si>
  <si>
    <t>μελιν</t>
  </si>
  <si>
    <t>Lev.2.12</t>
  </si>
  <si>
    <t>αναβησεται</t>
  </si>
  <si>
    <t>αναβιβασετε</t>
  </si>
  <si>
    <t>Lev.3.3</t>
  </si>
  <si>
    <t>κολιαν</t>
  </si>
  <si>
    <t>Lev.3.8</t>
  </si>
  <si>
    <t>επιθησεις</t>
  </si>
  <si>
    <t>σφαξει</t>
  </si>
  <si>
    <t>σφαξεις</t>
  </si>
  <si>
    <t>Lev.3.9</t>
  </si>
  <si>
    <t>Lev.3.11</t>
  </si>
  <si>
    <t>ιερευς</t>
  </si>
  <si>
    <t>ιερεος</t>
  </si>
  <si>
    <t>Lev.3.12</t>
  </si>
  <si>
    <t>αιγων</t>
  </si>
  <si>
    <t>αιγιων</t>
  </si>
  <si>
    <t>Lev.3.14</t>
  </si>
  <si>
    <t>Lev.3.15</t>
  </si>
  <si>
    <t>Lev.3.16</t>
  </si>
  <si>
    <t>οσμην</t>
  </si>
  <si>
    <t>Lev.3.17</t>
  </si>
  <si>
    <t>νομιμον</t>
  </si>
  <si>
    <t>νομικον</t>
  </si>
  <si>
    <t>εδεσθε</t>
  </si>
  <si>
    <t>ειδεσθε</t>
  </si>
  <si>
    <t>Lev.4.2</t>
  </si>
  <si>
    <t>απαντων</t>
  </si>
  <si>
    <t>Lev.4.5</t>
  </si>
  <si>
    <t>χρειστος</t>
  </si>
  <si>
    <t>χριστος</t>
  </si>
  <si>
    <t>Lev.4.6</t>
  </si>
  <si>
    <t>αιγιον</t>
  </si>
  <si>
    <t>Lev.4.7</t>
  </si>
  <si>
    <t>Lev.4.10</t>
  </si>
  <si>
    <t>Lev.4.11</t>
  </si>
  <si>
    <t>κοπρω</t>
  </si>
  <si>
    <t>κορπω</t>
  </si>
  <si>
    <t>Lev.4.12</t>
  </si>
  <si>
    <t>κατακαυσουσιν</t>
  </si>
  <si>
    <t>κατακουσουσιν</t>
  </si>
  <si>
    <t>Lev.4.14</t>
  </si>
  <si>
    <t>γνωσθη</t>
  </si>
  <si>
    <t>εγνωσθη</t>
  </si>
  <si>
    <t>Lev.4.18</t>
  </si>
  <si>
    <t>Lev.4.20</t>
  </si>
  <si>
    <t>ον</t>
  </si>
  <si>
    <t>εξειλασετε</t>
  </si>
  <si>
    <t>εξειλασεται</t>
  </si>
  <si>
    <t>Lev.4.21</t>
  </si>
  <si>
    <t>Lev.4.22</t>
  </si>
  <si>
    <t>πλημμεληση</t>
  </si>
  <si>
    <t>πλημμεληθη</t>
  </si>
  <si>
    <t>Lev.4.23</t>
  </si>
  <si>
    <t>Lev.4.25</t>
  </si>
  <si>
    <t>ολοκαυτωματων</t>
  </si>
  <si>
    <t>ολοκαυτοματων</t>
  </si>
  <si>
    <t>Lev.4.26</t>
  </si>
  <si>
    <t>θυσιστηριον</t>
  </si>
  <si>
    <t>Lev.13.51</t>
  </si>
  <si>
    <t>Lev.13.55</t>
  </si>
  <si>
    <t>μετεβαλη</t>
  </si>
  <si>
    <t>εστηρισται</t>
  </si>
  <si>
    <t>εστηρικται</t>
  </si>
  <si>
    <t>Lev.13.56</t>
  </si>
  <si>
    <t>Lev.13.58</t>
  </si>
  <si>
    <t>Lev.13.59</t>
  </si>
  <si>
    <t>στιππυινου</t>
  </si>
  <si>
    <t>στιπποινου</t>
  </si>
  <si>
    <t>Lev.14.4</t>
  </si>
  <si>
    <t>δυω</t>
  </si>
  <si>
    <t>Lev.14.34</t>
  </si>
  <si>
    <t>Lev.14.35</t>
  </si>
  <si>
    <t>εξει</t>
  </si>
  <si>
    <t>Lev.14.37</t>
  </si>
  <si>
    <t>Lev.14.38</t>
  </si>
  <si>
    <t>ημερας</t>
  </si>
  <si>
    <t>μμερας</t>
  </si>
  <si>
    <t>Lev.14.43</t>
  </si>
  <si>
    <t>Lev.14.45</t>
  </si>
  <si>
    <t>Lev.14.47</t>
  </si>
  <si>
    <t>οσκοιμενος</t>
  </si>
  <si>
    <t>Lev.14.48</t>
  </si>
  <si>
    <t>εισσελθη</t>
  </si>
  <si>
    <t>εισελθη</t>
  </si>
  <si>
    <t>σου</t>
  </si>
  <si>
    <t>απεναντι</t>
  </si>
  <si>
    <t>Lev.16.30</t>
  </si>
  <si>
    <t>Lev.16.32</t>
  </si>
  <si>
    <t>Lev.16.33</t>
  </si>
  <si>
    <t>εξαλασεται</t>
  </si>
  <si>
    <t>Lev.16.34</t>
  </si>
  <si>
    <t>υμιν</t>
  </si>
  <si>
    <t>μμιν</t>
  </si>
  <si>
    <t>ποιηθησετε</t>
  </si>
  <si>
    <t>Lev.17.2</t>
  </si>
  <si>
    <t>Lev.17.4</t>
  </si>
  <si>
    <t>εκεινη</t>
  </si>
  <si>
    <t>εκειννη</t>
  </si>
  <si>
    <t>Lev.17.5</t>
  </si>
  <si>
    <t>Lev.17.6</t>
  </si>
  <si>
    <t>απειναντι</t>
  </si>
  <si>
    <t>Lev.17.7</t>
  </si>
  <si>
    <t>Lev.17.8</t>
  </si>
  <si>
    <t>Lev.17.10</t>
  </si>
  <si>
    <t>Lev.18.29</t>
  </si>
  <si>
    <t>ποιηση</t>
  </si>
  <si>
    <t>πανηση</t>
  </si>
  <si>
    <t>Lev.18.30</t>
  </si>
  <si>
    <t>Lev.19.4</t>
  </si>
  <si>
    <t>επακολουθησετε</t>
  </si>
  <si>
    <t>επακολοθησετε</t>
  </si>
  <si>
    <t>θεους</t>
  </si>
  <si>
    <t>θεος</t>
  </si>
  <si>
    <t>Lev.19.8</t>
  </si>
  <si>
    <t>Lev.19.9</t>
  </si>
  <si>
    <t>εκθεριζοντων</t>
  </si>
  <si>
    <t>εκθεριζουτων</t>
  </si>
  <si>
    <t>Lev.19.10</t>
  </si>
  <si>
    <t>ου</t>
  </si>
  <si>
    <t>προσηλυτω</t>
  </si>
  <si>
    <t>προσελυτω</t>
  </si>
  <si>
    <t>Lev.19.11</t>
  </si>
  <si>
    <t>κλεψετε</t>
  </si>
  <si>
    <t>κλειψετε</t>
  </si>
  <si>
    <t>Lev.19.13</t>
  </si>
  <si>
    <t>Lev.19.16</t>
  </si>
  <si>
    <t>Lev.19.17</t>
  </si>
  <si>
    <t>Lev.19.18</t>
  </si>
  <si>
    <t>εδικαται</t>
  </si>
  <si>
    <t>Lev.19.21</t>
  </si>
  <si>
    <t>πλημμελειας</t>
  </si>
  <si>
    <t>πλημμελας</t>
  </si>
  <si>
    <t>Lev.19.23</t>
  </si>
  <si>
    <t>Lev.19.26</t>
  </si>
  <si>
    <t>οιωνιεισθε</t>
  </si>
  <si>
    <t>οιωνιεεσθε</t>
  </si>
  <si>
    <t>Lev.19.29</t>
  </si>
  <si>
    <t>πλησθησεται</t>
  </si>
  <si>
    <t>πλησθηται</t>
  </si>
  <si>
    <t>Lev.19.32</t>
  </si>
  <si>
    <t>τειμησεις</t>
  </si>
  <si>
    <t>τιμησεις</t>
  </si>
  <si>
    <t>Lev.19.33</t>
  </si>
  <si>
    <t>προσηλυτος</t>
  </si>
  <si>
    <t>Lev.19.34</t>
  </si>
  <si>
    <t>προσηλυτοι</t>
  </si>
  <si>
    <t>Num.25.3</t>
  </si>
  <si>
    <t>Num.25.4</t>
  </si>
  <si>
    <t>Num.25.5</t>
  </si>
  <si>
    <t>αποκτειναται</t>
  </si>
  <si>
    <t>αποκτεινατε</t>
  </si>
  <si>
    <t>Num.25.6</t>
  </si>
  <si>
    <t>αικλαιον</t>
  </si>
  <si>
    <t>εικλαιον</t>
  </si>
  <si>
    <t>Num.25.7</t>
  </si>
  <si>
    <t>Num.25.8</t>
  </si>
  <si>
    <t>ισραηλειτου</t>
  </si>
  <si>
    <t>ισραηλειτην</t>
  </si>
  <si>
    <t>ισραηλιτην</t>
  </si>
  <si>
    <t>μ____</t>
  </si>
  <si>
    <t>Num.25.12</t>
  </si>
  <si>
    <t>ειδου</t>
  </si>
  <si>
    <t>ιδου</t>
  </si>
  <si>
    <t>Num.25.14</t>
  </si>
  <si>
    <t>ι̅η̅λ̅λειτου</t>
  </si>
  <si>
    <t>Num.25.15</t>
  </si>
  <si>
    <t>σομμοθ</t>
  </si>
  <si>
    <t>Num.25.17</t>
  </si>
  <si>
    <t>εχθρενετε</t>
  </si>
  <si>
    <t>εκθρενετε</t>
  </si>
  <si>
    <t>Num.25.18</t>
  </si>
  <si>
    <t>χασσβει</t>
  </si>
  <si>
    <t>Num.26.2</t>
  </si>
  <si>
    <t>ετους</t>
  </si>
  <si>
    <t>ετος</t>
  </si>
  <si>
    <t>Num.29.13</t>
  </si>
  <si>
    <t>ολοκαυτωματα</t>
  </si>
  <si>
    <t>κρειους</t>
  </si>
  <si>
    <t>κριους</t>
  </si>
  <si>
    <t>Num.29.16</t>
  </si>
  <si>
    <t>Num.29.18</t>
  </si>
  <si>
    <t>Num.29.19</t>
  </si>
  <si>
    <t>χειμαρρον</t>
  </si>
  <si>
    <t>χιμαρρον</t>
  </si>
  <si>
    <t>Num.29.20</t>
  </si>
  <si>
    <t>ενιαυσιους</t>
  </si>
  <si>
    <t>αμωμους</t>
  </si>
  <si>
    <t>Num.29.21</t>
  </si>
  <si>
    <t>αυ</t>
  </si>
  <si>
    <t>συγκρισιμ</t>
  </si>
  <si>
    <t>συγκρισιν</t>
  </si>
  <si>
    <t>Num.29.23</t>
  </si>
  <si>
    <t>Num.29.24</t>
  </si>
  <si>
    <t>συνκρισιν</t>
  </si>
  <si>
    <t>Num.29.25</t>
  </si>
  <si>
    <t>Num.29.28</t>
  </si>
  <si>
    <t>χειμαρον</t>
  </si>
  <si>
    <t>Num.29.29</t>
  </si>
  <si>
    <t>αμωνους</t>
  </si>
  <si>
    <t>Num.29.30</t>
  </si>
  <si>
    <t>α̅ι̅</t>
  </si>
  <si>
    <t>Num.29.32</t>
  </si>
  <si>
    <t>ενιαυσειους</t>
  </si>
  <si>
    <t>yes</t>
  </si>
  <si>
    <t>Autograph unclear (but clear enough)</t>
  </si>
  <si>
    <t>λιθων στιχος</t>
  </si>
  <si>
    <t>στιχος λιθων</t>
  </si>
  <si>
    <t>ο στιχος ο εις</t>
  </si>
  <si>
    <t>ο στιχος εις</t>
  </si>
  <si>
    <t>ο στιχος ο τριτος</t>
  </si>
  <si>
    <t>ο στιχος τριτος</t>
  </si>
  <si>
    <t>και ο στιχος</t>
  </si>
  <si>
    <t>και και ο στιχος</t>
  </si>
  <si>
    <t>χρυσιω(1)</t>
  </si>
  <si>
    <t>επ αυτου</t>
  </si>
  <si>
    <t>επι αυτου</t>
  </si>
  <si>
    <t>πηχεος(1)</t>
  </si>
  <si>
    <t>πηχεος(2)</t>
  </si>
  <si>
    <t>αναφορεις τους</t>
  </si>
  <si>
    <t>αναφορεις εις τους</t>
  </si>
  <si>
    <t>εκ χρυσιου</t>
  </si>
  <si>
    <t>εκ χρυσιω</t>
  </si>
  <si>
    <t>χρυσους δυο επι του κλιτους του ενος</t>
  </si>
  <si>
    <t>χρυσους του ενος</t>
  </si>
  <si>
    <t>επ αυτην</t>
  </si>
  <si>
    <t>επι αυτην</t>
  </si>
  <si>
    <t>επ αυτης</t>
  </si>
  <si>
    <t>επι αυτης</t>
  </si>
  <si>
    <t>ηνικα δ αν ανεβη</t>
  </si>
  <si>
    <t>ηνικα δ ανεβη</t>
  </si>
  <si>
    <t>I think this is the first dual-error I've noticed with Holmes 94</t>
  </si>
  <si>
    <t>επιθεση</t>
  </si>
  <si>
    <t>Not a variant: apograph transcript error</t>
  </si>
  <si>
    <t>Autograph unclear</t>
  </si>
  <si>
    <t>the αναβη vs. αναβιβ- part is a dual error with Holmes 94, based on their decision to follow corrected forms; the -τε part is an error regardless</t>
  </si>
  <si>
    <t>κοιλιαν(1)</t>
  </si>
  <si>
    <t>το κυριω</t>
  </si>
  <si>
    <t>τω κω</t>
  </si>
  <si>
    <t>το δωρον</t>
  </si>
  <si>
    <t>τον δωρον</t>
  </si>
  <si>
    <t>κατακαλυπτον την κοιλιαν</t>
  </si>
  <si>
    <t>κατακαλυπτον κοιλιαν</t>
  </si>
  <si>
    <t>λοβον του ηπατος</t>
  </si>
  <si>
    <t>λοβον ηπατος</t>
  </si>
  <si>
    <t>απο παντων</t>
  </si>
  <si>
    <t>ο εστιν παρα</t>
  </si>
  <si>
    <t>ο εαν παρα</t>
  </si>
  <si>
    <t>ανοισει αυτο ο ιερευς</t>
  </si>
  <si>
    <t>ανοισει αυτο δε ο ιερευς</t>
  </si>
  <si>
    <t>Apograph unclear</t>
  </si>
  <si>
    <t>επι της σκηνης</t>
  </si>
  <si>
    <t>εν της σκηνης</t>
  </si>
  <si>
    <t>Damage to autograph</t>
  </si>
  <si>
    <t>χιμ[αρον] εξ α[ιγων]</t>
  </si>
  <si>
    <t>χιμ____</t>
  </si>
  <si>
    <t>κατα παντα οσα</t>
  </si>
  <si>
    <t>κατα οσα</t>
  </si>
  <si>
    <t>μετεβαλεν</t>
  </si>
  <si>
    <t>μετα το πλυθυναι</t>
  </si>
  <si>
    <t>μετα του πλυθηναι</t>
  </si>
  <si>
    <t>ιματιου η απο του δερματος η απο του στημονος</t>
  </si>
  <si>
    <t>ιματιου η απο του στημονος</t>
  </si>
  <si>
    <t>η ο στημων</t>
  </si>
  <si>
    <t>η το στημων</t>
  </si>
  <si>
    <t>απ αυτου αφη</t>
  </si>
  <si>
    <t>απ αυτου η αφη</t>
  </si>
  <si>
    <t>της γης της εκτητου</t>
  </si>
  <si>
    <t>της γης εκτητου</t>
  </si>
  <si>
    <t>ηξει</t>
  </si>
  <si>
    <t>χλωριζουσας η πυρριζουσας και η οψις</t>
  </si>
  <si>
    <t>χλωριζουσας και η οψις</t>
  </si>
  <si>
    <t>παλιν η αφη</t>
  </si>
  <si>
    <t>παλιν αφη</t>
  </si>
  <si>
    <t>ο κοιμωμενος</t>
  </si>
  <si>
    <t>κυ καθαρισθησεσθε</t>
  </si>
  <si>
    <t>κυριου και καθαρισθησεσθε</t>
  </si>
  <si>
    <t>αυτου(1)</t>
  </si>
  <si>
    <t>εξειλασεται(3)</t>
  </si>
  <si>
    <t>αμαρτιων αυτων</t>
  </si>
  <si>
    <t>αμαρτιων αυτου</t>
  </si>
  <si>
    <t>ποιηθησεται</t>
  </si>
  <si>
    <t>ααρων και τους υιους αυτου και προς</t>
  </si>
  <si>
    <t>ααρων και προς</t>
  </si>
  <si>
    <t>ωστε μη προσενεγκαι αυτο</t>
  </si>
  <si>
    <t>ωστε προσενεγκαι αυτο</t>
  </si>
  <si>
    <t>εξκ του λαου</t>
  </si>
  <si>
    <t>εκ του λαου</t>
  </si>
  <si>
    <t>ετι τας θυσιας</t>
  </si>
  <si>
    <t>επι τας θυσιας</t>
  </si>
  <si>
    <t>ανος απο των υιων</t>
  </si>
  <si>
    <t>ανθρωπος των υιων</t>
  </si>
  <si>
    <t>Not a variant: autograph transcript error</t>
  </si>
  <si>
    <t>ανος των υιων</t>
  </si>
  <si>
    <t>ανθρωπος εκ των υιων</t>
  </si>
  <si>
    <t>κς ο θς</t>
  </si>
  <si>
    <t>κυριος θεος</t>
  </si>
  <si>
    <t>οτι τα αγια</t>
  </si>
  <si>
    <t>οτι αγια</t>
  </si>
  <si>
    <t>ου κοιμηθησεται</t>
  </si>
  <si>
    <t>ου μη κοιμηθησεται</t>
  </si>
  <si>
    <t>εθνει σου ουκ επισυστηση εφ αιμα του πλησιον σου εγω κς</t>
  </si>
  <si>
    <t>λημψη δι αυτον</t>
  </si>
  <si>
    <t>λημψη αυτον</t>
  </si>
  <si>
    <t>εκδικαται</t>
  </si>
  <si>
    <t>προσλυτος</t>
  </si>
  <si>
    <t>προσελυτος</t>
  </si>
  <si>
    <t>θυμω κς τω ιηλ (v. 4) και ειπεν κς τω μωση</t>
  </si>
  <si>
    <t>θυμω κς  (v. 4) τω μωση</t>
  </si>
  <si>
    <t>η οργη κυ μου κυ</t>
  </si>
  <si>
    <t>η οργη θυμου κυριου</t>
  </si>
  <si>
    <t>εν μεσου</t>
  </si>
  <si>
    <t>εκ μεσου</t>
  </si>
  <si>
    <t>ισραηλιτου</t>
  </si>
  <si>
    <t>σουρ</t>
  </si>
  <si>
    <t>σομμος</t>
  </si>
  <si>
    <t>χασβει</t>
  </si>
  <si>
    <t>αι θυσιαι αυτων και αι σπονδαι αυτων (v. 17) και τη ημερα</t>
  </si>
  <si>
    <t>αι θυσιαι αυτων (v. 17) και τη ημερα</t>
  </si>
  <si>
    <t>τοις μοσχοις</t>
  </si>
  <si>
    <r>
      <t xml:space="preserve">θυσια αυτων </t>
    </r>
    <r>
      <rPr>
        <b/>
        <sz val="11"/>
        <color theme="1"/>
        <rFont val="Calibri"/>
        <family val="2"/>
        <scheme val="minor"/>
      </rPr>
      <t>και η σπονδη αυτων</t>
    </r>
    <r>
      <rPr>
        <sz val="11"/>
        <color theme="1"/>
        <rFont val="Calibri"/>
        <family val="2"/>
        <scheme val="minor"/>
      </rPr>
      <t xml:space="preserve"> τοι μοσχοις</t>
    </r>
  </si>
  <si>
    <t>θυσια αυτων τοις μοσχοις</t>
  </si>
  <si>
    <t>τοι μοσχοις</t>
  </si>
  <si>
    <t>_νιαυσιους</t>
  </si>
  <si>
    <t>τη ημερα τη δ</t>
  </si>
  <si>
    <t>τη ημερα δ</t>
  </si>
  <si>
    <r>
      <rPr>
        <b/>
        <sz val="11"/>
        <color theme="1"/>
        <rFont val="Calibri"/>
        <family val="2"/>
        <scheme val="minor"/>
      </rPr>
      <t>ι̅</t>
    </r>
    <r>
      <rPr>
        <sz val="11"/>
        <color theme="1"/>
        <rFont val="Calibri"/>
        <family val="2"/>
        <scheme val="minor"/>
      </rPr>
      <t xml:space="preserve"> αμωμους</t>
    </r>
  </si>
  <si>
    <r>
      <rPr>
        <b/>
        <sz val="11"/>
        <color theme="1"/>
        <rFont val="Calibri"/>
        <family val="2"/>
        <scheme val="minor"/>
      </rPr>
      <t>ι̅α̅</t>
    </r>
    <r>
      <rPr>
        <sz val="11"/>
        <color theme="1"/>
        <rFont val="Calibri"/>
        <family val="2"/>
        <scheme val="minor"/>
      </rPr>
      <t xml:space="preserve"> αμνους</t>
    </r>
  </si>
  <si>
    <r>
      <t xml:space="preserve">ι̅ </t>
    </r>
    <r>
      <rPr>
        <b/>
        <sz val="11"/>
        <color theme="1"/>
        <rFont val="Calibri"/>
        <family val="2"/>
        <scheme val="minor"/>
      </rPr>
      <t>αμωμους</t>
    </r>
  </si>
  <si>
    <r>
      <t xml:space="preserve">ι̅α̅ </t>
    </r>
    <r>
      <rPr>
        <b/>
        <sz val="11"/>
        <color theme="1"/>
        <rFont val="Calibri"/>
        <family val="2"/>
        <scheme val="minor"/>
      </rPr>
      <t>αμνους</t>
    </r>
  </si>
  <si>
    <t>μοσχοις και τοις κρειοις και τοις αμνοις</t>
  </si>
  <si>
    <t>μοσχοις και τοις αμνοις</t>
  </si>
  <si>
    <t>[δια πα]ντος αι θυσιαι</t>
  </si>
  <si>
    <t>____υτως αι θυσιαι</t>
  </si>
  <si>
    <t>τη ημερα η</t>
  </si>
  <si>
    <t>dropped the article and wrote the wrong numeral</t>
  </si>
  <si>
    <r>
      <t xml:space="preserve">τη ημερα </t>
    </r>
    <r>
      <rPr>
        <b/>
        <sz val="11"/>
        <color theme="1"/>
        <rFont val="Calibri"/>
        <family val="2"/>
        <scheme val="minor"/>
      </rPr>
      <t>τη</t>
    </r>
    <r>
      <rPr>
        <sz val="11"/>
        <color theme="1"/>
        <rFont val="Calibri"/>
        <family val="2"/>
        <scheme val="minor"/>
      </rPr>
      <t xml:space="preserve"> ς</t>
    </r>
  </si>
  <si>
    <r>
      <t xml:space="preserve">τη ημερα τη </t>
    </r>
    <r>
      <rPr>
        <b/>
        <sz val="11"/>
        <color theme="1"/>
        <rFont val="Calibri"/>
        <family val="2"/>
        <scheme val="minor"/>
      </rPr>
      <t>ς</t>
    </r>
  </si>
  <si>
    <r>
      <t xml:space="preserve">τη ημερα </t>
    </r>
    <r>
      <rPr>
        <b/>
        <sz val="11"/>
        <color theme="1"/>
        <rFont val="Calibri"/>
        <family val="2"/>
        <scheme val="minor"/>
      </rPr>
      <t>η</t>
    </r>
  </si>
  <si>
    <t>Marked Regularization?</t>
  </si>
  <si>
    <t>Autograph</t>
  </si>
  <si>
    <t>Apograph</t>
  </si>
  <si>
    <t>Yes</t>
  </si>
  <si>
    <t>Addition</t>
  </si>
  <si>
    <t>Yes, but still an error</t>
  </si>
  <si>
    <t>Yes, partially</t>
  </si>
  <si>
    <t>Omission</t>
  </si>
  <si>
    <t>Autograph unclear (Apograph reading likely)</t>
  </si>
  <si>
    <t>No</t>
  </si>
  <si>
    <t>Yes, to another error</t>
  </si>
  <si>
    <t>Transposition</t>
  </si>
  <si>
    <t>Apograph unclear (but clear enough)</t>
  </si>
  <si>
    <t>Multiple</t>
  </si>
  <si>
    <t>Apograph unclear (Autograph reading likely)</t>
  </si>
  <si>
    <t>Unclear due to correction</t>
  </si>
  <si>
    <t>Autograph transcript error, but still a variant</t>
  </si>
  <si>
    <t>Apograph transcript error, but still a variant</t>
  </si>
  <si>
    <t>Both transcripts in error, but still a variant</t>
  </si>
  <si>
    <t>Not a variant: error in both transcripts</t>
  </si>
  <si>
    <t>Not a variant, but correction is</t>
  </si>
  <si>
    <t>Other</t>
  </si>
  <si>
    <t>Speech part add/omitted</t>
  </si>
  <si>
    <t>Visual Cues</t>
  </si>
  <si>
    <t>Duplicate Material</t>
  </si>
  <si>
    <t>Harmonization</t>
  </si>
  <si>
    <t>Singularity</t>
  </si>
  <si>
    <t>Secondary</t>
  </si>
  <si>
    <t>Minutiae</t>
  </si>
  <si>
    <t>Orthographic - Strict</t>
  </si>
  <si>
    <t>Nonsense</t>
  </si>
  <si>
    <t>Adjective</t>
  </si>
  <si>
    <t>Present</t>
  </si>
  <si>
    <t>Dittography</t>
  </si>
  <si>
    <t>Singular</t>
  </si>
  <si>
    <t>Itacism</t>
  </si>
  <si>
    <t>Generated - strict</t>
  </si>
  <si>
    <t>Article</t>
  </si>
  <si>
    <t>Absent</t>
  </si>
  <si>
    <t>Repetition</t>
  </si>
  <si>
    <t>Non-singular</t>
  </si>
  <si>
    <t>Movable ν</t>
  </si>
  <si>
    <t>Generated - contextual</t>
  </si>
  <si>
    <t>Adverb</t>
  </si>
  <si>
    <t>Iota Adscript</t>
  </si>
  <si>
    <t>Removed - strict</t>
  </si>
  <si>
    <t>Conjunction</t>
  </si>
  <si>
    <t>Iota Subscript</t>
  </si>
  <si>
    <t>Removed - contextual</t>
  </si>
  <si>
    <t>Compound word</t>
  </si>
  <si>
    <t>Abbreviation</t>
  </si>
  <si>
    <t>Noun</t>
  </si>
  <si>
    <t>Breathings</t>
  </si>
  <si>
    <t>Pronoun</t>
  </si>
  <si>
    <t>Accents</t>
  </si>
  <si>
    <t>Preposition</t>
  </si>
  <si>
    <t>Punctuation</t>
  </si>
  <si>
    <t>Participle</t>
  </si>
  <si>
    <t>Vocative</t>
  </si>
  <si>
    <t>Exclusion Grounds</t>
  </si>
  <si>
    <t>Corrector Followed</t>
  </si>
  <si>
    <t>Apograph Corrected</t>
  </si>
  <si>
    <t>Words Length</t>
  </si>
  <si>
    <t>Letters Length</t>
  </si>
  <si>
    <t>Speech Part Add/Omitted</t>
  </si>
  <si>
    <t>Cue Regions</t>
  </si>
  <si>
    <t>Cue Length</t>
  </si>
  <si>
    <t>AO Word Frequency</t>
  </si>
  <si>
    <t>SUB Frequency Difference</t>
  </si>
  <si>
    <t>Orthographic - General</t>
  </si>
  <si>
    <t>Unfiltered variants:</t>
  </si>
  <si>
    <t>Total variants:</t>
  </si>
  <si>
    <t>Review</t>
  </si>
  <si>
    <t>Substitution - Word</t>
  </si>
  <si>
    <t>Substitution - Form</t>
  </si>
  <si>
    <t>Substitution - Both</t>
  </si>
  <si>
    <t>ει-ι</t>
  </si>
  <si>
    <t>NA</t>
  </si>
  <si>
    <t>ο-ω</t>
  </si>
  <si>
    <t>AB:AC</t>
  </si>
  <si>
    <t>3:3</t>
  </si>
  <si>
    <t>ι-ει</t>
  </si>
  <si>
    <t>και εις τας δυω</t>
  </si>
  <si>
    <t>και επι τας δυω</t>
  </si>
  <si>
    <t>Harmonization - Parallel</t>
  </si>
  <si>
    <t>Harmonization - Context</t>
  </si>
  <si>
    <t>Parallel Present</t>
  </si>
  <si>
    <t>Disharmonizing</t>
  </si>
  <si>
    <t>πτερυγια επ ακρου</t>
  </si>
  <si>
    <t>πτερυγια επι ακρου</t>
  </si>
  <si>
    <t>ΝΑ</t>
  </si>
  <si>
    <t>η-ε</t>
  </si>
  <si>
    <t>AC</t>
  </si>
  <si>
    <t>3</t>
  </si>
  <si>
    <t>ω-ο</t>
  </si>
  <si>
    <t>Particle</t>
  </si>
  <si>
    <t>pretty sure this is at least the second dual error with Holmes 94 (seemingly due to the small ει genuinely resembling an ω if you're not looking close); frequency based on διαχριομαι and διαχρωζω</t>
  </si>
  <si>
    <t>Mere Minutiae</t>
  </si>
  <si>
    <t>Taking χρειστος to be mere itacism of χριστος rather than χρηστος</t>
  </si>
  <si>
    <t>Below word level</t>
  </si>
  <si>
    <t>και κατακαυσουσιν τον μοσχον ον τροπον κατεκαυσαν τον μοσχον τον προτερον</t>
  </si>
  <si>
    <t>και κατακαυσουσιν τον μοσχον τον προτερον</t>
  </si>
  <si>
    <t>AC:BD</t>
  </si>
  <si>
    <t>ε-η</t>
  </si>
  <si>
    <t>8</t>
  </si>
  <si>
    <t>καθελουσιν την οικιαν</t>
  </si>
  <si>
    <t>καθελουσιν αυτην οικιαν</t>
  </si>
  <si>
    <r>
      <t xml:space="preserve">χουν </t>
    </r>
    <r>
      <rPr>
        <b/>
        <sz val="11"/>
        <color theme="1"/>
        <rFont val="Calibri"/>
        <family val="2"/>
        <scheme val="minor"/>
      </rPr>
      <t>αυτης</t>
    </r>
    <r>
      <rPr>
        <sz val="11"/>
        <color theme="1"/>
        <rFont val="Calibri"/>
        <family val="2"/>
        <scheme val="minor"/>
      </rPr>
      <t xml:space="preserve"> οικιας οισουσιν</t>
    </r>
  </si>
  <si>
    <r>
      <t xml:space="preserve">χουν αυτης οικιας </t>
    </r>
    <r>
      <rPr>
        <b/>
        <sz val="11"/>
        <color theme="1"/>
        <rFont val="Calibri"/>
        <family val="2"/>
        <scheme val="minor"/>
      </rPr>
      <t>οισουσιν</t>
    </r>
  </si>
  <si>
    <t>ιματια αυτου και ακαθαρτος</t>
  </si>
  <si>
    <t>ιματια αυτου ακα ακαθαρτος</t>
  </si>
  <si>
    <t>λογ[ι]σθησεται τω ανω εκεινω</t>
  </si>
  <si>
    <t>λογισθησεται αυτω ανθρωπω εκεινω</t>
  </si>
  <si>
    <r>
      <t xml:space="preserve">θυσιας αυτων </t>
    </r>
    <r>
      <rPr>
        <b/>
        <sz val="11"/>
        <color theme="1"/>
        <rFont val="Calibri"/>
        <family val="2"/>
        <scheme val="minor"/>
      </rPr>
      <t>οσα</t>
    </r>
    <r>
      <rPr>
        <sz val="11"/>
        <color theme="1"/>
        <rFont val="Calibri"/>
        <family val="2"/>
        <scheme val="minor"/>
      </rPr>
      <t xml:space="preserve"> αν αυτοι σφαζωσιν</t>
    </r>
  </si>
  <si>
    <r>
      <t xml:space="preserve">θυσιας αυτων οσα αν </t>
    </r>
    <r>
      <rPr>
        <b/>
        <sz val="11"/>
        <color theme="1"/>
        <rFont val="Calibri"/>
        <family val="2"/>
        <scheme val="minor"/>
      </rPr>
      <t>αυτοι</t>
    </r>
    <r>
      <rPr>
        <sz val="11"/>
        <color theme="1"/>
        <rFont val="Calibri"/>
        <family val="2"/>
        <scheme val="minor"/>
      </rPr>
      <t xml:space="preserve"> σφαζωσιν</t>
    </r>
  </si>
  <si>
    <r>
      <t xml:space="preserve">θυσιας αυτων οσα αν αυτοι </t>
    </r>
    <r>
      <rPr>
        <b/>
        <sz val="11"/>
        <color theme="1"/>
        <rFont val="Calibri"/>
        <family val="2"/>
        <scheme val="minor"/>
      </rPr>
      <t>σφαζωσιν</t>
    </r>
  </si>
  <si>
    <r>
      <t xml:space="preserve">θυσιας αυτων οσας αν αυτου </t>
    </r>
    <r>
      <rPr>
        <b/>
        <sz val="11"/>
        <color theme="1"/>
        <rFont val="Calibri"/>
        <family val="2"/>
        <scheme val="minor"/>
      </rPr>
      <t>σφαξουσιν</t>
    </r>
  </si>
  <si>
    <r>
      <t xml:space="preserve">θυσιας αυτων οσας αν </t>
    </r>
    <r>
      <rPr>
        <b/>
        <sz val="11"/>
        <color theme="1"/>
        <rFont val="Calibri"/>
        <family val="2"/>
        <scheme val="minor"/>
      </rPr>
      <t>αυτου</t>
    </r>
    <r>
      <rPr>
        <sz val="11"/>
        <color theme="1"/>
        <rFont val="Calibri"/>
        <family val="2"/>
        <scheme val="minor"/>
      </rPr>
      <t xml:space="preserve"> σφαξουσιν</t>
    </r>
  </si>
  <si>
    <r>
      <t xml:space="preserve">θυσιας αυτων </t>
    </r>
    <r>
      <rPr>
        <b/>
        <sz val="11"/>
        <color theme="1"/>
        <rFont val="Calibri"/>
        <family val="2"/>
        <scheme val="minor"/>
      </rPr>
      <t>οσας</t>
    </r>
    <r>
      <rPr>
        <sz val="11"/>
        <color theme="1"/>
        <rFont val="Calibri"/>
        <family val="2"/>
        <scheme val="minor"/>
      </rPr>
      <t xml:space="preserve"> αν αυτου σφαξουσιν</t>
    </r>
  </si>
  <si>
    <t>εν γη αιγυπτω</t>
  </si>
  <si>
    <t>εν γη αιγυπτου</t>
  </si>
  <si>
    <t>4</t>
  </si>
  <si>
    <t>[μητ]ρας</t>
  </si>
  <si>
    <t>Scribe misrepresents location of damage, but this does not affect the text at the word level</t>
  </si>
  <si>
    <t>In Rahlfs' text, neither name appears as written in these MSS. Therefore, frequency difference = 0</t>
  </si>
  <si>
    <r>
      <rPr>
        <b/>
        <sz val="11"/>
        <color theme="1"/>
        <rFont val="Calibri"/>
        <family val="2"/>
        <scheme val="minor"/>
      </rPr>
      <t>κρειους</t>
    </r>
    <r>
      <rPr>
        <sz val="11"/>
        <color theme="1"/>
        <rFont val="Calibri"/>
        <family val="2"/>
        <scheme val="minor"/>
      </rPr>
      <t xml:space="preserve"> β̅</t>
    </r>
  </si>
  <si>
    <r>
      <rPr>
        <b/>
        <sz val="11"/>
        <color theme="1"/>
        <rFont val="Calibri"/>
        <family val="2"/>
        <scheme val="minor"/>
      </rPr>
      <t>κριους</t>
    </r>
    <r>
      <rPr>
        <sz val="11"/>
        <color theme="1"/>
        <rFont val="Calibri"/>
        <family val="2"/>
        <scheme val="minor"/>
      </rPr>
      <t xml:space="preserve"> ο̅</t>
    </r>
  </si>
  <si>
    <r>
      <t xml:space="preserve">κριους </t>
    </r>
    <r>
      <rPr>
        <b/>
        <sz val="11"/>
        <color theme="1"/>
        <rFont val="Calibri"/>
        <family val="2"/>
        <scheme val="minor"/>
      </rPr>
      <t>ο̅</t>
    </r>
  </si>
  <si>
    <r>
      <t xml:space="preserve">κρειους </t>
    </r>
    <r>
      <rPr>
        <b/>
        <sz val="11"/>
        <color theme="1"/>
        <rFont val="Calibri"/>
        <family val="2"/>
        <scheme val="minor"/>
      </rPr>
      <t>β̅</t>
    </r>
  </si>
  <si>
    <t>7:3</t>
  </si>
  <si>
    <t>5</t>
  </si>
  <si>
    <t>Apograph may have misreported extent of damage, but does not have an effect at word level</t>
  </si>
  <si>
    <t/>
  </si>
  <si>
    <t>17:6</t>
  </si>
  <si>
    <t>Cues = κατκαυσντονμοσχον and ονροον</t>
  </si>
  <si>
    <t>omits 1 line (3v.2.20; visual cues present); cue = ους; word frequency from κλιτος</t>
  </si>
  <si>
    <t>cues both = και</t>
  </si>
  <si>
    <t>cues = ατα</t>
  </si>
  <si>
    <t>11:3</t>
  </si>
  <si>
    <t>skipped 1 line (18r.2.9; visual cues present); visual cue = και</t>
  </si>
  <si>
    <t>omits 2 lines (19v.2.15-17; visual cues present); visual cue = σου</t>
  </si>
  <si>
    <t>10:3</t>
  </si>
  <si>
    <t>The pattern ο στιχος ο &lt;numeral&gt; occurs 4 times on this page, always in that format; apograph disharmonizes</t>
  </si>
  <si>
    <t>Autograph matches format in Lev 1:13, where οσμη matches the case of καρπωμα; apograph disharmonizes</t>
  </si>
  <si>
    <t>Autograph form matches the structure found in the near context of οσμη matching the case of καρπωμα (cff. οσμη ευωδιας κω in Lev 1:13,17, and 2:6); apograph disharmonizes</t>
  </si>
  <si>
    <t>Autograph reading matches structure of και επιθησει την/τας χειρα(ς) αυτου in Lev 3:2,13; apograph disharmonizes</t>
  </si>
  <si>
    <t>A similar structure is found in Lev 3:4,13, but the number of the verb and general structure vary; neither can be considered harmonizing</t>
  </si>
  <si>
    <t>Autograph reading matches structure of το στεαρ το κατακαλυπτον την κοιλιαν και παν seen also in Lev 3:9; apograph disharmonizes</t>
  </si>
  <si>
    <t>Autograph reading matches structure in Lev 13:55 of μετα το πλυθηναι</t>
  </si>
  <si>
    <t>skipped about a line (13v.1.3; visual cues present); cues = ματοηαποτου and μος</t>
  </si>
  <si>
    <t>Might be a dual error? The phrase εγω κς ο θς υμων occurs 4x on this page (here, 19:2,3,4), always in this format; apograph disharmonizes</t>
  </si>
  <si>
    <t>Cue = κςτω; frequency from λεγω</t>
  </si>
  <si>
    <t>Substitution + word division error: κυ -&gt; θυ and θυ joins with μου to become θυμου</t>
  </si>
  <si>
    <t>Autograph reading matches the pattern observed also in 29:17,20 with και κρειους β αμνους ενιαυσιους δ και ι αμωμους; apograph disharmonizes</t>
  </si>
  <si>
    <t>omits 1 line (22r.1.25; visual cues present); cues = αιαυτων and και; Autograph reading matches pattern found in Lev 29:18,21,22 where θυσια(ι) αυτων και η/αι σπονδ(η/αι) αυτων always occur together; apograph disharmonizes</t>
  </si>
  <si>
    <t>omits 1 line (22r.2.3; visual cues present); cue = αυτων; Autograph reading matches pattern found in Lev 29:16,21,22 where θυσια(ι) αυτων και η/αι σπονδ(η/αι) αυτων always occur together; apograph disharmonizes</t>
  </si>
  <si>
    <t>Verb</t>
  </si>
  <si>
    <t>SimGem</t>
  </si>
  <si>
    <t>AltForm</t>
  </si>
  <si>
    <t>Name Spelling</t>
  </si>
  <si>
    <t>Contraction</t>
  </si>
  <si>
    <t>Cue = ριζουσας</t>
  </si>
  <si>
    <t>Dual?</t>
  </si>
  <si>
    <t>This is just nasal assimilation, same with several above: consider cutting across the board. Do itacisms and things explain a lot of these dual readings?</t>
  </si>
  <si>
    <t>orth?</t>
  </si>
  <si>
    <t>This is weird, why would this happen twice? Are there corrections in Grec 17 I didn't notice?</t>
  </si>
  <si>
    <t>Maybe THIS is best evidence of independence: both make different errors here, and neither corrects</t>
  </si>
  <si>
    <t>And this must be the best evidence of DEPENDENCE then: same multi word omission. Or else, a testament to the power of visual cues</t>
  </si>
  <si>
    <t>Ok, THIS might be best evidence of independence: both have a multi word omission here, but a different quantity is omitted. If one is copied from the other, 94 must be copied from 155, as 155 omits only 3 words in this section whereas 94 omits 8 more additional words</t>
  </si>
  <si>
    <t>Dual=</t>
  </si>
  <si>
    <t>Note the similarity of this variant to Num 29:16 (which is dual): same exact words though different forms. Maybe visual cue influence is more to blame here?</t>
  </si>
  <si>
    <t>Dual%</t>
  </si>
  <si>
    <t>adds:</t>
  </si>
  <si>
    <t>omits:</t>
  </si>
  <si>
    <t>Add rate:</t>
  </si>
  <si>
    <t>LM</t>
  </si>
  <si>
    <t>HM</t>
  </si>
  <si>
    <t>LM-adds:</t>
  </si>
  <si>
    <t>LM-omits:</t>
  </si>
  <si>
    <t>LM-add rate:</t>
  </si>
  <si>
    <t>Length</t>
  </si>
  <si>
    <t>Adds</t>
  </si>
  <si>
    <t>Omits</t>
  </si>
  <si>
    <t>AddRate</t>
  </si>
  <si>
    <t>HM-adds:</t>
  </si>
  <si>
    <t>HM-omits:</t>
  </si>
  <si>
    <t>HM-add rate:</t>
  </si>
  <si>
    <t>Cues</t>
  </si>
  <si>
    <t>Not</t>
  </si>
  <si>
    <t>% present</t>
  </si>
  <si>
    <t>Total</t>
  </si>
  <si>
    <t>Add ratio diff</t>
  </si>
  <si>
    <t>Add Ratio</t>
  </si>
  <si>
    <t>Cues Abs.</t>
  </si>
  <si>
    <t>Cues Pres.</t>
  </si>
  <si>
    <t>Non-ditt.</t>
  </si>
  <si>
    <t>Ditt.</t>
  </si>
  <si>
    <t>2-3</t>
  </si>
  <si>
    <t>4+</t>
  </si>
  <si>
    <t>&gt;=5</t>
  </si>
  <si>
    <t>Words in corpus (Genesis - Deuteronomy)</t>
  </si>
  <si>
    <t>SUB_Aut_Freq</t>
  </si>
  <si>
    <t>SUB_Apog_Freq</t>
  </si>
  <si>
    <t>Freq-per-10000</t>
  </si>
  <si>
    <t>Aut_P10K_Freq</t>
  </si>
  <si>
    <t>Apog_P10K_Freq</t>
  </si>
  <si>
    <t>P10K_Freq_Diff</t>
  </si>
  <si>
    <t>pos</t>
  </si>
  <si>
    <t>neg</t>
  </si>
  <si>
    <t>p =</t>
  </si>
  <si>
    <t>avg_diff</t>
  </si>
  <si>
    <t>stdv</t>
  </si>
  <si>
    <t>avg_P10K_diff</t>
  </si>
  <si>
    <t>P10K_stdv</t>
  </si>
  <si>
    <t>Med-word-freq</t>
  </si>
  <si>
    <t>HF-adds</t>
  </si>
  <si>
    <t>HF-omits</t>
  </si>
  <si>
    <t>HF-add-ratio</t>
  </si>
  <si>
    <t>LF-adds</t>
  </si>
  <si>
    <t>LF-omits</t>
  </si>
  <si>
    <t>LF-add-ratio</t>
  </si>
  <si>
    <t>not enough data</t>
  </si>
  <si>
    <t>art-adds</t>
  </si>
  <si>
    <t>art-omits</t>
  </si>
  <si>
    <t>art-add-rate</t>
  </si>
  <si>
    <t>AddRatioDiff</t>
  </si>
  <si>
    <t>total_subs</t>
  </si>
  <si>
    <t>std_dev</t>
  </si>
  <si>
    <t>Harmonizations</t>
  </si>
  <si>
    <t>Disharmonizations</t>
  </si>
  <si>
    <t>Harm_Ratio</t>
  </si>
  <si>
    <t>Words copied</t>
  </si>
  <si>
    <t>Raw Errors</t>
  </si>
  <si>
    <t>Variants</t>
  </si>
  <si>
    <t>Raw PKW Error Rate</t>
  </si>
  <si>
    <t>PKW Meaningful Error Rate</t>
  </si>
  <si>
    <t>Pseudo-singular</t>
  </si>
  <si>
    <t>Correction Readings Followed</t>
  </si>
  <si>
    <t>% Yes</t>
  </si>
  <si>
    <t>Variant Corrected</t>
  </si>
  <si>
    <t>Count</t>
  </si>
  <si>
    <t>% of Variants</t>
  </si>
  <si>
    <t>Proportion of "Corrections"</t>
  </si>
  <si>
    <t>Partially</t>
  </si>
  <si>
    <t>To Other Variant</t>
  </si>
  <si>
    <t>Diff.:</t>
  </si>
  <si>
    <t>του κλιτους του δευτερου</t>
  </si>
  <si>
    <t>τους κλιτους του δευτερου</t>
  </si>
  <si>
    <t>προσαξεις τον ααρων</t>
  </si>
  <si>
    <t>προσαξεις τον ακρων</t>
  </si>
  <si>
    <r>
      <t xml:space="preserve">χουν </t>
    </r>
    <r>
      <rPr>
        <b/>
        <sz val="11"/>
        <color theme="1"/>
        <rFont val="Calibri"/>
        <family val="2"/>
        <scheme val="minor"/>
      </rPr>
      <t>της</t>
    </r>
    <r>
      <rPr>
        <sz val="11"/>
        <color theme="1"/>
        <rFont val="Calibri"/>
        <family val="2"/>
        <scheme val="minor"/>
      </rPr>
      <t xml:space="preserve"> οικιας εξξοισουσιν</t>
    </r>
  </si>
  <si>
    <r>
      <t xml:space="preserve">χουν της οικιας </t>
    </r>
    <r>
      <rPr>
        <b/>
        <sz val="11"/>
        <color theme="1"/>
        <rFont val="Calibri"/>
        <family val="2"/>
        <scheme val="minor"/>
      </rPr>
      <t>εξξοισουσιν</t>
    </r>
  </si>
  <si>
    <t>εθνει σου εγω κυριος</t>
  </si>
  <si>
    <t>α[υτ]ων(2)</t>
  </si>
  <si>
    <t>Autograph = μεταβαλη, apograph = μετεβαλεν then corrected to μεταβαλεν</t>
  </si>
  <si>
    <t>I think at least one of these last three are dual errors with Holmes 94</t>
  </si>
  <si>
    <t>the phrase εγω κς ο θς υμων occurs 4x on this page (here, 19:2,3,4), always in this format; apograph disharmonizes</t>
  </si>
  <si>
    <t>disharmonizing because the other introductions to the days (vv. 17, 20) have followed the same pattern of article + ημερα + article + numeral</t>
  </si>
  <si>
    <t>autograph reading matches pattern observed in Lev 29:13,17,20,29,31 where we consistently find αμνους ενιαυσιους δ και ι αμωμ(οι/ους); apograph disharmonizes</t>
  </si>
  <si>
    <t>repetition of αμνους found earlier in verse and elsewhere in passage; autograph reading matches pattern observed in Lev 29:13,17,20,29,31 where we consistently find αμνους ενιαυσιους δ και ι αμωμ(οι/ους); apograph disharmonizes</t>
  </si>
  <si>
    <t>skips 1 line (22v.1.7-8; visual cues present); cues = οιςκαιτοις and οις; autograph reading matches format of Lev 29:18,21,27,30 where we consistently find η/αι θυσια(ι) αυτων και η/αι σπονδ(η/αι) αυτων τοις μοσχοις και τοις κρειοις και τοις αμνοις</t>
  </si>
  <si>
    <t>Autograph reading conforms to pattern seen in Lev 29:16,22,31 with πλην της ολοκαυτωσεως της δια παντος αι θυσιαι</t>
  </si>
  <si>
    <t>autograph reading matches the pattern seen in Lev 29:20,23,26,32 of τη ημερα τη &lt;numeral&gt;; apograph disharmonizes</t>
  </si>
  <si>
    <t>dropped the article and wrote the wrong numeral; autograph reading matches the pattern seen in Lev 29:20,23,26,32 of τη ημερα τη &lt;numeral&gt;; apograph disharmonizes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</si>
</sst>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theme="1"/>
      <name val="Arial Unicode MS"/>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4" borderId="1" xfId="0" applyFill="1" applyBorder="1"/>
    <xf numFmtId="49" fontId="1" fillId="0" borderId="0" xfId="0" applyNumberFormat="1" applyFont="1"/>
    <xf numFmtId="49" fontId="0" fillId="4" borderId="1" xfId="0" applyNumberFormat="1" applyFill="1" applyBorder="1"/>
    <xf numFmtId="0" fontId="0" fillId="3" borderId="0" xfId="0" applyFill="1"/>
    <xf numFmtId="0" fontId="0" fillId="3" borderId="1" xfId="0" applyFill="1" applyBorder="1"/>
    <xf numFmtId="49" fontId="0" fillId="3" borderId="1" xfId="0" applyNumberFormat="1" applyFill="1" applyBorder="1"/>
    <xf numFmtId="0" fontId="0" fillId="0" borderId="1" xfId="0" applyBorder="1"/>
    <xf numFmtId="49" fontId="0" fillId="0" borderId="1" xfId="0" applyNumberFormat="1" applyBorder="1"/>
    <xf numFmtId="49" fontId="0" fillId="0" borderId="0" xfId="0" applyNumberFormat="1"/>
    <xf numFmtId="0" fontId="4" fillId="0" borderId="0" xfId="0" applyFont="1" applyAlignment="1">
      <alignment vertical="center"/>
    </xf>
    <xf numFmtId="0" fontId="0" fillId="0" borderId="0" xfId="0" applyAlignment="1">
      <alignment horizontal="center"/>
    </xf>
  </cellXfs>
  <cellStyles count="1">
    <cellStyle name="Normal" xfId="0" builtinId="0"/>
  </cellStyles>
  <dxfs count="219">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nathan Wilken" id="{92B4A6DC-4F33-4B08-ABD0-0D16C795A856}" userId="186593bc330ab858"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 dT="2024-01-16T10:00:06.98" personId="{92B4A6DC-4F33-4B08-ABD0-0D16C795A856}" id="{0BE1A09E-FBE7-4E10-B4C5-E1DD245F15EC}">
    <text>For substitutions, the word frequency of the apograph reading</text>
  </threadedComment>
  <threadedComment ref="V1" dT="2024-01-16T09:59:48.08" personId="{92B4A6DC-4F33-4B08-ABD0-0D16C795A856}" id="{C87C3234-E60D-49BA-ACD1-45B968C3C119}">
    <text>For substitutions, the word frequency of the autograph reading</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4-01-16T10:00:06.98" personId="{92B4A6DC-4F33-4B08-ABD0-0D16C795A856}" id="{2203BEF6-5F3C-4A79-AF8C-E8D8EBD5BE9F}">
    <text>For substitutions, the word frequency of the apograph reading</text>
  </threadedComment>
  <threadedComment ref="S1" dT="2024-01-16T09:59:48.08" personId="{92B4A6DC-4F33-4B08-ABD0-0D16C795A856}" id="{720ABC9A-DA16-436A-A19F-9DE314E5C42E}">
    <text>For substitutions, the word frequency of the autograph reading</text>
  </threadedComment>
</ThreadedComments>
</file>

<file path=xl/threadedComments/threadedComment3.xml><?xml version="1.0" encoding="utf-8"?>
<ThreadedComments xmlns="http://schemas.microsoft.com/office/spreadsheetml/2018/threadedcomments" xmlns:x="http://schemas.openxmlformats.org/spreadsheetml/2006/main">
  <threadedComment ref="S1" dT="2024-01-16T10:00:06.98" personId="{92B4A6DC-4F33-4B08-ABD0-0D16C795A856}" id="{BEFD02FD-5081-40E0-B40B-1493CAB5D26B}">
    <text>For substitutions, the word frequency of the apograph reading</text>
  </threadedComment>
  <threadedComment ref="T1" dT="2024-01-16T09:59:48.08" personId="{92B4A6DC-4F33-4B08-ABD0-0D16C795A856}" id="{B6ABADFE-AB83-40A3-81DC-682EC19E3067}">
    <text>For substitutions, the word frequency of the autograph reading</text>
  </threadedComment>
  <threadedComment ref="F28" dT="2023-09-09T16:20:24.92" personId="{92B4A6DC-4F33-4B08-ABD0-0D16C795A856}" id="{DA409B30-AF5D-45E8-A2B8-EEDEE8188C66}">
    <text>Raw number of additions</text>
  </threadedComment>
  <threadedComment ref="B29" dT="2023-09-09T13:15:24.43" personId="{92B4A6DC-4F33-4B08-ABD0-0D16C795A856}" id="{A8FDC6A2-AB57-40F9-BB72-2CBFE0428A2D}">
    <text>"Low Meaning" words</text>
  </threadedComment>
  <threadedComment ref="C29" dT="2023-09-09T13:15:40.92" personId="{92B4A6DC-4F33-4B08-ABD0-0D16C795A856}" id="{4A072C26-9B69-445A-AF28-F56801A6B483}">
    <text>"High Meaning" words</text>
  </threadedComment>
  <threadedComment ref="F29" dT="2023-09-09T16:20:41.93" personId="{92B4A6DC-4F33-4B08-ABD0-0D16C795A856}" id="{AA30B78D-3FB4-4FDC-A8D2-2997CD2F510E}">
    <text>Raw number of omissions</text>
  </threadedComment>
  <threadedComment ref="F30" dT="2023-09-09T16:21:30.82" personId="{92B4A6DC-4F33-4B08-ABD0-0D16C795A856}" id="{BF3D0217-353D-4DC4-A203-9B4AEBDB1156}">
    <text>% of add-omits that are additions</text>
  </threadedComment>
  <threadedComment ref="F33" dT="2023-09-09T16:22:43.13" personId="{92B4A6DC-4F33-4B08-ABD0-0D16C795A856}" id="{FCF4F61B-9FCB-4A42-B962-06CB404B545C}">
    <text>Raw number of additions of "low meaning" words. See LM column for included word types (and adjust equation as necessary)</text>
  </threadedComment>
  <threadedComment ref="F34" dT="2023-09-09T16:23:00.73" personId="{92B4A6DC-4F33-4B08-ABD0-0D16C795A856}" id="{15711268-7880-4D53-95B2-995E6B2F1373}">
    <text>Raw number of omissions of "low meaning" words. See LM column for included word types (and adjust equation as necessary)</text>
  </threadedComment>
  <threadedComment ref="F35" dT="2023-09-09T16:23:25.50" personId="{92B4A6DC-4F33-4B08-ABD0-0D16C795A856}" id="{843407B8-A069-48CA-A629-E138DDBC52EC}">
    <text>Addition rate for "low meaning" words. See LM column for included word types (and adjust equation as necessary)</text>
  </threadedComment>
  <threadedComment ref="F38" dT="2023-09-09T16:26:23.57" personId="{92B4A6DC-4F33-4B08-ABD0-0D16C795A856}" id="{FC531600-6F03-4BE4-A7DE-3B201E6C755C}">
    <text>Raw number of additions of "high meaning" words. See HM column for included word types (and adjust equation as necessary)</text>
  </threadedComment>
  <threadedComment ref="F39" dT="2023-09-09T16:26:53.68" personId="{92B4A6DC-4F33-4B08-ABD0-0D16C795A856}" id="{C3A9F892-D853-4649-822E-4E6D8CC2EA20}">
    <text>Raw number of omissions of "high meaning" words. See HM column for included word types (and adjust equation as necessary)</text>
  </threadedComment>
  <threadedComment ref="F40" dT="2023-09-09T16:27:24.75" personId="{92B4A6DC-4F33-4B08-ABD0-0D16C795A856}" id="{D28F374D-4B66-491C-B097-9EF2BF3D3C3D}">
    <text>Addition rate for "high meaning" words. See HM column for included word types (and adjust equation as necessary)</text>
  </threadedComment>
  <threadedComment ref="D46" dT="2023-09-09T16:31:02.72" personId="{92B4A6DC-4F33-4B08-ABD0-0D16C795A856}" id="{27208BC2-55E3-44CB-BA0F-5BE58B594037}">
    <text>The number of add-omits where visual cues are present that are, in fact, additions. I.e., the number of additions that result in the presence of visual cues</text>
  </threadedComment>
  <threadedComment ref="E46" dT="2023-09-09T16:31:50.60" personId="{92B4A6DC-4F33-4B08-ABD0-0D16C795A856}" id="{B8F32DDB-2D72-446D-9E11-14165B807778}">
    <text>The number of add-omits where visual cues are NOT present that are, in fact, additions. I.e., the number of additions that generate no visual cues</text>
  </threadedComment>
  <threadedComment ref="F46" dT="2023-09-09T16:33:25.83" personId="{92B4A6DC-4F33-4B08-ABD0-0D16C795A856}" id="{20A838B2-F2DC-4981-B439-ECBD6904334A}">
    <text>The percentage of add-omits where visual cues are present that are, in fact, additions. I.e., a percent frequency indicating how often an addition generates visual cues</text>
  </threadedComment>
  <threadedComment ref="D47" dT="2023-09-09T16:34:19.48" personId="{92B4A6DC-4F33-4B08-ABD0-0D16C795A856}" id="{82D4ED8C-6F39-43AE-921A-A264A2A70BF5}">
    <text>The number of add-omits where visual cues are present that are, in fact, omissions. I.e., the number of times that omissions occurred in the presence of visual cues</text>
  </threadedComment>
  <threadedComment ref="E47" dT="2023-09-09T16:34:51.06" personId="{92B4A6DC-4F33-4B08-ABD0-0D16C795A856}" id="{143F7DF0-3EEF-4A69-9AA3-8496ABDFB33E}">
    <text>The number of add-omits where visual cues are NOT present that are, in fact, omissions. I.e., the number of times that omissions occurred in the absence of visual cues</text>
  </threadedComment>
  <threadedComment ref="F47" dT="2023-09-09T16:35:41.16" personId="{92B4A6DC-4F33-4B08-ABD0-0D16C795A856}" id="{53EF3526-13F0-4328-AF3C-4E4B4092086E}">
    <text>The percentage of add-omits where visual cues are present that are, in fact, omissions. I.e., the percentage of omissions that could plausibly be due to visual cues</text>
  </threadedComment>
  <threadedComment ref="D48" dT="2023-09-09T16:36:05.81" personId="{92B4A6DC-4F33-4B08-ABD0-0D16C795A856}" id="{5ADC148A-2FF6-4CF4-8867-DAB6513FB643}">
    <text>The total number of add-omits that involve visual cues</text>
  </threadedComment>
  <threadedComment ref="E48" dT="2023-09-09T16:38:54.43" personId="{92B4A6DC-4F33-4B08-ABD0-0D16C795A856}" id="{755747AF-51A3-413C-91ED-73903E88C514}">
    <text>The total number of add-omits that involve NO visual cues (given the definition of this project, i.e., 3-character minimum similarity in critical regions)</text>
  </threadedComment>
  <threadedComment ref="F48" dT="2023-09-09T16:39:12.76" personId="{92B4A6DC-4F33-4B08-ABD0-0D16C795A856}" id="{A70DEFDC-0FDA-48D9-9932-903F4DD02625}">
    <text>The percentage of all add-omits that involve visual cues</text>
  </threadedComment>
  <threadedComment ref="D52" dT="2023-09-09T16:31:50.60" personId="{92B4A6DC-4F33-4B08-ABD0-0D16C795A856}" id="{7391DD21-C287-4178-B793-A3388CF621F5}">
    <text>The number of add-omits where visual cues are NOT present that are, in fact, additions. I.e., the number of additions that generate no visual cues</text>
  </threadedComment>
  <threadedComment ref="E52" dT="2023-09-09T16:34:51.06" personId="{92B4A6DC-4F33-4B08-ABD0-0D16C795A856}" id="{8C123A2D-A266-4A40-ADC7-A41C5AAD945A}">
    <text>The number of add-omits where visual cues are NOT present that are, in fact, omissions. I.e., the number of times that omissions occurred in the absence of visual cues</text>
  </threadedComment>
  <threadedComment ref="D53" dT="2023-09-09T16:31:02.72" personId="{92B4A6DC-4F33-4B08-ABD0-0D16C795A856}" id="{B10EE9DC-8798-48B0-8898-20578EE1E9A4}">
    <text>The number of add-omits where visual cues are present that are, in fact, additions. I.e., the number of additions that result in the presence of visual cues</text>
  </threadedComment>
  <threadedComment ref="E53" dT="2023-09-09T16:34:19.48" personId="{92B4A6DC-4F33-4B08-ABD0-0D16C795A856}" id="{A1A8E358-9CDD-4446-A88B-67689172664A}">
    <text>The number of add-omits where visual cues are present that are, in fact, omissions. I.e., the number of times that omissions occurred in the presence of visual cues</text>
  </threadedComment>
  <threadedComment ref="D58" dT="2023-09-09T16:31:50.60" personId="{92B4A6DC-4F33-4B08-ABD0-0D16C795A856}" id="{0ECBC230-7778-47A7-AFEE-CC181820783D}">
    <text>The number of non-dittographic add-omits that are, in fact, additions. I.e., the number of additions that do not result in dittography</text>
  </threadedComment>
  <threadedComment ref="E58" dT="2023-09-09T16:34:51.06" personId="{92B4A6DC-4F33-4B08-ABD0-0D16C795A856}" id="{45715D22-33ED-4369-A258-8F4B7889899F}">
    <text>The number of non-dittographic add-omits that are, in fact, omissions. I.e., the number of omissions that did not undo a dittographic reading</text>
  </threadedComment>
  <threadedComment ref="D59" dT="2023-09-09T16:31:02.72" personId="{92B4A6DC-4F33-4B08-ABD0-0D16C795A856}" id="{DBD86872-FBCD-46E7-9F07-9147B4774720}">
    <text>The number of dittographic add-omits that are, in fact, additions. I.e., the number of additions that result in dittography</text>
  </threadedComment>
  <threadedComment ref="E59" dT="2023-09-09T16:34:19.48" personId="{92B4A6DC-4F33-4B08-ABD0-0D16C795A856}" id="{A11E32A8-A24C-4D9A-85FB-BB01BD7B54F3}">
    <text>The number of dittographic add-omits that are, in fact, omissions. I.e., the number omissions where the omitted word(s) is/are dittographies</text>
  </threadedComment>
  <threadedComment ref="D64" dT="2024-01-06T19:48:13.17" personId="{92B4A6DC-4F33-4B08-ABD0-0D16C795A856}" id="{C8C4F37C-A8FB-4C9C-BFA1-AF8AAB3987DF}">
    <text>Additions of one word</text>
  </threadedComment>
  <threadedComment ref="E64" dT="2024-01-06T19:48:24.08" personId="{92B4A6DC-4F33-4B08-ABD0-0D16C795A856}" id="{DA8C1616-E569-4F2B-AE68-B5A0F632045A}">
    <text>Omissions of one word</text>
  </threadedComment>
  <threadedComment ref="F64" dT="2024-01-06T19:49:49.67" personId="{92B4A6DC-4F33-4B08-ABD0-0D16C795A856}" id="{38DD8214-AA1B-46B9-A896-DD2D994B64B4}">
    <text>Add ratio for single-word variants</text>
  </threadedComment>
  <threadedComment ref="D65" dT="2024-01-06T19:48:46.30" personId="{92B4A6DC-4F33-4B08-ABD0-0D16C795A856}" id="{70567C2A-82D6-4F24-8E47-6CE6530DE740}">
    <text>Additions of 2-3 words</text>
  </threadedComment>
  <threadedComment ref="E65" dT="2024-01-06T19:49:11.26" personId="{92B4A6DC-4F33-4B08-ABD0-0D16C795A856}" id="{D0E69B72-39A1-4024-89A3-1FF72DD012DB}">
    <text>Omissions of 2-3 words</text>
  </threadedComment>
  <threadedComment ref="F65" dT="2024-01-06T19:50:08.15" personId="{92B4A6DC-4F33-4B08-ABD0-0D16C795A856}" id="{DAF112EC-00E2-4DFE-8F46-5F874C7B5B8A}">
    <text>Add ratio for variants of 2-3 words</text>
  </threadedComment>
  <threadedComment ref="D66" dT="2024-01-06T19:48:58.81" personId="{92B4A6DC-4F33-4B08-ABD0-0D16C795A856}" id="{D850D3AA-C36C-4B8A-8B45-7035A9D5F271}">
    <text>Additions of 4 or more words</text>
  </threadedComment>
  <threadedComment ref="E66" dT="2024-01-06T19:49:22.83" personId="{92B4A6DC-4F33-4B08-ABD0-0D16C795A856}" id="{E4025728-3358-4C5F-8E6C-0BA45D397DB4}">
    <text>Omissions of 4 or more words</text>
  </threadedComment>
  <threadedComment ref="F66" dT="2024-01-06T19:50:20.70" personId="{92B4A6DC-4F33-4B08-ABD0-0D16C795A856}" id="{62536E5A-0CE0-4778-BC50-DB1158CF11FF}">
    <text>Add ratio for variants of 4 or more words</text>
  </threadedComment>
  <threadedComment ref="C69" dT="2023-09-09T16:27:49.68" personId="{92B4A6DC-4F33-4B08-ABD0-0D16C795A856}" id="{BC5A8332-F2A4-4530-891C-2D79B0C15B1E}">
    <text>Number of words added or omitted</text>
  </threadedComment>
  <threadedComment ref="D69" dT="2023-09-09T16:28:21.63" personId="{92B4A6DC-4F33-4B08-ABD0-0D16C795A856}" id="{E90F27DC-A959-490F-B297-C89C4D488888}">
    <text>Number of additions involving the number of words specified in the "Length" column</text>
  </threadedComment>
  <threadedComment ref="E69" dT="2023-09-09T16:28:41.21" personId="{92B4A6DC-4F33-4B08-ABD0-0D16C795A856}" id="{5A1FCED5-4009-4C24-B022-85E0C95AEFBB}">
    <text>Number of omissions involving the number of words specified in the "Length" column</text>
  </threadedComment>
  <threadedComment ref="F69" dT="2023-09-09T16:29:25.88" personId="{92B4A6DC-4F33-4B08-ABD0-0D16C795A856}" id="{DC65BBC1-CE65-42F3-A2E0-FE9B3DFAD61F}">
    <text>The addition rate for add-omits involving the number of words indicated in the "Length" column</text>
  </threadedComment>
  <threadedComment ref="D77" dT="2024-01-15T11:53:38.99" personId="{92B4A6DC-4F33-4B08-ABD0-0D16C795A856}" id="{76CA6627-F84E-4B03-8EEF-4489BFD8AF1B}">
    <text>Total word count for corpus. Figure taken from Accordance "Word Count Totals" analysis. Search for word "*" specifying [RANGE &lt;CONTENT&gt;]. E.g., for 1 Samuel - 2 Kings in Alexandrinus, search for "* [RANGE 1 Sam - 2 Kings]" in LXX Rahlfs.</text>
  </threadedComment>
</ThreadedComments>
</file>

<file path=xl/threadedComments/threadedComment4.xml><?xml version="1.0" encoding="utf-8"?>
<ThreadedComments xmlns="http://schemas.microsoft.com/office/spreadsheetml/2018/threadedcomments" xmlns:x="http://schemas.openxmlformats.org/spreadsheetml/2006/main">
  <threadedComment ref="S1" dT="2024-01-16T10:00:06.98" personId="{92B4A6DC-4F33-4B08-ABD0-0D16C795A856}" id="{F8B3F60D-40B9-489F-821F-7F8F9365305A}">
    <text>For substitutions, the word frequency of the apograph reading</text>
  </threadedComment>
  <threadedComment ref="T1" dT="2024-01-16T09:59:48.08" personId="{92B4A6DC-4F33-4B08-ABD0-0D16C795A856}" id="{75FB77B7-46F0-4B97-A14A-D5ACE243FE14}">
    <text>For substitutions, the word frequency of the autograph reading</text>
  </threadedComment>
  <threadedComment ref="D16" dT="2024-01-15T11:53:38.99" personId="{92B4A6DC-4F33-4B08-ABD0-0D16C795A856}" id="{EAB025D5-4B02-48C0-AB3C-2CC3F0164DA9}">
    <text>Total word count for corpus. Figure taken from Accordance "Word Count Totals" analysis. Search for word "*" specifying [RANGE &lt;CONTENT&gt;]. E.g., for 1 Samuel - 2 Kings in Alexandrinus, search for "* [RANGE 1 Sam - 2 Kings]" in LXX Rahlfs.</text>
  </threadedComment>
  <threadedComment ref="D17" dT="2024-01-15T16:09:47.97" personId="{92B4A6DC-4F33-4B08-ABD0-0D16C795A856}" id="{34E35FE1-32B8-4492-8D1E-E002495822B7}">
    <text>Median word frequency</text>
  </threadedComment>
  <threadedComment ref="D20" dT="2024-01-16T15:49:15.06" personId="{92B4A6DC-4F33-4B08-ABD0-0D16C795A856}" id="{1C08E9A7-9DBE-4287-8F1C-B319A1FAE0C9}">
    <text>Higher-frequency additions: the number of additions among variants whose word frequency was equal to or above the median</text>
  </threadedComment>
  <threadedComment ref="D21" dT="2024-01-16T15:49:42.55" personId="{92B4A6DC-4F33-4B08-ABD0-0D16C795A856}" id="{3294BA91-65C3-45DC-BE94-3447A2686984}">
    <text xml:space="preserve">Higher-frequency omissions: the number of omissions among variants whose word frequency was equal to or above the median
</text>
  </threadedComment>
  <threadedComment ref="D22" dT="2024-01-16T15:50:17.80" personId="{92B4A6DC-4F33-4B08-ABD0-0D16C795A856}" id="{176F4F2E-6DB5-4882-83A3-D120DAD21A75}">
    <text>Higher-frequency add ratio: the add ratio among variants whose word frequency was equal to or above the median</text>
  </threadedComment>
  <threadedComment ref="D23" dT="2024-01-16T15:50:43.11" personId="{92B4A6DC-4F33-4B08-ABD0-0D16C795A856}" id="{A44BBAFF-9699-4CAB-BFB1-CB322E776FC7}">
    <text xml:space="preserve">Lower-frequency additions: the number of additions among variants whose word frequency was below the median
</text>
  </threadedComment>
  <threadedComment ref="D24" dT="2024-01-16T15:52:18.36" personId="{92B4A6DC-4F33-4B08-ABD0-0D16C795A856}" id="{FD93D019-2CDF-4286-A520-62F4D1F27F96}">
    <text>Higher-frequency omissions: the number of omissions among variants whose word frequency was below  the median</text>
  </threadedComment>
  <threadedComment ref="D25" dT="2024-01-16T15:51:50.24" personId="{92B4A6DC-4F33-4B08-ABD0-0D16C795A856}" id="{E98B4A87-41C2-4681-9427-115BE2214296}">
    <text xml:space="preserve">Lower-frequency add ratio: the add ratio among variants whose word frequency was below the median
</text>
  </threadedComment>
  <threadedComment ref="D28" dT="2024-01-16T15:56:55.41" personId="{92B4A6DC-4F33-4B08-ABD0-0D16C795A856}" id="{5256CE1B-1E5A-4082-906E-9CD7BF02A4A4}">
    <text>Articular additions: the number of additions of an article</text>
  </threadedComment>
  <threadedComment ref="D29" dT="2024-01-16T16:01:25.48" personId="{92B4A6DC-4F33-4B08-ABD0-0D16C795A856}" id="{453DD099-3CD0-44DA-BB89-0711F1834ED7}">
    <text>Articular omissions: the number of omissions of an article</text>
  </threadedComment>
  <threadedComment ref="D30" dT="2024-01-16T16:01:49.04" personId="{92B4A6DC-4F33-4B08-ABD0-0D16C795A856}" id="{E6C4CDD7-F05C-4FEF-A424-02D7B6E83E71}">
    <text>Articular add ratio: the add ratio for the definite article</text>
  </threadedComment>
</ThreadedComments>
</file>

<file path=xl/threadedComments/threadedComment5.xml><?xml version="1.0" encoding="utf-8"?>
<ThreadedComments xmlns="http://schemas.microsoft.com/office/spreadsheetml/2018/threadedcomments" xmlns:x="http://schemas.openxmlformats.org/spreadsheetml/2006/main">
  <threadedComment ref="S1" dT="2024-01-16T10:00:06.98" personId="{92B4A6DC-4F33-4B08-ABD0-0D16C795A856}" id="{DBD2AA2D-E0AB-4260-951B-D7D7307C8C4B}">
    <text>For substitutions, the word frequency of the apograph reading</text>
  </threadedComment>
  <threadedComment ref="T1" dT="2024-01-16T09:59:48.08" personId="{92B4A6DC-4F33-4B08-ABD0-0D16C795A856}" id="{65275AD8-8574-4733-81E3-B5D3DD666AAC}">
    <text>For substitutions, the word frequency of the autograph reading</text>
  </threadedComment>
  <threadedComment ref="D6" dT="2024-01-15T11:53:38.99" personId="{92B4A6DC-4F33-4B08-ABD0-0D16C795A856}" id="{A8757892-0451-4803-B008-063F30B5F0DA}">
    <text>Total word count for corpus. Figure taken from Accordance "Word Count Totals" analysis. Search for word "*" specifying [RANGE &lt;CONTENT&gt;]. E.g., for 1 Samuel - 2 Kings in Alexandrinus, search for "* [RANGE 1 Sam - 2 Kings]" in LXX Rahlfs.</text>
  </threadedComment>
  <threadedComment ref="D7" dT="2024-01-15T16:09:47.97" personId="{92B4A6DC-4F33-4B08-ABD0-0D16C795A856}" id="{C99D9421-EDE2-4C15-A15D-4085A0FBBE31}">
    <text>Median word frequency</text>
  </threadedComment>
  <threadedComment ref="D10" dT="2024-01-16T15:49:15.06" personId="{92B4A6DC-4F33-4B08-ABD0-0D16C795A856}" id="{4AC6D097-DE2F-46A6-A9F0-2C4031D8CB46}">
    <text>Higher-frequency additions: the number of additions among variants whose word frequency was equal to or above the median</text>
  </threadedComment>
  <threadedComment ref="D11" dT="2024-01-16T15:49:42.55" personId="{92B4A6DC-4F33-4B08-ABD0-0D16C795A856}" id="{0A11372D-9509-454E-9619-85C9F3EEE715}">
    <text xml:space="preserve">Higher-frequency omissions: the number of omissions among variants whose word frequency was equal to or above the median
</text>
  </threadedComment>
  <threadedComment ref="D12" dT="2024-01-16T15:50:17.80" personId="{92B4A6DC-4F33-4B08-ABD0-0D16C795A856}" id="{25DBE96D-E908-4818-B285-604524FB5BB0}">
    <text>Higher-frequency add ratio: the add ratio among variants whose word frequency was equal to or above the median</text>
  </threadedComment>
  <threadedComment ref="D13" dT="2024-01-16T15:50:43.11" personId="{92B4A6DC-4F33-4B08-ABD0-0D16C795A856}" id="{FA4BE9DD-2F5F-471D-953E-243DE140F2F9}">
    <text xml:space="preserve">Lower-frequency additions: the number of additions among variants whose word frequency was below the median
</text>
  </threadedComment>
  <threadedComment ref="D14" dT="2024-01-16T15:52:18.36" personId="{92B4A6DC-4F33-4B08-ABD0-0D16C795A856}" id="{63EBA0D7-2C13-42B8-8A33-69FC0650200B}">
    <text>Higher-frequency omissions: the number of omissions among variants whose word frequency was below  the median</text>
  </threadedComment>
  <threadedComment ref="D15" dT="2024-01-16T15:51:50.24" personId="{92B4A6DC-4F33-4B08-ABD0-0D16C795A856}" id="{1EDEB638-637D-4420-8D58-602EB3E5855C}">
    <text xml:space="preserve">Lower-frequency add ratio: the add ratio among variants whose word frequency was below the median
</text>
  </threadedComment>
  <threadedComment ref="D16" dT="2024-01-22T14:15:25.14" personId="{92B4A6DC-4F33-4B08-ABD0-0D16C795A856}" id="{FFF755B3-E1CA-4D5B-8F1C-0EF3FB2A6138}">
    <text>The difference in add ratio based on word frequency category. If scribes exhibit preference for the familiar, the HF add ratio should usually be higher than the LF add ratio (thus, the Add Ratio Difference should be positive)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R1" dT="2024-01-16T10:00:06.98" personId="{92B4A6DC-4F33-4B08-ABD0-0D16C795A856}" id="{5F103F20-7AEE-4206-A052-905D551C60DF}">
    <text>For substitutions, the word frequency of the apograph reading</text>
  </threadedComment>
  <threadedComment ref="S1" dT="2024-01-16T09:59:48.08" personId="{92B4A6DC-4F33-4B08-ABD0-0D16C795A856}" id="{3921A440-E807-462B-A530-5331EA7F31C2}">
    <text>For substitutions, the word frequency of the autograph reading</text>
  </threadedComment>
  <threadedComment ref="D18" dT="2024-01-15T11:53:38.99" personId="{92B4A6DC-4F33-4B08-ABD0-0D16C795A856}" id="{DB337EFB-4000-4271-9F95-0D8404EAA0C3}">
    <text>Total word count for corpus. Figure taken from Accordance "Word Count Totals" analysis. Search for word "*" specifying [RANGE &lt;CONTENT&gt;]. E.g., for 1 Samuel - 2 Kings in Alexandrinus, search for "* [RANGE 1 Sam - 2 Kings]" in LXX Rahlfs.</text>
  </threadedComment>
  <threadedComment ref="D33" dT="2024-01-22T16:14:41.99" personId="{92B4A6DC-4F33-4B08-ABD0-0D16C795A856}" id="{BE247F1D-DF88-470D-9D4C-92AA1DFAF6A3}">
    <text>Total number of substitutions for which a word frequency difference could be calculated</text>
  </threadedComment>
  <threadedComment ref="D34" dT="2024-01-22T17:13:39.02" personId="{92B4A6DC-4F33-4B08-ABD0-0D16C795A856}" id="{B0799A1D-9566-485F-8F43-32D964C90222}">
    <text>The standard deviation of word frequency difference scores</text>
  </threadedComment>
</ThreadedComments>
</file>

<file path=xl/threadedComments/threadedComment7.xml><?xml version="1.0" encoding="utf-8"?>
<ThreadedComments xmlns="http://schemas.microsoft.com/office/spreadsheetml/2018/threadedcomments" xmlns:x="http://schemas.openxmlformats.org/spreadsheetml/2006/main">
  <threadedComment ref="S1" dT="2024-01-16T10:00:06.98" personId="{92B4A6DC-4F33-4B08-ABD0-0D16C795A856}" id="{F4B4C5A4-3246-4032-B1D8-165C164A5D65}">
    <text>For substitutions, the word frequency of the apograph reading</text>
  </threadedComment>
  <threadedComment ref="T1" dT="2024-01-16T09:59:48.08" personId="{92B4A6DC-4F33-4B08-ABD0-0D16C795A856}" id="{AD328834-B5AD-44BA-B659-EE42B3C3E417}">
    <text>For substitutions, the word frequency of the autograph reading</text>
  </threadedComment>
  <threadedComment ref="D20" dT="2024-01-24T17:15:11.25" personId="{92B4A6DC-4F33-4B08-ABD0-0D16C795A856}" id="{F7CC5031-C068-4958-9291-A0EA6D93DBBB}">
    <text>The number of variants that harmonized to parallel phrases in the near context</text>
  </threadedComment>
  <threadedComment ref="D21" dT="2024-01-24T17:15:35.01" personId="{92B4A6DC-4F33-4B08-ABD0-0D16C795A856}" id="{43A919E2-9981-4DD9-AD96-4601D145ADFC}">
    <text>The number of variants that disharmonized from  parallel phrases in the near context</text>
  </threadedComment>
  <threadedComment ref="D22" dT="2024-01-24T17:16:15.06" personId="{92B4A6DC-4F33-4B08-ABD0-0D16C795A856}" id="{FEC708A9-70FD-4C58-AB27-F6C8F344E5A0}">
    <text>The ratio of harmonizations to disharmonizations; = harmonizations / (harmonizations + disharmonizations)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A1" dT="2024-01-30T16:42:58.97" personId="{92B4A6DC-4F33-4B08-ABD0-0D16C795A856}" id="{C4B2FD29-E485-44A6-904A-32D5014E5899}">
    <text>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ext>
  </threadedComment>
  <threadedComment ref="A2" dT="2024-01-30T16:43:29.06" personId="{92B4A6DC-4F33-4B08-ABD0-0D16C795A856}" id="{9304BCE1-2907-4236-91FA-088E74823AA7}">
    <text>The number of total deviations from the exemplar. Includes itacisms, orthographic changes, nonsense readings etc.</text>
  </threadedComment>
  <threadedComment ref="A3" dT="2024-01-30T16:44:34.54" personId="{92B4A6DC-4F33-4B08-ABD0-0D16C795A856}" id="{EBDDB76B-ECE8-4647-BDB6-0A838853E4A1}">
    <text>The number of "meaningful" variants produced by the scribe. Should be based on the "general filters" page, with those readings excluded that have not been deemed fit for analysis (e.g., nonsense readings and corrections thereof, itacisms etc.)</text>
  </threadedComment>
  <threadedComment ref="A5" dT="2024-01-31T15:17:30.66" personId="{92B4A6DC-4F33-4B08-ABD0-0D16C795A856}" id="{EDB55FA4-A7AC-4BB4-8A25-D3FA97E4B582}">
    <text>The rate of error generation per 1000 words in the apograph. Figure includes itacisms, orthographic changes, nonsense readings etc.</text>
  </threadedComment>
  <threadedComment ref="A6" dT="2024-01-31T15:18:45.83" personId="{92B4A6DC-4F33-4B08-ABD0-0D16C795A856}" id="{9DDAA3A4-5356-41D5-80C1-6F21E5FE1460}">
    <text>Frequency of "meaningful" errors per 1000 words in the apograph. "Meaningful" errors are defined by the general filters applied to the raw data. (Here, this means the exclusion of such readings as itacisms, orthographic changes, variants involving nonsense readings etc.)</text>
  </threadedComment>
</ThreadedComments>
</file>

<file path=xl/threadedComments/threadedComment9.xml><?xml version="1.0" encoding="utf-8"?>
<ThreadedComments xmlns="http://schemas.microsoft.com/office/spreadsheetml/2018/threadedcomments" xmlns:x="http://schemas.openxmlformats.org/spreadsheetml/2006/main">
  <threadedComment ref="K3" dT="2023-08-03T13:34:30.53" personId="{92B4A6DC-4F33-4B08-ABD0-0D16C795A856}" id="{A1C5332B-88AA-4B83-AAD9-A3B93A9071E6}">
    <text>The apograph reading is singular and the autograph reading is not. The singular readings method would detect this variant</text>
  </threadedComment>
  <threadedComment ref="K4" dT="2023-08-03T13:33:28.57" personId="{92B4A6DC-4F33-4B08-ABD0-0D16C795A856}" id="{1B9938A4-1C03-4D8C-9F9D-9A6F1DAD277F}">
    <text>That is, the autograph contains a singular reading and the apograph followed it</text>
  </threadedComment>
  <threadedComment ref="K5" dT="2023-08-03T13:35:10.13" personId="{92B4A6DC-4F33-4B08-ABD0-0D16C795A856}" id="{F80E6062-5FB5-40A2-84DD-622A30330BE2}">
    <text>The apograph reading is not singular: other witnesses contain the same reading. These are real variants produced by the apograph scribe, but the singular readings method would not detect them</text>
  </threadedComment>
  <threadedComment ref="M13" dT="2023-08-14T14:21:11.11" personId="{92B4A6DC-4F33-4B08-ABD0-0D16C795A856}" id="{6A36EA43-D646-40E2-B193-E1084727A5A3}">
    <text>For words which have multiple common forms not impacting their inflection (e.g., ουκ-ουχ-ου, επι-επ-εφ)</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6005F-94E2-41CC-8345-C084BDDA2E52}">
  <dimension ref="A1:AI194"/>
  <sheetViews>
    <sheetView tabSelected="1" zoomScaleNormal="100" workbookViewId="0">
      <pane xSplit="5" ySplit="1" topLeftCell="F2" activePane="bottomRight" state="frozen"/>
      <selection pane="topRight" activeCell="F1" sqref="F1"/>
      <selection pane="bottomLeft" activeCell="A2" sqref="A2"/>
      <selection pane="bottomRight" activeCell="F2" sqref="F2"/>
    </sheetView>
  </sheetViews>
  <sheetFormatPr defaultRowHeight="14.5"/>
  <cols>
    <col min="1" max="1" width="10.81640625" customWidth="1"/>
    <col min="2" max="3" width="8.90625" hidden="1" customWidth="1"/>
    <col min="4" max="5" width="20.81640625" style="3" customWidth="1"/>
    <col min="6" max="6" width="17.453125" customWidth="1"/>
    <col min="7" max="7" width="9.453125" customWidth="1"/>
    <col min="8" max="8" width="10.453125" customWidth="1"/>
    <col min="9" max="9" width="9.54296875" customWidth="1"/>
    <col min="10" max="16" width="8.90625" style="5" customWidth="1"/>
    <col min="17" max="17" width="8.90625" style="7" customWidth="1"/>
    <col min="18" max="18" width="8.90625" style="5" customWidth="1"/>
    <col min="19" max="19" width="18.36328125" style="5" customWidth="1"/>
    <col min="20" max="22" width="8.90625" style="5" customWidth="1"/>
    <col min="23" max="25" width="13.81640625" style="5" customWidth="1"/>
    <col min="26" max="32" width="8.90625" style="5" customWidth="1"/>
  </cols>
  <sheetData>
    <row r="1" spans="1:34" s="1" customFormat="1">
      <c r="A1" s="1" t="s">
        <v>0</v>
      </c>
      <c r="B1" s="1" t="s">
        <v>1</v>
      </c>
      <c r="C1" s="1" t="s">
        <v>2</v>
      </c>
      <c r="D1" s="2" t="s">
        <v>473</v>
      </c>
      <c r="E1" s="2" t="s">
        <v>474</v>
      </c>
      <c r="F1" s="1" t="s">
        <v>531</v>
      </c>
      <c r="G1" s="1" t="s">
        <v>532</v>
      </c>
      <c r="H1" s="1" t="s">
        <v>533</v>
      </c>
      <c r="I1" s="1" t="s">
        <v>5</v>
      </c>
      <c r="J1" s="1" t="s">
        <v>3</v>
      </c>
      <c r="L1" s="1" t="s">
        <v>534</v>
      </c>
      <c r="M1" s="1" t="s">
        <v>535</v>
      </c>
      <c r="N1" s="1" t="s">
        <v>536</v>
      </c>
      <c r="O1" s="1" t="s">
        <v>495</v>
      </c>
      <c r="P1" s="1" t="s">
        <v>537</v>
      </c>
      <c r="Q1" s="6" t="s">
        <v>538</v>
      </c>
      <c r="R1" s="1" t="s">
        <v>496</v>
      </c>
      <c r="S1" s="1" t="s">
        <v>539</v>
      </c>
      <c r="T1" s="1" t="s">
        <v>540</v>
      </c>
      <c r="U1" s="1" t="s">
        <v>673</v>
      </c>
      <c r="V1" s="1" t="s">
        <v>674</v>
      </c>
      <c r="W1" s="1" t="s">
        <v>557</v>
      </c>
      <c r="X1" s="1" t="s">
        <v>558</v>
      </c>
      <c r="Y1" s="1" t="s">
        <v>497</v>
      </c>
      <c r="Z1" s="1" t="s">
        <v>498</v>
      </c>
      <c r="AA1" s="1" t="s">
        <v>499</v>
      </c>
      <c r="AB1" s="1" t="s">
        <v>500</v>
      </c>
      <c r="AC1" s="1" t="s">
        <v>541</v>
      </c>
      <c r="AD1" s="1" t="s">
        <v>569</v>
      </c>
      <c r="AE1" s="1" t="s">
        <v>502</v>
      </c>
      <c r="AF1" s="1" t="s">
        <v>544</v>
      </c>
      <c r="AG1" s="1" t="s">
        <v>634</v>
      </c>
    </row>
    <row r="2" spans="1:34">
      <c r="A2" t="s">
        <v>17</v>
      </c>
      <c r="D2" s="3" t="s">
        <v>18</v>
      </c>
      <c r="E2" s="3" t="s">
        <v>19</v>
      </c>
      <c r="J2" s="5" t="s">
        <v>545</v>
      </c>
      <c r="T2" s="5" t="s">
        <v>562</v>
      </c>
      <c r="U2" s="5" t="str">
        <f t="shared" ref="U2" ca="1" si="0">IF(ISNUMBER(T2),VALUE(MID(_xlfn.FORMULATEXT(T2),SEARCH("-",_xlfn.FORMULATEXT(T2))+1,LEN(_xlfn.FORMULATEXT(T2))-SEARCH("-",_xlfn.FORMULATEXT(T2)))), "")</f>
        <v/>
      </c>
      <c r="V2" s="5" t="str">
        <f t="shared" ref="V2" ca="1" si="1">IF(ISNUMBER(T2), VALUE(MID(_xlfn.FORMULATEXT(T2), 2, SEARCH("-", _xlfn.FORMULATEXT(T2)) - 2)), "")</f>
        <v/>
      </c>
      <c r="AA2" s="5" t="s">
        <v>475</v>
      </c>
      <c r="AC2" s="5" t="s">
        <v>548</v>
      </c>
      <c r="AD2" s="5" t="s">
        <v>475</v>
      </c>
    </row>
    <row r="3" spans="1:34">
      <c r="A3" t="s">
        <v>20</v>
      </c>
      <c r="D3" s="3" t="s">
        <v>339</v>
      </c>
      <c r="E3" s="3" t="s">
        <v>340</v>
      </c>
      <c r="J3" s="5" t="s">
        <v>483</v>
      </c>
      <c r="U3" s="5" t="str">
        <f t="shared" ref="U3:U65" ca="1" si="2">IF(ISNUMBER(T3),VALUE(MID(_xlfn.FORMULATEXT(T3),SEARCH("-",_xlfn.FORMULATEXT(T3))+1,LEN(_xlfn.FORMULATEXT(T3))-SEARCH("-",_xlfn.FORMULATEXT(T3)))), "")</f>
        <v/>
      </c>
      <c r="V3" s="5" t="str">
        <f t="shared" ref="V3:V65" ca="1" si="3">IF(ISNUMBER(T3), VALUE(MID(_xlfn.FORMULATEXT(T3), 2, SEARCH("-", _xlfn.FORMULATEXT(T3)) - 2)), "")</f>
        <v/>
      </c>
      <c r="AA3" s="5" t="s">
        <v>475</v>
      </c>
      <c r="AG3" t="s">
        <v>481</v>
      </c>
    </row>
    <row r="4" spans="1:34">
      <c r="A4" t="s">
        <v>20</v>
      </c>
      <c r="D4" s="3" t="s">
        <v>21</v>
      </c>
      <c r="E4" s="3" t="s">
        <v>22</v>
      </c>
      <c r="J4" s="5" t="s">
        <v>546</v>
      </c>
      <c r="U4" s="5" t="str">
        <f t="shared" ca="1" si="2"/>
        <v/>
      </c>
      <c r="V4" s="5" t="str">
        <f t="shared" ca="1" si="3"/>
        <v/>
      </c>
      <c r="AA4" s="5" t="s">
        <v>475</v>
      </c>
      <c r="AC4" s="5" t="s">
        <v>550</v>
      </c>
      <c r="AD4" s="5" t="s">
        <v>475</v>
      </c>
    </row>
    <row r="5" spans="1:34">
      <c r="A5" t="s">
        <v>20</v>
      </c>
      <c r="D5" s="3" t="s">
        <v>341</v>
      </c>
      <c r="E5" s="3" t="s">
        <v>342</v>
      </c>
      <c r="I5" t="s">
        <v>614</v>
      </c>
      <c r="J5" s="5" t="s">
        <v>479</v>
      </c>
      <c r="L5" s="5">
        <v>1</v>
      </c>
      <c r="M5" s="5">
        <v>1</v>
      </c>
      <c r="N5" s="5" t="s">
        <v>509</v>
      </c>
      <c r="O5" s="5" t="s">
        <v>549</v>
      </c>
      <c r="S5" s="5">
        <v>19277</v>
      </c>
      <c r="U5" s="5" t="str">
        <f t="shared" ca="1" si="2"/>
        <v/>
      </c>
      <c r="V5" s="5" t="str">
        <f t="shared" ca="1" si="3"/>
        <v/>
      </c>
      <c r="W5" s="5" t="s">
        <v>559</v>
      </c>
      <c r="AA5" s="5" t="s">
        <v>475</v>
      </c>
      <c r="AG5" t="s">
        <v>475</v>
      </c>
    </row>
    <row r="6" spans="1:34">
      <c r="A6" t="s">
        <v>23</v>
      </c>
      <c r="D6" s="3" t="s">
        <v>343</v>
      </c>
      <c r="E6" s="3" t="s">
        <v>344</v>
      </c>
      <c r="I6" t="s">
        <v>614</v>
      </c>
      <c r="J6" s="5" t="s">
        <v>479</v>
      </c>
      <c r="L6" s="5">
        <v>1</v>
      </c>
      <c r="M6" s="5">
        <v>1</v>
      </c>
      <c r="N6" s="5" t="s">
        <v>509</v>
      </c>
      <c r="O6" s="5" t="s">
        <v>549</v>
      </c>
      <c r="S6" s="5">
        <v>19277</v>
      </c>
      <c r="U6" s="5" t="str">
        <f t="shared" ca="1" si="2"/>
        <v/>
      </c>
      <c r="V6" s="5" t="str">
        <f t="shared" ca="1" si="3"/>
        <v/>
      </c>
      <c r="W6" s="5" t="s">
        <v>559</v>
      </c>
      <c r="AA6" s="5" t="s">
        <v>475</v>
      </c>
      <c r="AG6" t="s">
        <v>475</v>
      </c>
    </row>
    <row r="7" spans="1:34">
      <c r="A7" t="s">
        <v>24</v>
      </c>
      <c r="D7" s="3" t="s">
        <v>345</v>
      </c>
      <c r="E7" s="3" t="s">
        <v>346</v>
      </c>
      <c r="I7" t="s">
        <v>608</v>
      </c>
      <c r="J7" s="5" t="s">
        <v>476</v>
      </c>
      <c r="L7" s="5">
        <v>1</v>
      </c>
      <c r="M7" s="5">
        <v>3</v>
      </c>
      <c r="N7" s="5" t="s">
        <v>518</v>
      </c>
      <c r="O7" s="5" t="s">
        <v>504</v>
      </c>
      <c r="P7" s="5" t="s">
        <v>551</v>
      </c>
      <c r="Q7" s="7" t="s">
        <v>552</v>
      </c>
      <c r="R7" s="5" t="s">
        <v>505</v>
      </c>
      <c r="S7" s="5">
        <v>11721</v>
      </c>
      <c r="U7" s="5" t="str">
        <f t="shared" ca="1" si="2"/>
        <v/>
      </c>
      <c r="V7" s="5" t="str">
        <f t="shared" ca="1" si="3"/>
        <v/>
      </c>
      <c r="AA7" s="5" t="s">
        <v>475</v>
      </c>
      <c r="AE7" s="5" t="s">
        <v>508</v>
      </c>
    </row>
    <row r="8" spans="1:34">
      <c r="A8" t="s">
        <v>24</v>
      </c>
      <c r="D8" s="3" t="s">
        <v>347</v>
      </c>
      <c r="E8" s="3" t="s">
        <v>25</v>
      </c>
      <c r="J8" s="5" t="s">
        <v>546</v>
      </c>
      <c r="U8" s="5" t="str">
        <f t="shared" ca="1" si="2"/>
        <v/>
      </c>
      <c r="V8" s="5" t="str">
        <f t="shared" ca="1" si="3"/>
        <v/>
      </c>
      <c r="AA8" s="5" t="s">
        <v>475</v>
      </c>
      <c r="AB8" s="5" t="s">
        <v>507</v>
      </c>
      <c r="AC8" s="5" t="s">
        <v>553</v>
      </c>
      <c r="AD8" s="5" t="s">
        <v>475</v>
      </c>
    </row>
    <row r="9" spans="1:34">
      <c r="A9" t="s">
        <v>26</v>
      </c>
      <c r="D9" s="3" t="s">
        <v>27</v>
      </c>
      <c r="E9" s="3" t="s">
        <v>28</v>
      </c>
      <c r="J9" s="5" t="s">
        <v>546</v>
      </c>
      <c r="U9" s="5" t="str">
        <f t="shared" ca="1" si="2"/>
        <v/>
      </c>
      <c r="V9" s="5" t="str">
        <f t="shared" ca="1" si="3"/>
        <v/>
      </c>
      <c r="AA9" s="5" t="s">
        <v>475</v>
      </c>
      <c r="AC9" s="5" t="s">
        <v>629</v>
      </c>
      <c r="AD9" s="5" t="s">
        <v>481</v>
      </c>
      <c r="AG9" t="s">
        <v>481</v>
      </c>
    </row>
    <row r="10" spans="1:34">
      <c r="A10" t="s">
        <v>29</v>
      </c>
      <c r="D10" s="3" t="s">
        <v>30</v>
      </c>
      <c r="E10" s="3" t="s">
        <v>31</v>
      </c>
      <c r="J10" s="5" t="s">
        <v>546</v>
      </c>
      <c r="U10" s="5" t="str">
        <f t="shared" ca="1" si="2"/>
        <v/>
      </c>
      <c r="V10" s="5" t="str">
        <f t="shared" ca="1" si="3"/>
        <v/>
      </c>
      <c r="AA10" s="5" t="s">
        <v>475</v>
      </c>
      <c r="AG10" t="s">
        <v>475</v>
      </c>
      <c r="AH10" t="s">
        <v>636</v>
      </c>
    </row>
    <row r="11" spans="1:34">
      <c r="A11" t="s">
        <v>29</v>
      </c>
      <c r="D11" s="3" t="s">
        <v>13</v>
      </c>
      <c r="E11" s="3" t="s">
        <v>32</v>
      </c>
      <c r="J11" s="5" t="s">
        <v>546</v>
      </c>
      <c r="U11" s="5" t="str">
        <f t="shared" ca="1" si="2"/>
        <v/>
      </c>
      <c r="V11" s="5" t="str">
        <f t="shared" ca="1" si="3"/>
        <v/>
      </c>
      <c r="AA11" s="5" t="s">
        <v>475</v>
      </c>
      <c r="AB11" s="5" t="s">
        <v>507</v>
      </c>
      <c r="AC11" s="5" t="s">
        <v>553</v>
      </c>
      <c r="AD11" s="5" t="s">
        <v>475</v>
      </c>
    </row>
    <row r="12" spans="1:34">
      <c r="A12" t="s">
        <v>33</v>
      </c>
      <c r="D12" s="3" t="s">
        <v>554</v>
      </c>
      <c r="E12" s="3" t="s">
        <v>555</v>
      </c>
      <c r="J12" s="5" t="s">
        <v>545</v>
      </c>
      <c r="T12" s="5">
        <f>1420-1204</f>
        <v>216</v>
      </c>
      <c r="U12" s="5">
        <f t="shared" ca="1" si="2"/>
        <v>1204</v>
      </c>
      <c r="V12" s="5">
        <f t="shared" ca="1" si="3"/>
        <v>1420</v>
      </c>
      <c r="AA12" s="5" t="s">
        <v>475</v>
      </c>
      <c r="AG12" t="s">
        <v>475</v>
      </c>
    </row>
    <row r="13" spans="1:34">
      <c r="A13" t="s">
        <v>34</v>
      </c>
      <c r="D13" s="3" t="s">
        <v>560</v>
      </c>
      <c r="E13" s="3" t="s">
        <v>561</v>
      </c>
      <c r="J13" s="5" t="s">
        <v>546</v>
      </c>
      <c r="U13" s="5" t="str">
        <f t="shared" ca="1" si="2"/>
        <v/>
      </c>
      <c r="V13" s="5" t="str">
        <f t="shared" ca="1" si="3"/>
        <v/>
      </c>
      <c r="AA13" s="5" t="s">
        <v>475</v>
      </c>
      <c r="AB13" s="5" t="s">
        <v>630</v>
      </c>
      <c r="AD13" s="5" t="s">
        <v>475</v>
      </c>
    </row>
    <row r="14" spans="1:34">
      <c r="A14" t="s">
        <v>34</v>
      </c>
      <c r="D14" s="3" t="s">
        <v>35</v>
      </c>
      <c r="E14" s="3" t="s">
        <v>36</v>
      </c>
      <c r="H14" t="s">
        <v>337</v>
      </c>
      <c r="J14" s="5" t="s">
        <v>545</v>
      </c>
      <c r="T14" s="5" t="s">
        <v>562</v>
      </c>
      <c r="U14" s="5" t="str">
        <f t="shared" ca="1" si="2"/>
        <v/>
      </c>
      <c r="V14" s="5" t="str">
        <f t="shared" ca="1" si="3"/>
        <v/>
      </c>
      <c r="AA14" s="5" t="s">
        <v>475</v>
      </c>
      <c r="AE14" s="5" t="s">
        <v>508</v>
      </c>
    </row>
    <row r="15" spans="1:34">
      <c r="A15" t="s">
        <v>37</v>
      </c>
      <c r="D15" s="3" t="s">
        <v>38</v>
      </c>
      <c r="E15" s="3" t="s">
        <v>39</v>
      </c>
      <c r="J15" s="5" t="s">
        <v>545</v>
      </c>
      <c r="T15" s="5" t="s">
        <v>549</v>
      </c>
      <c r="U15" s="5" t="str">
        <f t="shared" ca="1" si="2"/>
        <v/>
      </c>
      <c r="V15" s="5" t="str">
        <f t="shared" ca="1" si="3"/>
        <v/>
      </c>
      <c r="AA15" s="5" t="s">
        <v>475</v>
      </c>
      <c r="AE15" s="5" t="s">
        <v>508</v>
      </c>
    </row>
    <row r="16" spans="1:34">
      <c r="A16" t="s">
        <v>37</v>
      </c>
      <c r="D16" s="3" t="s">
        <v>348</v>
      </c>
      <c r="E16" s="3" t="s">
        <v>349</v>
      </c>
      <c r="J16" s="5" t="s">
        <v>546</v>
      </c>
      <c r="U16" s="5" t="str">
        <f t="shared" ca="1" si="2"/>
        <v/>
      </c>
      <c r="V16" s="5" t="str">
        <f t="shared" ca="1" si="3"/>
        <v/>
      </c>
      <c r="AA16" s="5" t="s">
        <v>475</v>
      </c>
      <c r="AB16" s="5" t="s">
        <v>630</v>
      </c>
      <c r="AD16" s="5" t="s">
        <v>475</v>
      </c>
    </row>
    <row r="17" spans="1:34">
      <c r="A17" t="s">
        <v>37</v>
      </c>
      <c r="D17" s="3" t="s">
        <v>40</v>
      </c>
      <c r="E17" s="3" t="s">
        <v>41</v>
      </c>
      <c r="J17" s="5" t="s">
        <v>545</v>
      </c>
      <c r="T17" s="5" t="s">
        <v>562</v>
      </c>
      <c r="U17" s="5" t="str">
        <f t="shared" ca="1" si="2"/>
        <v/>
      </c>
      <c r="V17" s="5" t="str">
        <f t="shared" ca="1" si="3"/>
        <v/>
      </c>
      <c r="AA17" s="5" t="s">
        <v>475</v>
      </c>
      <c r="AB17" s="5" t="s">
        <v>507</v>
      </c>
      <c r="AC17" s="5" t="s">
        <v>553</v>
      </c>
      <c r="AD17" s="5" t="s">
        <v>475</v>
      </c>
    </row>
    <row r="18" spans="1:34">
      <c r="A18" t="s">
        <v>37</v>
      </c>
      <c r="D18" s="3" t="s">
        <v>42</v>
      </c>
      <c r="E18" s="3" t="s">
        <v>43</v>
      </c>
      <c r="J18" s="5" t="s">
        <v>545</v>
      </c>
      <c r="T18" s="5">
        <f>19-3</f>
        <v>16</v>
      </c>
      <c r="U18" s="5">
        <f t="shared" ca="1" si="2"/>
        <v>3</v>
      </c>
      <c r="V18" s="5">
        <f t="shared" ca="1" si="3"/>
        <v>19</v>
      </c>
      <c r="AA18" s="5" t="s">
        <v>475</v>
      </c>
      <c r="AB18" s="5" t="s">
        <v>507</v>
      </c>
      <c r="AC18" s="5" t="s">
        <v>553</v>
      </c>
      <c r="AD18" s="5" t="s">
        <v>475</v>
      </c>
    </row>
    <row r="19" spans="1:34">
      <c r="A19" t="s">
        <v>44</v>
      </c>
      <c r="D19" s="3" t="s">
        <v>45</v>
      </c>
      <c r="E19" s="3" t="s">
        <v>14</v>
      </c>
      <c r="J19" s="5" t="s">
        <v>546</v>
      </c>
      <c r="U19" s="5" t="str">
        <f t="shared" ca="1" si="2"/>
        <v/>
      </c>
      <c r="V19" s="5" t="str">
        <f t="shared" ca="1" si="3"/>
        <v/>
      </c>
      <c r="AA19" s="5" t="s">
        <v>475</v>
      </c>
      <c r="AG19" t="s">
        <v>481</v>
      </c>
    </row>
    <row r="20" spans="1:34">
      <c r="A20" t="s">
        <v>44</v>
      </c>
      <c r="D20" s="3" t="s">
        <v>9</v>
      </c>
      <c r="E20" s="3" t="s">
        <v>12</v>
      </c>
      <c r="J20" s="5" t="s">
        <v>546</v>
      </c>
      <c r="U20" s="5" t="str">
        <f t="shared" ca="1" si="2"/>
        <v/>
      </c>
      <c r="V20" s="5" t="str">
        <f t="shared" ca="1" si="3"/>
        <v/>
      </c>
      <c r="AA20" s="5" t="s">
        <v>475</v>
      </c>
      <c r="AG20" t="s">
        <v>481</v>
      </c>
    </row>
    <row r="21" spans="1:34">
      <c r="A21" t="s">
        <v>46</v>
      </c>
      <c r="D21" s="3" t="s">
        <v>47</v>
      </c>
      <c r="E21" s="3" t="s">
        <v>48</v>
      </c>
      <c r="J21" s="5" t="s">
        <v>545</v>
      </c>
      <c r="T21" s="5" t="s">
        <v>562</v>
      </c>
      <c r="U21" s="5" t="str">
        <f t="shared" ca="1" si="2"/>
        <v/>
      </c>
      <c r="V21" s="5" t="str">
        <f t="shared" ca="1" si="3"/>
        <v/>
      </c>
      <c r="AA21" s="5" t="s">
        <v>475</v>
      </c>
      <c r="AB21" s="5" t="s">
        <v>507</v>
      </c>
      <c r="AC21" s="5" t="s">
        <v>548</v>
      </c>
      <c r="AD21" s="5" t="s">
        <v>475</v>
      </c>
    </row>
    <row r="22" spans="1:34">
      <c r="A22" t="s">
        <v>49</v>
      </c>
      <c r="D22" s="3" t="s">
        <v>9</v>
      </c>
      <c r="E22" s="3" t="s">
        <v>12</v>
      </c>
      <c r="G22" t="s">
        <v>337</v>
      </c>
      <c r="J22" s="5" t="s">
        <v>546</v>
      </c>
      <c r="U22" s="5" t="str">
        <f t="shared" ca="1" si="2"/>
        <v/>
      </c>
      <c r="V22" s="5" t="str">
        <f t="shared" ca="1" si="3"/>
        <v/>
      </c>
      <c r="AA22" s="5" t="s">
        <v>475</v>
      </c>
    </row>
    <row r="23" spans="1:34">
      <c r="A23" t="s">
        <v>50</v>
      </c>
      <c r="D23" s="3" t="s">
        <v>350</v>
      </c>
      <c r="E23" s="3" t="s">
        <v>52</v>
      </c>
      <c r="J23" s="5" t="s">
        <v>546</v>
      </c>
      <c r="U23" s="5" t="str">
        <f t="shared" ca="1" si="2"/>
        <v/>
      </c>
      <c r="V23" s="5" t="str">
        <f t="shared" ca="1" si="3"/>
        <v/>
      </c>
      <c r="AA23" s="5" t="s">
        <v>475</v>
      </c>
      <c r="AB23" s="5" t="s">
        <v>507</v>
      </c>
      <c r="AC23" s="5" t="s">
        <v>550</v>
      </c>
      <c r="AD23" s="5" t="s">
        <v>475</v>
      </c>
    </row>
    <row r="24" spans="1:34">
      <c r="A24" t="s">
        <v>50</v>
      </c>
      <c r="D24" s="3" t="s">
        <v>351</v>
      </c>
      <c r="E24" s="3" t="s">
        <v>52</v>
      </c>
      <c r="J24" s="5" t="s">
        <v>546</v>
      </c>
      <c r="U24" s="5" t="str">
        <f t="shared" ca="1" si="2"/>
        <v/>
      </c>
      <c r="V24" s="5" t="str">
        <f t="shared" ca="1" si="3"/>
        <v/>
      </c>
      <c r="AA24" s="5" t="s">
        <v>475</v>
      </c>
      <c r="AB24" s="5" t="s">
        <v>507</v>
      </c>
      <c r="AC24" s="5" t="s">
        <v>550</v>
      </c>
      <c r="AD24" s="5" t="s">
        <v>475</v>
      </c>
    </row>
    <row r="25" spans="1:34">
      <c r="A25" t="s">
        <v>53</v>
      </c>
      <c r="D25" s="3" t="s">
        <v>54</v>
      </c>
      <c r="E25" s="3" t="s">
        <v>55</v>
      </c>
      <c r="J25" s="5" t="s">
        <v>546</v>
      </c>
      <c r="U25" s="5" t="str">
        <f t="shared" ca="1" si="2"/>
        <v/>
      </c>
      <c r="V25" s="5" t="str">
        <f t="shared" ca="1" si="3"/>
        <v/>
      </c>
      <c r="AA25" s="5" t="s">
        <v>475</v>
      </c>
      <c r="AE25" s="5" t="s">
        <v>517</v>
      </c>
    </row>
    <row r="26" spans="1:34">
      <c r="A26" t="s">
        <v>56</v>
      </c>
      <c r="D26" s="3" t="s">
        <v>57</v>
      </c>
      <c r="E26" s="3" t="s">
        <v>58</v>
      </c>
      <c r="J26" s="5" t="s">
        <v>546</v>
      </c>
      <c r="U26" s="5" t="str">
        <f t="shared" ca="1" si="2"/>
        <v/>
      </c>
      <c r="V26" s="5" t="str">
        <f t="shared" ca="1" si="3"/>
        <v/>
      </c>
      <c r="AA26" s="5" t="s">
        <v>475</v>
      </c>
      <c r="AC26" s="5" t="s">
        <v>563</v>
      </c>
      <c r="AD26" s="5" t="s">
        <v>475</v>
      </c>
      <c r="AE26" s="5" t="s">
        <v>508</v>
      </c>
    </row>
    <row r="27" spans="1:34" s="8" customFormat="1">
      <c r="A27" t="s">
        <v>56</v>
      </c>
      <c r="B27"/>
      <c r="C27"/>
      <c r="D27" s="3" t="s">
        <v>352</v>
      </c>
      <c r="E27" s="3" t="s">
        <v>353</v>
      </c>
      <c r="F27"/>
      <c r="G27" t="s">
        <v>337</v>
      </c>
      <c r="H27"/>
      <c r="I27"/>
      <c r="J27" s="9" t="s">
        <v>476</v>
      </c>
      <c r="K27" s="9"/>
      <c r="L27" s="9">
        <v>1</v>
      </c>
      <c r="M27" s="9">
        <v>3</v>
      </c>
      <c r="N27" s="9" t="s">
        <v>527</v>
      </c>
      <c r="O27" s="9" t="s">
        <v>504</v>
      </c>
      <c r="P27" s="9" t="s">
        <v>551</v>
      </c>
      <c r="Q27" s="10" t="s">
        <v>552</v>
      </c>
      <c r="R27" s="9" t="s">
        <v>505</v>
      </c>
      <c r="S27" s="9">
        <v>1204</v>
      </c>
      <c r="T27" s="9"/>
      <c r="U27" s="5" t="str">
        <f t="shared" ca="1" si="2"/>
        <v/>
      </c>
      <c r="V27" s="5" t="str">
        <f t="shared" ca="1" si="3"/>
        <v/>
      </c>
      <c r="W27" s="9"/>
      <c r="X27" s="9"/>
      <c r="Y27" s="9"/>
      <c r="Z27" s="9"/>
      <c r="AA27" s="9" t="s">
        <v>475</v>
      </c>
      <c r="AB27" s="9"/>
      <c r="AC27" s="9"/>
      <c r="AD27" s="9"/>
      <c r="AE27" s="9"/>
      <c r="AF27" s="9"/>
      <c r="AG27"/>
    </row>
    <row r="28" spans="1:34">
      <c r="A28" t="s">
        <v>59</v>
      </c>
      <c r="D28" s="3" t="s">
        <v>354</v>
      </c>
      <c r="E28" s="3" t="s">
        <v>355</v>
      </c>
      <c r="J28" s="5" t="s">
        <v>546</v>
      </c>
      <c r="U28" s="5" t="str">
        <f t="shared" ca="1" si="2"/>
        <v/>
      </c>
      <c r="V28" s="5" t="str">
        <f t="shared" ca="1" si="3"/>
        <v/>
      </c>
      <c r="AA28" s="5" t="s">
        <v>475</v>
      </c>
      <c r="AE28" s="5" t="s">
        <v>514</v>
      </c>
    </row>
    <row r="29" spans="1:34">
      <c r="A29" t="s">
        <v>60</v>
      </c>
      <c r="D29" s="3" t="s">
        <v>61</v>
      </c>
      <c r="E29" s="3" t="s">
        <v>62</v>
      </c>
      <c r="J29" s="5" t="s">
        <v>546</v>
      </c>
      <c r="U29" s="5" t="str">
        <f t="shared" ca="1" si="2"/>
        <v/>
      </c>
      <c r="V29" s="5" t="str">
        <f t="shared" ca="1" si="3"/>
        <v/>
      </c>
      <c r="AA29" s="5" t="s">
        <v>475</v>
      </c>
      <c r="AG29" t="s">
        <v>475</v>
      </c>
      <c r="AH29" t="s">
        <v>635</v>
      </c>
    </row>
    <row r="30" spans="1:34">
      <c r="A30" t="s">
        <v>63</v>
      </c>
      <c r="D30" s="3" t="s">
        <v>9</v>
      </c>
      <c r="E30" s="3" t="s">
        <v>12</v>
      </c>
      <c r="J30" s="5" t="s">
        <v>546</v>
      </c>
      <c r="U30" s="5" t="str">
        <f t="shared" ca="1" si="2"/>
        <v/>
      </c>
      <c r="V30" s="5" t="str">
        <f t="shared" ca="1" si="3"/>
        <v/>
      </c>
      <c r="AA30" s="5" t="s">
        <v>475</v>
      </c>
      <c r="AG30" t="s">
        <v>481</v>
      </c>
    </row>
    <row r="31" spans="1:34" ht="29">
      <c r="A31" t="s">
        <v>64</v>
      </c>
      <c r="D31" s="3" t="s">
        <v>356</v>
      </c>
      <c r="E31" s="3" t="s">
        <v>357</v>
      </c>
      <c r="I31" t="s">
        <v>607</v>
      </c>
      <c r="J31" s="5" t="s">
        <v>479</v>
      </c>
      <c r="L31" s="5">
        <v>4</v>
      </c>
      <c r="M31" s="5">
        <v>16</v>
      </c>
      <c r="O31" s="5" t="s">
        <v>504</v>
      </c>
      <c r="P31" s="5" t="s">
        <v>564</v>
      </c>
      <c r="Q31" s="7" t="s">
        <v>565</v>
      </c>
      <c r="S31" s="5">
        <v>38</v>
      </c>
      <c r="U31" s="5" t="str">
        <f t="shared" ca="1" si="2"/>
        <v/>
      </c>
      <c r="V31" s="5" t="str">
        <f t="shared" ca="1" si="3"/>
        <v/>
      </c>
      <c r="AA31" s="5" t="s">
        <v>475</v>
      </c>
      <c r="AG31" t="s">
        <v>475</v>
      </c>
    </row>
    <row r="32" spans="1:34" ht="29">
      <c r="A32" t="s">
        <v>64</v>
      </c>
      <c r="D32" s="3" t="s">
        <v>718</v>
      </c>
      <c r="E32" s="3" t="s">
        <v>719</v>
      </c>
      <c r="J32" s="5" t="s">
        <v>546</v>
      </c>
      <c r="U32" s="5" t="str">
        <f t="shared" ca="1" si="2"/>
        <v/>
      </c>
      <c r="V32" s="5" t="str">
        <f t="shared" ca="1" si="3"/>
        <v/>
      </c>
      <c r="AA32" s="5" t="s">
        <v>475</v>
      </c>
      <c r="AE32" s="5" t="s">
        <v>514</v>
      </c>
    </row>
    <row r="33" spans="1:34">
      <c r="A33" t="s">
        <v>71</v>
      </c>
      <c r="D33" s="3" t="s">
        <v>720</v>
      </c>
      <c r="E33" s="3" t="s">
        <v>721</v>
      </c>
      <c r="H33" t="s">
        <v>337</v>
      </c>
      <c r="J33" s="5" t="s">
        <v>545</v>
      </c>
      <c r="T33" s="5">
        <f>36-310</f>
        <v>-274</v>
      </c>
      <c r="U33" s="5">
        <f t="shared" ca="1" si="2"/>
        <v>310</v>
      </c>
      <c r="V33" s="5">
        <f t="shared" ca="1" si="3"/>
        <v>36</v>
      </c>
      <c r="AA33" s="5" t="s">
        <v>475</v>
      </c>
      <c r="AE33" s="5" t="s">
        <v>514</v>
      </c>
    </row>
    <row r="34" spans="1:34">
      <c r="A34" t="s">
        <v>72</v>
      </c>
      <c r="D34" s="3" t="s">
        <v>73</v>
      </c>
      <c r="E34" s="3" t="s">
        <v>74</v>
      </c>
      <c r="J34" s="5" t="s">
        <v>546</v>
      </c>
      <c r="U34" s="5" t="str">
        <f t="shared" ca="1" si="2"/>
        <v/>
      </c>
      <c r="V34" s="5" t="str">
        <f t="shared" ca="1" si="3"/>
        <v/>
      </c>
      <c r="AA34" s="5" t="s">
        <v>475</v>
      </c>
      <c r="AB34" s="5" t="s">
        <v>513</v>
      </c>
      <c r="AD34" s="5" t="s">
        <v>475</v>
      </c>
    </row>
    <row r="35" spans="1:34">
      <c r="A35" t="s">
        <v>72</v>
      </c>
      <c r="D35" s="3" t="s">
        <v>358</v>
      </c>
      <c r="E35" s="3" t="s">
        <v>359</v>
      </c>
      <c r="J35" s="5" t="s">
        <v>546</v>
      </c>
      <c r="U35" s="5" t="str">
        <f t="shared" ca="1" si="2"/>
        <v/>
      </c>
      <c r="V35" s="5" t="str">
        <f t="shared" ca="1" si="3"/>
        <v/>
      </c>
      <c r="AA35" s="5" t="s">
        <v>475</v>
      </c>
      <c r="AB35" s="5" t="s">
        <v>630</v>
      </c>
      <c r="AD35" s="5" t="s">
        <v>475</v>
      </c>
    </row>
    <row r="36" spans="1:34">
      <c r="A36" t="s">
        <v>75</v>
      </c>
      <c r="D36" s="3" t="s">
        <v>76</v>
      </c>
      <c r="E36" s="3" t="s">
        <v>77</v>
      </c>
      <c r="J36" s="5" t="s">
        <v>545</v>
      </c>
      <c r="T36" s="5">
        <f>2-9</f>
        <v>-7</v>
      </c>
      <c r="U36" s="5">
        <f t="shared" ca="1" si="2"/>
        <v>9</v>
      </c>
      <c r="V36" s="5">
        <f t="shared" ca="1" si="3"/>
        <v>2</v>
      </c>
      <c r="AA36" s="5" t="s">
        <v>475</v>
      </c>
      <c r="AE36" s="5" t="s">
        <v>514</v>
      </c>
    </row>
    <row r="37" spans="1:34">
      <c r="A37" t="s">
        <v>78</v>
      </c>
      <c r="D37" s="3" t="s">
        <v>66</v>
      </c>
      <c r="E37" s="3" t="s">
        <v>79</v>
      </c>
      <c r="J37" s="5" t="s">
        <v>546</v>
      </c>
      <c r="U37" s="5" t="str">
        <f t="shared" ca="1" si="2"/>
        <v/>
      </c>
      <c r="V37" s="5" t="str">
        <f t="shared" ca="1" si="3"/>
        <v/>
      </c>
      <c r="AA37" s="5" t="s">
        <v>475</v>
      </c>
      <c r="AG37" t="s">
        <v>481</v>
      </c>
    </row>
    <row r="38" spans="1:34">
      <c r="A38" t="s">
        <v>80</v>
      </c>
      <c r="D38" s="3" t="s">
        <v>81</v>
      </c>
      <c r="E38" s="3" t="s">
        <v>82</v>
      </c>
      <c r="J38" s="5" t="s">
        <v>545</v>
      </c>
      <c r="T38" s="5">
        <f>75-4</f>
        <v>71</v>
      </c>
      <c r="U38" s="5">
        <f t="shared" ca="1" si="2"/>
        <v>4</v>
      </c>
      <c r="V38" s="5">
        <f t="shared" ca="1" si="3"/>
        <v>75</v>
      </c>
      <c r="AA38" s="5" t="s">
        <v>475</v>
      </c>
      <c r="AG38" t="s">
        <v>475</v>
      </c>
      <c r="AH38" t="s">
        <v>636</v>
      </c>
    </row>
    <row r="39" spans="1:34">
      <c r="A39" t="s">
        <v>80</v>
      </c>
      <c r="D39" s="3" t="s">
        <v>360</v>
      </c>
      <c r="E39" s="3" t="s">
        <v>361</v>
      </c>
      <c r="J39" s="5" t="s">
        <v>546</v>
      </c>
      <c r="U39" s="5" t="str">
        <f t="shared" ca="1" si="2"/>
        <v/>
      </c>
      <c r="V39" s="5" t="str">
        <f t="shared" ca="1" si="3"/>
        <v/>
      </c>
      <c r="AA39" s="5" t="s">
        <v>475</v>
      </c>
      <c r="AB39" s="5" t="s">
        <v>630</v>
      </c>
      <c r="AD39" s="5" t="s">
        <v>475</v>
      </c>
    </row>
    <row r="40" spans="1:34">
      <c r="A40" t="s">
        <v>83</v>
      </c>
      <c r="D40" s="3" t="s">
        <v>84</v>
      </c>
      <c r="E40" s="3" t="s">
        <v>85</v>
      </c>
      <c r="J40" s="5" t="s">
        <v>545</v>
      </c>
      <c r="T40" s="5" t="s">
        <v>562</v>
      </c>
      <c r="U40" s="5" t="str">
        <f t="shared" ca="1" si="2"/>
        <v/>
      </c>
      <c r="V40" s="5" t="str">
        <f t="shared" ca="1" si="3"/>
        <v/>
      </c>
      <c r="AA40" s="5" t="s">
        <v>475</v>
      </c>
      <c r="AE40" s="5" t="s">
        <v>508</v>
      </c>
    </row>
    <row r="41" spans="1:34">
      <c r="A41" t="s">
        <v>86</v>
      </c>
      <c r="D41" s="3" t="s">
        <v>87</v>
      </c>
      <c r="E41" s="3" t="s">
        <v>88</v>
      </c>
      <c r="J41" s="5" t="s">
        <v>546</v>
      </c>
      <c r="U41" s="5" t="str">
        <f t="shared" ca="1" si="2"/>
        <v/>
      </c>
      <c r="V41" s="5" t="str">
        <f t="shared" ca="1" si="3"/>
        <v/>
      </c>
      <c r="AA41" s="5" t="s">
        <v>475</v>
      </c>
      <c r="AC41" s="5" t="s">
        <v>566</v>
      </c>
      <c r="AD41" s="5" t="s">
        <v>475</v>
      </c>
    </row>
    <row r="42" spans="1:34">
      <c r="A42" t="s">
        <v>89</v>
      </c>
      <c r="D42" s="3" t="s">
        <v>90</v>
      </c>
      <c r="E42" s="3" t="s">
        <v>91</v>
      </c>
      <c r="J42" s="5" t="s">
        <v>546</v>
      </c>
      <c r="U42" s="5" t="str">
        <f t="shared" ca="1" si="2"/>
        <v/>
      </c>
      <c r="V42" s="5" t="str">
        <f t="shared" ca="1" si="3"/>
        <v/>
      </c>
      <c r="AA42" s="5" t="s">
        <v>475</v>
      </c>
      <c r="AG42" t="s">
        <v>481</v>
      </c>
    </row>
    <row r="43" spans="1:34">
      <c r="A43" t="s">
        <v>92</v>
      </c>
      <c r="D43" s="3" t="s">
        <v>362</v>
      </c>
      <c r="E43" s="3" t="s">
        <v>363</v>
      </c>
      <c r="I43" t="s">
        <v>364</v>
      </c>
      <c r="J43" s="5" t="s">
        <v>479</v>
      </c>
      <c r="L43" s="5">
        <v>1</v>
      </c>
      <c r="M43" s="5">
        <v>2</v>
      </c>
      <c r="N43" s="5" t="s">
        <v>567</v>
      </c>
      <c r="O43" s="5" t="s">
        <v>549</v>
      </c>
      <c r="R43" s="5" t="s">
        <v>505</v>
      </c>
      <c r="S43" s="5">
        <v>273</v>
      </c>
      <c r="U43" s="5" t="str">
        <f t="shared" ca="1" si="2"/>
        <v/>
      </c>
      <c r="V43" s="5" t="str">
        <f t="shared" ca="1" si="3"/>
        <v/>
      </c>
      <c r="AA43" s="5" t="s">
        <v>475</v>
      </c>
      <c r="AG43" t="s">
        <v>475</v>
      </c>
    </row>
    <row r="44" spans="1:34">
      <c r="A44" t="s">
        <v>93</v>
      </c>
      <c r="D44" s="3" t="s">
        <v>94</v>
      </c>
      <c r="E44" s="3" t="s">
        <v>95</v>
      </c>
      <c r="J44" s="5" t="s">
        <v>546</v>
      </c>
      <c r="U44" s="5" t="str">
        <f t="shared" ca="1" si="2"/>
        <v/>
      </c>
      <c r="V44" s="5" t="str">
        <f t="shared" ca="1" si="3"/>
        <v/>
      </c>
      <c r="AA44" s="5" t="s">
        <v>475</v>
      </c>
      <c r="AG44" t="s">
        <v>481</v>
      </c>
    </row>
    <row r="45" spans="1:34">
      <c r="A45" t="s">
        <v>96</v>
      </c>
      <c r="D45" s="3" t="s">
        <v>97</v>
      </c>
      <c r="E45" s="3" t="s">
        <v>98</v>
      </c>
      <c r="J45" s="5" t="s">
        <v>545</v>
      </c>
      <c r="T45" s="5" t="s">
        <v>562</v>
      </c>
      <c r="U45" s="5" t="str">
        <f t="shared" ca="1" si="2"/>
        <v/>
      </c>
      <c r="V45" s="5" t="str">
        <f t="shared" ca="1" si="3"/>
        <v/>
      </c>
      <c r="AA45" s="5" t="s">
        <v>475</v>
      </c>
      <c r="AC45" s="5" t="s">
        <v>566</v>
      </c>
      <c r="AD45" s="5" t="s">
        <v>475</v>
      </c>
    </row>
    <row r="46" spans="1:34">
      <c r="A46" t="s">
        <v>99</v>
      </c>
      <c r="D46" s="3" t="s">
        <v>100</v>
      </c>
      <c r="E46" s="3" t="s">
        <v>365</v>
      </c>
      <c r="H46" t="s">
        <v>337</v>
      </c>
      <c r="J46" s="5" t="s">
        <v>546</v>
      </c>
      <c r="U46" s="5" t="str">
        <f t="shared" ca="1" si="2"/>
        <v/>
      </c>
      <c r="V46" s="5" t="str">
        <f t="shared" ca="1" si="3"/>
        <v/>
      </c>
      <c r="AA46" s="5" t="s">
        <v>475</v>
      </c>
      <c r="AC46" s="5" t="s">
        <v>563</v>
      </c>
      <c r="AD46" s="5" t="s">
        <v>475</v>
      </c>
      <c r="AE46" s="5" t="s">
        <v>508</v>
      </c>
    </row>
    <row r="47" spans="1:34">
      <c r="A47" t="s">
        <v>99</v>
      </c>
      <c r="D47" s="3" t="s">
        <v>101</v>
      </c>
      <c r="E47" s="3" t="s">
        <v>102</v>
      </c>
      <c r="J47" s="5" t="s">
        <v>546</v>
      </c>
      <c r="U47" s="5" t="str">
        <f t="shared" ca="1" si="2"/>
        <v/>
      </c>
      <c r="V47" s="5" t="str">
        <f t="shared" ca="1" si="3"/>
        <v/>
      </c>
      <c r="AA47" s="5" t="s">
        <v>475</v>
      </c>
      <c r="AE47" s="5" t="s">
        <v>508</v>
      </c>
    </row>
    <row r="48" spans="1:34">
      <c r="A48" t="s">
        <v>103</v>
      </c>
      <c r="D48" s="3" t="s">
        <v>104</v>
      </c>
      <c r="E48" s="3" t="s">
        <v>105</v>
      </c>
      <c r="H48" t="s">
        <v>337</v>
      </c>
      <c r="J48" s="5" t="s">
        <v>545</v>
      </c>
      <c r="T48" s="5">
        <f>0-109</f>
        <v>-109</v>
      </c>
      <c r="U48" s="5">
        <f t="shared" ca="1" si="2"/>
        <v>109</v>
      </c>
      <c r="V48" s="5">
        <f t="shared" ca="1" si="3"/>
        <v>0</v>
      </c>
      <c r="AA48" s="5" t="s">
        <v>475</v>
      </c>
      <c r="AE48" s="5" t="s">
        <v>514</v>
      </c>
    </row>
    <row r="49" spans="1:33">
      <c r="A49" t="s">
        <v>106</v>
      </c>
      <c r="D49" s="3" t="s">
        <v>107</v>
      </c>
      <c r="E49" s="3" t="s">
        <v>108</v>
      </c>
      <c r="I49" t="s">
        <v>615</v>
      </c>
      <c r="J49" s="5" t="s">
        <v>546</v>
      </c>
      <c r="U49" s="5" t="str">
        <f t="shared" ca="1" si="2"/>
        <v/>
      </c>
      <c r="V49" s="5" t="str">
        <f t="shared" ca="1" si="3"/>
        <v/>
      </c>
      <c r="W49" s="5" t="s">
        <v>559</v>
      </c>
      <c r="AA49" s="5" t="s">
        <v>475</v>
      </c>
      <c r="AG49" t="s">
        <v>475</v>
      </c>
    </row>
    <row r="50" spans="1:33">
      <c r="A50" t="s">
        <v>109</v>
      </c>
      <c r="D50" t="s">
        <v>15</v>
      </c>
      <c r="E50" t="s">
        <v>110</v>
      </c>
      <c r="F50" t="s">
        <v>366</v>
      </c>
      <c r="Q50" s="5"/>
      <c r="U50" s="5" t="str">
        <f t="shared" ca="1" si="2"/>
        <v/>
      </c>
      <c r="V50" s="5" t="str">
        <f t="shared" ca="1" si="3"/>
        <v/>
      </c>
      <c r="AA50" s="5" t="s">
        <v>604</v>
      </c>
    </row>
    <row r="51" spans="1:33">
      <c r="A51" t="s">
        <v>111</v>
      </c>
      <c r="D51" t="s">
        <v>112</v>
      </c>
      <c r="E51" t="s">
        <v>113</v>
      </c>
      <c r="F51" t="s">
        <v>367</v>
      </c>
      <c r="Q51" s="5"/>
      <c r="U51" s="5" t="str">
        <f t="shared" ca="1" si="2"/>
        <v/>
      </c>
      <c r="V51" s="5" t="str">
        <f t="shared" ca="1" si="3"/>
        <v/>
      </c>
      <c r="AA51" s="5" t="s">
        <v>604</v>
      </c>
    </row>
    <row r="52" spans="1:33">
      <c r="A52" t="s">
        <v>114</v>
      </c>
      <c r="D52" s="3" t="s">
        <v>70</v>
      </c>
      <c r="E52" s="3" t="s">
        <v>115</v>
      </c>
      <c r="J52" s="5" t="s">
        <v>545</v>
      </c>
      <c r="T52" s="5" t="s">
        <v>549</v>
      </c>
      <c r="U52" s="5" t="str">
        <f t="shared" ca="1" si="2"/>
        <v/>
      </c>
      <c r="V52" s="5" t="str">
        <f t="shared" ca="1" si="3"/>
        <v/>
      </c>
      <c r="AA52" s="5" t="s">
        <v>475</v>
      </c>
      <c r="AE52" s="5" t="s">
        <v>508</v>
      </c>
    </row>
    <row r="53" spans="1:33">
      <c r="A53" t="s">
        <v>116</v>
      </c>
      <c r="D53" s="3" t="s">
        <v>117</v>
      </c>
      <c r="E53" s="3" t="s">
        <v>118</v>
      </c>
      <c r="J53" s="5" t="s">
        <v>546</v>
      </c>
      <c r="U53" s="5" t="str">
        <f t="shared" ca="1" si="2"/>
        <v/>
      </c>
      <c r="V53" s="5" t="str">
        <f t="shared" ca="1" si="3"/>
        <v/>
      </c>
      <c r="AA53" s="5" t="s">
        <v>475</v>
      </c>
      <c r="AE53" s="5" t="s">
        <v>514</v>
      </c>
    </row>
    <row r="54" spans="1:33">
      <c r="A54" t="s">
        <v>119</v>
      </c>
      <c r="D54" s="3" t="s">
        <v>15</v>
      </c>
      <c r="E54" s="3" t="s">
        <v>120</v>
      </c>
      <c r="J54" s="5" t="s">
        <v>546</v>
      </c>
      <c r="U54" s="5" t="str">
        <f t="shared" ca="1" si="2"/>
        <v/>
      </c>
      <c r="V54" s="5" t="str">
        <f t="shared" ca="1" si="3"/>
        <v/>
      </c>
      <c r="AA54" s="5" t="s">
        <v>475</v>
      </c>
      <c r="AE54" s="5" t="s">
        <v>514</v>
      </c>
    </row>
    <row r="55" spans="1:33">
      <c r="A55" t="s">
        <v>119</v>
      </c>
      <c r="D55" s="3" t="s">
        <v>107</v>
      </c>
      <c r="E55" s="3" t="s">
        <v>108</v>
      </c>
      <c r="I55" t="s">
        <v>616</v>
      </c>
      <c r="J55" s="5" t="s">
        <v>546</v>
      </c>
      <c r="U55" s="5" t="str">
        <f t="shared" ca="1" si="2"/>
        <v/>
      </c>
      <c r="V55" s="5" t="str">
        <f t="shared" ca="1" si="3"/>
        <v/>
      </c>
      <c r="W55" s="5" t="s">
        <v>559</v>
      </c>
      <c r="AA55" s="5" t="s">
        <v>475</v>
      </c>
      <c r="AG55" t="s">
        <v>475</v>
      </c>
    </row>
    <row r="56" spans="1:33">
      <c r="A56" t="s">
        <v>121</v>
      </c>
      <c r="D56" s="3" t="s">
        <v>69</v>
      </c>
      <c r="E56" s="3" t="s">
        <v>10</v>
      </c>
      <c r="G56" t="s">
        <v>337</v>
      </c>
      <c r="J56" s="5" t="s">
        <v>546</v>
      </c>
      <c r="U56" s="5" t="str">
        <f t="shared" ca="1" si="2"/>
        <v/>
      </c>
      <c r="V56" s="5" t="str">
        <f t="shared" ca="1" si="3"/>
        <v/>
      </c>
      <c r="AA56" s="5" t="s">
        <v>475</v>
      </c>
      <c r="AC56" s="5" t="s">
        <v>550</v>
      </c>
      <c r="AD56" s="5" t="s">
        <v>475</v>
      </c>
      <c r="AE56" s="5" t="s">
        <v>514</v>
      </c>
    </row>
    <row r="57" spans="1:33">
      <c r="A57" t="s">
        <v>122</v>
      </c>
      <c r="D57" s="3" t="s">
        <v>123</v>
      </c>
      <c r="E57" s="3" t="s">
        <v>124</v>
      </c>
      <c r="I57" t="s">
        <v>568</v>
      </c>
      <c r="J57" s="5" t="s">
        <v>545</v>
      </c>
      <c r="T57" s="5">
        <f>0-2</f>
        <v>-2</v>
      </c>
      <c r="U57" s="5">
        <f t="shared" ca="1" si="2"/>
        <v>2</v>
      </c>
      <c r="V57" s="5">
        <f t="shared" ca="1" si="3"/>
        <v>0</v>
      </c>
      <c r="AA57" s="5" t="s">
        <v>475</v>
      </c>
      <c r="AG57" t="s">
        <v>481</v>
      </c>
    </row>
    <row r="58" spans="1:33">
      <c r="A58" t="s">
        <v>125</v>
      </c>
      <c r="D58" s="3" t="s">
        <v>126</v>
      </c>
      <c r="E58" s="3" t="s">
        <v>127</v>
      </c>
      <c r="J58" s="5" t="s">
        <v>546</v>
      </c>
      <c r="U58" s="5" t="str">
        <f t="shared" ca="1" si="2"/>
        <v/>
      </c>
      <c r="V58" s="5" t="str">
        <f t="shared" ca="1" si="3"/>
        <v/>
      </c>
      <c r="AA58" s="5" t="s">
        <v>475</v>
      </c>
      <c r="AE58" s="5" t="s">
        <v>517</v>
      </c>
    </row>
    <row r="59" spans="1:33">
      <c r="A59" t="s">
        <v>128</v>
      </c>
      <c r="D59" s="3" t="s">
        <v>129</v>
      </c>
      <c r="E59" s="3" t="s">
        <v>130</v>
      </c>
      <c r="J59" s="5" t="s">
        <v>545</v>
      </c>
      <c r="T59" s="5" t="s">
        <v>562</v>
      </c>
      <c r="U59" s="5" t="str">
        <f t="shared" ca="1" si="2"/>
        <v/>
      </c>
      <c r="V59" s="5" t="str">
        <f t="shared" ca="1" si="3"/>
        <v/>
      </c>
      <c r="AA59" s="5" t="s">
        <v>475</v>
      </c>
      <c r="AE59" s="5" t="s">
        <v>508</v>
      </c>
    </row>
    <row r="60" spans="1:33">
      <c r="A60" t="s">
        <v>131</v>
      </c>
      <c r="D60" s="3" t="s">
        <v>132</v>
      </c>
      <c r="E60" s="3" t="s">
        <v>133</v>
      </c>
      <c r="J60" s="5" t="s">
        <v>546</v>
      </c>
      <c r="U60" s="5" t="str">
        <f t="shared" ca="1" si="2"/>
        <v/>
      </c>
      <c r="V60" s="5" t="str">
        <f t="shared" ca="1" si="3"/>
        <v/>
      </c>
      <c r="AA60" s="5" t="s">
        <v>475</v>
      </c>
      <c r="AE60" s="5" t="s">
        <v>508</v>
      </c>
    </row>
    <row r="61" spans="1:33">
      <c r="A61" t="s">
        <v>134</v>
      </c>
      <c r="D61" s="3" t="s">
        <v>135</v>
      </c>
      <c r="E61" s="3" t="s">
        <v>136</v>
      </c>
      <c r="G61" t="s">
        <v>477</v>
      </c>
      <c r="I61" t="s">
        <v>368</v>
      </c>
      <c r="J61" s="5" t="s">
        <v>546</v>
      </c>
      <c r="U61" s="5" t="str">
        <f t="shared" ca="1" si="2"/>
        <v/>
      </c>
      <c r="V61" s="5" t="str">
        <f t="shared" ca="1" si="3"/>
        <v/>
      </c>
      <c r="AA61" s="5" t="s">
        <v>475</v>
      </c>
      <c r="AE61" s="5" t="s">
        <v>508</v>
      </c>
    </row>
    <row r="62" spans="1:33">
      <c r="A62" t="s">
        <v>137</v>
      </c>
      <c r="D62" s="3" t="s">
        <v>369</v>
      </c>
      <c r="E62" s="3" t="s">
        <v>138</v>
      </c>
      <c r="J62" s="5" t="s">
        <v>545</v>
      </c>
      <c r="T62" s="5">
        <f>0-28</f>
        <v>-28</v>
      </c>
      <c r="U62" s="5">
        <f t="shared" ca="1" si="2"/>
        <v>28</v>
      </c>
      <c r="V62" s="5">
        <f t="shared" ca="1" si="3"/>
        <v>0</v>
      </c>
      <c r="AA62" s="5" t="s">
        <v>475</v>
      </c>
      <c r="AE62" s="5" t="s">
        <v>508</v>
      </c>
    </row>
    <row r="63" spans="1:33">
      <c r="A63" t="s">
        <v>139</v>
      </c>
      <c r="D63" s="3" t="s">
        <v>100</v>
      </c>
      <c r="E63" s="3" t="s">
        <v>140</v>
      </c>
      <c r="I63" t="s">
        <v>617</v>
      </c>
      <c r="J63" s="5" t="s">
        <v>546</v>
      </c>
      <c r="U63" s="5" t="str">
        <f t="shared" ca="1" si="2"/>
        <v/>
      </c>
      <c r="V63" s="5" t="str">
        <f t="shared" ca="1" si="3"/>
        <v/>
      </c>
      <c r="W63" s="5" t="s">
        <v>559</v>
      </c>
      <c r="AA63" s="5" t="s">
        <v>475</v>
      </c>
      <c r="AG63" t="s">
        <v>475</v>
      </c>
    </row>
    <row r="64" spans="1:33">
      <c r="A64" t="s">
        <v>139</v>
      </c>
      <c r="D64" s="3" t="s">
        <v>141</v>
      </c>
      <c r="E64" s="3" t="s">
        <v>142</v>
      </c>
      <c r="I64" t="s">
        <v>618</v>
      </c>
      <c r="J64" s="5" t="s">
        <v>546</v>
      </c>
      <c r="U64" s="5" t="str">
        <f t="shared" ca="1" si="2"/>
        <v/>
      </c>
      <c r="V64" s="5" t="str">
        <f t="shared" ca="1" si="3"/>
        <v/>
      </c>
      <c r="AA64" s="5" t="s">
        <v>475</v>
      </c>
      <c r="AG64" t="s">
        <v>475</v>
      </c>
    </row>
    <row r="65" spans="1:33">
      <c r="A65" t="s">
        <v>143</v>
      </c>
      <c r="D65" s="3" t="s">
        <v>371</v>
      </c>
      <c r="E65" s="3" t="s">
        <v>370</v>
      </c>
      <c r="J65" s="5" t="s">
        <v>546</v>
      </c>
      <c r="U65" s="5" t="str">
        <f t="shared" ca="1" si="2"/>
        <v/>
      </c>
      <c r="V65" s="5" t="str">
        <f t="shared" ca="1" si="3"/>
        <v/>
      </c>
      <c r="AA65" s="5" t="s">
        <v>475</v>
      </c>
      <c r="AC65" s="5" t="s">
        <v>566</v>
      </c>
      <c r="AD65" s="5" t="s">
        <v>475</v>
      </c>
    </row>
    <row r="66" spans="1:33">
      <c r="A66" t="s">
        <v>144</v>
      </c>
      <c r="D66" s="3" t="s">
        <v>145</v>
      </c>
      <c r="E66" s="3" t="s">
        <v>146</v>
      </c>
      <c r="J66" s="5" t="s">
        <v>546</v>
      </c>
      <c r="U66" s="5" t="str">
        <f t="shared" ref="U66:U127" ca="1" si="4">IF(ISNUMBER(T66),VALUE(MID(_xlfn.FORMULATEXT(T66),SEARCH("-",_xlfn.FORMULATEXT(T66))+1,LEN(_xlfn.FORMULATEXT(T66))-SEARCH("-",_xlfn.FORMULATEXT(T66)))), "")</f>
        <v/>
      </c>
      <c r="V66" s="5" t="str">
        <f t="shared" ref="V66:V127" ca="1" si="5">IF(ISNUMBER(T66), VALUE(MID(_xlfn.FORMULATEXT(T66), 2, SEARCH("-", _xlfn.FORMULATEXT(T66)) - 2)), "")</f>
        <v/>
      </c>
      <c r="AA66" s="5" t="s">
        <v>475</v>
      </c>
      <c r="AE66" s="5" t="s">
        <v>508</v>
      </c>
    </row>
    <row r="67" spans="1:33">
      <c r="A67" t="s">
        <v>147</v>
      </c>
      <c r="D67" s="3" t="s">
        <v>148</v>
      </c>
      <c r="E67" s="3" t="s">
        <v>149</v>
      </c>
      <c r="J67" s="5" t="s">
        <v>545</v>
      </c>
      <c r="T67" s="5">
        <f>0-54</f>
        <v>-54</v>
      </c>
      <c r="U67" s="5">
        <f t="shared" ca="1" si="4"/>
        <v>54</v>
      </c>
      <c r="V67" s="5">
        <f t="shared" ca="1" si="5"/>
        <v>0</v>
      </c>
      <c r="AA67" s="5" t="s">
        <v>475</v>
      </c>
      <c r="AE67" s="5" t="s">
        <v>514</v>
      </c>
    </row>
    <row r="68" spans="1:33">
      <c r="A68" t="s">
        <v>147</v>
      </c>
      <c r="D68" s="3" t="s">
        <v>372</v>
      </c>
      <c r="E68" s="3" t="s">
        <v>373</v>
      </c>
      <c r="H68" t="s">
        <v>337</v>
      </c>
      <c r="J68" s="5" t="s">
        <v>546</v>
      </c>
      <c r="U68" s="5" t="str">
        <f t="shared" ca="1" si="4"/>
        <v/>
      </c>
      <c r="V68" s="5" t="str">
        <f t="shared" ca="1" si="5"/>
        <v/>
      </c>
      <c r="AA68" s="5" t="s">
        <v>475</v>
      </c>
      <c r="AE68" s="5" t="s">
        <v>514</v>
      </c>
    </row>
    <row r="69" spans="1:33" ht="29">
      <c r="A69" t="s">
        <v>150</v>
      </c>
      <c r="D69" s="3" t="s">
        <v>374</v>
      </c>
      <c r="E69" s="3" t="s">
        <v>375</v>
      </c>
      <c r="H69" t="s">
        <v>337</v>
      </c>
      <c r="I69" t="s">
        <v>619</v>
      </c>
      <c r="J69" s="5" t="s">
        <v>479</v>
      </c>
      <c r="L69" s="5">
        <v>1</v>
      </c>
      <c r="M69" s="5">
        <v>3</v>
      </c>
      <c r="N69" s="5" t="s">
        <v>509</v>
      </c>
      <c r="O69" s="5" t="s">
        <v>510</v>
      </c>
      <c r="S69" s="5">
        <v>19277</v>
      </c>
      <c r="U69" s="5" t="str">
        <f t="shared" ca="1" si="4"/>
        <v/>
      </c>
      <c r="V69" s="5" t="str">
        <f t="shared" ca="1" si="5"/>
        <v/>
      </c>
      <c r="W69" s="5" t="s">
        <v>559</v>
      </c>
      <c r="AA69" s="5" t="s">
        <v>475</v>
      </c>
      <c r="AG69" t="s">
        <v>481</v>
      </c>
    </row>
    <row r="70" spans="1:33">
      <c r="A70" t="s">
        <v>151</v>
      </c>
      <c r="D70" s="3" t="s">
        <v>376</v>
      </c>
      <c r="E70" s="3" t="s">
        <v>377</v>
      </c>
      <c r="H70" t="s">
        <v>337</v>
      </c>
      <c r="J70" s="5" t="s">
        <v>479</v>
      </c>
      <c r="L70" s="5">
        <v>1</v>
      </c>
      <c r="M70" s="5">
        <v>3</v>
      </c>
      <c r="N70" s="5" t="s">
        <v>509</v>
      </c>
      <c r="O70" s="5" t="s">
        <v>510</v>
      </c>
      <c r="S70" s="5">
        <v>19277</v>
      </c>
      <c r="U70" s="5" t="str">
        <f t="shared" ca="1" si="4"/>
        <v/>
      </c>
      <c r="V70" s="5" t="str">
        <f t="shared" ca="1" si="5"/>
        <v/>
      </c>
      <c r="AA70" s="5" t="s">
        <v>475</v>
      </c>
      <c r="AG70" t="s">
        <v>481</v>
      </c>
    </row>
    <row r="71" spans="1:33">
      <c r="A71" t="s">
        <v>152</v>
      </c>
      <c r="D71" s="3" t="s">
        <v>153</v>
      </c>
      <c r="E71" s="3" t="s">
        <v>108</v>
      </c>
      <c r="J71" s="5" t="s">
        <v>546</v>
      </c>
      <c r="U71" s="5" t="str">
        <f t="shared" ca="1" si="4"/>
        <v/>
      </c>
      <c r="V71" s="5" t="str">
        <f t="shared" ca="1" si="5"/>
        <v/>
      </c>
      <c r="AA71" s="5" t="s">
        <v>475</v>
      </c>
      <c r="AG71" t="s">
        <v>475</v>
      </c>
    </row>
    <row r="72" spans="1:33">
      <c r="A72" t="s">
        <v>154</v>
      </c>
      <c r="D72" s="3" t="s">
        <v>155</v>
      </c>
      <c r="E72" s="3" t="s">
        <v>156</v>
      </c>
      <c r="J72" s="5" t="s">
        <v>545</v>
      </c>
      <c r="T72" s="5">
        <f>0-40</f>
        <v>-40</v>
      </c>
      <c r="U72" s="5">
        <f t="shared" ca="1" si="4"/>
        <v>40</v>
      </c>
      <c r="V72" s="5">
        <f t="shared" ca="1" si="5"/>
        <v>0</v>
      </c>
      <c r="AA72" s="5" t="s">
        <v>475</v>
      </c>
      <c r="AG72" t="s">
        <v>481</v>
      </c>
    </row>
    <row r="73" spans="1:33">
      <c r="A73" t="s">
        <v>154</v>
      </c>
      <c r="D73" s="3" t="s">
        <v>157</v>
      </c>
      <c r="E73" s="3" t="s">
        <v>158</v>
      </c>
      <c r="J73" s="5" t="s">
        <v>545</v>
      </c>
      <c r="T73" s="5">
        <f>372-253</f>
        <v>119</v>
      </c>
      <c r="U73" s="5">
        <f t="shared" ca="1" si="4"/>
        <v>253</v>
      </c>
      <c r="V73" s="5">
        <f t="shared" ca="1" si="5"/>
        <v>372</v>
      </c>
      <c r="AA73" s="5" t="s">
        <v>475</v>
      </c>
      <c r="AE73" s="5" t="s">
        <v>508</v>
      </c>
    </row>
    <row r="74" spans="1:33">
      <c r="A74" t="s">
        <v>159</v>
      </c>
      <c r="D74" s="3" t="s">
        <v>160</v>
      </c>
      <c r="E74" s="3" t="s">
        <v>378</v>
      </c>
      <c r="G74" t="s">
        <v>337</v>
      </c>
      <c r="J74" s="5" t="s">
        <v>545</v>
      </c>
      <c r="T74" s="5">
        <f>1599-5</f>
        <v>1594</v>
      </c>
      <c r="U74" s="5">
        <f t="shared" ca="1" si="4"/>
        <v>5</v>
      </c>
      <c r="V74" s="5">
        <f t="shared" ca="1" si="5"/>
        <v>1599</v>
      </c>
      <c r="AA74" s="5" t="s">
        <v>475</v>
      </c>
    </row>
    <row r="75" spans="1:33">
      <c r="A75" t="s">
        <v>161</v>
      </c>
      <c r="D75" s="3" t="s">
        <v>162</v>
      </c>
      <c r="E75" s="3" t="s">
        <v>163</v>
      </c>
      <c r="I75" t="s">
        <v>570</v>
      </c>
      <c r="J75" s="5" t="s">
        <v>545</v>
      </c>
      <c r="T75" s="5" t="s">
        <v>562</v>
      </c>
      <c r="U75" s="5" t="str">
        <f t="shared" ca="1" si="4"/>
        <v/>
      </c>
      <c r="V75" s="5" t="str">
        <f t="shared" ca="1" si="5"/>
        <v/>
      </c>
      <c r="AA75" s="5" t="s">
        <v>475</v>
      </c>
      <c r="AB75" s="5" t="s">
        <v>507</v>
      </c>
      <c r="AC75" s="5" t="s">
        <v>548</v>
      </c>
      <c r="AD75" s="5" t="s">
        <v>475</v>
      </c>
    </row>
    <row r="76" spans="1:33">
      <c r="A76" t="s">
        <v>164</v>
      </c>
      <c r="D76" s="3" t="s">
        <v>69</v>
      </c>
      <c r="E76" s="3" t="s">
        <v>165</v>
      </c>
      <c r="J76" s="5" t="s">
        <v>545</v>
      </c>
      <c r="T76" s="5">
        <f>0-54</f>
        <v>-54</v>
      </c>
      <c r="U76" s="5">
        <f t="shared" ca="1" si="4"/>
        <v>54</v>
      </c>
      <c r="V76" s="5">
        <f t="shared" ca="1" si="5"/>
        <v>0</v>
      </c>
      <c r="AA76" s="5" t="s">
        <v>475</v>
      </c>
      <c r="AE76" s="5" t="s">
        <v>514</v>
      </c>
    </row>
    <row r="77" spans="1:33">
      <c r="A77" t="s">
        <v>166</v>
      </c>
      <c r="D77" s="3" t="s">
        <v>379</v>
      </c>
      <c r="E77" s="3" t="s">
        <v>380</v>
      </c>
      <c r="J77" s="5" t="s">
        <v>545</v>
      </c>
      <c r="T77" s="5">
        <f>557-1712</f>
        <v>-1155</v>
      </c>
      <c r="U77" s="5">
        <f t="shared" ca="1" si="4"/>
        <v>1712</v>
      </c>
      <c r="V77" s="5">
        <f t="shared" ca="1" si="5"/>
        <v>557</v>
      </c>
      <c r="AA77" s="5" t="s">
        <v>475</v>
      </c>
      <c r="AG77" t="s">
        <v>481</v>
      </c>
    </row>
    <row r="78" spans="1:33">
      <c r="A78" t="s">
        <v>167</v>
      </c>
      <c r="D78" t="s">
        <v>381</v>
      </c>
      <c r="E78" t="s">
        <v>382</v>
      </c>
      <c r="F78" t="s">
        <v>383</v>
      </c>
      <c r="H78" t="s">
        <v>337</v>
      </c>
      <c r="Q78" s="5"/>
      <c r="U78" s="5" t="str">
        <f t="shared" ca="1" si="4"/>
        <v/>
      </c>
      <c r="V78" s="5" t="str">
        <f t="shared" ca="1" si="5"/>
        <v/>
      </c>
      <c r="AA78" s="5" t="s">
        <v>604</v>
      </c>
    </row>
    <row r="79" spans="1:33">
      <c r="A79" t="s">
        <v>168</v>
      </c>
      <c r="D79" s="3" t="s">
        <v>169</v>
      </c>
      <c r="E79" s="3" t="s">
        <v>170</v>
      </c>
      <c r="J79" s="5" t="s">
        <v>545</v>
      </c>
      <c r="T79" s="5" t="s">
        <v>549</v>
      </c>
      <c r="U79" s="5" t="str">
        <f t="shared" ca="1" si="4"/>
        <v/>
      </c>
      <c r="V79" s="5" t="str">
        <f t="shared" ca="1" si="5"/>
        <v/>
      </c>
      <c r="AA79" s="5" t="s">
        <v>475</v>
      </c>
      <c r="AE79" s="5" t="s">
        <v>508</v>
      </c>
    </row>
    <row r="80" spans="1:33">
      <c r="A80" t="s">
        <v>171</v>
      </c>
      <c r="D80" s="3" t="s">
        <v>172</v>
      </c>
      <c r="E80" s="3" t="s">
        <v>173</v>
      </c>
      <c r="J80" s="5" t="s">
        <v>545</v>
      </c>
      <c r="T80" s="5">
        <f>0-38</f>
        <v>-38</v>
      </c>
      <c r="U80" s="5">
        <f t="shared" ca="1" si="4"/>
        <v>38</v>
      </c>
      <c r="V80" s="5">
        <f t="shared" ca="1" si="5"/>
        <v>0</v>
      </c>
      <c r="AA80" s="5" t="s">
        <v>475</v>
      </c>
      <c r="AG80" t="s">
        <v>481</v>
      </c>
    </row>
    <row r="81" spans="1:33">
      <c r="A81" t="s">
        <v>174</v>
      </c>
      <c r="D81" s="3" t="s">
        <v>175</v>
      </c>
      <c r="E81" s="3" t="s">
        <v>176</v>
      </c>
      <c r="J81" s="5" t="s">
        <v>546</v>
      </c>
      <c r="U81" s="5" t="str">
        <f t="shared" ca="1" si="4"/>
        <v/>
      </c>
      <c r="V81" s="5" t="str">
        <f t="shared" ca="1" si="5"/>
        <v/>
      </c>
      <c r="AA81" s="5" t="s">
        <v>475</v>
      </c>
      <c r="AG81" t="s">
        <v>475</v>
      </c>
    </row>
    <row r="82" spans="1:33">
      <c r="A82" t="s">
        <v>177</v>
      </c>
      <c r="D82" t="s">
        <v>384</v>
      </c>
      <c r="E82" t="s">
        <v>385</v>
      </c>
      <c r="F82" t="s">
        <v>366</v>
      </c>
      <c r="Q82" s="5"/>
      <c r="U82" s="5" t="str">
        <f t="shared" ca="1" si="4"/>
        <v/>
      </c>
      <c r="V82" s="5" t="str">
        <f t="shared" ca="1" si="5"/>
        <v/>
      </c>
      <c r="AA82" s="5" t="s">
        <v>604</v>
      </c>
    </row>
    <row r="83" spans="1:33">
      <c r="A83" t="s">
        <v>178</v>
      </c>
      <c r="D83" s="3" t="s">
        <v>180</v>
      </c>
      <c r="E83" s="3" t="s">
        <v>181</v>
      </c>
      <c r="G83" t="s">
        <v>337</v>
      </c>
      <c r="J83" s="5" t="s">
        <v>546</v>
      </c>
      <c r="U83" s="5" t="str">
        <f t="shared" ca="1" si="4"/>
        <v/>
      </c>
      <c r="V83" s="5" t="str">
        <f t="shared" ca="1" si="5"/>
        <v/>
      </c>
      <c r="AA83" s="5" t="s">
        <v>475</v>
      </c>
      <c r="AE83" s="5" t="s">
        <v>517</v>
      </c>
    </row>
    <row r="84" spans="1:33">
      <c r="A84" t="s">
        <v>178</v>
      </c>
      <c r="D84" s="3" t="s">
        <v>67</v>
      </c>
      <c r="E84" s="3" t="s">
        <v>65</v>
      </c>
      <c r="J84" s="5" t="s">
        <v>546</v>
      </c>
      <c r="U84" s="5" t="str">
        <f t="shared" ca="1" si="4"/>
        <v/>
      </c>
      <c r="V84" s="5" t="str">
        <f t="shared" ca="1" si="5"/>
        <v/>
      </c>
      <c r="AA84" s="5" t="s">
        <v>475</v>
      </c>
      <c r="AE84" s="5" t="s">
        <v>514</v>
      </c>
    </row>
    <row r="85" spans="1:33" ht="58">
      <c r="A85" t="s">
        <v>182</v>
      </c>
      <c r="D85" s="3" t="s">
        <v>572</v>
      </c>
      <c r="E85" s="3" t="s">
        <v>573</v>
      </c>
      <c r="I85" t="s">
        <v>606</v>
      </c>
      <c r="J85" s="5" t="s">
        <v>479</v>
      </c>
      <c r="L85" s="5">
        <v>5</v>
      </c>
      <c r="M85" s="5">
        <v>27</v>
      </c>
      <c r="O85" s="5" t="s">
        <v>504</v>
      </c>
      <c r="P85" s="5" t="s">
        <v>574</v>
      </c>
      <c r="Q85" s="7" t="s">
        <v>605</v>
      </c>
      <c r="S85" s="5">
        <v>38</v>
      </c>
      <c r="U85" s="5" t="str">
        <f t="shared" ca="1" si="4"/>
        <v/>
      </c>
      <c r="V85" s="5" t="str">
        <f t="shared" ca="1" si="5"/>
        <v/>
      </c>
      <c r="AA85" s="5" t="s">
        <v>475</v>
      </c>
      <c r="AG85" t="s">
        <v>481</v>
      </c>
    </row>
    <row r="86" spans="1:33">
      <c r="A86" t="s">
        <v>183</v>
      </c>
      <c r="D86" s="3" t="s">
        <v>184</v>
      </c>
      <c r="E86" s="3" t="s">
        <v>185</v>
      </c>
      <c r="J86" s="5" t="s">
        <v>546</v>
      </c>
      <c r="U86" s="5" t="str">
        <f t="shared" ca="1" si="4"/>
        <v/>
      </c>
      <c r="V86" s="5" t="str">
        <f t="shared" ca="1" si="5"/>
        <v/>
      </c>
      <c r="AA86" s="5" t="s">
        <v>475</v>
      </c>
      <c r="AG86" t="s">
        <v>481</v>
      </c>
    </row>
    <row r="87" spans="1:33">
      <c r="A87" t="s">
        <v>186</v>
      </c>
      <c r="D87" s="3" t="s">
        <v>387</v>
      </c>
      <c r="E87" s="3" t="s">
        <v>388</v>
      </c>
      <c r="F87" t="s">
        <v>571</v>
      </c>
      <c r="J87" s="5" t="s">
        <v>479</v>
      </c>
      <c r="L87" s="5">
        <v>1</v>
      </c>
      <c r="M87" s="5">
        <v>2</v>
      </c>
      <c r="N87" s="5" t="s">
        <v>527</v>
      </c>
      <c r="O87" s="5" t="s">
        <v>549</v>
      </c>
      <c r="S87" s="5">
        <v>903</v>
      </c>
      <c r="U87" s="5" t="str">
        <f t="shared" ca="1" si="4"/>
        <v/>
      </c>
      <c r="V87" s="5" t="str">
        <f t="shared" ca="1" si="5"/>
        <v/>
      </c>
      <c r="AA87" s="5" t="s">
        <v>475</v>
      </c>
    </row>
    <row r="88" spans="1:33">
      <c r="A88" t="s">
        <v>187</v>
      </c>
      <c r="D88" t="s">
        <v>188</v>
      </c>
      <c r="E88" t="s">
        <v>189</v>
      </c>
      <c r="F88" t="s">
        <v>366</v>
      </c>
      <c r="Q88" s="5"/>
      <c r="U88" s="5" t="str">
        <f t="shared" ca="1" si="4"/>
        <v/>
      </c>
      <c r="V88" s="5" t="str">
        <f t="shared" ca="1" si="5"/>
        <v/>
      </c>
      <c r="AA88" s="5" t="s">
        <v>604</v>
      </c>
    </row>
    <row r="89" spans="1:33">
      <c r="A89" t="s">
        <v>190</v>
      </c>
      <c r="D89" s="3" t="s">
        <v>70</v>
      </c>
      <c r="E89" s="3" t="s">
        <v>191</v>
      </c>
      <c r="J89" s="5" t="s">
        <v>545</v>
      </c>
      <c r="T89" s="5" t="s">
        <v>562</v>
      </c>
      <c r="U89" s="5" t="str">
        <f t="shared" ca="1" si="4"/>
        <v/>
      </c>
      <c r="V89" s="5" t="str">
        <f t="shared" ca="1" si="5"/>
        <v/>
      </c>
      <c r="AA89" s="5" t="s">
        <v>475</v>
      </c>
      <c r="AE89" s="5" t="s">
        <v>508</v>
      </c>
    </row>
    <row r="90" spans="1:33">
      <c r="A90" t="s">
        <v>192</v>
      </c>
      <c r="D90" s="3" t="s">
        <v>389</v>
      </c>
      <c r="E90" s="3" t="s">
        <v>390</v>
      </c>
      <c r="I90" t="s">
        <v>609</v>
      </c>
      <c r="J90" s="5" t="s">
        <v>479</v>
      </c>
      <c r="L90" s="5">
        <v>1</v>
      </c>
      <c r="M90" s="5">
        <v>5</v>
      </c>
      <c r="N90" s="5" t="s">
        <v>503</v>
      </c>
      <c r="O90" s="5" t="s">
        <v>504</v>
      </c>
      <c r="P90" s="5" t="s">
        <v>551</v>
      </c>
      <c r="Q90" s="7" t="s">
        <v>552</v>
      </c>
      <c r="S90" s="5">
        <v>1599</v>
      </c>
      <c r="U90" s="5" t="str">
        <f t="shared" ca="1" si="4"/>
        <v/>
      </c>
      <c r="V90" s="5" t="str">
        <f t="shared" ca="1" si="5"/>
        <v/>
      </c>
      <c r="AA90" s="5" t="s">
        <v>475</v>
      </c>
      <c r="AG90" t="s">
        <v>481</v>
      </c>
    </row>
    <row r="91" spans="1:33">
      <c r="A91" t="s">
        <v>193</v>
      </c>
      <c r="D91" s="4" t="s">
        <v>194</v>
      </c>
      <c r="E91" s="3" t="s">
        <v>391</v>
      </c>
      <c r="F91" t="s">
        <v>488</v>
      </c>
      <c r="H91" t="s">
        <v>482</v>
      </c>
      <c r="I91" t="s">
        <v>726</v>
      </c>
      <c r="J91" s="11" t="s">
        <v>546</v>
      </c>
      <c r="K91" s="11"/>
      <c r="L91" s="11"/>
      <c r="M91" s="11"/>
      <c r="N91" s="11"/>
      <c r="O91" s="11"/>
      <c r="P91" s="11"/>
      <c r="Q91" s="12"/>
      <c r="R91" s="11"/>
      <c r="S91" s="11"/>
      <c r="T91" s="11"/>
      <c r="U91" s="5" t="str">
        <f t="shared" ca="1" si="4"/>
        <v/>
      </c>
      <c r="V91" s="5" t="str">
        <f t="shared" ca="1" si="5"/>
        <v/>
      </c>
      <c r="W91" s="11"/>
      <c r="X91" s="11"/>
      <c r="Y91" s="11"/>
      <c r="Z91" s="11"/>
      <c r="AA91" s="11" t="s">
        <v>475</v>
      </c>
      <c r="AB91" s="11"/>
      <c r="AC91" s="11"/>
      <c r="AD91" s="11"/>
      <c r="AE91" s="11"/>
      <c r="AF91" s="11"/>
      <c r="AG91" t="s">
        <v>475</v>
      </c>
    </row>
    <row r="92" spans="1:33">
      <c r="A92" t="s">
        <v>193</v>
      </c>
      <c r="D92" s="3" t="s">
        <v>195</v>
      </c>
      <c r="E92" s="3" t="s">
        <v>196</v>
      </c>
      <c r="J92" s="5" t="s">
        <v>546</v>
      </c>
      <c r="U92" s="5" t="str">
        <f t="shared" ca="1" si="4"/>
        <v/>
      </c>
      <c r="V92" s="5" t="str">
        <f t="shared" ca="1" si="5"/>
        <v/>
      </c>
      <c r="AA92" s="5" t="s">
        <v>475</v>
      </c>
      <c r="AG92" t="s">
        <v>475</v>
      </c>
    </row>
    <row r="93" spans="1:33">
      <c r="A93" t="s">
        <v>197</v>
      </c>
      <c r="D93" s="3" t="s">
        <v>392</v>
      </c>
      <c r="E93" s="3" t="s">
        <v>393</v>
      </c>
      <c r="I93" t="s">
        <v>620</v>
      </c>
      <c r="J93" s="5" t="s">
        <v>546</v>
      </c>
      <c r="U93" s="5" t="str">
        <f t="shared" ca="1" si="4"/>
        <v/>
      </c>
      <c r="V93" s="5" t="str">
        <f t="shared" ca="1" si="5"/>
        <v/>
      </c>
      <c r="W93" s="5" t="s">
        <v>559</v>
      </c>
      <c r="AA93" s="5" t="s">
        <v>475</v>
      </c>
      <c r="AG93" t="s">
        <v>475</v>
      </c>
    </row>
    <row r="94" spans="1:33" ht="43.5">
      <c r="A94" t="s">
        <v>197</v>
      </c>
      <c r="D94" s="3" t="s">
        <v>394</v>
      </c>
      <c r="E94" s="3" t="s">
        <v>395</v>
      </c>
      <c r="I94" t="s">
        <v>621</v>
      </c>
      <c r="J94" s="5" t="s">
        <v>479</v>
      </c>
      <c r="L94" s="5">
        <v>4</v>
      </c>
      <c r="M94" s="5">
        <v>15</v>
      </c>
      <c r="O94" s="5" t="s">
        <v>504</v>
      </c>
      <c r="P94" s="5" t="s">
        <v>574</v>
      </c>
      <c r="Q94" s="7" t="s">
        <v>610</v>
      </c>
      <c r="S94" s="5">
        <v>63</v>
      </c>
      <c r="U94" s="5" t="str">
        <f t="shared" ca="1" si="4"/>
        <v/>
      </c>
      <c r="V94" s="5" t="str">
        <f t="shared" ca="1" si="5"/>
        <v/>
      </c>
      <c r="AA94" s="5" t="s">
        <v>475</v>
      </c>
      <c r="AG94" t="s">
        <v>481</v>
      </c>
    </row>
    <row r="95" spans="1:33">
      <c r="A95" t="s">
        <v>198</v>
      </c>
      <c r="D95" s="3" t="s">
        <v>396</v>
      </c>
      <c r="E95" s="3" t="s">
        <v>397</v>
      </c>
      <c r="J95" s="5" t="s">
        <v>546</v>
      </c>
      <c r="U95" s="5" t="str">
        <f t="shared" ca="1" si="4"/>
        <v/>
      </c>
      <c r="V95" s="5" t="str">
        <f t="shared" ca="1" si="5"/>
        <v/>
      </c>
      <c r="AA95" s="5" t="s">
        <v>475</v>
      </c>
      <c r="AE95" s="5" t="s">
        <v>514</v>
      </c>
    </row>
    <row r="96" spans="1:33">
      <c r="A96" t="s">
        <v>198</v>
      </c>
      <c r="D96" s="3" t="s">
        <v>398</v>
      </c>
      <c r="E96" s="3" t="s">
        <v>399</v>
      </c>
      <c r="G96" t="s">
        <v>337</v>
      </c>
      <c r="J96" s="5" t="s">
        <v>476</v>
      </c>
      <c r="L96" s="5">
        <v>1</v>
      </c>
      <c r="M96" s="5">
        <v>1</v>
      </c>
      <c r="N96" s="5" t="s">
        <v>509</v>
      </c>
      <c r="O96" s="5" t="s">
        <v>549</v>
      </c>
      <c r="S96" s="5">
        <v>19277</v>
      </c>
      <c r="U96" s="5" t="str">
        <f t="shared" ca="1" si="4"/>
        <v/>
      </c>
      <c r="V96" s="5" t="str">
        <f t="shared" ca="1" si="5"/>
        <v/>
      </c>
      <c r="AA96" s="5" t="s">
        <v>475</v>
      </c>
    </row>
    <row r="97" spans="1:34">
      <c r="A97" t="s">
        <v>199</v>
      </c>
      <c r="D97" s="3" t="s">
        <v>200</v>
      </c>
      <c r="E97" s="3" t="s">
        <v>201</v>
      </c>
      <c r="J97" s="5" t="s">
        <v>545</v>
      </c>
      <c r="T97" s="5" t="s">
        <v>562</v>
      </c>
      <c r="U97" s="5" t="str">
        <f t="shared" ca="1" si="4"/>
        <v/>
      </c>
      <c r="V97" s="5" t="str">
        <f t="shared" ca="1" si="5"/>
        <v/>
      </c>
      <c r="AA97" s="5" t="s">
        <v>475</v>
      </c>
      <c r="AE97" s="5" t="s">
        <v>508</v>
      </c>
    </row>
    <row r="98" spans="1:34">
      <c r="A98" t="s">
        <v>202</v>
      </c>
      <c r="D98" s="3" t="s">
        <v>51</v>
      </c>
      <c r="E98" s="3" t="s">
        <v>203</v>
      </c>
      <c r="H98" t="s">
        <v>337</v>
      </c>
      <c r="J98" s="5" t="s">
        <v>546</v>
      </c>
      <c r="U98" s="5" t="str">
        <f t="shared" ca="1" si="4"/>
        <v/>
      </c>
      <c r="V98" s="5" t="str">
        <f t="shared" ca="1" si="5"/>
        <v/>
      </c>
      <c r="AA98" s="5" t="s">
        <v>475</v>
      </c>
      <c r="AB98" s="5" t="s">
        <v>507</v>
      </c>
      <c r="AC98" s="5" t="s">
        <v>550</v>
      </c>
      <c r="AD98" s="5" t="s">
        <v>475</v>
      </c>
    </row>
    <row r="99" spans="1:34">
      <c r="A99" t="s">
        <v>204</v>
      </c>
      <c r="D99" s="3" t="s">
        <v>400</v>
      </c>
      <c r="E99" s="3" t="s">
        <v>401</v>
      </c>
      <c r="H99" t="s">
        <v>337</v>
      </c>
      <c r="J99" s="5" t="s">
        <v>479</v>
      </c>
      <c r="L99" s="5">
        <v>1</v>
      </c>
      <c r="M99" s="5">
        <v>3</v>
      </c>
      <c r="N99" s="5" t="s">
        <v>509</v>
      </c>
      <c r="O99" s="5" t="s">
        <v>510</v>
      </c>
      <c r="S99" s="5">
        <v>19277</v>
      </c>
      <c r="U99" s="5" t="str">
        <f t="shared" ca="1" si="4"/>
        <v/>
      </c>
      <c r="V99" s="5" t="str">
        <f t="shared" ca="1" si="5"/>
        <v/>
      </c>
      <c r="AA99" s="5" t="s">
        <v>475</v>
      </c>
      <c r="AG99" t="s">
        <v>481</v>
      </c>
    </row>
    <row r="100" spans="1:34">
      <c r="A100" t="s">
        <v>205</v>
      </c>
      <c r="D100" s="3" t="s">
        <v>206</v>
      </c>
      <c r="E100" s="3" t="s">
        <v>402</v>
      </c>
      <c r="G100" t="s">
        <v>337</v>
      </c>
      <c r="J100" s="5" t="s">
        <v>545</v>
      </c>
      <c r="T100" s="5">
        <f>22-1</f>
        <v>21</v>
      </c>
      <c r="U100" s="5">
        <f t="shared" ca="1" si="4"/>
        <v>1</v>
      </c>
      <c r="V100" s="5">
        <f t="shared" ca="1" si="5"/>
        <v>22</v>
      </c>
      <c r="AA100" s="5" t="s">
        <v>475</v>
      </c>
      <c r="AC100" s="5" t="s">
        <v>575</v>
      </c>
      <c r="AD100" s="5" t="s">
        <v>475</v>
      </c>
    </row>
    <row r="101" spans="1:34" ht="29">
      <c r="A101" t="s">
        <v>207</v>
      </c>
      <c r="D101" s="3" t="s">
        <v>403</v>
      </c>
      <c r="E101" s="3" t="s">
        <v>404</v>
      </c>
      <c r="H101" t="s">
        <v>337</v>
      </c>
      <c r="I101" t="s">
        <v>633</v>
      </c>
      <c r="J101" s="5" t="s">
        <v>479</v>
      </c>
      <c r="L101" s="5">
        <v>2</v>
      </c>
      <c r="M101" s="5">
        <v>12</v>
      </c>
      <c r="O101" s="5" t="s">
        <v>504</v>
      </c>
      <c r="P101" s="5" t="s">
        <v>564</v>
      </c>
      <c r="Q101" s="7" t="s">
        <v>576</v>
      </c>
      <c r="S101" s="5">
        <v>5</v>
      </c>
      <c r="U101" s="5" t="str">
        <f t="shared" ca="1" si="4"/>
        <v/>
      </c>
      <c r="V101" s="5" t="str">
        <f t="shared" ca="1" si="5"/>
        <v/>
      </c>
      <c r="AA101" s="5" t="s">
        <v>475</v>
      </c>
      <c r="AG101" t="s">
        <v>481</v>
      </c>
    </row>
    <row r="102" spans="1:34">
      <c r="A102" t="s">
        <v>208</v>
      </c>
      <c r="D102" s="3" t="s">
        <v>209</v>
      </c>
      <c r="E102" s="3" t="s">
        <v>210</v>
      </c>
      <c r="H102" t="s">
        <v>337</v>
      </c>
      <c r="J102" s="5" t="s">
        <v>545</v>
      </c>
      <c r="U102" s="5" t="str">
        <f t="shared" ca="1" si="4"/>
        <v/>
      </c>
      <c r="V102" s="5" t="str">
        <f t="shared" ca="1" si="5"/>
        <v/>
      </c>
      <c r="AA102" s="5" t="s">
        <v>475</v>
      </c>
      <c r="AE102" s="5" t="s">
        <v>508</v>
      </c>
    </row>
    <row r="103" spans="1:34">
      <c r="A103" t="s">
        <v>211</v>
      </c>
      <c r="D103" t="s">
        <v>405</v>
      </c>
      <c r="E103" t="s">
        <v>406</v>
      </c>
      <c r="F103" t="s">
        <v>366</v>
      </c>
      <c r="Q103" s="5"/>
      <c r="U103" s="5" t="str">
        <f t="shared" ca="1" si="4"/>
        <v/>
      </c>
      <c r="V103" s="5" t="str">
        <f t="shared" ca="1" si="5"/>
        <v/>
      </c>
      <c r="AA103" s="5" t="s">
        <v>604</v>
      </c>
    </row>
    <row r="104" spans="1:34" ht="29">
      <c r="A104" t="s">
        <v>212</v>
      </c>
      <c r="D104" s="3" t="s">
        <v>577</v>
      </c>
      <c r="E104" s="3" t="s">
        <v>578</v>
      </c>
      <c r="J104" s="5" t="s">
        <v>545</v>
      </c>
      <c r="T104" s="5">
        <f>6010-19277</f>
        <v>-13267</v>
      </c>
      <c r="U104" s="5">
        <f t="shared" ca="1" si="4"/>
        <v>19277</v>
      </c>
      <c r="V104" s="5">
        <f t="shared" ca="1" si="5"/>
        <v>6010</v>
      </c>
      <c r="AA104" s="5" t="s">
        <v>475</v>
      </c>
      <c r="AG104" t="s">
        <v>475</v>
      </c>
      <c r="AH104" t="s">
        <v>637</v>
      </c>
    </row>
    <row r="105" spans="1:34" ht="29">
      <c r="A105" t="s">
        <v>212</v>
      </c>
      <c r="D105" s="3" t="s">
        <v>722</v>
      </c>
      <c r="E105" s="3" t="s">
        <v>579</v>
      </c>
      <c r="J105" s="5" t="s">
        <v>545</v>
      </c>
      <c r="T105" s="5">
        <f>6010-19277</f>
        <v>-13267</v>
      </c>
      <c r="U105" s="5">
        <f t="shared" ca="1" si="4"/>
        <v>19277</v>
      </c>
      <c r="V105" s="5">
        <f t="shared" ca="1" si="5"/>
        <v>6010</v>
      </c>
      <c r="AA105" s="5" t="s">
        <v>475</v>
      </c>
      <c r="AG105" t="s">
        <v>475</v>
      </c>
    </row>
    <row r="106" spans="1:34" ht="29">
      <c r="A106" t="s">
        <v>212</v>
      </c>
      <c r="D106" s="3" t="s">
        <v>723</v>
      </c>
      <c r="E106" s="3" t="s">
        <v>580</v>
      </c>
      <c r="G106" t="s">
        <v>477</v>
      </c>
      <c r="I106" t="s">
        <v>727</v>
      </c>
      <c r="J106" s="5" t="s">
        <v>545</v>
      </c>
      <c r="T106" s="5">
        <f>71-23</f>
        <v>48</v>
      </c>
      <c r="U106" s="5">
        <f t="shared" ca="1" si="4"/>
        <v>23</v>
      </c>
      <c r="V106" s="5">
        <f t="shared" ca="1" si="5"/>
        <v>71</v>
      </c>
      <c r="AA106" s="5" t="s">
        <v>475</v>
      </c>
      <c r="AE106" s="5" t="s">
        <v>517</v>
      </c>
      <c r="AG106" t="s">
        <v>475</v>
      </c>
    </row>
    <row r="107" spans="1:34">
      <c r="A107" t="s">
        <v>213</v>
      </c>
      <c r="D107" s="3" t="s">
        <v>407</v>
      </c>
      <c r="E107" s="3" t="s">
        <v>214</v>
      </c>
      <c r="H107" t="s">
        <v>478</v>
      </c>
      <c r="J107" s="5" t="s">
        <v>545</v>
      </c>
      <c r="T107" s="5" t="s">
        <v>562</v>
      </c>
      <c r="U107" s="5" t="str">
        <f t="shared" ca="1" si="4"/>
        <v/>
      </c>
      <c r="V107" s="5" t="str">
        <f t="shared" ca="1" si="5"/>
        <v/>
      </c>
      <c r="AA107" s="5" t="s">
        <v>475</v>
      </c>
      <c r="AE107" s="5" t="s">
        <v>508</v>
      </c>
    </row>
    <row r="108" spans="1:34" ht="29">
      <c r="A108" t="s">
        <v>213</v>
      </c>
      <c r="D108" s="3" t="s">
        <v>581</v>
      </c>
      <c r="E108" s="3" t="s">
        <v>582</v>
      </c>
      <c r="H108" t="s">
        <v>337</v>
      </c>
      <c r="J108" s="5" t="s">
        <v>545</v>
      </c>
      <c r="T108" s="5" t="s">
        <v>562</v>
      </c>
      <c r="U108" s="5" t="str">
        <f t="shared" ca="1" si="4"/>
        <v/>
      </c>
      <c r="V108" s="5" t="str">
        <f t="shared" ca="1" si="5"/>
        <v/>
      </c>
      <c r="AA108" s="5" t="s">
        <v>475</v>
      </c>
      <c r="AE108" s="5" t="s">
        <v>508</v>
      </c>
    </row>
    <row r="109" spans="1:34">
      <c r="A109" t="s">
        <v>215</v>
      </c>
      <c r="D109" s="3" t="s">
        <v>216</v>
      </c>
      <c r="E109" s="3" t="s">
        <v>217</v>
      </c>
      <c r="G109" t="s">
        <v>337</v>
      </c>
      <c r="J109" s="5" t="s">
        <v>545</v>
      </c>
      <c r="T109" s="5" t="s">
        <v>562</v>
      </c>
      <c r="U109" s="5" t="str">
        <f t="shared" ca="1" si="4"/>
        <v/>
      </c>
      <c r="V109" s="5" t="str">
        <f t="shared" ca="1" si="5"/>
        <v/>
      </c>
      <c r="AA109" s="5" t="s">
        <v>475</v>
      </c>
      <c r="AC109" s="5" t="s">
        <v>629</v>
      </c>
      <c r="AD109" s="5" t="s">
        <v>475</v>
      </c>
      <c r="AE109" s="5" t="s">
        <v>517</v>
      </c>
    </row>
    <row r="110" spans="1:34">
      <c r="A110" t="s">
        <v>220</v>
      </c>
      <c r="D110" t="s">
        <v>408</v>
      </c>
      <c r="E110" t="s">
        <v>409</v>
      </c>
      <c r="F110" t="s">
        <v>366</v>
      </c>
      <c r="Q110" s="5"/>
      <c r="U110" s="5" t="str">
        <f t="shared" ca="1" si="4"/>
        <v/>
      </c>
      <c r="V110" s="5" t="str">
        <f t="shared" ca="1" si="5"/>
        <v/>
      </c>
      <c r="AA110" s="5" t="s">
        <v>604</v>
      </c>
    </row>
    <row r="111" spans="1:34">
      <c r="A111" t="s">
        <v>221</v>
      </c>
      <c r="D111" s="3" t="s">
        <v>180</v>
      </c>
      <c r="E111" s="3" t="s">
        <v>181</v>
      </c>
      <c r="J111" s="5" t="s">
        <v>546</v>
      </c>
      <c r="U111" s="5" t="str">
        <f t="shared" ca="1" si="4"/>
        <v/>
      </c>
      <c r="V111" s="5" t="str">
        <f t="shared" ca="1" si="5"/>
        <v/>
      </c>
      <c r="AA111" s="5" t="s">
        <v>475</v>
      </c>
      <c r="AE111" s="5" t="s">
        <v>517</v>
      </c>
    </row>
    <row r="112" spans="1:34">
      <c r="A112" t="s">
        <v>221</v>
      </c>
      <c r="D112" s="3" t="s">
        <v>410</v>
      </c>
      <c r="E112" s="3" t="s">
        <v>68</v>
      </c>
      <c r="J112" s="5" t="s">
        <v>546</v>
      </c>
      <c r="U112" s="5" t="str">
        <f t="shared" ca="1" si="4"/>
        <v/>
      </c>
      <c r="V112" s="5" t="str">
        <f t="shared" ca="1" si="5"/>
        <v/>
      </c>
      <c r="AA112" s="5" t="s">
        <v>475</v>
      </c>
      <c r="AG112" t="s">
        <v>481</v>
      </c>
    </row>
    <row r="113" spans="1:33">
      <c r="A113" t="s">
        <v>222</v>
      </c>
      <c r="D113" s="3" t="s">
        <v>411</v>
      </c>
      <c r="E113" s="3" t="s">
        <v>223</v>
      </c>
      <c r="J113" s="5" t="s">
        <v>545</v>
      </c>
      <c r="T113" s="5" t="s">
        <v>562</v>
      </c>
      <c r="U113" s="5" t="str">
        <f t="shared" ca="1" si="4"/>
        <v/>
      </c>
      <c r="V113" s="5" t="str">
        <f t="shared" ca="1" si="5"/>
        <v/>
      </c>
      <c r="AA113" s="5" t="s">
        <v>475</v>
      </c>
      <c r="AE113" s="5" t="s">
        <v>508</v>
      </c>
    </row>
    <row r="114" spans="1:33">
      <c r="A114" t="s">
        <v>224</v>
      </c>
      <c r="D114" s="3" t="s">
        <v>225</v>
      </c>
      <c r="E114" s="3" t="s">
        <v>226</v>
      </c>
      <c r="J114" s="5" t="s">
        <v>545</v>
      </c>
      <c r="T114" s="5" t="s">
        <v>562</v>
      </c>
      <c r="U114" s="5" t="str">
        <f t="shared" ca="1" si="4"/>
        <v/>
      </c>
      <c r="V114" s="5" t="str">
        <f t="shared" ca="1" si="5"/>
        <v/>
      </c>
      <c r="AA114" s="5" t="s">
        <v>475</v>
      </c>
      <c r="AE114" s="5" t="s">
        <v>508</v>
      </c>
    </row>
    <row r="115" spans="1:33">
      <c r="A115" t="s">
        <v>224</v>
      </c>
      <c r="D115" s="3" t="s">
        <v>412</v>
      </c>
      <c r="E115" s="3" t="s">
        <v>413</v>
      </c>
      <c r="J115" s="5" t="s">
        <v>546</v>
      </c>
      <c r="U115" s="5" t="str">
        <f t="shared" ca="1" si="4"/>
        <v/>
      </c>
      <c r="V115" s="5" t="str">
        <f t="shared" ca="1" si="5"/>
        <v/>
      </c>
      <c r="AA115" s="5" t="s">
        <v>475</v>
      </c>
      <c r="AG115" t="s">
        <v>475</v>
      </c>
    </row>
    <row r="116" spans="1:33">
      <c r="A116" t="s">
        <v>224</v>
      </c>
      <c r="D116" s="3" t="s">
        <v>227</v>
      </c>
      <c r="E116" s="3" t="s">
        <v>414</v>
      </c>
      <c r="G116" t="s">
        <v>337</v>
      </c>
      <c r="J116" s="5" t="s">
        <v>546</v>
      </c>
      <c r="U116" s="5" t="str">
        <f t="shared" ca="1" si="4"/>
        <v/>
      </c>
      <c r="V116" s="5" t="str">
        <f t="shared" ca="1" si="5"/>
        <v/>
      </c>
      <c r="AA116" s="5" t="s">
        <v>475</v>
      </c>
      <c r="AE116" s="5" t="s">
        <v>520</v>
      </c>
    </row>
    <row r="117" spans="1:33" ht="29">
      <c r="A117" t="s">
        <v>228</v>
      </c>
      <c r="D117" s="3" t="s">
        <v>415</v>
      </c>
      <c r="E117" s="3" t="s">
        <v>416</v>
      </c>
      <c r="I117" t="s">
        <v>611</v>
      </c>
      <c r="J117" s="5" t="s">
        <v>479</v>
      </c>
      <c r="L117" s="5">
        <v>4</v>
      </c>
      <c r="M117" s="5">
        <v>17</v>
      </c>
      <c r="O117" s="5" t="s">
        <v>504</v>
      </c>
      <c r="P117" s="5" t="s">
        <v>564</v>
      </c>
      <c r="Q117" s="7" t="s">
        <v>565</v>
      </c>
      <c r="S117" s="5">
        <v>1285</v>
      </c>
      <c r="U117" s="5" t="str">
        <f t="shared" ca="1" si="4"/>
        <v/>
      </c>
      <c r="V117" s="5" t="str">
        <f t="shared" ca="1" si="5"/>
        <v/>
      </c>
      <c r="AA117" s="5" t="s">
        <v>475</v>
      </c>
      <c r="AG117" t="s">
        <v>481</v>
      </c>
    </row>
    <row r="118" spans="1:33">
      <c r="A118" t="s">
        <v>229</v>
      </c>
      <c r="D118" t="s">
        <v>418</v>
      </c>
      <c r="E118" t="s">
        <v>417</v>
      </c>
      <c r="F118" t="s">
        <v>366</v>
      </c>
      <c r="Q118" s="5"/>
      <c r="U118" s="5" t="str">
        <f t="shared" ca="1" si="4"/>
        <v/>
      </c>
      <c r="V118" s="5" t="str">
        <f t="shared" ca="1" si="5"/>
        <v/>
      </c>
      <c r="AA118" s="5" t="s">
        <v>604</v>
      </c>
    </row>
    <row r="119" spans="1:33" ht="29">
      <c r="A119" t="s">
        <v>229</v>
      </c>
      <c r="D119" s="3" t="s">
        <v>583</v>
      </c>
      <c r="E119" s="3" t="s">
        <v>584</v>
      </c>
      <c r="H119" t="s">
        <v>337</v>
      </c>
      <c r="J119" s="5" t="s">
        <v>545</v>
      </c>
      <c r="T119" s="5">
        <f>6010-19277</f>
        <v>-13267</v>
      </c>
      <c r="U119" s="5">
        <f t="shared" ca="1" si="4"/>
        <v>19277</v>
      </c>
      <c r="V119" s="5">
        <f t="shared" ca="1" si="5"/>
        <v>6010</v>
      </c>
      <c r="AA119" s="5" t="s">
        <v>475</v>
      </c>
      <c r="AG119" t="s">
        <v>481</v>
      </c>
    </row>
    <row r="120" spans="1:33">
      <c r="A120" t="s">
        <v>229</v>
      </c>
      <c r="D120" s="3" t="s">
        <v>230</v>
      </c>
      <c r="E120" s="3" t="s">
        <v>231</v>
      </c>
      <c r="J120" s="5" t="s">
        <v>545</v>
      </c>
      <c r="T120" s="5" t="s">
        <v>562</v>
      </c>
      <c r="U120" s="5" t="str">
        <f t="shared" ca="1" si="4"/>
        <v/>
      </c>
      <c r="V120" s="5" t="str">
        <f t="shared" ca="1" si="5"/>
        <v/>
      </c>
      <c r="AA120" s="5" t="s">
        <v>475</v>
      </c>
      <c r="AC120" s="5" t="s">
        <v>629</v>
      </c>
      <c r="AD120" s="5" t="s">
        <v>475</v>
      </c>
      <c r="AE120" s="5" t="s">
        <v>508</v>
      </c>
    </row>
    <row r="121" spans="1:33">
      <c r="A121" t="s">
        <v>229</v>
      </c>
      <c r="D121" s="3" t="s">
        <v>419</v>
      </c>
      <c r="E121" s="3" t="s">
        <v>420</v>
      </c>
      <c r="J121" s="5" t="s">
        <v>545</v>
      </c>
      <c r="T121" s="5" t="s">
        <v>562</v>
      </c>
      <c r="U121" s="5" t="str">
        <f t="shared" ca="1" si="4"/>
        <v/>
      </c>
      <c r="V121" s="5" t="str">
        <f t="shared" ca="1" si="5"/>
        <v/>
      </c>
      <c r="AA121" s="5" t="s">
        <v>475</v>
      </c>
      <c r="AE121" s="5" t="s">
        <v>517</v>
      </c>
    </row>
    <row r="122" spans="1:33" ht="29">
      <c r="A122" t="s">
        <v>232</v>
      </c>
      <c r="D122" s="3" t="s">
        <v>585</v>
      </c>
      <c r="E122" s="3" t="s">
        <v>590</v>
      </c>
      <c r="G122" t="s">
        <v>337</v>
      </c>
      <c r="J122" s="5" t="s">
        <v>546</v>
      </c>
      <c r="U122" s="5" t="str">
        <f t="shared" ca="1" si="4"/>
        <v/>
      </c>
      <c r="V122" s="5" t="str">
        <f t="shared" ca="1" si="5"/>
        <v/>
      </c>
      <c r="AA122" s="5" t="s">
        <v>475</v>
      </c>
    </row>
    <row r="123" spans="1:33" ht="29">
      <c r="A123" t="s">
        <v>232</v>
      </c>
      <c r="D123" s="3" t="s">
        <v>586</v>
      </c>
      <c r="E123" s="3" t="s">
        <v>589</v>
      </c>
      <c r="J123" s="5" t="s">
        <v>546</v>
      </c>
      <c r="U123" s="5" t="str">
        <f t="shared" ca="1" si="4"/>
        <v/>
      </c>
      <c r="V123" s="5" t="str">
        <f t="shared" ca="1" si="5"/>
        <v/>
      </c>
      <c r="AA123" s="5" t="s">
        <v>475</v>
      </c>
      <c r="AE123" s="5" t="s">
        <v>514</v>
      </c>
    </row>
    <row r="124" spans="1:33" ht="29">
      <c r="A124" t="s">
        <v>232</v>
      </c>
      <c r="D124" s="3" t="s">
        <v>587</v>
      </c>
      <c r="E124" s="3" t="s">
        <v>588</v>
      </c>
      <c r="J124" s="5" t="s">
        <v>546</v>
      </c>
      <c r="U124" s="5" t="str">
        <f t="shared" ca="1" si="4"/>
        <v/>
      </c>
      <c r="V124" s="5" t="str">
        <f t="shared" ca="1" si="5"/>
        <v/>
      </c>
      <c r="AA124" s="5" t="s">
        <v>475</v>
      </c>
      <c r="AG124" t="s">
        <v>475</v>
      </c>
    </row>
    <row r="125" spans="1:33">
      <c r="A125" t="s">
        <v>233</v>
      </c>
      <c r="D125" s="3" t="s">
        <v>219</v>
      </c>
      <c r="E125" s="3" t="s">
        <v>234</v>
      </c>
      <c r="J125" s="5" t="s">
        <v>545</v>
      </c>
      <c r="T125" s="5" t="s">
        <v>549</v>
      </c>
      <c r="U125" s="5" t="str">
        <f t="shared" ca="1" si="4"/>
        <v/>
      </c>
      <c r="V125" s="5" t="str">
        <f t="shared" ca="1" si="5"/>
        <v/>
      </c>
      <c r="AA125" s="5" t="s">
        <v>475</v>
      </c>
      <c r="AE125" s="5" t="s">
        <v>508</v>
      </c>
    </row>
    <row r="126" spans="1:33">
      <c r="A126" t="s">
        <v>235</v>
      </c>
      <c r="D126" t="s">
        <v>421</v>
      </c>
      <c r="E126" t="s">
        <v>422</v>
      </c>
      <c r="F126" t="s">
        <v>383</v>
      </c>
      <c r="Q126" s="5"/>
      <c r="U126" s="5" t="str">
        <f t="shared" ca="1" si="4"/>
        <v/>
      </c>
      <c r="V126" s="5" t="str">
        <f t="shared" ca="1" si="5"/>
        <v/>
      </c>
      <c r="AA126" s="5" t="s">
        <v>604</v>
      </c>
    </row>
    <row r="127" spans="1:33">
      <c r="A127" t="s">
        <v>236</v>
      </c>
      <c r="D127" t="s">
        <v>423</v>
      </c>
      <c r="E127" t="s">
        <v>424</v>
      </c>
      <c r="F127" t="s">
        <v>366</v>
      </c>
      <c r="Q127" s="5"/>
      <c r="U127" s="5" t="str">
        <f t="shared" ca="1" si="4"/>
        <v/>
      </c>
      <c r="V127" s="5" t="str">
        <f t="shared" ca="1" si="5"/>
        <v/>
      </c>
      <c r="AA127" s="5" t="s">
        <v>604</v>
      </c>
    </row>
    <row r="128" spans="1:33">
      <c r="A128" t="s">
        <v>237</v>
      </c>
      <c r="D128" s="3" t="s">
        <v>426</v>
      </c>
      <c r="E128" s="3" t="s">
        <v>427</v>
      </c>
      <c r="J128" s="5" t="s">
        <v>476</v>
      </c>
      <c r="L128" s="5">
        <v>1</v>
      </c>
      <c r="M128" s="5">
        <v>2</v>
      </c>
      <c r="N128" s="5" t="s">
        <v>527</v>
      </c>
      <c r="O128" s="5" t="s">
        <v>549</v>
      </c>
      <c r="S128" s="5">
        <v>903</v>
      </c>
      <c r="U128" s="5" t="str">
        <f t="shared" ref="U128:U188" ca="1" si="6">IF(ISNUMBER(T128),VALUE(MID(_xlfn.FORMULATEXT(T128),SEARCH("-",_xlfn.FORMULATEXT(T128))+1,LEN(_xlfn.FORMULATEXT(T128))-SEARCH("-",_xlfn.FORMULATEXT(T128)))), "")</f>
        <v/>
      </c>
      <c r="V128" s="5" t="str">
        <f t="shared" ref="V128:V188" ca="1" si="7">IF(ISNUMBER(T128), VALUE(MID(_xlfn.FORMULATEXT(T128), 2, SEARCH("-", _xlfn.FORMULATEXT(T128)) - 2)), "")</f>
        <v/>
      </c>
      <c r="AA128" s="5" t="s">
        <v>475</v>
      </c>
      <c r="AG128" t="s">
        <v>475</v>
      </c>
    </row>
    <row r="129" spans="1:33">
      <c r="A129" t="s">
        <v>238</v>
      </c>
      <c r="D129" s="3" t="s">
        <v>239</v>
      </c>
      <c r="E129" s="3" t="s">
        <v>240</v>
      </c>
      <c r="J129" s="5" t="s">
        <v>545</v>
      </c>
      <c r="T129" s="5" t="s">
        <v>562</v>
      </c>
      <c r="U129" s="5" t="str">
        <f t="shared" ca="1" si="6"/>
        <v/>
      </c>
      <c r="V129" s="5" t="str">
        <f t="shared" ca="1" si="7"/>
        <v/>
      </c>
      <c r="AA129" s="5" t="s">
        <v>475</v>
      </c>
      <c r="AE129" s="5" t="s">
        <v>508</v>
      </c>
    </row>
    <row r="130" spans="1:33">
      <c r="A130" t="s">
        <v>241</v>
      </c>
      <c r="D130" s="3" t="s">
        <v>428</v>
      </c>
      <c r="E130" s="3" t="s">
        <v>429</v>
      </c>
      <c r="I130" t="s">
        <v>728</v>
      </c>
      <c r="J130" s="5" t="s">
        <v>479</v>
      </c>
      <c r="L130" s="5">
        <v>1</v>
      </c>
      <c r="M130" s="5">
        <v>1</v>
      </c>
      <c r="N130" s="5" t="s">
        <v>509</v>
      </c>
      <c r="O130" s="5" t="s">
        <v>549</v>
      </c>
      <c r="S130" s="5">
        <v>19277</v>
      </c>
      <c r="U130" s="5" t="str">
        <f t="shared" ca="1" si="6"/>
        <v/>
      </c>
      <c r="V130" s="5" t="str">
        <f t="shared" ca="1" si="7"/>
        <v/>
      </c>
      <c r="W130" s="5" t="s">
        <v>559</v>
      </c>
      <c r="AA130" s="5" t="s">
        <v>475</v>
      </c>
      <c r="AG130" t="s">
        <v>475</v>
      </c>
    </row>
    <row r="131" spans="1:33">
      <c r="A131" t="s">
        <v>242</v>
      </c>
      <c r="D131" s="3" t="s">
        <v>243</v>
      </c>
      <c r="E131" s="3" t="s">
        <v>244</v>
      </c>
      <c r="J131" s="5" t="s">
        <v>545</v>
      </c>
      <c r="T131" s="5" t="s">
        <v>549</v>
      </c>
      <c r="U131" s="5" t="str">
        <f t="shared" ca="1" si="6"/>
        <v/>
      </c>
      <c r="V131" s="5" t="str">
        <f t="shared" ca="1" si="7"/>
        <v/>
      </c>
      <c r="AA131" s="5" t="s">
        <v>475</v>
      </c>
      <c r="AE131" s="5" t="s">
        <v>508</v>
      </c>
    </row>
    <row r="132" spans="1:33">
      <c r="A132" t="s">
        <v>242</v>
      </c>
      <c r="D132" s="3" t="s">
        <v>245</v>
      </c>
      <c r="E132" s="3" t="s">
        <v>246</v>
      </c>
      <c r="H132" t="s">
        <v>337</v>
      </c>
      <c r="J132" s="5" t="s">
        <v>546</v>
      </c>
      <c r="U132" s="5" t="str">
        <f t="shared" ca="1" si="6"/>
        <v/>
      </c>
      <c r="V132" s="5" t="str">
        <f t="shared" ca="1" si="7"/>
        <v/>
      </c>
      <c r="AA132" s="5" t="s">
        <v>475</v>
      </c>
      <c r="AE132" s="5" t="s">
        <v>514</v>
      </c>
    </row>
    <row r="133" spans="1:33">
      <c r="A133" t="s">
        <v>247</v>
      </c>
      <c r="D133" s="3" t="s">
        <v>430</v>
      </c>
      <c r="E133" s="3" t="s">
        <v>431</v>
      </c>
      <c r="J133" s="5" t="s">
        <v>479</v>
      </c>
      <c r="L133" s="5">
        <v>1</v>
      </c>
      <c r="M133" s="5">
        <v>2</v>
      </c>
      <c r="N133" s="5" t="s">
        <v>509</v>
      </c>
      <c r="O133" s="5" t="s">
        <v>549</v>
      </c>
      <c r="S133" s="5">
        <v>19277</v>
      </c>
      <c r="U133" s="5" t="str">
        <f t="shared" ca="1" si="6"/>
        <v/>
      </c>
      <c r="V133" s="5" t="str">
        <f t="shared" ca="1" si="7"/>
        <v/>
      </c>
      <c r="AA133" s="5" t="s">
        <v>475</v>
      </c>
      <c r="AG133" t="s">
        <v>475</v>
      </c>
    </row>
    <row r="134" spans="1:33">
      <c r="A134" t="s">
        <v>248</v>
      </c>
      <c r="D134" s="3" t="s">
        <v>249</v>
      </c>
      <c r="E134" s="3" t="s">
        <v>250</v>
      </c>
      <c r="J134" s="5" t="s">
        <v>546</v>
      </c>
      <c r="U134" s="5" t="str">
        <f t="shared" ca="1" si="6"/>
        <v/>
      </c>
      <c r="V134" s="5" t="str">
        <f t="shared" ca="1" si="7"/>
        <v/>
      </c>
      <c r="AA134" s="5" t="s">
        <v>475</v>
      </c>
      <c r="AE134" s="5" t="s">
        <v>508</v>
      </c>
    </row>
    <row r="135" spans="1:33">
      <c r="A135" t="s">
        <v>251</v>
      </c>
      <c r="D135" s="3" t="s">
        <v>253</v>
      </c>
      <c r="E135" s="3" t="s">
        <v>254</v>
      </c>
      <c r="J135" s="5" t="s">
        <v>545</v>
      </c>
      <c r="T135" s="5" t="s">
        <v>562</v>
      </c>
      <c r="U135" s="5" t="str">
        <f t="shared" ca="1" si="6"/>
        <v/>
      </c>
      <c r="V135" s="5" t="str">
        <f t="shared" ca="1" si="7"/>
        <v/>
      </c>
      <c r="AA135" s="5" t="s">
        <v>475</v>
      </c>
      <c r="AC135" s="5" t="s">
        <v>563</v>
      </c>
      <c r="AD135" s="5" t="s">
        <v>475</v>
      </c>
      <c r="AE135" s="5" t="s">
        <v>508</v>
      </c>
    </row>
    <row r="136" spans="1:33">
      <c r="A136" t="s">
        <v>255</v>
      </c>
      <c r="D136" s="3" t="s">
        <v>256</v>
      </c>
      <c r="E136" s="3" t="s">
        <v>257</v>
      </c>
      <c r="J136" s="5" t="s">
        <v>545</v>
      </c>
      <c r="T136" s="5" t="s">
        <v>562</v>
      </c>
      <c r="U136" s="5" t="str">
        <f t="shared" ca="1" si="6"/>
        <v/>
      </c>
      <c r="V136" s="5" t="str">
        <f t="shared" ca="1" si="7"/>
        <v/>
      </c>
      <c r="AA136" s="5" t="s">
        <v>475</v>
      </c>
      <c r="AE136" s="5" t="s">
        <v>517</v>
      </c>
      <c r="AG136" t="s">
        <v>481</v>
      </c>
    </row>
    <row r="137" spans="1:33">
      <c r="A137" t="s">
        <v>258</v>
      </c>
      <c r="D137" t="s">
        <v>432</v>
      </c>
      <c r="E137" t="s">
        <v>433</v>
      </c>
      <c r="F137" t="s">
        <v>366</v>
      </c>
      <c r="Q137" s="5"/>
      <c r="U137" s="5" t="str">
        <f t="shared" ca="1" si="6"/>
        <v/>
      </c>
      <c r="V137" s="5" t="str">
        <f t="shared" ca="1" si="7"/>
        <v/>
      </c>
      <c r="AA137" s="5" t="s">
        <v>604</v>
      </c>
    </row>
    <row r="138" spans="1:33" ht="43.5">
      <c r="A138" t="s">
        <v>259</v>
      </c>
      <c r="D138" s="3" t="s">
        <v>434</v>
      </c>
      <c r="E138" s="3" t="s">
        <v>724</v>
      </c>
      <c r="H138" t="s">
        <v>337</v>
      </c>
      <c r="I138" t="s">
        <v>612</v>
      </c>
      <c r="J138" s="5" t="s">
        <v>479</v>
      </c>
      <c r="L138" s="5">
        <v>7</v>
      </c>
      <c r="M138" s="5">
        <v>32</v>
      </c>
      <c r="O138" s="5" t="s">
        <v>504</v>
      </c>
      <c r="P138" s="5" t="s">
        <v>564</v>
      </c>
      <c r="Q138" s="7" t="s">
        <v>565</v>
      </c>
      <c r="S138" s="5">
        <v>6</v>
      </c>
      <c r="U138" s="5" t="str">
        <f t="shared" ca="1" si="6"/>
        <v/>
      </c>
      <c r="V138" s="5" t="str">
        <f t="shared" ca="1" si="7"/>
        <v/>
      </c>
      <c r="AA138" s="5" t="s">
        <v>475</v>
      </c>
      <c r="AG138" t="s">
        <v>481</v>
      </c>
    </row>
    <row r="139" spans="1:33">
      <c r="A139" t="s">
        <v>260</v>
      </c>
      <c r="D139" s="3" t="s">
        <v>435</v>
      </c>
      <c r="E139" s="3" t="s">
        <v>436</v>
      </c>
      <c r="J139" s="5" t="s">
        <v>479</v>
      </c>
      <c r="L139" s="5">
        <v>1</v>
      </c>
      <c r="M139" s="5">
        <v>2</v>
      </c>
      <c r="N139" s="5" t="s">
        <v>527</v>
      </c>
      <c r="O139" s="5" t="s">
        <v>549</v>
      </c>
      <c r="S139" s="5">
        <v>218</v>
      </c>
      <c r="U139" s="5" t="str">
        <f t="shared" ca="1" si="6"/>
        <v/>
      </c>
      <c r="V139" s="5" t="str">
        <f t="shared" ca="1" si="7"/>
        <v/>
      </c>
      <c r="AA139" s="5" t="s">
        <v>475</v>
      </c>
      <c r="AG139" t="s">
        <v>481</v>
      </c>
    </row>
    <row r="140" spans="1:33">
      <c r="A140" t="s">
        <v>261</v>
      </c>
      <c r="D140" s="3" t="s">
        <v>262</v>
      </c>
      <c r="E140" s="3" t="s">
        <v>437</v>
      </c>
      <c r="G140" t="s">
        <v>337</v>
      </c>
      <c r="J140" s="5" t="s">
        <v>545</v>
      </c>
      <c r="T140" s="5" t="s">
        <v>562</v>
      </c>
      <c r="U140" s="5" t="str">
        <f t="shared" ca="1" si="6"/>
        <v/>
      </c>
      <c r="V140" s="5" t="str">
        <f t="shared" ca="1" si="7"/>
        <v/>
      </c>
      <c r="AA140" s="5" t="s">
        <v>475</v>
      </c>
      <c r="AE140" s="5" t="s">
        <v>517</v>
      </c>
    </row>
    <row r="141" spans="1:33">
      <c r="A141" t="s">
        <v>263</v>
      </c>
      <c r="D141" s="3" t="s">
        <v>264</v>
      </c>
      <c r="E141" s="3" t="s">
        <v>265</v>
      </c>
      <c r="H141" t="s">
        <v>337</v>
      </c>
      <c r="J141" s="5" t="s">
        <v>545</v>
      </c>
      <c r="T141" s="5" t="s">
        <v>562</v>
      </c>
      <c r="U141" s="5" t="str">
        <f t="shared" ca="1" si="6"/>
        <v/>
      </c>
      <c r="V141" s="5" t="str">
        <f t="shared" ca="1" si="7"/>
        <v/>
      </c>
      <c r="AA141" s="5" t="s">
        <v>475</v>
      </c>
      <c r="AE141" s="5" t="s">
        <v>508</v>
      </c>
    </row>
    <row r="142" spans="1:33">
      <c r="A142" t="s">
        <v>266</v>
      </c>
      <c r="D142" s="3" t="s">
        <v>252</v>
      </c>
      <c r="E142" s="3" t="s">
        <v>179</v>
      </c>
      <c r="J142" s="5" t="s">
        <v>546</v>
      </c>
      <c r="U142" s="5" t="str">
        <f t="shared" ca="1" si="6"/>
        <v/>
      </c>
      <c r="V142" s="5" t="str">
        <f t="shared" ca="1" si="7"/>
        <v/>
      </c>
      <c r="AA142" s="5" t="s">
        <v>475</v>
      </c>
      <c r="AG142" t="s">
        <v>481</v>
      </c>
    </row>
    <row r="143" spans="1:33">
      <c r="A143" t="s">
        <v>267</v>
      </c>
      <c r="D143" s="3" t="s">
        <v>268</v>
      </c>
      <c r="E143" s="3" t="s">
        <v>269</v>
      </c>
      <c r="F143" t="s">
        <v>338</v>
      </c>
      <c r="H143" t="s">
        <v>337</v>
      </c>
      <c r="J143" s="5" t="s">
        <v>545</v>
      </c>
      <c r="T143" s="5" t="s">
        <v>549</v>
      </c>
      <c r="U143" s="5" t="str">
        <f t="shared" ca="1" si="6"/>
        <v/>
      </c>
      <c r="V143" s="5" t="str">
        <f t="shared" ca="1" si="7"/>
        <v/>
      </c>
      <c r="AA143" s="5" t="s">
        <v>475</v>
      </c>
      <c r="AE143" s="5" t="s">
        <v>508</v>
      </c>
    </row>
    <row r="144" spans="1:33">
      <c r="A144" t="s">
        <v>270</v>
      </c>
      <c r="D144" s="3" t="s">
        <v>271</v>
      </c>
      <c r="E144" s="3" t="s">
        <v>272</v>
      </c>
      <c r="F144" t="s">
        <v>367</v>
      </c>
      <c r="H144" t="s">
        <v>337</v>
      </c>
      <c r="J144" s="5" t="s">
        <v>545</v>
      </c>
      <c r="T144" s="5" t="s">
        <v>549</v>
      </c>
      <c r="U144" s="5" t="str">
        <f t="shared" ca="1" si="6"/>
        <v/>
      </c>
      <c r="V144" s="5" t="str">
        <f t="shared" ca="1" si="7"/>
        <v/>
      </c>
      <c r="AA144" s="5" t="s">
        <v>475</v>
      </c>
      <c r="AE144" s="5" t="s">
        <v>508</v>
      </c>
    </row>
    <row r="145" spans="1:33">
      <c r="A145" t="s">
        <v>273</v>
      </c>
      <c r="D145" s="3" t="s">
        <v>274</v>
      </c>
      <c r="E145" s="3" t="s">
        <v>275</v>
      </c>
      <c r="F145" t="s">
        <v>338</v>
      </c>
      <c r="J145" s="5" t="s">
        <v>545</v>
      </c>
      <c r="T145" s="5" t="s">
        <v>549</v>
      </c>
      <c r="U145" s="5" t="str">
        <f t="shared" ca="1" si="6"/>
        <v/>
      </c>
      <c r="V145" s="5" t="str">
        <f t="shared" ca="1" si="7"/>
        <v/>
      </c>
      <c r="AA145" s="5" t="s">
        <v>475</v>
      </c>
      <c r="AB145" s="5" t="s">
        <v>507</v>
      </c>
      <c r="AC145" s="5" t="s">
        <v>548</v>
      </c>
      <c r="AD145" s="5" t="s">
        <v>475</v>
      </c>
    </row>
    <row r="146" spans="1:33">
      <c r="A146" t="s">
        <v>276</v>
      </c>
      <c r="D146" s="3" t="s">
        <v>277</v>
      </c>
      <c r="E146" s="3" t="s">
        <v>438</v>
      </c>
      <c r="H146" t="s">
        <v>478</v>
      </c>
      <c r="J146" s="5" t="s">
        <v>545</v>
      </c>
      <c r="T146" s="5" t="s">
        <v>562</v>
      </c>
      <c r="U146" s="5" t="str">
        <f t="shared" ca="1" si="6"/>
        <v/>
      </c>
      <c r="V146" s="5" t="str">
        <f t="shared" ca="1" si="7"/>
        <v/>
      </c>
      <c r="AA146" s="5" t="s">
        <v>475</v>
      </c>
      <c r="AE146" s="5" t="s">
        <v>508</v>
      </c>
    </row>
    <row r="147" spans="1:33">
      <c r="A147" t="s">
        <v>278</v>
      </c>
      <c r="D147" s="3" t="s">
        <v>279</v>
      </c>
      <c r="E147" s="3" t="s">
        <v>439</v>
      </c>
      <c r="H147" t="s">
        <v>475</v>
      </c>
      <c r="J147" s="5" t="s">
        <v>546</v>
      </c>
      <c r="T147" s="5" t="s">
        <v>562</v>
      </c>
      <c r="U147" s="5" t="str">
        <f t="shared" ca="1" si="6"/>
        <v/>
      </c>
      <c r="V147" s="5" t="str">
        <f t="shared" ca="1" si="7"/>
        <v/>
      </c>
      <c r="AA147" s="5" t="s">
        <v>475</v>
      </c>
      <c r="AC147" s="5" t="s">
        <v>563</v>
      </c>
      <c r="AD147" s="5" t="s">
        <v>481</v>
      </c>
      <c r="AE147" s="5" t="s">
        <v>514</v>
      </c>
    </row>
    <row r="148" spans="1:33">
      <c r="A148" t="s">
        <v>278</v>
      </c>
      <c r="D148" s="3" t="s">
        <v>591</v>
      </c>
      <c r="E148" s="3" t="s">
        <v>592</v>
      </c>
      <c r="F148" t="s">
        <v>367</v>
      </c>
      <c r="J148" s="5" t="s">
        <v>546</v>
      </c>
      <c r="U148" s="5" t="str">
        <f t="shared" ca="1" si="6"/>
        <v/>
      </c>
      <c r="V148" s="5" t="str">
        <f t="shared" ca="1" si="7"/>
        <v/>
      </c>
      <c r="AA148" s="5" t="s">
        <v>475</v>
      </c>
      <c r="AG148" t="s">
        <v>475</v>
      </c>
    </row>
    <row r="149" spans="1:33" ht="29">
      <c r="A149" t="s">
        <v>280</v>
      </c>
      <c r="D149" s="3" t="s">
        <v>440</v>
      </c>
      <c r="E149" s="3" t="s">
        <v>441</v>
      </c>
      <c r="I149" t="s">
        <v>623</v>
      </c>
      <c r="J149" s="5" t="s">
        <v>479</v>
      </c>
      <c r="L149" s="5">
        <v>5</v>
      </c>
      <c r="M149" s="5">
        <v>15</v>
      </c>
      <c r="O149" s="5" t="s">
        <v>504</v>
      </c>
      <c r="P149" s="5" t="s">
        <v>564</v>
      </c>
      <c r="Q149" s="7" t="s">
        <v>593</v>
      </c>
      <c r="S149" s="5">
        <v>418</v>
      </c>
      <c r="U149" s="5" t="str">
        <f t="shared" ca="1" si="6"/>
        <v/>
      </c>
      <c r="V149" s="5" t="str">
        <f t="shared" ca="1" si="7"/>
        <v/>
      </c>
      <c r="AA149" s="5" t="s">
        <v>475</v>
      </c>
      <c r="AG149" t="s">
        <v>481</v>
      </c>
    </row>
    <row r="150" spans="1:33">
      <c r="A150" t="s">
        <v>281</v>
      </c>
      <c r="D150" s="3" t="s">
        <v>65</v>
      </c>
      <c r="E150" s="3" t="s">
        <v>16</v>
      </c>
      <c r="J150" s="5" t="s">
        <v>546</v>
      </c>
      <c r="U150" s="5" t="str">
        <f t="shared" ca="1" si="6"/>
        <v/>
      </c>
      <c r="V150" s="5" t="str">
        <f t="shared" ca="1" si="7"/>
        <v/>
      </c>
      <c r="AA150" s="5" t="s">
        <v>475</v>
      </c>
      <c r="AE150" s="5" t="s">
        <v>514</v>
      </c>
    </row>
    <row r="151" spans="1:33">
      <c r="A151" t="s">
        <v>281</v>
      </c>
      <c r="D151" s="3" t="s">
        <v>442</v>
      </c>
      <c r="E151" s="3" t="s">
        <v>443</v>
      </c>
      <c r="G151" t="s">
        <v>477</v>
      </c>
      <c r="I151" t="s">
        <v>624</v>
      </c>
      <c r="J151" s="5" t="s">
        <v>545</v>
      </c>
      <c r="T151" s="5">
        <f>34-1842</f>
        <v>-1808</v>
      </c>
      <c r="U151" s="5">
        <f t="shared" ca="1" si="6"/>
        <v>1842</v>
      </c>
      <c r="V151" s="5">
        <f t="shared" ca="1" si="7"/>
        <v>34</v>
      </c>
      <c r="Z151" s="5" t="s">
        <v>512</v>
      </c>
      <c r="AA151" s="5" t="s">
        <v>475</v>
      </c>
    </row>
    <row r="152" spans="1:33">
      <c r="A152" t="s">
        <v>282</v>
      </c>
      <c r="D152" s="3" t="s">
        <v>283</v>
      </c>
      <c r="E152" s="3" t="s">
        <v>284</v>
      </c>
      <c r="J152" s="5" t="s">
        <v>546</v>
      </c>
      <c r="U152" s="5" t="str">
        <f t="shared" ca="1" si="6"/>
        <v/>
      </c>
      <c r="V152" s="5" t="str">
        <f t="shared" ca="1" si="7"/>
        <v/>
      </c>
      <c r="AA152" s="5" t="s">
        <v>475</v>
      </c>
      <c r="AE152" s="5" t="s">
        <v>517</v>
      </c>
    </row>
    <row r="153" spans="1:33">
      <c r="A153" t="s">
        <v>285</v>
      </c>
      <c r="D153" s="3" t="s">
        <v>286</v>
      </c>
      <c r="E153" s="3" t="s">
        <v>287</v>
      </c>
      <c r="J153" s="5" t="s">
        <v>545</v>
      </c>
      <c r="T153" s="5" t="s">
        <v>549</v>
      </c>
      <c r="U153" s="5" t="str">
        <f t="shared" ca="1" si="6"/>
        <v/>
      </c>
      <c r="V153" s="5" t="str">
        <f t="shared" ca="1" si="7"/>
        <v/>
      </c>
      <c r="AA153" s="5" t="s">
        <v>475</v>
      </c>
      <c r="AE153" s="5" t="s">
        <v>508</v>
      </c>
    </row>
    <row r="154" spans="1:33">
      <c r="A154" t="s">
        <v>288</v>
      </c>
      <c r="D154" s="3" t="s">
        <v>444</v>
      </c>
      <c r="E154" s="3" t="s">
        <v>445</v>
      </c>
      <c r="J154" s="5" t="s">
        <v>545</v>
      </c>
      <c r="T154" s="5">
        <f>903-2215</f>
        <v>-1312</v>
      </c>
      <c r="U154" s="5">
        <f t="shared" ca="1" si="6"/>
        <v>2215</v>
      </c>
      <c r="V154" s="5">
        <f t="shared" ca="1" si="7"/>
        <v>903</v>
      </c>
      <c r="Z154" s="5" t="s">
        <v>512</v>
      </c>
      <c r="AA154" s="5" t="s">
        <v>475</v>
      </c>
      <c r="AG154" t="s">
        <v>475</v>
      </c>
    </row>
    <row r="155" spans="1:33">
      <c r="A155" t="s">
        <v>289</v>
      </c>
      <c r="D155" s="3" t="s">
        <v>290</v>
      </c>
      <c r="E155" s="3" t="s">
        <v>446</v>
      </c>
      <c r="J155" s="5" t="s">
        <v>545</v>
      </c>
      <c r="T155" s="5" t="s">
        <v>562</v>
      </c>
      <c r="U155" s="5" t="str">
        <f t="shared" ca="1" si="6"/>
        <v/>
      </c>
      <c r="V155" s="5" t="str">
        <f t="shared" ca="1" si="7"/>
        <v/>
      </c>
      <c r="AA155" s="5" t="s">
        <v>475</v>
      </c>
      <c r="AC155" s="5" t="s">
        <v>548</v>
      </c>
      <c r="AD155" s="5" t="s">
        <v>475</v>
      </c>
    </row>
    <row r="156" spans="1:33">
      <c r="A156" t="s">
        <v>289</v>
      </c>
      <c r="D156" s="3" t="s">
        <v>291</v>
      </c>
      <c r="E156" s="3" t="s">
        <v>292</v>
      </c>
      <c r="J156" s="5" t="s">
        <v>545</v>
      </c>
      <c r="T156" s="5" t="s">
        <v>562</v>
      </c>
      <c r="U156" s="5" t="str">
        <f t="shared" ca="1" si="6"/>
        <v/>
      </c>
      <c r="V156" s="5" t="str">
        <f t="shared" ca="1" si="7"/>
        <v/>
      </c>
      <c r="AA156" s="5" t="s">
        <v>475</v>
      </c>
      <c r="AC156" s="5" t="s">
        <v>548</v>
      </c>
      <c r="AD156" s="5" t="s">
        <v>475</v>
      </c>
    </row>
    <row r="157" spans="1:33">
      <c r="A157" t="s">
        <v>289</v>
      </c>
      <c r="D157" s="3" t="s">
        <v>594</v>
      </c>
      <c r="E157" s="3" t="s">
        <v>293</v>
      </c>
      <c r="F157" t="s">
        <v>571</v>
      </c>
      <c r="I157" t="s">
        <v>595</v>
      </c>
      <c r="U157" s="5" t="str">
        <f t="shared" ca="1" si="6"/>
        <v/>
      </c>
      <c r="V157" s="5" t="str">
        <f t="shared" ca="1" si="7"/>
        <v/>
      </c>
      <c r="AA157" s="5" t="s">
        <v>475</v>
      </c>
    </row>
    <row r="158" spans="1:33">
      <c r="A158" t="s">
        <v>294</v>
      </c>
      <c r="D158" s="3" t="s">
        <v>295</v>
      </c>
      <c r="E158" s="3" t="s">
        <v>296</v>
      </c>
      <c r="G158" t="s">
        <v>337</v>
      </c>
      <c r="J158" s="5" t="s">
        <v>546</v>
      </c>
      <c r="U158" s="5" t="str">
        <f t="shared" ca="1" si="6"/>
        <v/>
      </c>
      <c r="V158" s="5" t="str">
        <f t="shared" ca="1" si="7"/>
        <v/>
      </c>
      <c r="AA158" s="5" t="s">
        <v>475</v>
      </c>
      <c r="AC158" s="5" t="s">
        <v>548</v>
      </c>
      <c r="AD158" s="5" t="s">
        <v>475</v>
      </c>
    </row>
    <row r="159" spans="1:33">
      <c r="A159" t="s">
        <v>297</v>
      </c>
      <c r="D159" s="3" t="s">
        <v>298</v>
      </c>
      <c r="E159" s="3" t="s">
        <v>290</v>
      </c>
      <c r="J159" s="5" t="s">
        <v>545</v>
      </c>
      <c r="T159" s="5" t="s">
        <v>562</v>
      </c>
      <c r="U159" s="5" t="str">
        <f t="shared" ca="1" si="6"/>
        <v/>
      </c>
      <c r="V159" s="5" t="str">
        <f t="shared" ca="1" si="7"/>
        <v/>
      </c>
      <c r="AA159" s="5" t="s">
        <v>475</v>
      </c>
      <c r="AC159" s="5" t="s">
        <v>629</v>
      </c>
      <c r="AD159" s="5" t="s">
        <v>475</v>
      </c>
      <c r="AE159" s="5" t="s">
        <v>517</v>
      </c>
    </row>
    <row r="160" spans="1:33">
      <c r="A160" t="s">
        <v>299</v>
      </c>
      <c r="D160" s="3" t="s">
        <v>218</v>
      </c>
      <c r="E160" s="3" t="s">
        <v>447</v>
      </c>
      <c r="G160" t="s">
        <v>337</v>
      </c>
      <c r="J160" s="5" t="s">
        <v>545</v>
      </c>
      <c r="T160" s="5" t="s">
        <v>549</v>
      </c>
      <c r="U160" s="5" t="str">
        <f t="shared" ca="1" si="6"/>
        <v/>
      </c>
      <c r="V160" s="5" t="str">
        <f t="shared" ca="1" si="7"/>
        <v/>
      </c>
      <c r="AA160" s="5" t="s">
        <v>475</v>
      </c>
    </row>
    <row r="161" spans="1:34">
      <c r="A161" t="s">
        <v>299</v>
      </c>
      <c r="D161" s="3" t="s">
        <v>300</v>
      </c>
      <c r="E161" s="3" t="s">
        <v>448</v>
      </c>
      <c r="I161" t="s">
        <v>596</v>
      </c>
      <c r="J161" s="5" t="s">
        <v>545</v>
      </c>
      <c r="T161" s="5">
        <f>0-0</f>
        <v>0</v>
      </c>
      <c r="U161" s="5">
        <f t="shared" ca="1" si="6"/>
        <v>0</v>
      </c>
      <c r="V161" s="5">
        <f t="shared" ca="1" si="7"/>
        <v>0</v>
      </c>
      <c r="AA161" s="5" t="s">
        <v>475</v>
      </c>
      <c r="AG161" t="s">
        <v>481</v>
      </c>
    </row>
    <row r="162" spans="1:34">
      <c r="A162" t="s">
        <v>301</v>
      </c>
      <c r="D162" s="3" t="s">
        <v>302</v>
      </c>
      <c r="E162" s="3" t="s">
        <v>303</v>
      </c>
      <c r="J162" s="5" t="s">
        <v>545</v>
      </c>
      <c r="T162" s="5" t="s">
        <v>562</v>
      </c>
      <c r="U162" s="5" t="str">
        <f t="shared" ca="1" si="6"/>
        <v/>
      </c>
      <c r="V162" s="5" t="str">
        <f t="shared" ca="1" si="7"/>
        <v/>
      </c>
      <c r="AA162" s="5" t="s">
        <v>475</v>
      </c>
      <c r="AE162" s="5" t="s">
        <v>508</v>
      </c>
    </row>
    <row r="163" spans="1:34">
      <c r="A163" t="s">
        <v>304</v>
      </c>
      <c r="D163" s="3" t="s">
        <v>305</v>
      </c>
      <c r="E163" s="3" t="s">
        <v>449</v>
      </c>
      <c r="G163" t="s">
        <v>337</v>
      </c>
      <c r="J163" s="5" t="s">
        <v>545</v>
      </c>
      <c r="T163" s="5" t="s">
        <v>562</v>
      </c>
      <c r="U163" s="5" t="str">
        <f t="shared" ca="1" si="6"/>
        <v/>
      </c>
      <c r="V163" s="5" t="str">
        <f t="shared" ca="1" si="7"/>
        <v/>
      </c>
      <c r="AA163" s="5" t="s">
        <v>475</v>
      </c>
      <c r="AC163" s="5" t="s">
        <v>629</v>
      </c>
      <c r="AD163" s="5" t="s">
        <v>475</v>
      </c>
    </row>
    <row r="164" spans="1:34">
      <c r="A164" t="s">
        <v>306</v>
      </c>
      <c r="D164" s="3" t="s">
        <v>307</v>
      </c>
      <c r="E164" s="3" t="s">
        <v>308</v>
      </c>
      <c r="J164" s="5" t="s">
        <v>546</v>
      </c>
      <c r="U164" s="5" t="str">
        <f t="shared" ca="1" si="6"/>
        <v/>
      </c>
      <c r="V164" s="5" t="str">
        <f t="shared" ca="1" si="7"/>
        <v/>
      </c>
      <c r="AA164" s="5" t="s">
        <v>475</v>
      </c>
      <c r="AE164" s="5" t="s">
        <v>514</v>
      </c>
    </row>
    <row r="165" spans="1:34">
      <c r="A165" t="s">
        <v>309</v>
      </c>
      <c r="D165" s="3" t="s">
        <v>310</v>
      </c>
      <c r="E165" s="3" t="s">
        <v>97</v>
      </c>
      <c r="J165" s="5" t="s">
        <v>546</v>
      </c>
      <c r="U165" s="5" t="str">
        <f t="shared" ca="1" si="6"/>
        <v/>
      </c>
      <c r="V165" s="5" t="str">
        <f t="shared" ca="1" si="7"/>
        <v/>
      </c>
      <c r="AA165" s="5" t="s">
        <v>475</v>
      </c>
      <c r="AG165" t="s">
        <v>481</v>
      </c>
      <c r="AH165" t="s">
        <v>638</v>
      </c>
    </row>
    <row r="166" spans="1:34">
      <c r="A166" t="s">
        <v>309</v>
      </c>
      <c r="D166" s="3" t="s">
        <v>597</v>
      </c>
      <c r="E166" s="3" t="s">
        <v>598</v>
      </c>
      <c r="J166" s="5" t="s">
        <v>545</v>
      </c>
      <c r="T166" s="5" t="s">
        <v>562</v>
      </c>
      <c r="U166" s="5" t="str">
        <f t="shared" ca="1" si="6"/>
        <v/>
      </c>
      <c r="V166" s="5" t="str">
        <f t="shared" ca="1" si="7"/>
        <v/>
      </c>
      <c r="AA166" s="5" t="s">
        <v>475</v>
      </c>
      <c r="AC166" s="5" t="s">
        <v>548</v>
      </c>
      <c r="AD166" s="5" t="s">
        <v>475</v>
      </c>
    </row>
    <row r="167" spans="1:34">
      <c r="A167" t="s">
        <v>309</v>
      </c>
      <c r="D167" s="3" t="s">
        <v>600</v>
      </c>
      <c r="E167" s="3" t="s">
        <v>599</v>
      </c>
      <c r="I167" t="s">
        <v>625</v>
      </c>
      <c r="J167" s="5" t="s">
        <v>545</v>
      </c>
      <c r="T167" s="5">
        <f>42-240</f>
        <v>-198</v>
      </c>
      <c r="U167" s="5">
        <f t="shared" ca="1" si="6"/>
        <v>240</v>
      </c>
      <c r="V167" s="5">
        <f t="shared" ca="1" si="7"/>
        <v>42</v>
      </c>
      <c r="W167" s="5" t="s">
        <v>559</v>
      </c>
      <c r="AA167" s="5" t="s">
        <v>475</v>
      </c>
      <c r="AG167" t="s">
        <v>481</v>
      </c>
    </row>
    <row r="168" spans="1:34">
      <c r="A168" t="s">
        <v>313</v>
      </c>
      <c r="D168" s="3" t="s">
        <v>148</v>
      </c>
      <c r="E168" s="3" t="s">
        <v>149</v>
      </c>
      <c r="J168" s="5" t="s">
        <v>545</v>
      </c>
      <c r="T168" s="5" t="s">
        <v>549</v>
      </c>
      <c r="U168" s="5" t="str">
        <f t="shared" ca="1" si="6"/>
        <v/>
      </c>
      <c r="V168" s="5" t="str">
        <f t="shared" ca="1" si="7"/>
        <v/>
      </c>
      <c r="AA168" s="5" t="s">
        <v>475</v>
      </c>
      <c r="AE168" s="5" t="s">
        <v>508</v>
      </c>
    </row>
    <row r="169" spans="1:34" ht="43.5">
      <c r="A169" t="s">
        <v>313</v>
      </c>
      <c r="D169" s="3" t="s">
        <v>450</v>
      </c>
      <c r="E169" s="3" t="s">
        <v>451</v>
      </c>
      <c r="I169" t="s">
        <v>626</v>
      </c>
      <c r="J169" s="5" t="s">
        <v>479</v>
      </c>
      <c r="L169" s="5">
        <v>4</v>
      </c>
      <c r="M169" s="5">
        <v>17</v>
      </c>
      <c r="O169" s="5" t="s">
        <v>504</v>
      </c>
      <c r="P169" s="5" t="s">
        <v>574</v>
      </c>
      <c r="Q169" s="7" t="s">
        <v>601</v>
      </c>
      <c r="S169" s="5">
        <v>43</v>
      </c>
      <c r="U169" s="5" t="str">
        <f t="shared" ca="1" si="6"/>
        <v/>
      </c>
      <c r="V169" s="5" t="str">
        <f t="shared" ca="1" si="7"/>
        <v/>
      </c>
      <c r="W169" s="5" t="s">
        <v>559</v>
      </c>
      <c r="AA169" s="5" t="s">
        <v>475</v>
      </c>
      <c r="AG169" t="s">
        <v>475</v>
      </c>
      <c r="AH169" t="s">
        <v>639</v>
      </c>
    </row>
    <row r="170" spans="1:34" ht="43.5">
      <c r="A170" t="s">
        <v>314</v>
      </c>
      <c r="D170" s="3" t="s">
        <v>453</v>
      </c>
      <c r="E170" s="3" t="s">
        <v>454</v>
      </c>
      <c r="I170" t="s">
        <v>627</v>
      </c>
      <c r="J170" s="5" t="s">
        <v>479</v>
      </c>
      <c r="L170" s="5">
        <v>4</v>
      </c>
      <c r="M170" s="5">
        <v>15</v>
      </c>
      <c r="O170" s="5" t="s">
        <v>504</v>
      </c>
      <c r="P170" s="5" t="s">
        <v>564</v>
      </c>
      <c r="Q170" s="7" t="s">
        <v>602</v>
      </c>
      <c r="S170" s="5">
        <v>43</v>
      </c>
      <c r="U170" s="5" t="str">
        <f t="shared" ca="1" si="6"/>
        <v/>
      </c>
      <c r="V170" s="5" t="str">
        <f t="shared" ca="1" si="7"/>
        <v/>
      </c>
      <c r="W170" s="5" t="s">
        <v>559</v>
      </c>
      <c r="AA170" s="5" t="s">
        <v>475</v>
      </c>
      <c r="AG170" t="s">
        <v>481</v>
      </c>
      <c r="AH170" t="s">
        <v>642</v>
      </c>
    </row>
    <row r="171" spans="1:34">
      <c r="A171" t="s">
        <v>314</v>
      </c>
      <c r="D171" s="3" t="s">
        <v>455</v>
      </c>
      <c r="E171" s="3" t="s">
        <v>452</v>
      </c>
      <c r="J171" s="5" t="s">
        <v>545</v>
      </c>
      <c r="T171" s="5">
        <f>19277-0</f>
        <v>19277</v>
      </c>
      <c r="U171" s="5">
        <f t="shared" ca="1" si="6"/>
        <v>0</v>
      </c>
      <c r="V171" s="5">
        <f t="shared" ca="1" si="7"/>
        <v>19277</v>
      </c>
      <c r="AA171" s="5" t="s">
        <v>475</v>
      </c>
      <c r="AE171" s="5" t="s">
        <v>520</v>
      </c>
    </row>
    <row r="172" spans="1:34">
      <c r="A172" t="s">
        <v>315</v>
      </c>
      <c r="D172" s="3" t="s">
        <v>316</v>
      </c>
      <c r="E172" s="3" t="s">
        <v>317</v>
      </c>
      <c r="J172" s="5" t="s">
        <v>545</v>
      </c>
      <c r="T172" s="5" t="s">
        <v>562</v>
      </c>
      <c r="U172" s="5" t="str">
        <f t="shared" ca="1" si="6"/>
        <v/>
      </c>
      <c r="V172" s="5" t="str">
        <f t="shared" ca="1" si="7"/>
        <v/>
      </c>
      <c r="AA172" s="5" t="s">
        <v>475</v>
      </c>
      <c r="AC172" s="5" t="s">
        <v>548</v>
      </c>
      <c r="AD172" s="5" t="s">
        <v>475</v>
      </c>
    </row>
    <row r="173" spans="1:34">
      <c r="A173" t="s">
        <v>318</v>
      </c>
      <c r="D173" s="3" t="s">
        <v>319</v>
      </c>
      <c r="E173" s="3" t="s">
        <v>456</v>
      </c>
      <c r="F173" t="s">
        <v>493</v>
      </c>
      <c r="I173" t="s">
        <v>603</v>
      </c>
      <c r="U173" s="5" t="str">
        <f t="shared" ca="1" si="6"/>
        <v/>
      </c>
      <c r="V173" s="5" t="str">
        <f t="shared" ca="1" si="7"/>
        <v/>
      </c>
      <c r="AA173" s="5" t="s">
        <v>475</v>
      </c>
    </row>
    <row r="174" spans="1:34">
      <c r="A174" t="s">
        <v>321</v>
      </c>
      <c r="D174" s="3" t="s">
        <v>725</v>
      </c>
      <c r="E174" s="3" t="s">
        <v>322</v>
      </c>
      <c r="F174" t="s">
        <v>493</v>
      </c>
      <c r="U174" s="5" t="str">
        <f t="shared" ca="1" si="6"/>
        <v/>
      </c>
      <c r="V174" s="5" t="str">
        <f t="shared" ca="1" si="7"/>
        <v/>
      </c>
      <c r="AA174" s="5" t="s">
        <v>475</v>
      </c>
    </row>
    <row r="175" spans="1:34">
      <c r="A175" t="s">
        <v>321</v>
      </c>
      <c r="D175" t="s">
        <v>323</v>
      </c>
      <c r="E175" t="s">
        <v>324</v>
      </c>
      <c r="F175" t="s">
        <v>367</v>
      </c>
      <c r="Q175" s="5"/>
      <c r="U175" s="5" t="str">
        <f t="shared" ca="1" si="6"/>
        <v/>
      </c>
      <c r="V175" s="5" t="str">
        <f t="shared" ca="1" si="7"/>
        <v/>
      </c>
      <c r="AA175" s="5" t="s">
        <v>604</v>
      </c>
    </row>
    <row r="176" spans="1:34">
      <c r="A176" t="s">
        <v>325</v>
      </c>
      <c r="D176" s="3" t="s">
        <v>457</v>
      </c>
      <c r="E176" s="3" t="s">
        <v>458</v>
      </c>
      <c r="I176" t="s">
        <v>729</v>
      </c>
      <c r="J176" s="5" t="s">
        <v>479</v>
      </c>
      <c r="L176" s="5">
        <v>1</v>
      </c>
      <c r="M176" s="5">
        <v>2</v>
      </c>
      <c r="N176" s="5" t="s">
        <v>509</v>
      </c>
      <c r="O176" s="5" t="s">
        <v>549</v>
      </c>
      <c r="S176" s="5">
        <v>19277</v>
      </c>
      <c r="U176" s="5" t="str">
        <f t="shared" ca="1" si="6"/>
        <v/>
      </c>
      <c r="V176" s="5" t="str">
        <f t="shared" ca="1" si="7"/>
        <v/>
      </c>
      <c r="W176" s="5" t="s">
        <v>559</v>
      </c>
      <c r="AA176" s="5" t="s">
        <v>475</v>
      </c>
      <c r="AF176" s="5" t="s">
        <v>475</v>
      </c>
      <c r="AG176" t="s">
        <v>475</v>
      </c>
    </row>
    <row r="177" spans="1:35">
      <c r="A177" t="s">
        <v>325</v>
      </c>
      <c r="D177" s="3" t="s">
        <v>459</v>
      </c>
      <c r="E177" s="3" t="s">
        <v>460</v>
      </c>
      <c r="I177" t="s">
        <v>730</v>
      </c>
      <c r="J177" s="5" t="s">
        <v>476</v>
      </c>
      <c r="L177" s="5">
        <v>1</v>
      </c>
      <c r="M177" s="5">
        <v>1</v>
      </c>
      <c r="N177" s="5" t="s">
        <v>503</v>
      </c>
      <c r="O177" s="5" t="s">
        <v>549</v>
      </c>
      <c r="R177" s="5" t="s">
        <v>505</v>
      </c>
      <c r="S177" s="5">
        <v>370</v>
      </c>
      <c r="U177" s="5" t="str">
        <f t="shared" ca="1" si="6"/>
        <v/>
      </c>
      <c r="V177" s="5" t="str">
        <f t="shared" ca="1" si="7"/>
        <v/>
      </c>
      <c r="W177" s="5" t="s">
        <v>559</v>
      </c>
      <c r="AA177" s="5" t="s">
        <v>475</v>
      </c>
      <c r="AG177" t="s">
        <v>481</v>
      </c>
    </row>
    <row r="178" spans="1:35">
      <c r="A178" t="s">
        <v>325</v>
      </c>
      <c r="D178" s="3" t="s">
        <v>461</v>
      </c>
      <c r="E178" s="3" t="s">
        <v>462</v>
      </c>
      <c r="I178" t="s">
        <v>731</v>
      </c>
      <c r="J178" s="5" t="s">
        <v>545</v>
      </c>
      <c r="R178" s="5" t="s">
        <v>511</v>
      </c>
      <c r="T178" s="5">
        <f>77-47</f>
        <v>30</v>
      </c>
      <c r="U178" s="5">
        <f t="shared" ca="1" si="6"/>
        <v>47</v>
      </c>
      <c r="V178" s="5">
        <f t="shared" ca="1" si="7"/>
        <v>77</v>
      </c>
      <c r="W178" s="5" t="s">
        <v>559</v>
      </c>
      <c r="AA178" s="5" t="s">
        <v>475</v>
      </c>
      <c r="AG178" t="s">
        <v>481</v>
      </c>
    </row>
    <row r="179" spans="1:35" ht="29">
      <c r="A179" t="s">
        <v>326</v>
      </c>
      <c r="D179" s="3" t="s">
        <v>463</v>
      </c>
      <c r="E179" s="3" t="s">
        <v>464</v>
      </c>
      <c r="I179" t="s">
        <v>732</v>
      </c>
      <c r="J179" s="5" t="s">
        <v>479</v>
      </c>
      <c r="L179" s="5">
        <v>3</v>
      </c>
      <c r="M179" s="5">
        <v>14</v>
      </c>
      <c r="O179" s="5" t="s">
        <v>504</v>
      </c>
      <c r="P179" s="5" t="s">
        <v>574</v>
      </c>
      <c r="Q179" s="7" t="s">
        <v>613</v>
      </c>
      <c r="S179" s="5">
        <v>119</v>
      </c>
      <c r="U179" s="5" t="str">
        <f t="shared" ca="1" si="6"/>
        <v/>
      </c>
      <c r="V179" s="5" t="str">
        <f t="shared" ca="1" si="7"/>
        <v/>
      </c>
      <c r="W179" s="5" t="s">
        <v>559</v>
      </c>
      <c r="AA179" s="5" t="s">
        <v>475</v>
      </c>
      <c r="AF179" s="5" t="s">
        <v>475</v>
      </c>
      <c r="AG179" t="s">
        <v>481</v>
      </c>
      <c r="AH179" t="s">
        <v>640</v>
      </c>
    </row>
    <row r="180" spans="1:35">
      <c r="A180" t="s">
        <v>326</v>
      </c>
      <c r="D180" s="3" t="s">
        <v>327</v>
      </c>
      <c r="E180" s="3" t="s">
        <v>324</v>
      </c>
      <c r="J180" s="5" t="s">
        <v>545</v>
      </c>
      <c r="T180" s="5" t="s">
        <v>562</v>
      </c>
      <c r="U180" s="5" t="str">
        <f t="shared" ca="1" si="6"/>
        <v/>
      </c>
      <c r="V180" s="5" t="str">
        <f t="shared" ca="1" si="7"/>
        <v/>
      </c>
      <c r="AA180" s="5" t="s">
        <v>475</v>
      </c>
      <c r="AE180" s="5" t="s">
        <v>517</v>
      </c>
      <c r="AG180" t="s">
        <v>481</v>
      </c>
    </row>
    <row r="181" spans="1:35">
      <c r="A181" t="s">
        <v>328</v>
      </c>
      <c r="D181" s="3" t="s">
        <v>465</v>
      </c>
      <c r="E181" s="3" t="s">
        <v>466</v>
      </c>
      <c r="F181" t="s">
        <v>493</v>
      </c>
      <c r="I181" t="s">
        <v>733</v>
      </c>
      <c r="J181" s="5" t="s">
        <v>545</v>
      </c>
      <c r="T181" s="5" t="s">
        <v>562</v>
      </c>
      <c r="U181" s="5" t="str">
        <f t="shared" ca="1" si="6"/>
        <v/>
      </c>
      <c r="V181" s="5" t="str">
        <f t="shared" ca="1" si="7"/>
        <v/>
      </c>
      <c r="W181" s="5" t="s">
        <v>559</v>
      </c>
      <c r="AA181" s="5" t="s">
        <v>475</v>
      </c>
      <c r="AC181" s="5" t="s">
        <v>550</v>
      </c>
      <c r="AD181" s="5" t="s">
        <v>481</v>
      </c>
      <c r="AG181" t="s">
        <v>481</v>
      </c>
    </row>
    <row r="182" spans="1:35">
      <c r="A182" t="s">
        <v>329</v>
      </c>
      <c r="D182" s="3" t="s">
        <v>330</v>
      </c>
      <c r="E182" s="3" t="s">
        <v>316</v>
      </c>
      <c r="J182" s="5" t="s">
        <v>545</v>
      </c>
      <c r="T182" s="5" t="s">
        <v>549</v>
      </c>
      <c r="U182" s="5" t="str">
        <f t="shared" ca="1" si="6"/>
        <v/>
      </c>
      <c r="V182" s="5" t="str">
        <f t="shared" ca="1" si="7"/>
        <v/>
      </c>
      <c r="AA182" s="5" t="s">
        <v>475</v>
      </c>
      <c r="AC182" s="5" t="s">
        <v>629</v>
      </c>
      <c r="AD182" s="5" t="s">
        <v>475</v>
      </c>
      <c r="AE182" s="5" t="s">
        <v>508</v>
      </c>
    </row>
    <row r="183" spans="1:35">
      <c r="A183" t="s">
        <v>331</v>
      </c>
      <c r="D183" s="3" t="s">
        <v>469</v>
      </c>
      <c r="E183" s="3" t="s">
        <v>467</v>
      </c>
      <c r="I183" t="s">
        <v>734</v>
      </c>
      <c r="J183" s="5" t="s">
        <v>479</v>
      </c>
      <c r="L183" s="5">
        <v>1</v>
      </c>
      <c r="M183" s="5">
        <v>2</v>
      </c>
      <c r="N183" s="5" t="s">
        <v>509</v>
      </c>
      <c r="O183" s="5" t="s">
        <v>549</v>
      </c>
      <c r="R183" s="5" t="s">
        <v>511</v>
      </c>
      <c r="S183" s="5">
        <v>19277</v>
      </c>
      <c r="U183" s="5" t="str">
        <f t="shared" ca="1" si="6"/>
        <v/>
      </c>
      <c r="V183" s="5" t="str">
        <f t="shared" ca="1" si="7"/>
        <v/>
      </c>
      <c r="W183" s="5" t="s">
        <v>559</v>
      </c>
      <c r="AA183" s="5" t="s">
        <v>475</v>
      </c>
      <c r="AG183" t="s">
        <v>475</v>
      </c>
    </row>
    <row r="184" spans="1:35">
      <c r="A184" t="s">
        <v>331</v>
      </c>
      <c r="D184" s="3" t="s">
        <v>470</v>
      </c>
      <c r="E184" s="3" t="s">
        <v>471</v>
      </c>
      <c r="I184" t="s">
        <v>468</v>
      </c>
      <c r="J184" s="5" t="s">
        <v>545</v>
      </c>
      <c r="R184" s="5" t="s">
        <v>511</v>
      </c>
      <c r="T184" s="5">
        <f>12-44</f>
        <v>-32</v>
      </c>
      <c r="U184" s="5">
        <f t="shared" ca="1" si="6"/>
        <v>44</v>
      </c>
      <c r="V184" s="5">
        <f t="shared" ca="1" si="7"/>
        <v>12</v>
      </c>
      <c r="AA184" s="5" t="s">
        <v>475</v>
      </c>
      <c r="AG184" t="s">
        <v>481</v>
      </c>
    </row>
    <row r="185" spans="1:35">
      <c r="A185" t="s">
        <v>331</v>
      </c>
      <c r="D185" s="3" t="s">
        <v>320</v>
      </c>
      <c r="E185" s="3" t="s">
        <v>332</v>
      </c>
      <c r="J185" s="5" t="s">
        <v>545</v>
      </c>
      <c r="T185" s="5" t="s">
        <v>562</v>
      </c>
      <c r="U185" s="5" t="str">
        <f t="shared" ca="1" si="6"/>
        <v/>
      </c>
      <c r="V185" s="5" t="str">
        <f t="shared" ca="1" si="7"/>
        <v/>
      </c>
      <c r="AA185" s="5" t="s">
        <v>475</v>
      </c>
      <c r="AE185" s="5" t="s">
        <v>508</v>
      </c>
    </row>
    <row r="186" spans="1:35">
      <c r="A186" t="s">
        <v>333</v>
      </c>
      <c r="D186" s="3" t="s">
        <v>11</v>
      </c>
      <c r="E186" s="3" t="s">
        <v>334</v>
      </c>
      <c r="F186" t="s">
        <v>571</v>
      </c>
      <c r="J186" s="5" t="s">
        <v>545</v>
      </c>
      <c r="T186" s="5">
        <f>6-19277</f>
        <v>-19271</v>
      </c>
      <c r="U186" s="5">
        <f t="shared" ca="1" si="6"/>
        <v>19277</v>
      </c>
      <c r="V186" s="5">
        <f t="shared" ca="1" si="7"/>
        <v>6</v>
      </c>
      <c r="AA186" s="5" t="s">
        <v>475</v>
      </c>
      <c r="AB186" s="5" t="s">
        <v>522</v>
      </c>
      <c r="AD186" s="5" t="s">
        <v>475</v>
      </c>
    </row>
    <row r="187" spans="1:35">
      <c r="A187" t="s">
        <v>335</v>
      </c>
      <c r="D187" t="s">
        <v>311</v>
      </c>
      <c r="E187" t="s">
        <v>312</v>
      </c>
      <c r="F187" t="s">
        <v>425</v>
      </c>
      <c r="Q187" s="5"/>
      <c r="U187" s="5" t="str">
        <f t="shared" ca="1" si="6"/>
        <v/>
      </c>
      <c r="V187" s="5" t="str">
        <f t="shared" ca="1" si="7"/>
        <v/>
      </c>
      <c r="AA187" s="5" t="s">
        <v>604</v>
      </c>
    </row>
    <row r="188" spans="1:35">
      <c r="A188" t="s">
        <v>335</v>
      </c>
      <c r="D188" s="3" t="s">
        <v>336</v>
      </c>
      <c r="E188" s="3" t="s">
        <v>319</v>
      </c>
      <c r="J188" s="5" t="s">
        <v>545</v>
      </c>
      <c r="T188" s="5" t="s">
        <v>562</v>
      </c>
      <c r="U188" s="5" t="str">
        <f t="shared" ca="1" si="6"/>
        <v/>
      </c>
      <c r="V188" s="5" t="str">
        <f t="shared" ca="1" si="7"/>
        <v/>
      </c>
      <c r="AA188" s="5" t="s">
        <v>475</v>
      </c>
      <c r="AC188" s="5" t="s">
        <v>548</v>
      </c>
      <c r="AD188" s="5" t="s">
        <v>475</v>
      </c>
    </row>
    <row r="191" spans="1:35">
      <c r="AH191" t="s">
        <v>641</v>
      </c>
      <c r="AI191">
        <v>29</v>
      </c>
    </row>
    <row r="192" spans="1:35">
      <c r="AH192" t="s">
        <v>643</v>
      </c>
      <c r="AI192">
        <f>AI191/70</f>
        <v>0.41428571428571431</v>
      </c>
    </row>
    <row r="193" spans="4:5">
      <c r="D193" s="3" t="s">
        <v>542</v>
      </c>
      <c r="E193" s="3">
        <f>SUBTOTAL(3,A2:A188)</f>
        <v>187</v>
      </c>
    </row>
    <row r="194" spans="4:5">
      <c r="D194" s="3" t="s">
        <v>543</v>
      </c>
      <c r="E194" s="3">
        <f>COUNTA(A2:A188)</f>
        <v>187</v>
      </c>
    </row>
  </sheetData>
  <conditionalFormatting sqref="J2:J1048576">
    <cfRule type="expression" dxfId="218" priority="54">
      <formula>$J2&lt;&gt;""</formula>
    </cfRule>
    <cfRule type="expression" dxfId="217" priority="55">
      <formula>$J2=""</formula>
    </cfRule>
  </conditionalFormatting>
  <conditionalFormatting sqref="K2:O1048576 R2:S1048576">
    <cfRule type="expression" dxfId="216" priority="52">
      <formula>AND(OR($J2="Addition",$J2="Omission"), K2="")</formula>
    </cfRule>
    <cfRule type="expression" dxfId="215" priority="53">
      <formula>AND($J2&lt;&gt;"Addition",$J2&lt;&gt;"Omission",$J2&lt;&gt;"Substitution - Word")</formula>
    </cfRule>
  </conditionalFormatting>
  <conditionalFormatting sqref="K2:S1048576">
    <cfRule type="expression" dxfId="214" priority="51">
      <formula>AND(OR($J2="Addition",$J2="Omission"), K2&lt;&gt;"")</formula>
    </cfRule>
  </conditionalFormatting>
  <conditionalFormatting sqref="N2:N1048576">
    <cfRule type="expression" dxfId="213" priority="23">
      <formula>AND($L2&lt;&gt;"",$L2&gt;1)</formula>
    </cfRule>
  </conditionalFormatting>
  <conditionalFormatting sqref="P2:Q1048576">
    <cfRule type="expression" dxfId="212" priority="18">
      <formula>$O2="Absent"</formula>
    </cfRule>
    <cfRule type="expression" dxfId="211" priority="19">
      <formula>$O2="NA"</formula>
    </cfRule>
    <cfRule type="expression" dxfId="210" priority="21">
      <formula>AND(OR($J2="Addition",$J2="Omission"), P2="")</formula>
    </cfRule>
    <cfRule type="expression" dxfId="209" priority="22">
      <formula>AND($J2&lt;&gt;"Addition",$J2&lt;&gt;"Omission")</formula>
    </cfRule>
  </conditionalFormatting>
  <conditionalFormatting sqref="R2:R1048576">
    <cfRule type="expression" dxfId="208" priority="41">
      <formula>AND(OR($J2="Addition",$J2="Omission",$J2="Substitution - Word"),RIGHT($AE2,6)&lt;&gt;"strict",$AD2&lt;&gt;"Yes")</formula>
    </cfRule>
  </conditionalFormatting>
  <conditionalFormatting sqref="T2 T3:V1048576">
    <cfRule type="expression" dxfId="207" priority="47">
      <formula>AND(AND(LEFT($J2,3)="Sub", RIGHT($J2,4)&lt;&gt;"Form"),$T2="")</formula>
    </cfRule>
    <cfRule type="expression" dxfId="206" priority="48">
      <formula>"&lt;&gt;AND(LEFT($J2,3)=""Sub"", RIGHT($J2,4)&lt;&gt;""Form"")"</formula>
    </cfRule>
  </conditionalFormatting>
  <conditionalFormatting sqref="T3:V1048576 T2">
    <cfRule type="expression" dxfId="205" priority="46">
      <formula>AND(AND(LEFT($J2,3)="Sub", RIGHT($J2,4)&lt;&gt;"Form"),$T2&lt;&gt;"")</formula>
    </cfRule>
  </conditionalFormatting>
  <conditionalFormatting sqref="U2:V188">
    <cfRule type="expression" dxfId="204" priority="1">
      <formula>AND(AND(LEFT($J2,3)="Sub", RIGHT($J2,4)&lt;&gt;"Form"),$T2&lt;&gt;"")</formula>
    </cfRule>
    <cfRule type="expression" dxfId="203" priority="2">
      <formula>AND(AND(LEFT($J2,3)="Sub", RIGHT($J2,4)&lt;&gt;"Form"),$T2="")</formula>
    </cfRule>
    <cfRule type="expression" dxfId="202" priority="3">
      <formula>"&lt;&gt;AND(LEFT($J2,3)=""Sub"", RIGHT($J2,4)&lt;&gt;""Form"")"</formula>
    </cfRule>
  </conditionalFormatting>
  <conditionalFormatting sqref="W2:W1048576">
    <cfRule type="expression" dxfId="201" priority="7">
      <formula>AND($W2&lt;&gt;"",OR($AD2="Yes",$AE2&lt;&gt;""))</formula>
    </cfRule>
    <cfRule type="expression" dxfId="200" priority="8">
      <formula>OR($AD2="Yes",$AE2&lt;&gt;"")</formula>
    </cfRule>
    <cfRule type="expression" dxfId="199" priority="9">
      <formula>AND($J2&lt;&gt;"",$J2&lt;&gt;"Unclear due to correction")</formula>
    </cfRule>
    <cfRule type="expression" dxfId="198" priority="13">
      <formula>OR($J2="",$J2="Unclear due to correction")</formula>
    </cfRule>
    <cfRule type="expression" dxfId="197" priority="14">
      <formula>AND($AD2&lt;&gt;"Yes",$AE2="")</formula>
    </cfRule>
  </conditionalFormatting>
  <conditionalFormatting sqref="X2:X1048576">
    <cfRule type="expression" dxfId="196" priority="4">
      <formula>AND($J2&lt;&gt;"",$J2&lt;&gt;"Unclear due to correction",$X2="")</formula>
    </cfRule>
    <cfRule type="expression" dxfId="195" priority="5">
      <formula>AND($J2&lt;&gt;"",$J2&lt;&gt;"Unclear due to correction")</formula>
    </cfRule>
    <cfRule type="expression" dxfId="194" priority="6">
      <formula>OR($J2="",$J2="Unclear due to correction")</formula>
    </cfRule>
  </conditionalFormatting>
  <conditionalFormatting sqref="Y2:Y1048576">
    <cfRule type="expression" dxfId="193" priority="10">
      <formula>AND($X2="Yes",$Y2="")</formula>
    </cfRule>
    <cfRule type="expression" dxfId="192" priority="11">
      <formula>$X2=""</formula>
    </cfRule>
  </conditionalFormatting>
  <conditionalFormatting sqref="Y2:AF1048576">
    <cfRule type="expression" dxfId="191" priority="16">
      <formula>AND($J2&lt;&gt;"",$J2&lt;&gt;"Unclear due to correction")</formula>
    </cfRule>
    <cfRule type="expression" dxfId="190" priority="17">
      <formula>OR($J2="",$J2="Unclear due to correction")</formula>
    </cfRule>
  </conditionalFormatting>
  <conditionalFormatting sqref="AD2:AD1048576">
    <cfRule type="expression" dxfId="189" priority="15">
      <formula>AND(OR($AB2&lt;&gt;"",$AC2&lt;&gt;""),$AD2="")</formula>
    </cfRule>
  </conditionalFormatting>
  <dataValidations count="1">
    <dataValidation type="list" allowBlank="1" showInputMessage="1" showErrorMessage="1" sqref="AG2:AG1048576" xr:uid="{88A4506F-60E0-402F-8102-841BC05095C4}">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DBDFC2A0-6771-4217-A51B-2A090D64153D}">
          <x14:formula1>
            <xm:f>'Data Regularization'!$A$2:$A$1048576</xm:f>
          </x14:formula1>
          <xm:sqref>F189:F1048576</xm:sqref>
        </x14:dataValidation>
        <x14:dataValidation type="list" allowBlank="1" showInputMessage="1" showErrorMessage="1" xr:uid="{3821264B-DA9C-4091-93B6-5B3651B81D1B}">
          <x14:formula1>
            <xm:f>'Data Regularization'!$B$2:$B$1048576</xm:f>
          </x14:formula1>
          <xm:sqref>G189:G1048576</xm:sqref>
        </x14:dataValidation>
        <x14:dataValidation type="list" allowBlank="1" showInputMessage="1" showErrorMessage="1" xr:uid="{28A0FD27-7420-40AF-BE00-906A403E12A4}">
          <x14:formula1>
            <xm:f>'Data Regularization'!$D$2:$D$1048576</xm:f>
          </x14:formula1>
          <xm:sqref>I189:I1048576 J2:J1048576</xm:sqref>
        </x14:dataValidation>
        <x14:dataValidation type="list" allowBlank="1" showInputMessage="1" xr:uid="{3C582463-B705-4E5F-B856-FABFAD764E36}">
          <x14:formula1>
            <xm:f>'Data Regularization'!$A$2:$A$1048576</xm:f>
          </x14:formula1>
          <xm:sqref>F2:F188</xm:sqref>
        </x14:dataValidation>
        <x14:dataValidation type="list" allowBlank="1" showInputMessage="1" showErrorMessage="1" errorTitle="Invalid Entry" error="Just pick &quot;yes&quot; or &quot;no&quot;!!!" xr:uid="{8E7F211C-7408-4A61-B3F9-69A5BBE6A469}">
          <x14:formula1>
            <xm:f>'Data Regularization'!$B$2:$B$1048576</xm:f>
          </x14:formula1>
          <xm:sqref>G2:G188</xm:sqref>
        </x14:dataValidation>
        <x14:dataValidation type="list" allowBlank="1" showInputMessage="1" showErrorMessage="1" xr:uid="{6D19C9D0-8919-4DCC-9795-5BFADB603AB6}">
          <x14:formula1>
            <xm:f>'Data Regularization'!$C$2:$C$1048576</xm:f>
          </x14:formula1>
          <xm:sqref>H2:H1048576</xm:sqref>
        </x14:dataValidation>
        <x14:dataValidation type="list" allowBlank="1" showInputMessage="1" showErrorMessage="1" xr:uid="{E3C54303-B469-4C1D-AFDC-BDADC85DFECA}">
          <x14:formula1>
            <xm:f>'Data Regularization'!$E$2:$E$1048576</xm:f>
          </x14:formula1>
          <xm:sqref>N2:N1048576</xm:sqref>
        </x14:dataValidation>
        <x14:dataValidation type="list" allowBlank="1" showInputMessage="1" showErrorMessage="1" xr:uid="{48B100D0-7EBA-4EC9-8348-7F3B7F06CC7B}">
          <x14:formula1>
            <xm:f>'Data Regularization'!$F$2:$F$1048576</xm:f>
          </x14:formula1>
          <xm:sqref>O2:O1048576</xm:sqref>
        </x14:dataValidation>
        <x14:dataValidation type="list" allowBlank="1" showInputMessage="1" showErrorMessage="1" xr:uid="{2EE13151-6211-46C3-B81B-AA7C3F23B738}">
          <x14:formula1>
            <xm:f>'Data Regularization'!$G$2:$G$1048576</xm:f>
          </x14:formula1>
          <xm:sqref>R2:R1048576</xm:sqref>
        </x14:dataValidation>
        <x14:dataValidation type="list" allowBlank="1" showInputMessage="1" showErrorMessage="1" xr:uid="{C4193BF0-4136-4BBC-B0AC-D2A0BF5246B4}">
          <x14:formula1>
            <xm:f>'Data Regularization'!$J$2:$J$1048576</xm:f>
          </x14:formula1>
          <xm:sqref>Y2:Y1048576</xm:sqref>
        </x14:dataValidation>
        <x14:dataValidation type="list" allowBlank="1" showInputMessage="1" showErrorMessage="1" xr:uid="{0497AD02-B3E7-4282-BCBD-0B70C5B7A52D}">
          <x14:formula1>
            <xm:f>'Data Regularization'!$K$2:$K$1048576</xm:f>
          </x14:formula1>
          <xm:sqref>Z2:Z1048576</xm:sqref>
        </x14:dataValidation>
        <x14:dataValidation type="list" allowBlank="1" showInputMessage="1" showErrorMessage="1" xr:uid="{E7262AFA-8FBA-4F36-89B6-CE172EEB3CC4}">
          <x14:formula1>
            <xm:f>'Data Regularization'!$L$2:$L$1048576</xm:f>
          </x14:formula1>
          <xm:sqref>AA2:AA1048576</xm:sqref>
        </x14:dataValidation>
        <x14:dataValidation type="list" allowBlank="1" showInputMessage="1" showErrorMessage="1" xr:uid="{A7DF72AC-78C4-40F1-BA39-594ED540D6C3}">
          <x14:formula1>
            <xm:f>'Data Regularization'!$M$2:$M$1048576</xm:f>
          </x14:formula1>
          <xm:sqref>AB2:AB1048576</xm:sqref>
        </x14:dataValidation>
        <x14:dataValidation type="list" allowBlank="1" showInputMessage="1" showErrorMessage="1" xr:uid="{0D836A42-26EC-47D8-A184-246A8C35A40C}">
          <x14:formula1>
            <xm:f>'Data Regularization'!$N$2:$N$1048576</xm:f>
          </x14:formula1>
          <xm:sqref>AD2:AD1048576</xm:sqref>
        </x14:dataValidation>
        <x14:dataValidation type="list" allowBlank="1" showInputMessage="1" showErrorMessage="1" xr:uid="{E9AFCED9-6A8C-4B7D-8F93-06161D78FE44}">
          <x14:formula1>
            <xm:f>'Data Regularization'!$O$2:$O$1048576</xm:f>
          </x14:formula1>
          <xm:sqref>AE2:AE1048576</xm:sqref>
        </x14:dataValidation>
        <x14:dataValidation type="list" allowBlank="1" showInputMessage="1" showErrorMessage="1" xr:uid="{5849044F-ACA6-458C-A05F-D60291614710}">
          <x14:formula1>
            <xm:f>'Data Regularization'!$P$2:$P$1048576</xm:f>
          </x14:formula1>
          <xm:sqref>AF2:AF1048576</xm:sqref>
        </x14:dataValidation>
        <x14:dataValidation type="list" allowBlank="1" showInputMessage="1" showErrorMessage="1" xr:uid="{54A1BE23-4A97-43F1-946E-BEE043C99BF7}">
          <x14:formula1>
            <xm:f>'Data Regularization'!$H$2:$H$1048576</xm:f>
          </x14:formula1>
          <xm:sqref>W2:W1048576</xm:sqref>
        </x14:dataValidation>
        <x14:dataValidation type="list" allowBlank="1" showInputMessage="1" xr:uid="{89DB1C86-E161-46A3-A84F-ADF2A9324D19}">
          <x14:formula1>
            <xm:f>'Data Regularization'!$I$2:$I$1048576</xm:f>
          </x14:formula1>
          <xm:sqref>X2:X1048576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F9D2-8DD6-40EE-A117-AEED6255AA6F}">
  <dimension ref="A1:P20"/>
  <sheetViews>
    <sheetView workbookViewId="0">
      <selection activeCell="K3" sqref="K3:K5"/>
    </sheetView>
  </sheetViews>
  <sheetFormatPr defaultRowHeight="14.5"/>
  <sheetData>
    <row r="1" spans="1:16">
      <c r="A1" s="1" t="s">
        <v>6</v>
      </c>
      <c r="B1" s="1" t="s">
        <v>7</v>
      </c>
      <c r="C1" s="1" t="s">
        <v>8</v>
      </c>
      <c r="D1" s="1" t="s">
        <v>3</v>
      </c>
      <c r="E1" s="1" t="s">
        <v>494</v>
      </c>
      <c r="F1" s="1" t="s">
        <v>495</v>
      </c>
      <c r="G1" s="1" t="s">
        <v>496</v>
      </c>
      <c r="H1" s="1" t="s">
        <v>557</v>
      </c>
      <c r="I1" s="1" t="s">
        <v>558</v>
      </c>
      <c r="J1" s="1" t="s">
        <v>556</v>
      </c>
      <c r="K1" s="1" t="s">
        <v>498</v>
      </c>
      <c r="L1" s="1" t="s">
        <v>499</v>
      </c>
      <c r="M1" s="1" t="s">
        <v>500</v>
      </c>
      <c r="N1" s="1" t="s">
        <v>501</v>
      </c>
      <c r="O1" s="1" t="s">
        <v>502</v>
      </c>
      <c r="P1" s="1" t="s">
        <v>544</v>
      </c>
    </row>
    <row r="2" spans="1:16">
      <c r="A2" s="1"/>
    </row>
    <row r="3" spans="1:16">
      <c r="A3" t="s">
        <v>367</v>
      </c>
      <c r="B3" t="s">
        <v>475</v>
      </c>
      <c r="C3" t="s">
        <v>475</v>
      </c>
      <c r="D3" t="s">
        <v>476</v>
      </c>
      <c r="E3" t="s">
        <v>503</v>
      </c>
      <c r="F3" t="s">
        <v>504</v>
      </c>
      <c r="G3" t="s">
        <v>505</v>
      </c>
      <c r="H3" t="s">
        <v>4</v>
      </c>
      <c r="I3" t="s">
        <v>475</v>
      </c>
      <c r="J3" t="s">
        <v>4</v>
      </c>
      <c r="K3" t="s">
        <v>506</v>
      </c>
      <c r="L3" t="s">
        <v>475</v>
      </c>
      <c r="M3" t="s">
        <v>507</v>
      </c>
      <c r="N3" t="s">
        <v>475</v>
      </c>
      <c r="O3" t="s">
        <v>508</v>
      </c>
      <c r="P3" t="s">
        <v>475</v>
      </c>
    </row>
    <row r="4" spans="1:16">
      <c r="A4" t="s">
        <v>338</v>
      </c>
      <c r="B4" t="s">
        <v>477</v>
      </c>
      <c r="C4" t="s">
        <v>478</v>
      </c>
      <c r="D4" t="s">
        <v>479</v>
      </c>
      <c r="E4" t="s">
        <v>509</v>
      </c>
      <c r="F4" t="s">
        <v>510</v>
      </c>
      <c r="G4" t="s">
        <v>511</v>
      </c>
      <c r="H4" t="s">
        <v>559</v>
      </c>
      <c r="I4" t="s">
        <v>481</v>
      </c>
      <c r="J4" t="s">
        <v>559</v>
      </c>
      <c r="K4" t="s">
        <v>708</v>
      </c>
      <c r="L4" t="s">
        <v>481</v>
      </c>
      <c r="M4" t="s">
        <v>513</v>
      </c>
      <c r="N4" t="s">
        <v>481</v>
      </c>
      <c r="O4" t="s">
        <v>514</v>
      </c>
      <c r="P4" t="s">
        <v>481</v>
      </c>
    </row>
    <row r="5" spans="1:16">
      <c r="A5" t="s">
        <v>480</v>
      </c>
      <c r="B5" t="s">
        <v>481</v>
      </c>
      <c r="C5" t="s">
        <v>482</v>
      </c>
      <c r="D5" t="s">
        <v>545</v>
      </c>
      <c r="E5" t="s">
        <v>515</v>
      </c>
      <c r="F5" t="s">
        <v>549</v>
      </c>
      <c r="K5" t="s">
        <v>512</v>
      </c>
      <c r="M5" t="s">
        <v>516</v>
      </c>
      <c r="O5" t="s">
        <v>517</v>
      </c>
    </row>
    <row r="6" spans="1:16">
      <c r="A6" t="s">
        <v>383</v>
      </c>
      <c r="C6" t="s">
        <v>481</v>
      </c>
      <c r="D6" t="s">
        <v>546</v>
      </c>
      <c r="E6" t="s">
        <v>518</v>
      </c>
      <c r="M6" t="s">
        <v>519</v>
      </c>
      <c r="O6" t="s">
        <v>520</v>
      </c>
    </row>
    <row r="7" spans="1:16">
      <c r="A7" t="s">
        <v>484</v>
      </c>
      <c r="D7" t="s">
        <v>547</v>
      </c>
      <c r="E7" t="s">
        <v>521</v>
      </c>
      <c r="M7" t="s">
        <v>631</v>
      </c>
    </row>
    <row r="8" spans="1:16">
      <c r="A8" t="s">
        <v>486</v>
      </c>
      <c r="D8" t="s">
        <v>483</v>
      </c>
      <c r="E8" t="s">
        <v>523</v>
      </c>
      <c r="M8" t="s">
        <v>522</v>
      </c>
    </row>
    <row r="9" spans="1:16">
      <c r="A9" t="s">
        <v>8</v>
      </c>
      <c r="D9" t="s">
        <v>485</v>
      </c>
      <c r="E9" t="s">
        <v>525</v>
      </c>
      <c r="M9" t="s">
        <v>524</v>
      </c>
    </row>
    <row r="10" spans="1:16">
      <c r="A10" t="s">
        <v>386</v>
      </c>
      <c r="D10" t="s">
        <v>487</v>
      </c>
      <c r="E10" t="s">
        <v>527</v>
      </c>
      <c r="M10" t="s">
        <v>526</v>
      </c>
    </row>
    <row r="11" spans="1:16">
      <c r="A11" t="s">
        <v>472</v>
      </c>
      <c r="E11" t="s">
        <v>529</v>
      </c>
      <c r="M11" t="s">
        <v>528</v>
      </c>
    </row>
    <row r="12" spans="1:16">
      <c r="A12" t="s">
        <v>571</v>
      </c>
      <c r="E12" t="s">
        <v>567</v>
      </c>
      <c r="M12" t="s">
        <v>632</v>
      </c>
    </row>
    <row r="13" spans="1:16">
      <c r="A13" t="s">
        <v>488</v>
      </c>
      <c r="E13" t="s">
        <v>628</v>
      </c>
      <c r="M13" t="s">
        <v>630</v>
      </c>
    </row>
    <row r="14" spans="1:16">
      <c r="A14" t="s">
        <v>489</v>
      </c>
      <c r="E14" t="s">
        <v>530</v>
      </c>
    </row>
    <row r="15" spans="1:16">
      <c r="A15" t="s">
        <v>490</v>
      </c>
    </row>
    <row r="16" spans="1:16">
      <c r="A16" t="s">
        <v>425</v>
      </c>
    </row>
    <row r="17" spans="1:1">
      <c r="A17" t="s">
        <v>366</v>
      </c>
    </row>
    <row r="18" spans="1:1">
      <c r="A18" t="s">
        <v>491</v>
      </c>
    </row>
    <row r="19" spans="1:1">
      <c r="A19" t="s">
        <v>492</v>
      </c>
    </row>
    <row r="20" spans="1:1">
      <c r="A20" t="s">
        <v>493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84323-354A-4331-A555-A32E76DD1723}">
  <dimension ref="A1:AE68"/>
  <sheetViews>
    <sheetView workbookViewId="0">
      <pane xSplit="3" ySplit="1" topLeftCell="G2" activePane="bottomRight" state="frozen"/>
      <selection pane="topRight" activeCell="D1" sqref="D1"/>
      <selection pane="bottomLeft" activeCell="A2" sqref="A2"/>
      <selection pane="bottomRight" activeCell="G2" sqref="G2"/>
    </sheetView>
  </sheetViews>
  <sheetFormatPr defaultRowHeight="14.5"/>
  <cols>
    <col min="1" max="1" width="11.54296875" bestFit="1" customWidth="1"/>
    <col min="2" max="3" width="20.81640625" customWidth="1"/>
    <col min="4" max="6" width="8.90625" hidden="1" customWidth="1"/>
  </cols>
  <sheetData>
    <row r="1" spans="1:31" s="1" customFormat="1">
      <c r="A1" s="1" t="s">
        <v>0</v>
      </c>
      <c r="B1" s="2" t="s">
        <v>473</v>
      </c>
      <c r="C1" s="2" t="s">
        <v>474</v>
      </c>
      <c r="D1" s="1" t="s">
        <v>531</v>
      </c>
      <c r="E1" s="1" t="s">
        <v>532</v>
      </c>
      <c r="F1" s="1" t="s">
        <v>533</v>
      </c>
      <c r="G1" s="1" t="s">
        <v>3</v>
      </c>
      <c r="I1" s="1" t="s">
        <v>534</v>
      </c>
      <c r="J1" s="1" t="s">
        <v>535</v>
      </c>
      <c r="K1" s="1" t="s">
        <v>536</v>
      </c>
      <c r="L1" s="1" t="s">
        <v>495</v>
      </c>
      <c r="M1" s="1" t="s">
        <v>537</v>
      </c>
      <c r="N1" s="6" t="s">
        <v>538</v>
      </c>
      <c r="O1" s="1" t="s">
        <v>496</v>
      </c>
      <c r="P1" s="1" t="s">
        <v>539</v>
      </c>
      <c r="Q1" s="1" t="s">
        <v>540</v>
      </c>
      <c r="R1" s="1" t="s">
        <v>673</v>
      </c>
      <c r="S1" s="1" t="s">
        <v>674</v>
      </c>
      <c r="T1" s="1" t="s">
        <v>557</v>
      </c>
      <c r="U1" s="1" t="s">
        <v>558</v>
      </c>
      <c r="V1" s="1" t="s">
        <v>497</v>
      </c>
      <c r="W1" s="1" t="s">
        <v>498</v>
      </c>
      <c r="X1" s="1" t="s">
        <v>499</v>
      </c>
      <c r="Y1" s="1" t="s">
        <v>500</v>
      </c>
      <c r="Z1" s="1" t="s">
        <v>541</v>
      </c>
      <c r="AA1" s="1" t="s">
        <v>569</v>
      </c>
      <c r="AB1" s="1" t="s">
        <v>502</v>
      </c>
      <c r="AC1" s="1" t="s">
        <v>544</v>
      </c>
      <c r="AD1" s="1" t="s">
        <v>634</v>
      </c>
    </row>
    <row r="2" spans="1:31">
      <c r="A2" t="s">
        <v>20</v>
      </c>
      <c r="B2" s="3" t="s">
        <v>339</v>
      </c>
      <c r="C2" s="3" t="s">
        <v>340</v>
      </c>
      <c r="G2" s="5" t="s">
        <v>483</v>
      </c>
      <c r="H2" s="5"/>
      <c r="I2" s="5"/>
      <c r="J2" s="5"/>
      <c r="K2" s="5"/>
      <c r="L2" s="5"/>
      <c r="M2" s="5"/>
      <c r="N2" s="7"/>
      <c r="O2" s="5"/>
      <c r="P2" s="5"/>
      <c r="Q2" s="5"/>
      <c r="R2" s="5" t="s">
        <v>604</v>
      </c>
      <c r="S2" s="5" t="s">
        <v>604</v>
      </c>
      <c r="T2" s="5"/>
      <c r="U2" s="5"/>
      <c r="V2" s="5"/>
      <c r="W2" s="5"/>
      <c r="X2" s="5" t="s">
        <v>475</v>
      </c>
      <c r="Y2" s="5"/>
      <c r="Z2" s="5"/>
      <c r="AA2" s="5"/>
      <c r="AB2" s="5"/>
      <c r="AC2" s="5"/>
      <c r="AD2" t="s">
        <v>481</v>
      </c>
    </row>
    <row r="3" spans="1:31">
      <c r="A3" t="s">
        <v>20</v>
      </c>
      <c r="B3" s="3" t="s">
        <v>341</v>
      </c>
      <c r="C3" s="3" t="s">
        <v>342</v>
      </c>
      <c r="G3" s="5" t="s">
        <v>479</v>
      </c>
      <c r="H3" s="5"/>
      <c r="I3" s="5">
        <v>1</v>
      </c>
      <c r="J3" s="5">
        <v>1</v>
      </c>
      <c r="K3" s="5" t="s">
        <v>509</v>
      </c>
      <c r="L3" s="5" t="s">
        <v>549</v>
      </c>
      <c r="M3" s="5"/>
      <c r="N3" s="7"/>
      <c r="O3" s="5"/>
      <c r="P3" s="5">
        <v>19277</v>
      </c>
      <c r="Q3" s="5"/>
      <c r="R3" s="5" t="s">
        <v>604</v>
      </c>
      <c r="S3" s="5" t="s">
        <v>604</v>
      </c>
      <c r="T3" s="5" t="s">
        <v>559</v>
      </c>
      <c r="U3" s="5"/>
      <c r="V3" s="5"/>
      <c r="W3" s="5"/>
      <c r="X3" s="5" t="s">
        <v>475</v>
      </c>
      <c r="Y3" s="5"/>
      <c r="Z3" s="5"/>
      <c r="AA3" s="5"/>
      <c r="AB3" s="5"/>
      <c r="AC3" s="5"/>
      <c r="AD3" t="s">
        <v>475</v>
      </c>
    </row>
    <row r="4" spans="1:31">
      <c r="A4" t="s">
        <v>23</v>
      </c>
      <c r="B4" s="3" t="s">
        <v>343</v>
      </c>
      <c r="C4" s="3" t="s">
        <v>344</v>
      </c>
      <c r="G4" s="5" t="s">
        <v>479</v>
      </c>
      <c r="H4" s="5"/>
      <c r="I4" s="5">
        <v>1</v>
      </c>
      <c r="J4" s="5">
        <v>1</v>
      </c>
      <c r="K4" s="5" t="s">
        <v>509</v>
      </c>
      <c r="L4" s="5" t="s">
        <v>549</v>
      </c>
      <c r="M4" s="5"/>
      <c r="N4" s="7"/>
      <c r="O4" s="5"/>
      <c r="P4" s="5">
        <v>19277</v>
      </c>
      <c r="Q4" s="5"/>
      <c r="R4" s="5" t="s">
        <v>604</v>
      </c>
      <c r="S4" s="5" t="s">
        <v>604</v>
      </c>
      <c r="T4" s="5" t="s">
        <v>559</v>
      </c>
      <c r="U4" s="5"/>
      <c r="V4" s="5"/>
      <c r="W4" s="5"/>
      <c r="X4" s="5" t="s">
        <v>475</v>
      </c>
      <c r="Y4" s="5"/>
      <c r="Z4" s="5"/>
      <c r="AA4" s="5"/>
      <c r="AB4" s="5"/>
      <c r="AC4" s="5"/>
      <c r="AD4" t="s">
        <v>475</v>
      </c>
    </row>
    <row r="5" spans="1:31">
      <c r="A5" t="s">
        <v>26</v>
      </c>
      <c r="B5" s="3" t="s">
        <v>27</v>
      </c>
      <c r="C5" s="3" t="s">
        <v>28</v>
      </c>
      <c r="G5" s="5" t="s">
        <v>546</v>
      </c>
      <c r="H5" s="5"/>
      <c r="I5" s="5"/>
      <c r="J5" s="5"/>
      <c r="K5" s="5"/>
      <c r="L5" s="5"/>
      <c r="M5" s="5"/>
      <c r="N5" s="7"/>
      <c r="O5" s="5"/>
      <c r="P5" s="5"/>
      <c r="Q5" s="5"/>
      <c r="R5" s="5" t="s">
        <v>604</v>
      </c>
      <c r="S5" s="5" t="s">
        <v>604</v>
      </c>
      <c r="T5" s="5"/>
      <c r="U5" s="5"/>
      <c r="V5" s="5"/>
      <c r="W5" s="5"/>
      <c r="X5" s="5" t="s">
        <v>475</v>
      </c>
      <c r="Y5" s="5"/>
      <c r="Z5" s="5" t="s">
        <v>629</v>
      </c>
      <c r="AA5" s="5" t="s">
        <v>481</v>
      </c>
      <c r="AB5" s="5"/>
      <c r="AC5" s="5"/>
      <c r="AD5" t="s">
        <v>481</v>
      </c>
    </row>
    <row r="6" spans="1:31">
      <c r="A6" t="s">
        <v>29</v>
      </c>
      <c r="B6" s="3" t="s">
        <v>30</v>
      </c>
      <c r="C6" s="3" t="s">
        <v>31</v>
      </c>
      <c r="G6" s="5" t="s">
        <v>546</v>
      </c>
      <c r="H6" s="5"/>
      <c r="I6" s="5"/>
      <c r="J6" s="5"/>
      <c r="K6" s="5"/>
      <c r="L6" s="5"/>
      <c r="M6" s="5"/>
      <c r="N6" s="7"/>
      <c r="O6" s="5"/>
      <c r="P6" s="5"/>
      <c r="Q6" s="5"/>
      <c r="R6" s="5" t="s">
        <v>604</v>
      </c>
      <c r="S6" s="5" t="s">
        <v>604</v>
      </c>
      <c r="T6" s="5"/>
      <c r="U6" s="5"/>
      <c r="V6" s="5"/>
      <c r="W6" s="5"/>
      <c r="X6" s="5" t="s">
        <v>475</v>
      </c>
      <c r="Y6" s="5"/>
      <c r="Z6" s="5"/>
      <c r="AA6" s="5"/>
      <c r="AB6" s="5"/>
      <c r="AC6" s="5"/>
      <c r="AD6" t="s">
        <v>475</v>
      </c>
      <c r="AE6" t="s">
        <v>636</v>
      </c>
    </row>
    <row r="7" spans="1:31">
      <c r="A7" t="s">
        <v>33</v>
      </c>
      <c r="B7" s="3" t="s">
        <v>554</v>
      </c>
      <c r="C7" s="3" t="s">
        <v>555</v>
      </c>
      <c r="G7" s="5" t="s">
        <v>545</v>
      </c>
      <c r="H7" s="5"/>
      <c r="I7" s="5"/>
      <c r="J7" s="5"/>
      <c r="K7" s="5"/>
      <c r="L7" s="5"/>
      <c r="M7" s="5"/>
      <c r="N7" s="7"/>
      <c r="O7" s="5"/>
      <c r="P7" s="5"/>
      <c r="Q7" s="5">
        <v>216</v>
      </c>
      <c r="R7" s="5">
        <v>1204</v>
      </c>
      <c r="S7" s="5">
        <v>1420</v>
      </c>
      <c r="T7" s="5"/>
      <c r="U7" s="5"/>
      <c r="V7" s="5"/>
      <c r="W7" s="5"/>
      <c r="X7" s="5" t="s">
        <v>475</v>
      </c>
      <c r="Y7" s="5"/>
      <c r="Z7" s="5"/>
      <c r="AA7" s="5"/>
      <c r="AB7" s="5"/>
      <c r="AC7" s="5"/>
      <c r="AD7" t="s">
        <v>475</v>
      </c>
    </row>
    <row r="8" spans="1:31">
      <c r="A8" t="s">
        <v>44</v>
      </c>
      <c r="B8" s="3" t="s">
        <v>45</v>
      </c>
      <c r="C8" s="3" t="s">
        <v>14</v>
      </c>
      <c r="G8" s="5" t="s">
        <v>546</v>
      </c>
      <c r="H8" s="5"/>
      <c r="I8" s="5"/>
      <c r="J8" s="5"/>
      <c r="K8" s="5"/>
      <c r="L8" s="5"/>
      <c r="M8" s="5"/>
      <c r="N8" s="7"/>
      <c r="O8" s="5"/>
      <c r="P8" s="5"/>
      <c r="Q8" s="5"/>
      <c r="R8" s="5" t="s">
        <v>604</v>
      </c>
      <c r="S8" s="5" t="s">
        <v>604</v>
      </c>
      <c r="T8" s="5"/>
      <c r="U8" s="5"/>
      <c r="V8" s="5"/>
      <c r="W8" s="5"/>
      <c r="X8" s="5" t="s">
        <v>475</v>
      </c>
      <c r="Y8" s="5"/>
      <c r="Z8" s="5"/>
      <c r="AA8" s="5"/>
      <c r="AB8" s="5"/>
      <c r="AC8" s="5"/>
      <c r="AD8" t="s">
        <v>481</v>
      </c>
    </row>
    <row r="9" spans="1:31">
      <c r="A9" t="s">
        <v>44</v>
      </c>
      <c r="B9" s="3" t="s">
        <v>9</v>
      </c>
      <c r="C9" s="3" t="s">
        <v>12</v>
      </c>
      <c r="G9" s="5" t="s">
        <v>546</v>
      </c>
      <c r="H9" s="5"/>
      <c r="I9" s="5"/>
      <c r="J9" s="5"/>
      <c r="K9" s="5"/>
      <c r="L9" s="5"/>
      <c r="M9" s="5"/>
      <c r="N9" s="7"/>
      <c r="O9" s="5"/>
      <c r="P9" s="5"/>
      <c r="Q9" s="5"/>
      <c r="R9" s="5" t="s">
        <v>604</v>
      </c>
      <c r="S9" s="5" t="s">
        <v>604</v>
      </c>
      <c r="T9" s="5"/>
      <c r="U9" s="5"/>
      <c r="V9" s="5"/>
      <c r="W9" s="5"/>
      <c r="X9" s="5" t="s">
        <v>475</v>
      </c>
      <c r="Y9" s="5"/>
      <c r="Z9" s="5"/>
      <c r="AA9" s="5"/>
      <c r="AB9" s="5"/>
      <c r="AC9" s="5"/>
      <c r="AD9" t="s">
        <v>481</v>
      </c>
    </row>
    <row r="10" spans="1:31">
      <c r="A10" t="s">
        <v>60</v>
      </c>
      <c r="B10" s="3" t="s">
        <v>61</v>
      </c>
      <c r="C10" s="3" t="s">
        <v>62</v>
      </c>
      <c r="G10" s="5" t="s">
        <v>546</v>
      </c>
      <c r="H10" s="5"/>
      <c r="I10" s="5"/>
      <c r="J10" s="5"/>
      <c r="K10" s="5"/>
      <c r="L10" s="5"/>
      <c r="M10" s="5"/>
      <c r="N10" s="7"/>
      <c r="O10" s="5"/>
      <c r="P10" s="5"/>
      <c r="Q10" s="5"/>
      <c r="R10" s="5" t="s">
        <v>604</v>
      </c>
      <c r="S10" s="5" t="s">
        <v>604</v>
      </c>
      <c r="T10" s="5"/>
      <c r="U10" s="5"/>
      <c r="V10" s="5"/>
      <c r="W10" s="5"/>
      <c r="X10" s="5" t="s">
        <v>475</v>
      </c>
      <c r="Y10" s="5"/>
      <c r="Z10" s="5"/>
      <c r="AA10" s="5"/>
      <c r="AB10" s="5"/>
      <c r="AC10" s="5"/>
      <c r="AD10" t="s">
        <v>475</v>
      </c>
      <c r="AE10" t="s">
        <v>635</v>
      </c>
    </row>
    <row r="11" spans="1:31">
      <c r="A11" t="s">
        <v>63</v>
      </c>
      <c r="B11" s="3" t="s">
        <v>9</v>
      </c>
      <c r="C11" s="3" t="s">
        <v>12</v>
      </c>
      <c r="G11" s="5" t="s">
        <v>546</v>
      </c>
      <c r="H11" s="5"/>
      <c r="I11" s="5"/>
      <c r="J11" s="5"/>
      <c r="K11" s="5"/>
      <c r="L11" s="5"/>
      <c r="M11" s="5"/>
      <c r="N11" s="7"/>
      <c r="O11" s="5"/>
      <c r="P11" s="5"/>
      <c r="Q11" s="5"/>
      <c r="R11" s="5" t="s">
        <v>604</v>
      </c>
      <c r="S11" s="5" t="s">
        <v>604</v>
      </c>
      <c r="T11" s="5"/>
      <c r="U11" s="5"/>
      <c r="V11" s="5"/>
      <c r="W11" s="5"/>
      <c r="X11" s="5" t="s">
        <v>475</v>
      </c>
      <c r="Y11" s="5"/>
      <c r="Z11" s="5"/>
      <c r="AA11" s="5"/>
      <c r="AB11" s="5"/>
      <c r="AC11" s="5"/>
      <c r="AD11" t="s">
        <v>481</v>
      </c>
    </row>
    <row r="12" spans="1:31" ht="29">
      <c r="A12" t="s">
        <v>64</v>
      </c>
      <c r="B12" s="3" t="s">
        <v>356</v>
      </c>
      <c r="C12" s="3" t="s">
        <v>357</v>
      </c>
      <c r="G12" s="5" t="s">
        <v>479</v>
      </c>
      <c r="H12" s="5"/>
      <c r="I12" s="5">
        <v>4</v>
      </c>
      <c r="J12" s="5">
        <v>16</v>
      </c>
      <c r="K12" s="5"/>
      <c r="L12" s="5" t="s">
        <v>504</v>
      </c>
      <c r="M12" s="5" t="s">
        <v>564</v>
      </c>
      <c r="N12" s="7" t="s">
        <v>565</v>
      </c>
      <c r="O12" s="5"/>
      <c r="P12" s="5">
        <v>38</v>
      </c>
      <c r="Q12" s="5"/>
      <c r="R12" s="5" t="s">
        <v>604</v>
      </c>
      <c r="S12" s="5" t="s">
        <v>604</v>
      </c>
      <c r="T12" s="5"/>
      <c r="U12" s="5"/>
      <c r="V12" s="5"/>
      <c r="W12" s="5"/>
      <c r="X12" s="5" t="s">
        <v>475</v>
      </c>
      <c r="Y12" s="5"/>
      <c r="Z12" s="5"/>
      <c r="AA12" s="5"/>
      <c r="AB12" s="5"/>
      <c r="AC12" s="5"/>
      <c r="AD12" t="s">
        <v>475</v>
      </c>
    </row>
    <row r="13" spans="1:31">
      <c r="A13" t="s">
        <v>78</v>
      </c>
      <c r="B13" s="3" t="s">
        <v>66</v>
      </c>
      <c r="C13" s="3" t="s">
        <v>79</v>
      </c>
      <c r="G13" s="5" t="s">
        <v>546</v>
      </c>
      <c r="H13" s="5"/>
      <c r="I13" s="5"/>
      <c r="J13" s="5"/>
      <c r="K13" s="5"/>
      <c r="L13" s="5"/>
      <c r="M13" s="5"/>
      <c r="N13" s="7"/>
      <c r="O13" s="5"/>
      <c r="P13" s="5"/>
      <c r="Q13" s="5"/>
      <c r="R13" s="5" t="s">
        <v>604</v>
      </c>
      <c r="S13" s="5" t="s">
        <v>604</v>
      </c>
      <c r="T13" s="5"/>
      <c r="U13" s="5"/>
      <c r="V13" s="5"/>
      <c r="W13" s="5"/>
      <c r="X13" s="5" t="s">
        <v>475</v>
      </c>
      <c r="Y13" s="5"/>
      <c r="Z13" s="5"/>
      <c r="AA13" s="5"/>
      <c r="AB13" s="5"/>
      <c r="AC13" s="5"/>
      <c r="AD13" t="s">
        <v>481</v>
      </c>
    </row>
    <row r="14" spans="1:31">
      <c r="A14" t="s">
        <v>80</v>
      </c>
      <c r="B14" s="3" t="s">
        <v>81</v>
      </c>
      <c r="C14" s="3" t="s">
        <v>82</v>
      </c>
      <c r="G14" s="5" t="s">
        <v>545</v>
      </c>
      <c r="H14" s="5"/>
      <c r="I14" s="5"/>
      <c r="J14" s="5"/>
      <c r="K14" s="5"/>
      <c r="L14" s="5"/>
      <c r="M14" s="5"/>
      <c r="N14" s="7"/>
      <c r="O14" s="5"/>
      <c r="P14" s="5"/>
      <c r="Q14" s="5">
        <v>71</v>
      </c>
      <c r="R14" s="5">
        <v>4</v>
      </c>
      <c r="S14" s="5">
        <v>75</v>
      </c>
      <c r="T14" s="5"/>
      <c r="U14" s="5"/>
      <c r="V14" s="5"/>
      <c r="W14" s="5"/>
      <c r="X14" s="5" t="s">
        <v>475</v>
      </c>
      <c r="Y14" s="5"/>
      <c r="Z14" s="5"/>
      <c r="AA14" s="5"/>
      <c r="AB14" s="5"/>
      <c r="AC14" s="5"/>
      <c r="AD14" t="s">
        <v>475</v>
      </c>
      <c r="AE14" t="s">
        <v>636</v>
      </c>
    </row>
    <row r="15" spans="1:31">
      <c r="A15" t="s">
        <v>89</v>
      </c>
      <c r="B15" s="3" t="s">
        <v>90</v>
      </c>
      <c r="C15" s="3" t="s">
        <v>91</v>
      </c>
      <c r="G15" s="5" t="s">
        <v>546</v>
      </c>
      <c r="H15" s="5"/>
      <c r="I15" s="5"/>
      <c r="J15" s="5"/>
      <c r="K15" s="5"/>
      <c r="L15" s="5"/>
      <c r="M15" s="5"/>
      <c r="N15" s="7"/>
      <c r="O15" s="5"/>
      <c r="P15" s="5"/>
      <c r="Q15" s="5"/>
      <c r="R15" s="5" t="s">
        <v>604</v>
      </c>
      <c r="S15" s="5" t="s">
        <v>604</v>
      </c>
      <c r="T15" s="5"/>
      <c r="U15" s="5"/>
      <c r="V15" s="5"/>
      <c r="W15" s="5"/>
      <c r="X15" s="5" t="s">
        <v>475</v>
      </c>
      <c r="Y15" s="5"/>
      <c r="Z15" s="5"/>
      <c r="AA15" s="5"/>
      <c r="AB15" s="5"/>
      <c r="AC15" s="5"/>
      <c r="AD15" t="s">
        <v>481</v>
      </c>
    </row>
    <row r="16" spans="1:31">
      <c r="A16" t="s">
        <v>92</v>
      </c>
      <c r="B16" s="3" t="s">
        <v>362</v>
      </c>
      <c r="C16" s="3" t="s">
        <v>363</v>
      </c>
      <c r="G16" s="5" t="s">
        <v>479</v>
      </c>
      <c r="H16" s="5"/>
      <c r="I16" s="5">
        <v>1</v>
      </c>
      <c r="J16" s="5">
        <v>2</v>
      </c>
      <c r="K16" s="5" t="s">
        <v>567</v>
      </c>
      <c r="L16" s="5" t="s">
        <v>549</v>
      </c>
      <c r="M16" s="5"/>
      <c r="N16" s="7"/>
      <c r="O16" s="5" t="s">
        <v>505</v>
      </c>
      <c r="P16" s="5">
        <v>273</v>
      </c>
      <c r="Q16" s="5"/>
      <c r="R16" s="5" t="s">
        <v>604</v>
      </c>
      <c r="S16" s="5" t="s">
        <v>604</v>
      </c>
      <c r="T16" s="5"/>
      <c r="U16" s="5"/>
      <c r="V16" s="5"/>
      <c r="W16" s="5"/>
      <c r="X16" s="5" t="s">
        <v>475</v>
      </c>
      <c r="Y16" s="5"/>
      <c r="Z16" s="5"/>
      <c r="AA16" s="5"/>
      <c r="AB16" s="5"/>
      <c r="AC16" s="5"/>
      <c r="AD16" t="s">
        <v>475</v>
      </c>
    </row>
    <row r="17" spans="1:30">
      <c r="A17" t="s">
        <v>93</v>
      </c>
      <c r="B17" s="3" t="s">
        <v>94</v>
      </c>
      <c r="C17" s="3" t="s">
        <v>95</v>
      </c>
      <c r="G17" s="5" t="s">
        <v>546</v>
      </c>
      <c r="H17" s="5"/>
      <c r="I17" s="5"/>
      <c r="J17" s="5"/>
      <c r="K17" s="5"/>
      <c r="L17" s="5"/>
      <c r="M17" s="5"/>
      <c r="N17" s="7"/>
      <c r="O17" s="5"/>
      <c r="P17" s="5"/>
      <c r="Q17" s="5"/>
      <c r="R17" s="5" t="s">
        <v>604</v>
      </c>
      <c r="S17" s="5" t="s">
        <v>604</v>
      </c>
      <c r="T17" s="5"/>
      <c r="U17" s="5"/>
      <c r="V17" s="5"/>
      <c r="W17" s="5"/>
      <c r="X17" s="5" t="s">
        <v>475</v>
      </c>
      <c r="Y17" s="5"/>
      <c r="Z17" s="5"/>
      <c r="AA17" s="5"/>
      <c r="AB17" s="5"/>
      <c r="AC17" s="5"/>
      <c r="AD17" t="s">
        <v>481</v>
      </c>
    </row>
    <row r="18" spans="1:30">
      <c r="A18" t="s">
        <v>106</v>
      </c>
      <c r="B18" s="3" t="s">
        <v>107</v>
      </c>
      <c r="C18" s="3" t="s">
        <v>108</v>
      </c>
      <c r="G18" s="5" t="s">
        <v>546</v>
      </c>
      <c r="H18" s="5"/>
      <c r="I18" s="5"/>
      <c r="J18" s="5"/>
      <c r="K18" s="5"/>
      <c r="L18" s="5"/>
      <c r="M18" s="5"/>
      <c r="N18" s="7"/>
      <c r="O18" s="5"/>
      <c r="P18" s="5"/>
      <c r="Q18" s="5"/>
      <c r="R18" s="5" t="s">
        <v>604</v>
      </c>
      <c r="S18" s="5" t="s">
        <v>604</v>
      </c>
      <c r="T18" s="5" t="s">
        <v>559</v>
      </c>
      <c r="U18" s="5"/>
      <c r="V18" s="5"/>
      <c r="W18" s="5"/>
      <c r="X18" s="5" t="s">
        <v>475</v>
      </c>
      <c r="Y18" s="5"/>
      <c r="Z18" s="5"/>
      <c r="AA18" s="5"/>
      <c r="AB18" s="5"/>
      <c r="AC18" s="5"/>
      <c r="AD18" t="s">
        <v>475</v>
      </c>
    </row>
    <row r="19" spans="1:30">
      <c r="A19" t="s">
        <v>119</v>
      </c>
      <c r="B19" s="3" t="s">
        <v>107</v>
      </c>
      <c r="C19" s="3" t="s">
        <v>108</v>
      </c>
      <c r="G19" s="5" t="s">
        <v>546</v>
      </c>
      <c r="H19" s="5"/>
      <c r="I19" s="5"/>
      <c r="J19" s="5"/>
      <c r="K19" s="5"/>
      <c r="L19" s="5"/>
      <c r="M19" s="5"/>
      <c r="N19" s="7"/>
      <c r="O19" s="5"/>
      <c r="P19" s="5"/>
      <c r="Q19" s="5"/>
      <c r="R19" s="5" t="s">
        <v>604</v>
      </c>
      <c r="S19" s="5" t="s">
        <v>604</v>
      </c>
      <c r="T19" s="5" t="s">
        <v>559</v>
      </c>
      <c r="U19" s="5"/>
      <c r="V19" s="5"/>
      <c r="W19" s="5"/>
      <c r="X19" s="5" t="s">
        <v>475</v>
      </c>
      <c r="Y19" s="5"/>
      <c r="Z19" s="5"/>
      <c r="AA19" s="5"/>
      <c r="AB19" s="5"/>
      <c r="AC19" s="5"/>
      <c r="AD19" t="s">
        <v>475</v>
      </c>
    </row>
    <row r="20" spans="1:30">
      <c r="A20" t="s">
        <v>122</v>
      </c>
      <c r="B20" s="3" t="s">
        <v>123</v>
      </c>
      <c r="C20" s="3" t="s">
        <v>124</v>
      </c>
      <c r="G20" s="5" t="s">
        <v>545</v>
      </c>
      <c r="H20" s="5"/>
      <c r="I20" s="5"/>
      <c r="J20" s="5"/>
      <c r="K20" s="5"/>
      <c r="L20" s="5"/>
      <c r="M20" s="5"/>
      <c r="N20" s="7"/>
      <c r="O20" s="5"/>
      <c r="P20" s="5"/>
      <c r="Q20" s="5">
        <v>-2</v>
      </c>
      <c r="R20" s="5">
        <v>2</v>
      </c>
      <c r="S20" s="5">
        <v>0</v>
      </c>
      <c r="T20" s="5"/>
      <c r="U20" s="5"/>
      <c r="V20" s="5"/>
      <c r="W20" s="5"/>
      <c r="X20" s="5" t="s">
        <v>475</v>
      </c>
      <c r="Y20" s="5"/>
      <c r="Z20" s="5"/>
      <c r="AA20" s="5"/>
      <c r="AB20" s="5"/>
      <c r="AC20" s="5"/>
      <c r="AD20" t="s">
        <v>481</v>
      </c>
    </row>
    <row r="21" spans="1:30">
      <c r="A21" t="s">
        <v>139</v>
      </c>
      <c r="B21" s="3" t="s">
        <v>100</v>
      </c>
      <c r="C21" s="3" t="s">
        <v>140</v>
      </c>
      <c r="G21" s="5" t="s">
        <v>546</v>
      </c>
      <c r="H21" s="5"/>
      <c r="I21" s="5"/>
      <c r="J21" s="5"/>
      <c r="K21" s="5"/>
      <c r="L21" s="5"/>
      <c r="M21" s="5"/>
      <c r="N21" s="7"/>
      <c r="O21" s="5"/>
      <c r="P21" s="5"/>
      <c r="Q21" s="5"/>
      <c r="R21" s="5" t="s">
        <v>604</v>
      </c>
      <c r="S21" s="5" t="s">
        <v>604</v>
      </c>
      <c r="T21" s="5" t="s">
        <v>559</v>
      </c>
      <c r="U21" s="5"/>
      <c r="V21" s="5"/>
      <c r="W21" s="5"/>
      <c r="X21" s="5" t="s">
        <v>475</v>
      </c>
      <c r="Y21" s="5"/>
      <c r="Z21" s="5"/>
      <c r="AA21" s="5"/>
      <c r="AB21" s="5"/>
      <c r="AC21" s="5"/>
      <c r="AD21" t="s">
        <v>475</v>
      </c>
    </row>
    <row r="22" spans="1:30">
      <c r="A22" t="s">
        <v>139</v>
      </c>
      <c r="B22" s="3" t="s">
        <v>141</v>
      </c>
      <c r="C22" s="3" t="s">
        <v>142</v>
      </c>
      <c r="G22" s="5" t="s">
        <v>546</v>
      </c>
      <c r="H22" s="5"/>
      <c r="I22" s="5"/>
      <c r="J22" s="5"/>
      <c r="K22" s="5"/>
      <c r="L22" s="5"/>
      <c r="M22" s="5"/>
      <c r="N22" s="7"/>
      <c r="O22" s="5"/>
      <c r="P22" s="5"/>
      <c r="Q22" s="5"/>
      <c r="R22" s="5" t="s">
        <v>604</v>
      </c>
      <c r="S22" s="5" t="s">
        <v>604</v>
      </c>
      <c r="T22" s="5"/>
      <c r="U22" s="5"/>
      <c r="V22" s="5"/>
      <c r="W22" s="5"/>
      <c r="X22" s="5" t="s">
        <v>475</v>
      </c>
      <c r="Y22" s="5"/>
      <c r="Z22" s="5"/>
      <c r="AA22" s="5"/>
      <c r="AB22" s="5"/>
      <c r="AC22" s="5"/>
      <c r="AD22" t="s">
        <v>475</v>
      </c>
    </row>
    <row r="23" spans="1:30" ht="29">
      <c r="A23" t="s">
        <v>150</v>
      </c>
      <c r="B23" s="3" t="s">
        <v>374</v>
      </c>
      <c r="C23" s="3" t="s">
        <v>375</v>
      </c>
      <c r="F23" t="s">
        <v>337</v>
      </c>
      <c r="G23" s="5" t="s">
        <v>479</v>
      </c>
      <c r="H23" s="5"/>
      <c r="I23" s="5">
        <v>1</v>
      </c>
      <c r="J23" s="5">
        <v>3</v>
      </c>
      <c r="K23" s="5" t="s">
        <v>509</v>
      </c>
      <c r="L23" s="5" t="s">
        <v>510</v>
      </c>
      <c r="M23" s="5"/>
      <c r="N23" s="7"/>
      <c r="O23" s="5"/>
      <c r="P23" s="5">
        <v>19277</v>
      </c>
      <c r="Q23" s="5"/>
      <c r="R23" s="5" t="s">
        <v>604</v>
      </c>
      <c r="S23" s="5" t="s">
        <v>604</v>
      </c>
      <c r="T23" s="5" t="s">
        <v>559</v>
      </c>
      <c r="U23" s="5"/>
      <c r="V23" s="5"/>
      <c r="W23" s="5"/>
      <c r="X23" s="5" t="s">
        <v>475</v>
      </c>
      <c r="Y23" s="5"/>
      <c r="Z23" s="5"/>
      <c r="AA23" s="5"/>
      <c r="AB23" s="5"/>
      <c r="AC23" s="5"/>
      <c r="AD23" t="s">
        <v>481</v>
      </c>
    </row>
    <row r="24" spans="1:30">
      <c r="A24" t="s">
        <v>151</v>
      </c>
      <c r="B24" s="3" t="s">
        <v>376</v>
      </c>
      <c r="C24" s="3" t="s">
        <v>377</v>
      </c>
      <c r="F24" t="s">
        <v>337</v>
      </c>
      <c r="G24" s="5" t="s">
        <v>479</v>
      </c>
      <c r="H24" s="5"/>
      <c r="I24" s="5">
        <v>1</v>
      </c>
      <c r="J24" s="5">
        <v>3</v>
      </c>
      <c r="K24" s="5" t="s">
        <v>509</v>
      </c>
      <c r="L24" s="5" t="s">
        <v>510</v>
      </c>
      <c r="M24" s="5"/>
      <c r="N24" s="7"/>
      <c r="O24" s="5"/>
      <c r="P24" s="5">
        <v>19277</v>
      </c>
      <c r="Q24" s="5"/>
      <c r="R24" s="5" t="s">
        <v>604</v>
      </c>
      <c r="S24" s="5" t="s">
        <v>604</v>
      </c>
      <c r="T24" s="5"/>
      <c r="U24" s="5"/>
      <c r="V24" s="5"/>
      <c r="W24" s="5"/>
      <c r="X24" s="5" t="s">
        <v>475</v>
      </c>
      <c r="Y24" s="5"/>
      <c r="Z24" s="5"/>
      <c r="AA24" s="5"/>
      <c r="AB24" s="5"/>
      <c r="AC24" s="5"/>
      <c r="AD24" t="s">
        <v>481</v>
      </c>
    </row>
    <row r="25" spans="1:30">
      <c r="A25" t="s">
        <v>152</v>
      </c>
      <c r="B25" s="3" t="s">
        <v>153</v>
      </c>
      <c r="C25" s="3" t="s">
        <v>108</v>
      </c>
      <c r="G25" s="5" t="s">
        <v>546</v>
      </c>
      <c r="H25" s="5"/>
      <c r="I25" s="5"/>
      <c r="J25" s="5"/>
      <c r="K25" s="5"/>
      <c r="L25" s="5"/>
      <c r="M25" s="5"/>
      <c r="N25" s="7"/>
      <c r="O25" s="5"/>
      <c r="P25" s="5"/>
      <c r="Q25" s="5"/>
      <c r="R25" s="5" t="s">
        <v>604</v>
      </c>
      <c r="S25" s="5" t="s">
        <v>604</v>
      </c>
      <c r="T25" s="5"/>
      <c r="U25" s="5"/>
      <c r="V25" s="5"/>
      <c r="W25" s="5"/>
      <c r="X25" s="5" t="s">
        <v>475</v>
      </c>
      <c r="Y25" s="5"/>
      <c r="Z25" s="5"/>
      <c r="AA25" s="5"/>
      <c r="AB25" s="5"/>
      <c r="AC25" s="5"/>
      <c r="AD25" t="s">
        <v>475</v>
      </c>
    </row>
    <row r="26" spans="1:30">
      <c r="A26" t="s">
        <v>154</v>
      </c>
      <c r="B26" s="3" t="s">
        <v>155</v>
      </c>
      <c r="C26" s="3" t="s">
        <v>156</v>
      </c>
      <c r="G26" s="5" t="s">
        <v>545</v>
      </c>
      <c r="H26" s="5"/>
      <c r="I26" s="5"/>
      <c r="J26" s="5"/>
      <c r="K26" s="5"/>
      <c r="L26" s="5"/>
      <c r="M26" s="5"/>
      <c r="N26" s="7"/>
      <c r="O26" s="5"/>
      <c r="P26" s="5"/>
      <c r="Q26" s="5">
        <v>-40</v>
      </c>
      <c r="R26" s="5">
        <v>40</v>
      </c>
      <c r="S26" s="5">
        <v>0</v>
      </c>
      <c r="T26" s="5"/>
      <c r="U26" s="5"/>
      <c r="V26" s="5"/>
      <c r="W26" s="5"/>
      <c r="X26" s="5" t="s">
        <v>475</v>
      </c>
      <c r="Y26" s="5"/>
      <c r="Z26" s="5"/>
      <c r="AA26" s="5"/>
      <c r="AB26" s="5"/>
      <c r="AC26" s="5"/>
      <c r="AD26" t="s">
        <v>481</v>
      </c>
    </row>
    <row r="27" spans="1:30">
      <c r="A27" t="s">
        <v>166</v>
      </c>
      <c r="B27" s="3" t="s">
        <v>379</v>
      </c>
      <c r="C27" s="3" t="s">
        <v>380</v>
      </c>
      <c r="G27" s="5" t="s">
        <v>545</v>
      </c>
      <c r="H27" s="5"/>
      <c r="I27" s="5"/>
      <c r="J27" s="5"/>
      <c r="K27" s="5"/>
      <c r="L27" s="5"/>
      <c r="M27" s="5"/>
      <c r="N27" s="7"/>
      <c r="O27" s="5"/>
      <c r="P27" s="5"/>
      <c r="Q27" s="5">
        <v>-1155</v>
      </c>
      <c r="R27" s="5">
        <v>1712</v>
      </c>
      <c r="S27" s="5">
        <v>557</v>
      </c>
      <c r="T27" s="5"/>
      <c r="U27" s="5"/>
      <c r="V27" s="5"/>
      <c r="W27" s="5"/>
      <c r="X27" s="5" t="s">
        <v>475</v>
      </c>
      <c r="Y27" s="5"/>
      <c r="Z27" s="5"/>
      <c r="AA27" s="5"/>
      <c r="AB27" s="5"/>
      <c r="AC27" s="5"/>
      <c r="AD27" t="s">
        <v>481</v>
      </c>
    </row>
    <row r="28" spans="1:30">
      <c r="A28" t="s">
        <v>171</v>
      </c>
      <c r="B28" s="3" t="s">
        <v>172</v>
      </c>
      <c r="C28" s="3" t="s">
        <v>173</v>
      </c>
      <c r="G28" s="5" t="s">
        <v>545</v>
      </c>
      <c r="H28" s="5"/>
      <c r="I28" s="5"/>
      <c r="J28" s="5"/>
      <c r="K28" s="5"/>
      <c r="L28" s="5"/>
      <c r="M28" s="5"/>
      <c r="N28" s="7"/>
      <c r="O28" s="5"/>
      <c r="P28" s="5"/>
      <c r="Q28" s="5">
        <v>-38</v>
      </c>
      <c r="R28" s="5">
        <v>38</v>
      </c>
      <c r="S28" s="5">
        <v>0</v>
      </c>
      <c r="T28" s="5"/>
      <c r="U28" s="5"/>
      <c r="V28" s="5"/>
      <c r="W28" s="5"/>
      <c r="X28" s="5" t="s">
        <v>475</v>
      </c>
      <c r="Y28" s="5"/>
      <c r="Z28" s="5"/>
      <c r="AA28" s="5"/>
      <c r="AB28" s="5"/>
      <c r="AC28" s="5"/>
      <c r="AD28" t="s">
        <v>481</v>
      </c>
    </row>
    <row r="29" spans="1:30">
      <c r="A29" t="s">
        <v>174</v>
      </c>
      <c r="B29" s="3" t="s">
        <v>175</v>
      </c>
      <c r="C29" s="3" t="s">
        <v>176</v>
      </c>
      <c r="G29" s="5" t="s">
        <v>546</v>
      </c>
      <c r="H29" s="5"/>
      <c r="I29" s="5"/>
      <c r="J29" s="5"/>
      <c r="K29" s="5"/>
      <c r="L29" s="5"/>
      <c r="M29" s="5"/>
      <c r="N29" s="7"/>
      <c r="O29" s="5"/>
      <c r="P29" s="5"/>
      <c r="Q29" s="5"/>
      <c r="R29" s="5" t="s">
        <v>604</v>
      </c>
      <c r="S29" s="5" t="s">
        <v>604</v>
      </c>
      <c r="T29" s="5"/>
      <c r="U29" s="5"/>
      <c r="V29" s="5"/>
      <c r="W29" s="5"/>
      <c r="X29" s="5" t="s">
        <v>475</v>
      </c>
      <c r="Y29" s="5"/>
      <c r="Z29" s="5"/>
      <c r="AA29" s="5"/>
      <c r="AB29" s="5"/>
      <c r="AC29" s="5"/>
      <c r="AD29" t="s">
        <v>475</v>
      </c>
    </row>
    <row r="30" spans="1:30" ht="58">
      <c r="A30" t="s">
        <v>182</v>
      </c>
      <c r="B30" s="3" t="s">
        <v>572</v>
      </c>
      <c r="C30" s="3" t="s">
        <v>573</v>
      </c>
      <c r="G30" s="5" t="s">
        <v>479</v>
      </c>
      <c r="H30" s="5"/>
      <c r="I30" s="5">
        <v>5</v>
      </c>
      <c r="J30" s="5">
        <v>27</v>
      </c>
      <c r="K30" s="5"/>
      <c r="L30" s="5" t="s">
        <v>504</v>
      </c>
      <c r="M30" s="5" t="s">
        <v>574</v>
      </c>
      <c r="N30" s="7" t="s">
        <v>605</v>
      </c>
      <c r="O30" s="5"/>
      <c r="P30" s="5">
        <v>38</v>
      </c>
      <c r="Q30" s="5"/>
      <c r="R30" s="5" t="s">
        <v>604</v>
      </c>
      <c r="S30" s="5" t="s">
        <v>604</v>
      </c>
      <c r="T30" s="5"/>
      <c r="U30" s="5"/>
      <c r="V30" s="5"/>
      <c r="W30" s="5"/>
      <c r="X30" s="5" t="s">
        <v>475</v>
      </c>
      <c r="Y30" s="5"/>
      <c r="Z30" s="5"/>
      <c r="AA30" s="5"/>
      <c r="AB30" s="5"/>
      <c r="AC30" s="5"/>
      <c r="AD30" t="s">
        <v>481</v>
      </c>
    </row>
    <row r="31" spans="1:30">
      <c r="A31" t="s">
        <v>183</v>
      </c>
      <c r="B31" s="3" t="s">
        <v>184</v>
      </c>
      <c r="C31" s="3" t="s">
        <v>185</v>
      </c>
      <c r="G31" s="5" t="s">
        <v>546</v>
      </c>
      <c r="H31" s="5"/>
      <c r="I31" s="5"/>
      <c r="J31" s="5"/>
      <c r="K31" s="5"/>
      <c r="L31" s="5"/>
      <c r="M31" s="5"/>
      <c r="N31" s="7"/>
      <c r="O31" s="5"/>
      <c r="P31" s="5"/>
      <c r="Q31" s="5"/>
      <c r="R31" s="5" t="s">
        <v>604</v>
      </c>
      <c r="S31" s="5" t="s">
        <v>604</v>
      </c>
      <c r="T31" s="5"/>
      <c r="U31" s="5"/>
      <c r="V31" s="5"/>
      <c r="W31" s="5"/>
      <c r="X31" s="5" t="s">
        <v>475</v>
      </c>
      <c r="Y31" s="5"/>
      <c r="Z31" s="5"/>
      <c r="AA31" s="5"/>
      <c r="AB31" s="5"/>
      <c r="AC31" s="5"/>
      <c r="AD31" t="s">
        <v>481</v>
      </c>
    </row>
    <row r="32" spans="1:30">
      <c r="A32" t="s">
        <v>192</v>
      </c>
      <c r="B32" s="3" t="s">
        <v>389</v>
      </c>
      <c r="C32" s="3" t="s">
        <v>390</v>
      </c>
      <c r="G32" s="5" t="s">
        <v>479</v>
      </c>
      <c r="H32" s="5"/>
      <c r="I32" s="5">
        <v>1</v>
      </c>
      <c r="J32" s="5">
        <v>5</v>
      </c>
      <c r="K32" s="5" t="s">
        <v>503</v>
      </c>
      <c r="L32" s="5" t="s">
        <v>504</v>
      </c>
      <c r="M32" s="5" t="s">
        <v>551</v>
      </c>
      <c r="N32" s="7" t="s">
        <v>552</v>
      </c>
      <c r="O32" s="5"/>
      <c r="P32" s="5">
        <v>1599</v>
      </c>
      <c r="Q32" s="5"/>
      <c r="R32" s="5" t="s">
        <v>604</v>
      </c>
      <c r="S32" s="5" t="s">
        <v>604</v>
      </c>
      <c r="T32" s="5"/>
      <c r="U32" s="5"/>
      <c r="V32" s="5"/>
      <c r="W32" s="5"/>
      <c r="X32" s="5" t="s">
        <v>475</v>
      </c>
      <c r="Y32" s="5"/>
      <c r="Z32" s="5"/>
      <c r="AA32" s="5"/>
      <c r="AB32" s="5"/>
      <c r="AC32" s="5"/>
      <c r="AD32" t="s">
        <v>481</v>
      </c>
    </row>
    <row r="33" spans="1:31">
      <c r="A33" t="s">
        <v>193</v>
      </c>
      <c r="B33" s="4" t="s">
        <v>194</v>
      </c>
      <c r="C33" s="3" t="s">
        <v>391</v>
      </c>
      <c r="D33" t="s">
        <v>488</v>
      </c>
      <c r="F33" t="s">
        <v>482</v>
      </c>
      <c r="G33" s="11" t="s">
        <v>546</v>
      </c>
      <c r="H33" s="11"/>
      <c r="I33" s="11"/>
      <c r="J33" s="11"/>
      <c r="K33" s="11"/>
      <c r="L33" s="11"/>
      <c r="M33" s="11"/>
      <c r="N33" s="12"/>
      <c r="O33" s="11"/>
      <c r="P33" s="11"/>
      <c r="Q33" s="11"/>
      <c r="R33" s="5" t="s">
        <v>604</v>
      </c>
      <c r="S33" s="5" t="s">
        <v>604</v>
      </c>
      <c r="T33" s="11"/>
      <c r="U33" s="11"/>
      <c r="V33" s="11"/>
      <c r="W33" s="11"/>
      <c r="X33" s="11" t="s">
        <v>475</v>
      </c>
      <c r="Y33" s="11"/>
      <c r="Z33" s="11"/>
      <c r="AA33" s="11"/>
      <c r="AB33" s="11"/>
      <c r="AC33" s="11"/>
      <c r="AD33" t="s">
        <v>475</v>
      </c>
    </row>
    <row r="34" spans="1:31">
      <c r="A34" t="s">
        <v>193</v>
      </c>
      <c r="B34" s="3" t="s">
        <v>195</v>
      </c>
      <c r="C34" s="3" t="s">
        <v>196</v>
      </c>
      <c r="G34" s="5" t="s">
        <v>546</v>
      </c>
      <c r="H34" s="5"/>
      <c r="I34" s="5"/>
      <c r="J34" s="5"/>
      <c r="K34" s="5"/>
      <c r="L34" s="5"/>
      <c r="M34" s="5"/>
      <c r="N34" s="7"/>
      <c r="O34" s="5"/>
      <c r="P34" s="5"/>
      <c r="Q34" s="5"/>
      <c r="R34" s="5" t="s">
        <v>604</v>
      </c>
      <c r="S34" s="5" t="s">
        <v>604</v>
      </c>
      <c r="T34" s="5"/>
      <c r="U34" s="5"/>
      <c r="V34" s="5"/>
      <c r="W34" s="5"/>
      <c r="X34" s="5" t="s">
        <v>475</v>
      </c>
      <c r="Y34" s="5"/>
      <c r="Z34" s="5"/>
      <c r="AA34" s="5"/>
      <c r="AB34" s="5"/>
      <c r="AC34" s="5"/>
      <c r="AD34" t="s">
        <v>475</v>
      </c>
    </row>
    <row r="35" spans="1:31">
      <c r="A35" t="s">
        <v>197</v>
      </c>
      <c r="B35" s="3" t="s">
        <v>392</v>
      </c>
      <c r="C35" s="3" t="s">
        <v>393</v>
      </c>
      <c r="G35" s="5" t="s">
        <v>546</v>
      </c>
      <c r="H35" s="5"/>
      <c r="I35" s="5"/>
      <c r="J35" s="5"/>
      <c r="K35" s="5"/>
      <c r="L35" s="5"/>
      <c r="M35" s="5"/>
      <c r="N35" s="7"/>
      <c r="O35" s="5"/>
      <c r="P35" s="5"/>
      <c r="Q35" s="5"/>
      <c r="R35" s="5" t="s">
        <v>604</v>
      </c>
      <c r="S35" s="5" t="s">
        <v>604</v>
      </c>
      <c r="T35" s="5" t="s">
        <v>559</v>
      </c>
      <c r="U35" s="5"/>
      <c r="V35" s="5"/>
      <c r="W35" s="5"/>
      <c r="X35" s="5" t="s">
        <v>475</v>
      </c>
      <c r="Y35" s="5"/>
      <c r="Z35" s="5"/>
      <c r="AA35" s="5"/>
      <c r="AB35" s="5"/>
      <c r="AC35" s="5"/>
      <c r="AD35" t="s">
        <v>475</v>
      </c>
    </row>
    <row r="36" spans="1:31" ht="43.5">
      <c r="A36" t="s">
        <v>197</v>
      </c>
      <c r="B36" s="3" t="s">
        <v>394</v>
      </c>
      <c r="C36" s="3" t="s">
        <v>395</v>
      </c>
      <c r="G36" s="5" t="s">
        <v>479</v>
      </c>
      <c r="H36" s="5"/>
      <c r="I36" s="5">
        <v>4</v>
      </c>
      <c r="J36" s="5">
        <v>15</v>
      </c>
      <c r="K36" s="5"/>
      <c r="L36" s="5" t="s">
        <v>504</v>
      </c>
      <c r="M36" s="5" t="s">
        <v>574</v>
      </c>
      <c r="N36" s="7" t="s">
        <v>610</v>
      </c>
      <c r="O36" s="5"/>
      <c r="P36" s="5">
        <v>63</v>
      </c>
      <c r="Q36" s="5"/>
      <c r="R36" s="5" t="s">
        <v>604</v>
      </c>
      <c r="S36" s="5" t="s">
        <v>604</v>
      </c>
      <c r="T36" s="5"/>
      <c r="U36" s="5"/>
      <c r="V36" s="5"/>
      <c r="W36" s="5"/>
      <c r="X36" s="5" t="s">
        <v>475</v>
      </c>
      <c r="Y36" s="5"/>
      <c r="Z36" s="5"/>
      <c r="AA36" s="5"/>
      <c r="AB36" s="5"/>
      <c r="AC36" s="5"/>
      <c r="AD36" t="s">
        <v>481</v>
      </c>
    </row>
    <row r="37" spans="1:31">
      <c r="A37" t="s">
        <v>204</v>
      </c>
      <c r="B37" s="3" t="s">
        <v>400</v>
      </c>
      <c r="C37" s="3" t="s">
        <v>401</v>
      </c>
      <c r="F37" t="s">
        <v>337</v>
      </c>
      <c r="G37" s="5" t="s">
        <v>479</v>
      </c>
      <c r="H37" s="5"/>
      <c r="I37" s="5">
        <v>1</v>
      </c>
      <c r="J37" s="5">
        <v>3</v>
      </c>
      <c r="K37" s="5" t="s">
        <v>509</v>
      </c>
      <c r="L37" s="5" t="s">
        <v>510</v>
      </c>
      <c r="M37" s="5"/>
      <c r="N37" s="7"/>
      <c r="O37" s="5"/>
      <c r="P37" s="5">
        <v>19277</v>
      </c>
      <c r="Q37" s="5"/>
      <c r="R37" s="5" t="s">
        <v>604</v>
      </c>
      <c r="S37" s="5" t="s">
        <v>604</v>
      </c>
      <c r="T37" s="5"/>
      <c r="U37" s="5"/>
      <c r="V37" s="5"/>
      <c r="W37" s="5"/>
      <c r="X37" s="5" t="s">
        <v>475</v>
      </c>
      <c r="Y37" s="5"/>
      <c r="Z37" s="5"/>
      <c r="AA37" s="5"/>
      <c r="AB37" s="5"/>
      <c r="AC37" s="5"/>
      <c r="AD37" t="s">
        <v>481</v>
      </c>
    </row>
    <row r="38" spans="1:31" ht="29">
      <c r="A38" t="s">
        <v>207</v>
      </c>
      <c r="B38" s="3" t="s">
        <v>403</v>
      </c>
      <c r="C38" s="3" t="s">
        <v>404</v>
      </c>
      <c r="F38" t="s">
        <v>337</v>
      </c>
      <c r="G38" s="5" t="s">
        <v>479</v>
      </c>
      <c r="H38" s="5"/>
      <c r="I38" s="5">
        <v>2</v>
      </c>
      <c r="J38" s="5">
        <v>12</v>
      </c>
      <c r="K38" s="5"/>
      <c r="L38" s="5" t="s">
        <v>504</v>
      </c>
      <c r="M38" s="5" t="s">
        <v>564</v>
      </c>
      <c r="N38" s="7" t="s">
        <v>576</v>
      </c>
      <c r="O38" s="5"/>
      <c r="P38" s="5">
        <v>5</v>
      </c>
      <c r="Q38" s="5"/>
      <c r="R38" s="5" t="s">
        <v>604</v>
      </c>
      <c r="S38" s="5" t="s">
        <v>604</v>
      </c>
      <c r="T38" s="5"/>
      <c r="U38" s="5"/>
      <c r="V38" s="5"/>
      <c r="W38" s="5"/>
      <c r="X38" s="5" t="s">
        <v>475</v>
      </c>
      <c r="Y38" s="5"/>
      <c r="Z38" s="5"/>
      <c r="AA38" s="5"/>
      <c r="AB38" s="5"/>
      <c r="AC38" s="5"/>
      <c r="AD38" t="s">
        <v>481</v>
      </c>
    </row>
    <row r="39" spans="1:31" ht="29">
      <c r="A39" t="s">
        <v>212</v>
      </c>
      <c r="B39" s="3" t="s">
        <v>577</v>
      </c>
      <c r="C39" s="3" t="s">
        <v>578</v>
      </c>
      <c r="G39" s="5" t="s">
        <v>545</v>
      </c>
      <c r="H39" s="5"/>
      <c r="I39" s="5"/>
      <c r="J39" s="5"/>
      <c r="K39" s="5"/>
      <c r="L39" s="5"/>
      <c r="M39" s="5"/>
      <c r="N39" s="7"/>
      <c r="O39" s="5"/>
      <c r="P39" s="5"/>
      <c r="Q39" s="5">
        <v>-13267</v>
      </c>
      <c r="R39" s="5">
        <v>19277</v>
      </c>
      <c r="S39" s="5">
        <v>6010</v>
      </c>
      <c r="T39" s="5"/>
      <c r="U39" s="5"/>
      <c r="V39" s="5"/>
      <c r="W39" s="5"/>
      <c r="X39" s="5" t="s">
        <v>475</v>
      </c>
      <c r="Y39" s="5"/>
      <c r="Z39" s="5"/>
      <c r="AA39" s="5"/>
      <c r="AB39" s="5"/>
      <c r="AC39" s="5"/>
      <c r="AD39" t="s">
        <v>475</v>
      </c>
      <c r="AE39" t="s">
        <v>637</v>
      </c>
    </row>
    <row r="40" spans="1:31" ht="29">
      <c r="A40" t="s">
        <v>212</v>
      </c>
      <c r="B40" s="3" t="s">
        <v>722</v>
      </c>
      <c r="C40" s="3" t="s">
        <v>579</v>
      </c>
      <c r="G40" s="5" t="s">
        <v>545</v>
      </c>
      <c r="H40" s="5"/>
      <c r="I40" s="5"/>
      <c r="J40" s="5"/>
      <c r="K40" s="5"/>
      <c r="L40" s="5"/>
      <c r="M40" s="5"/>
      <c r="N40" s="7"/>
      <c r="O40" s="5"/>
      <c r="P40" s="5"/>
      <c r="Q40" s="5">
        <v>-13267</v>
      </c>
      <c r="R40" s="5">
        <v>19277</v>
      </c>
      <c r="S40" s="5">
        <v>6010</v>
      </c>
      <c r="T40" s="5"/>
      <c r="U40" s="5"/>
      <c r="V40" s="5"/>
      <c r="W40" s="5"/>
      <c r="X40" s="5" t="s">
        <v>475</v>
      </c>
      <c r="Y40" s="5"/>
      <c r="Z40" s="5"/>
      <c r="AA40" s="5"/>
      <c r="AB40" s="5"/>
      <c r="AC40" s="5"/>
      <c r="AD40" t="s">
        <v>475</v>
      </c>
    </row>
    <row r="41" spans="1:31">
      <c r="A41" t="s">
        <v>221</v>
      </c>
      <c r="B41" s="3" t="s">
        <v>410</v>
      </c>
      <c r="C41" s="3" t="s">
        <v>68</v>
      </c>
      <c r="G41" s="5" t="s">
        <v>546</v>
      </c>
      <c r="H41" s="5"/>
      <c r="I41" s="5"/>
      <c r="J41" s="5"/>
      <c r="K41" s="5"/>
      <c r="L41" s="5"/>
      <c r="M41" s="5"/>
      <c r="N41" s="7"/>
      <c r="O41" s="5"/>
      <c r="P41" s="5"/>
      <c r="Q41" s="5"/>
      <c r="R41" s="5" t="s">
        <v>604</v>
      </c>
      <c r="S41" s="5" t="s">
        <v>604</v>
      </c>
      <c r="T41" s="5"/>
      <c r="U41" s="5"/>
      <c r="V41" s="5"/>
      <c r="W41" s="5"/>
      <c r="X41" s="5" t="s">
        <v>475</v>
      </c>
      <c r="Y41" s="5"/>
      <c r="Z41" s="5"/>
      <c r="AA41" s="5"/>
      <c r="AB41" s="5"/>
      <c r="AC41" s="5"/>
      <c r="AD41" t="s">
        <v>481</v>
      </c>
    </row>
    <row r="42" spans="1:31">
      <c r="A42" t="s">
        <v>224</v>
      </c>
      <c r="B42" s="3" t="s">
        <v>412</v>
      </c>
      <c r="C42" s="3" t="s">
        <v>413</v>
      </c>
      <c r="G42" s="5" t="s">
        <v>546</v>
      </c>
      <c r="H42" s="5"/>
      <c r="I42" s="5"/>
      <c r="J42" s="5"/>
      <c r="K42" s="5"/>
      <c r="L42" s="5"/>
      <c r="M42" s="5"/>
      <c r="N42" s="7"/>
      <c r="O42" s="5"/>
      <c r="P42" s="5"/>
      <c r="Q42" s="5"/>
      <c r="R42" s="5" t="s">
        <v>604</v>
      </c>
      <c r="S42" s="5" t="s">
        <v>604</v>
      </c>
      <c r="T42" s="5"/>
      <c r="U42" s="5"/>
      <c r="V42" s="5"/>
      <c r="W42" s="5"/>
      <c r="X42" s="5" t="s">
        <v>475</v>
      </c>
      <c r="Y42" s="5"/>
      <c r="Z42" s="5"/>
      <c r="AA42" s="5"/>
      <c r="AB42" s="5"/>
      <c r="AC42" s="5"/>
      <c r="AD42" t="s">
        <v>475</v>
      </c>
    </row>
    <row r="43" spans="1:31" ht="29">
      <c r="A43" t="s">
        <v>228</v>
      </c>
      <c r="B43" s="3" t="s">
        <v>415</v>
      </c>
      <c r="C43" s="3" t="s">
        <v>416</v>
      </c>
      <c r="G43" s="5" t="s">
        <v>479</v>
      </c>
      <c r="H43" s="5"/>
      <c r="I43" s="5">
        <v>4</v>
      </c>
      <c r="J43" s="5">
        <v>17</v>
      </c>
      <c r="K43" s="5"/>
      <c r="L43" s="5" t="s">
        <v>504</v>
      </c>
      <c r="M43" s="5" t="s">
        <v>564</v>
      </c>
      <c r="N43" s="7" t="s">
        <v>565</v>
      </c>
      <c r="O43" s="5"/>
      <c r="P43" s="5">
        <v>1285</v>
      </c>
      <c r="Q43" s="5"/>
      <c r="R43" s="5" t="s">
        <v>604</v>
      </c>
      <c r="S43" s="5" t="s">
        <v>604</v>
      </c>
      <c r="T43" s="5"/>
      <c r="U43" s="5"/>
      <c r="V43" s="5"/>
      <c r="W43" s="5"/>
      <c r="X43" s="5" t="s">
        <v>475</v>
      </c>
      <c r="Y43" s="5"/>
      <c r="Z43" s="5"/>
      <c r="AA43" s="5"/>
      <c r="AB43" s="5"/>
      <c r="AC43" s="5"/>
      <c r="AD43" t="s">
        <v>481</v>
      </c>
    </row>
    <row r="44" spans="1:31" ht="29">
      <c r="A44" t="s">
        <v>229</v>
      </c>
      <c r="B44" s="3" t="s">
        <v>583</v>
      </c>
      <c r="C44" s="3" t="s">
        <v>584</v>
      </c>
      <c r="F44" t="s">
        <v>337</v>
      </c>
      <c r="G44" s="5" t="s">
        <v>545</v>
      </c>
      <c r="H44" s="5"/>
      <c r="I44" s="5"/>
      <c r="J44" s="5"/>
      <c r="K44" s="5"/>
      <c r="L44" s="5"/>
      <c r="M44" s="5"/>
      <c r="N44" s="7"/>
      <c r="O44" s="5"/>
      <c r="P44" s="5"/>
      <c r="Q44" s="5">
        <v>-13267</v>
      </c>
      <c r="R44" s="5">
        <v>19277</v>
      </c>
      <c r="S44" s="5">
        <v>6010</v>
      </c>
      <c r="T44" s="5"/>
      <c r="U44" s="5"/>
      <c r="V44" s="5"/>
      <c r="W44" s="5"/>
      <c r="X44" s="5" t="s">
        <v>475</v>
      </c>
      <c r="Y44" s="5"/>
      <c r="Z44" s="5"/>
      <c r="AA44" s="5"/>
      <c r="AB44" s="5"/>
      <c r="AC44" s="5"/>
      <c r="AD44" t="s">
        <v>481</v>
      </c>
    </row>
    <row r="45" spans="1:31" ht="29">
      <c r="A45" t="s">
        <v>232</v>
      </c>
      <c r="B45" s="3" t="s">
        <v>587</v>
      </c>
      <c r="C45" s="3" t="s">
        <v>588</v>
      </c>
      <c r="G45" s="5" t="s">
        <v>546</v>
      </c>
      <c r="H45" s="5"/>
      <c r="I45" s="5"/>
      <c r="J45" s="5"/>
      <c r="K45" s="5"/>
      <c r="L45" s="5"/>
      <c r="M45" s="5"/>
      <c r="N45" s="7"/>
      <c r="O45" s="5"/>
      <c r="P45" s="5"/>
      <c r="Q45" s="5"/>
      <c r="R45" s="5" t="s">
        <v>604</v>
      </c>
      <c r="S45" s="5" t="s">
        <v>604</v>
      </c>
      <c r="T45" s="5"/>
      <c r="U45" s="5"/>
      <c r="V45" s="5"/>
      <c r="W45" s="5"/>
      <c r="X45" s="5" t="s">
        <v>475</v>
      </c>
      <c r="Y45" s="5"/>
      <c r="Z45" s="5"/>
      <c r="AA45" s="5"/>
      <c r="AB45" s="5"/>
      <c r="AC45" s="5"/>
      <c r="AD45" t="s">
        <v>475</v>
      </c>
    </row>
    <row r="46" spans="1:31">
      <c r="A46" t="s">
        <v>237</v>
      </c>
      <c r="B46" s="3" t="s">
        <v>426</v>
      </c>
      <c r="C46" s="3" t="s">
        <v>427</v>
      </c>
      <c r="G46" s="5" t="s">
        <v>476</v>
      </c>
      <c r="H46" s="5"/>
      <c r="I46" s="5">
        <v>1</v>
      </c>
      <c r="J46" s="5">
        <v>2</v>
      </c>
      <c r="K46" s="5" t="s">
        <v>527</v>
      </c>
      <c r="L46" s="5" t="s">
        <v>549</v>
      </c>
      <c r="M46" s="5"/>
      <c r="N46" s="7"/>
      <c r="O46" s="5"/>
      <c r="P46" s="5">
        <v>903</v>
      </c>
      <c r="Q46" s="5"/>
      <c r="R46" s="5" t="s">
        <v>604</v>
      </c>
      <c r="S46" s="5" t="s">
        <v>604</v>
      </c>
      <c r="T46" s="5"/>
      <c r="U46" s="5"/>
      <c r="V46" s="5"/>
      <c r="W46" s="5"/>
      <c r="X46" s="5" t="s">
        <v>475</v>
      </c>
      <c r="Y46" s="5"/>
      <c r="Z46" s="5"/>
      <c r="AA46" s="5"/>
      <c r="AB46" s="5"/>
      <c r="AC46" s="5"/>
      <c r="AD46" t="s">
        <v>475</v>
      </c>
    </row>
    <row r="47" spans="1:31">
      <c r="A47" t="s">
        <v>241</v>
      </c>
      <c r="B47" s="3" t="s">
        <v>428</v>
      </c>
      <c r="C47" s="3" t="s">
        <v>429</v>
      </c>
      <c r="G47" s="5" t="s">
        <v>479</v>
      </c>
      <c r="H47" s="5"/>
      <c r="I47" s="5">
        <v>1</v>
      </c>
      <c r="J47" s="5">
        <v>1</v>
      </c>
      <c r="K47" s="5" t="s">
        <v>509</v>
      </c>
      <c r="L47" s="5" t="s">
        <v>549</v>
      </c>
      <c r="M47" s="5"/>
      <c r="N47" s="7"/>
      <c r="O47" s="5"/>
      <c r="P47" s="5">
        <v>19277</v>
      </c>
      <c r="Q47" s="5"/>
      <c r="R47" s="5" t="s">
        <v>604</v>
      </c>
      <c r="S47" s="5" t="s">
        <v>604</v>
      </c>
      <c r="T47" s="5" t="s">
        <v>559</v>
      </c>
      <c r="U47" s="5"/>
      <c r="V47" s="5"/>
      <c r="W47" s="5"/>
      <c r="X47" s="5" t="s">
        <v>475</v>
      </c>
      <c r="Y47" s="5"/>
      <c r="Z47" s="5"/>
      <c r="AA47" s="5"/>
      <c r="AB47" s="5"/>
      <c r="AC47" s="5"/>
      <c r="AD47" t="s">
        <v>475</v>
      </c>
    </row>
    <row r="48" spans="1:31">
      <c r="A48" t="s">
        <v>247</v>
      </c>
      <c r="B48" s="3" t="s">
        <v>430</v>
      </c>
      <c r="C48" s="3" t="s">
        <v>431</v>
      </c>
      <c r="G48" s="5" t="s">
        <v>479</v>
      </c>
      <c r="H48" s="5"/>
      <c r="I48" s="5">
        <v>1</v>
      </c>
      <c r="J48" s="5">
        <v>2</v>
      </c>
      <c r="K48" s="5" t="s">
        <v>509</v>
      </c>
      <c r="L48" s="5" t="s">
        <v>549</v>
      </c>
      <c r="M48" s="5"/>
      <c r="N48" s="7"/>
      <c r="O48" s="5"/>
      <c r="P48" s="5">
        <v>19277</v>
      </c>
      <c r="Q48" s="5"/>
      <c r="R48" s="5" t="s">
        <v>604</v>
      </c>
      <c r="S48" s="5" t="s">
        <v>604</v>
      </c>
      <c r="T48" s="5"/>
      <c r="U48" s="5"/>
      <c r="V48" s="5"/>
      <c r="W48" s="5"/>
      <c r="X48" s="5" t="s">
        <v>475</v>
      </c>
      <c r="Y48" s="5"/>
      <c r="Z48" s="5"/>
      <c r="AA48" s="5"/>
      <c r="AB48" s="5"/>
      <c r="AC48" s="5"/>
      <c r="AD48" t="s">
        <v>475</v>
      </c>
    </row>
    <row r="49" spans="1:31" ht="43.5">
      <c r="A49" t="s">
        <v>259</v>
      </c>
      <c r="B49" s="3" t="s">
        <v>434</v>
      </c>
      <c r="C49" s="3" t="s">
        <v>724</v>
      </c>
      <c r="F49" t="s">
        <v>337</v>
      </c>
      <c r="G49" s="5" t="s">
        <v>479</v>
      </c>
      <c r="H49" s="5"/>
      <c r="I49" s="5">
        <v>7</v>
      </c>
      <c r="J49" s="5">
        <v>32</v>
      </c>
      <c r="K49" s="5"/>
      <c r="L49" s="5" t="s">
        <v>504</v>
      </c>
      <c r="M49" s="5" t="s">
        <v>564</v>
      </c>
      <c r="N49" s="7" t="s">
        <v>565</v>
      </c>
      <c r="O49" s="5"/>
      <c r="P49" s="5">
        <v>6</v>
      </c>
      <c r="Q49" s="5"/>
      <c r="R49" s="5" t="s">
        <v>604</v>
      </c>
      <c r="S49" s="5" t="s">
        <v>604</v>
      </c>
      <c r="T49" s="5"/>
      <c r="U49" s="5"/>
      <c r="V49" s="5"/>
      <c r="W49" s="5"/>
      <c r="X49" s="5" t="s">
        <v>475</v>
      </c>
      <c r="Y49" s="5"/>
      <c r="Z49" s="5"/>
      <c r="AA49" s="5"/>
      <c r="AB49" s="5"/>
      <c r="AC49" s="5"/>
      <c r="AD49" t="s">
        <v>481</v>
      </c>
    </row>
    <row r="50" spans="1:31">
      <c r="A50" t="s">
        <v>260</v>
      </c>
      <c r="B50" s="3" t="s">
        <v>435</v>
      </c>
      <c r="C50" s="3" t="s">
        <v>436</v>
      </c>
      <c r="G50" s="5" t="s">
        <v>479</v>
      </c>
      <c r="H50" s="5"/>
      <c r="I50" s="5">
        <v>1</v>
      </c>
      <c r="J50" s="5">
        <v>2</v>
      </c>
      <c r="K50" s="5" t="s">
        <v>527</v>
      </c>
      <c r="L50" s="5" t="s">
        <v>549</v>
      </c>
      <c r="M50" s="5"/>
      <c r="N50" s="7"/>
      <c r="O50" s="5"/>
      <c r="P50" s="5">
        <v>218</v>
      </c>
      <c r="Q50" s="5"/>
      <c r="R50" s="5" t="s">
        <v>604</v>
      </c>
      <c r="S50" s="5" t="s">
        <v>604</v>
      </c>
      <c r="T50" s="5"/>
      <c r="U50" s="5"/>
      <c r="V50" s="5"/>
      <c r="W50" s="5"/>
      <c r="X50" s="5" t="s">
        <v>475</v>
      </c>
      <c r="Y50" s="5"/>
      <c r="Z50" s="5"/>
      <c r="AA50" s="5"/>
      <c r="AB50" s="5"/>
      <c r="AC50" s="5"/>
      <c r="AD50" t="s">
        <v>481</v>
      </c>
    </row>
    <row r="51" spans="1:31">
      <c r="A51" t="s">
        <v>266</v>
      </c>
      <c r="B51" s="3" t="s">
        <v>252</v>
      </c>
      <c r="C51" s="3" t="s">
        <v>179</v>
      </c>
      <c r="G51" s="5" t="s">
        <v>546</v>
      </c>
      <c r="H51" s="5"/>
      <c r="I51" s="5"/>
      <c r="J51" s="5"/>
      <c r="K51" s="5"/>
      <c r="L51" s="5"/>
      <c r="M51" s="5"/>
      <c r="N51" s="7"/>
      <c r="O51" s="5"/>
      <c r="P51" s="5"/>
      <c r="Q51" s="5"/>
      <c r="R51" s="5" t="s">
        <v>604</v>
      </c>
      <c r="S51" s="5" t="s">
        <v>604</v>
      </c>
      <c r="T51" s="5"/>
      <c r="U51" s="5"/>
      <c r="V51" s="5"/>
      <c r="W51" s="5"/>
      <c r="X51" s="5" t="s">
        <v>475</v>
      </c>
      <c r="Y51" s="5"/>
      <c r="Z51" s="5"/>
      <c r="AA51" s="5"/>
      <c r="AB51" s="5"/>
      <c r="AC51" s="5"/>
      <c r="AD51" t="s">
        <v>481</v>
      </c>
    </row>
    <row r="52" spans="1:31" ht="29">
      <c r="A52" t="s">
        <v>280</v>
      </c>
      <c r="B52" s="3" t="s">
        <v>440</v>
      </c>
      <c r="C52" s="3" t="s">
        <v>441</v>
      </c>
      <c r="G52" s="5" t="s">
        <v>479</v>
      </c>
      <c r="H52" s="5"/>
      <c r="I52" s="5">
        <v>5</v>
      </c>
      <c r="J52" s="5">
        <v>15</v>
      </c>
      <c r="K52" s="5"/>
      <c r="L52" s="5" t="s">
        <v>504</v>
      </c>
      <c r="M52" s="5" t="s">
        <v>564</v>
      </c>
      <c r="N52" s="7" t="s">
        <v>593</v>
      </c>
      <c r="O52" s="5"/>
      <c r="P52" s="5">
        <v>418</v>
      </c>
      <c r="Q52" s="5"/>
      <c r="R52" s="5" t="s">
        <v>604</v>
      </c>
      <c r="S52" s="5" t="s">
        <v>604</v>
      </c>
      <c r="T52" s="5"/>
      <c r="U52" s="5"/>
      <c r="V52" s="5"/>
      <c r="W52" s="5"/>
      <c r="X52" s="5" t="s">
        <v>475</v>
      </c>
      <c r="Y52" s="5"/>
      <c r="Z52" s="5"/>
      <c r="AA52" s="5"/>
      <c r="AB52" s="5"/>
      <c r="AC52" s="5"/>
      <c r="AD52" t="s">
        <v>481</v>
      </c>
    </row>
    <row r="53" spans="1:31">
      <c r="A53" t="s">
        <v>288</v>
      </c>
      <c r="B53" s="3" t="s">
        <v>444</v>
      </c>
      <c r="C53" s="3" t="s">
        <v>445</v>
      </c>
      <c r="G53" s="5" t="s">
        <v>545</v>
      </c>
      <c r="H53" s="5"/>
      <c r="I53" s="5"/>
      <c r="J53" s="5"/>
      <c r="K53" s="5"/>
      <c r="L53" s="5"/>
      <c r="M53" s="5"/>
      <c r="N53" s="7"/>
      <c r="O53" s="5"/>
      <c r="P53" s="5"/>
      <c r="Q53" s="5">
        <v>-1312</v>
      </c>
      <c r="R53" s="5">
        <v>2215</v>
      </c>
      <c r="S53" s="5">
        <v>903</v>
      </c>
      <c r="T53" s="5"/>
      <c r="U53" s="5"/>
      <c r="V53" s="5"/>
      <c r="W53" s="5" t="s">
        <v>512</v>
      </c>
      <c r="X53" s="5" t="s">
        <v>475</v>
      </c>
      <c r="Y53" s="5"/>
      <c r="Z53" s="5"/>
      <c r="AA53" s="5"/>
      <c r="AB53" s="5"/>
      <c r="AC53" s="5"/>
      <c r="AD53" t="s">
        <v>475</v>
      </c>
    </row>
    <row r="54" spans="1:31">
      <c r="A54" t="s">
        <v>299</v>
      </c>
      <c r="B54" s="3" t="s">
        <v>300</v>
      </c>
      <c r="C54" s="3" t="s">
        <v>448</v>
      </c>
      <c r="G54" s="5" t="s">
        <v>545</v>
      </c>
      <c r="H54" s="5"/>
      <c r="I54" s="5"/>
      <c r="J54" s="5"/>
      <c r="K54" s="5"/>
      <c r="L54" s="5"/>
      <c r="M54" s="5"/>
      <c r="N54" s="7"/>
      <c r="O54" s="5"/>
      <c r="P54" s="5"/>
      <c r="Q54" s="5">
        <v>0</v>
      </c>
      <c r="R54" s="5">
        <v>0</v>
      </c>
      <c r="S54" s="5">
        <v>0</v>
      </c>
      <c r="T54" s="5"/>
      <c r="U54" s="5"/>
      <c r="V54" s="5"/>
      <c r="W54" s="5"/>
      <c r="X54" s="5" t="s">
        <v>475</v>
      </c>
      <c r="Y54" s="5"/>
      <c r="Z54" s="5"/>
      <c r="AA54" s="5"/>
      <c r="AB54" s="5"/>
      <c r="AC54" s="5"/>
      <c r="AD54" t="s">
        <v>481</v>
      </c>
    </row>
    <row r="55" spans="1:31">
      <c r="A55" t="s">
        <v>309</v>
      </c>
      <c r="B55" s="3" t="s">
        <v>310</v>
      </c>
      <c r="C55" s="3" t="s">
        <v>97</v>
      </c>
      <c r="G55" s="5" t="s">
        <v>546</v>
      </c>
      <c r="H55" s="5"/>
      <c r="I55" s="5"/>
      <c r="J55" s="5"/>
      <c r="K55" s="5"/>
      <c r="L55" s="5"/>
      <c r="M55" s="5"/>
      <c r="N55" s="7"/>
      <c r="O55" s="5"/>
      <c r="P55" s="5"/>
      <c r="Q55" s="5"/>
      <c r="R55" s="5" t="s">
        <v>604</v>
      </c>
      <c r="S55" s="5" t="s">
        <v>604</v>
      </c>
      <c r="T55" s="5"/>
      <c r="U55" s="5"/>
      <c r="V55" s="5"/>
      <c r="W55" s="5"/>
      <c r="X55" s="5" t="s">
        <v>475</v>
      </c>
      <c r="Y55" s="5"/>
      <c r="Z55" s="5"/>
      <c r="AA55" s="5"/>
      <c r="AB55" s="5"/>
      <c r="AC55" s="5"/>
      <c r="AD55" t="s">
        <v>481</v>
      </c>
      <c r="AE55" t="s">
        <v>638</v>
      </c>
    </row>
    <row r="56" spans="1:31">
      <c r="A56" t="s">
        <v>309</v>
      </c>
      <c r="B56" s="3" t="s">
        <v>600</v>
      </c>
      <c r="C56" s="3" t="s">
        <v>599</v>
      </c>
      <c r="G56" s="5" t="s">
        <v>545</v>
      </c>
      <c r="H56" s="5"/>
      <c r="I56" s="5"/>
      <c r="J56" s="5"/>
      <c r="K56" s="5"/>
      <c r="L56" s="5"/>
      <c r="M56" s="5"/>
      <c r="N56" s="7"/>
      <c r="O56" s="5"/>
      <c r="P56" s="5"/>
      <c r="Q56" s="5">
        <v>-198</v>
      </c>
      <c r="R56" s="5">
        <v>240</v>
      </c>
      <c r="S56" s="5">
        <v>42</v>
      </c>
      <c r="T56" s="5" t="s">
        <v>559</v>
      </c>
      <c r="U56" s="5"/>
      <c r="V56" s="5"/>
      <c r="W56" s="5"/>
      <c r="X56" s="5" t="s">
        <v>475</v>
      </c>
      <c r="Y56" s="5"/>
      <c r="Z56" s="5"/>
      <c r="AA56" s="5"/>
      <c r="AB56" s="5"/>
      <c r="AC56" s="5"/>
      <c r="AD56" t="s">
        <v>481</v>
      </c>
    </row>
    <row r="57" spans="1:31" ht="43.5">
      <c r="A57" t="s">
        <v>313</v>
      </c>
      <c r="B57" s="3" t="s">
        <v>450</v>
      </c>
      <c r="C57" s="3" t="s">
        <v>451</v>
      </c>
      <c r="G57" s="5" t="s">
        <v>479</v>
      </c>
      <c r="H57" s="5"/>
      <c r="I57" s="5">
        <v>4</v>
      </c>
      <c r="J57" s="5">
        <v>17</v>
      </c>
      <c r="K57" s="5"/>
      <c r="L57" s="5" t="s">
        <v>504</v>
      </c>
      <c r="M57" s="5" t="s">
        <v>574</v>
      </c>
      <c r="N57" s="7" t="s">
        <v>601</v>
      </c>
      <c r="O57" s="5"/>
      <c r="P57" s="5">
        <v>43</v>
      </c>
      <c r="Q57" s="5"/>
      <c r="R57" s="5" t="s">
        <v>604</v>
      </c>
      <c r="S57" s="5" t="s">
        <v>604</v>
      </c>
      <c r="T57" s="5" t="s">
        <v>559</v>
      </c>
      <c r="U57" s="5"/>
      <c r="V57" s="5"/>
      <c r="W57" s="5"/>
      <c r="X57" s="5" t="s">
        <v>475</v>
      </c>
      <c r="Y57" s="5"/>
      <c r="Z57" s="5"/>
      <c r="AA57" s="5"/>
      <c r="AB57" s="5"/>
      <c r="AC57" s="5"/>
      <c r="AD57" t="s">
        <v>475</v>
      </c>
      <c r="AE57" t="s">
        <v>639</v>
      </c>
    </row>
    <row r="58" spans="1:31" ht="43.5">
      <c r="A58" t="s">
        <v>314</v>
      </c>
      <c r="B58" s="3" t="s">
        <v>453</v>
      </c>
      <c r="C58" s="3" t="s">
        <v>454</v>
      </c>
      <c r="G58" s="5" t="s">
        <v>479</v>
      </c>
      <c r="H58" s="5"/>
      <c r="I58" s="5">
        <v>4</v>
      </c>
      <c r="J58" s="5">
        <v>15</v>
      </c>
      <c r="K58" s="5"/>
      <c r="L58" s="5" t="s">
        <v>504</v>
      </c>
      <c r="M58" s="5" t="s">
        <v>564</v>
      </c>
      <c r="N58" s="7" t="s">
        <v>602</v>
      </c>
      <c r="O58" s="5"/>
      <c r="P58" s="5">
        <v>43</v>
      </c>
      <c r="Q58" s="5"/>
      <c r="R58" s="5" t="s">
        <v>604</v>
      </c>
      <c r="S58" s="5" t="s">
        <v>604</v>
      </c>
      <c r="T58" s="5" t="s">
        <v>559</v>
      </c>
      <c r="U58" s="5"/>
      <c r="V58" s="5"/>
      <c r="W58" s="5"/>
      <c r="X58" s="5" t="s">
        <v>475</v>
      </c>
      <c r="Y58" s="5"/>
      <c r="Z58" s="5"/>
      <c r="AA58" s="5"/>
      <c r="AB58" s="5"/>
      <c r="AC58" s="5"/>
      <c r="AD58" t="s">
        <v>481</v>
      </c>
      <c r="AE58" t="s">
        <v>642</v>
      </c>
    </row>
    <row r="59" spans="1:31">
      <c r="A59" t="s">
        <v>325</v>
      </c>
      <c r="B59" s="3" t="s">
        <v>457</v>
      </c>
      <c r="C59" s="3" t="s">
        <v>458</v>
      </c>
      <c r="G59" s="5" t="s">
        <v>479</v>
      </c>
      <c r="H59" s="5"/>
      <c r="I59" s="5">
        <v>1</v>
      </c>
      <c r="J59" s="5">
        <v>2</v>
      </c>
      <c r="K59" s="5" t="s">
        <v>509</v>
      </c>
      <c r="L59" s="5" t="s">
        <v>549</v>
      </c>
      <c r="M59" s="5"/>
      <c r="N59" s="7"/>
      <c r="O59" s="5"/>
      <c r="P59" s="5">
        <v>19277</v>
      </c>
      <c r="Q59" s="5"/>
      <c r="R59" s="5" t="s">
        <v>604</v>
      </c>
      <c r="S59" s="5" t="s">
        <v>604</v>
      </c>
      <c r="T59" s="5" t="s">
        <v>559</v>
      </c>
      <c r="U59" s="5"/>
      <c r="V59" s="5"/>
      <c r="W59" s="5"/>
      <c r="X59" s="5" t="s">
        <v>475</v>
      </c>
      <c r="Y59" s="5"/>
      <c r="Z59" s="5"/>
      <c r="AA59" s="5"/>
      <c r="AB59" s="5"/>
      <c r="AC59" s="5" t="s">
        <v>475</v>
      </c>
      <c r="AD59" t="s">
        <v>475</v>
      </c>
    </row>
    <row r="60" spans="1:31">
      <c r="A60" t="s">
        <v>325</v>
      </c>
      <c r="B60" s="3" t="s">
        <v>459</v>
      </c>
      <c r="C60" s="3" t="s">
        <v>460</v>
      </c>
      <c r="G60" s="5" t="s">
        <v>476</v>
      </c>
      <c r="H60" s="5"/>
      <c r="I60" s="5">
        <v>1</v>
      </c>
      <c r="J60" s="5">
        <v>1</v>
      </c>
      <c r="K60" s="5" t="s">
        <v>503</v>
      </c>
      <c r="L60" s="5" t="s">
        <v>549</v>
      </c>
      <c r="M60" s="5"/>
      <c r="N60" s="7"/>
      <c r="O60" s="5" t="s">
        <v>505</v>
      </c>
      <c r="P60" s="5">
        <v>370</v>
      </c>
      <c r="Q60" s="5"/>
      <c r="R60" s="5" t="s">
        <v>604</v>
      </c>
      <c r="S60" s="5" t="s">
        <v>604</v>
      </c>
      <c r="T60" s="5" t="s">
        <v>559</v>
      </c>
      <c r="U60" s="5"/>
      <c r="V60" s="5"/>
      <c r="W60" s="5"/>
      <c r="X60" s="5" t="s">
        <v>475</v>
      </c>
      <c r="Y60" s="5"/>
      <c r="Z60" s="5"/>
      <c r="AA60" s="5"/>
      <c r="AB60" s="5"/>
      <c r="AC60" s="5"/>
      <c r="AD60" t="s">
        <v>481</v>
      </c>
    </row>
    <row r="61" spans="1:31">
      <c r="A61" t="s">
        <v>325</v>
      </c>
      <c r="B61" s="3" t="s">
        <v>461</v>
      </c>
      <c r="C61" s="3" t="s">
        <v>462</v>
      </c>
      <c r="G61" s="5" t="s">
        <v>545</v>
      </c>
      <c r="H61" s="5"/>
      <c r="I61" s="5"/>
      <c r="J61" s="5"/>
      <c r="K61" s="5"/>
      <c r="L61" s="5"/>
      <c r="M61" s="5"/>
      <c r="N61" s="7"/>
      <c r="O61" s="5" t="s">
        <v>511</v>
      </c>
      <c r="P61" s="5"/>
      <c r="Q61" s="5">
        <v>30</v>
      </c>
      <c r="R61" s="5">
        <v>47</v>
      </c>
      <c r="S61" s="5">
        <v>77</v>
      </c>
      <c r="T61" s="5" t="s">
        <v>559</v>
      </c>
      <c r="U61" s="5"/>
      <c r="V61" s="5"/>
      <c r="W61" s="5"/>
      <c r="X61" s="5" t="s">
        <v>475</v>
      </c>
      <c r="Y61" s="5"/>
      <c r="Z61" s="5"/>
      <c r="AA61" s="5"/>
      <c r="AB61" s="5"/>
      <c r="AC61" s="5"/>
      <c r="AD61" t="s">
        <v>481</v>
      </c>
    </row>
    <row r="62" spans="1:31" ht="29">
      <c r="A62" t="s">
        <v>326</v>
      </c>
      <c r="B62" s="3" t="s">
        <v>463</v>
      </c>
      <c r="C62" s="3" t="s">
        <v>464</v>
      </c>
      <c r="G62" s="5" t="s">
        <v>479</v>
      </c>
      <c r="H62" s="5"/>
      <c r="I62" s="5">
        <v>3</v>
      </c>
      <c r="J62" s="5">
        <v>14</v>
      </c>
      <c r="K62" s="5"/>
      <c r="L62" s="5" t="s">
        <v>504</v>
      </c>
      <c r="M62" s="5" t="s">
        <v>574</v>
      </c>
      <c r="N62" s="7" t="s">
        <v>613</v>
      </c>
      <c r="O62" s="5"/>
      <c r="P62" s="5">
        <v>119</v>
      </c>
      <c r="Q62" s="5"/>
      <c r="R62" s="5" t="s">
        <v>604</v>
      </c>
      <c r="S62" s="5" t="s">
        <v>604</v>
      </c>
      <c r="T62" s="5" t="s">
        <v>559</v>
      </c>
      <c r="U62" s="5"/>
      <c r="V62" s="5"/>
      <c r="W62" s="5"/>
      <c r="X62" s="5" t="s">
        <v>475</v>
      </c>
      <c r="Y62" s="5"/>
      <c r="Z62" s="5"/>
      <c r="AA62" s="5"/>
      <c r="AB62" s="5"/>
      <c r="AC62" s="5" t="s">
        <v>475</v>
      </c>
      <c r="AD62" t="s">
        <v>481</v>
      </c>
      <c r="AE62" t="s">
        <v>640</v>
      </c>
    </row>
    <row r="63" spans="1:31">
      <c r="A63" t="s">
        <v>331</v>
      </c>
      <c r="B63" s="3" t="s">
        <v>469</v>
      </c>
      <c r="C63" s="3" t="s">
        <v>467</v>
      </c>
      <c r="G63" s="5" t="s">
        <v>479</v>
      </c>
      <c r="H63" s="5"/>
      <c r="I63" s="5">
        <v>1</v>
      </c>
      <c r="J63" s="5">
        <v>2</v>
      </c>
      <c r="K63" s="5" t="s">
        <v>509</v>
      </c>
      <c r="L63" s="5" t="s">
        <v>549</v>
      </c>
      <c r="M63" s="5"/>
      <c r="N63" s="7"/>
      <c r="O63" s="5" t="s">
        <v>511</v>
      </c>
      <c r="P63" s="5">
        <v>19277</v>
      </c>
      <c r="Q63" s="5"/>
      <c r="R63" s="5" t="s">
        <v>604</v>
      </c>
      <c r="S63" s="5" t="s">
        <v>604</v>
      </c>
      <c r="T63" s="5" t="s">
        <v>559</v>
      </c>
      <c r="U63" s="5"/>
      <c r="V63" s="5"/>
      <c r="W63" s="5"/>
      <c r="X63" s="5" t="s">
        <v>475</v>
      </c>
      <c r="Y63" s="5"/>
      <c r="Z63" s="5"/>
      <c r="AA63" s="5"/>
      <c r="AB63" s="5"/>
      <c r="AC63" s="5"/>
      <c r="AD63" t="s">
        <v>475</v>
      </c>
    </row>
    <row r="64" spans="1:31">
      <c r="A64" t="s">
        <v>331</v>
      </c>
      <c r="B64" s="3" t="s">
        <v>470</v>
      </c>
      <c r="C64" s="3" t="s">
        <v>471</v>
      </c>
      <c r="G64" s="5" t="s">
        <v>545</v>
      </c>
      <c r="H64" s="5"/>
      <c r="I64" s="5"/>
      <c r="J64" s="5"/>
      <c r="K64" s="5"/>
      <c r="L64" s="5"/>
      <c r="M64" s="5"/>
      <c r="N64" s="7"/>
      <c r="O64" s="5" t="s">
        <v>511</v>
      </c>
      <c r="P64" s="5"/>
      <c r="Q64" s="5">
        <v>-32</v>
      </c>
      <c r="R64" s="5">
        <v>44</v>
      </c>
      <c r="S64" s="5">
        <v>12</v>
      </c>
      <c r="T64" s="5"/>
      <c r="U64" s="5"/>
      <c r="V64" s="5"/>
      <c r="W64" s="5"/>
      <c r="X64" s="5" t="s">
        <v>475</v>
      </c>
      <c r="Y64" s="5"/>
      <c r="Z64" s="5"/>
      <c r="AA64" s="5"/>
      <c r="AB64" s="5"/>
      <c r="AC64" s="5"/>
      <c r="AD64" t="s">
        <v>481</v>
      </c>
    </row>
    <row r="65" spans="18:19">
      <c r="R65" s="5"/>
      <c r="S65" s="5"/>
    </row>
    <row r="66" spans="18:19">
      <c r="R66" s="5"/>
      <c r="S66" s="5"/>
    </row>
    <row r="67" spans="18:19">
      <c r="R67" s="5"/>
      <c r="S67" s="5"/>
    </row>
    <row r="68" spans="18:19">
      <c r="R68" s="5"/>
      <c r="S68" s="5"/>
    </row>
  </sheetData>
  <conditionalFormatting sqref="G2:G64">
    <cfRule type="expression" dxfId="188" priority="29">
      <formula>$I2&lt;&gt;""</formula>
    </cfRule>
    <cfRule type="expression" dxfId="187" priority="30">
      <formula>$I2=""</formula>
    </cfRule>
  </conditionalFormatting>
  <conditionalFormatting sqref="H2:L64 O2:P64">
    <cfRule type="expression" dxfId="186" priority="27">
      <formula>AND(OR($I2="Addition",$I2="Omission"), H2="")</formula>
    </cfRule>
    <cfRule type="expression" dxfId="185" priority="28">
      <formula>AND($I2&lt;&gt;"Addition",$I2&lt;&gt;"Omission",$I2&lt;&gt;"Substitution - Word")</formula>
    </cfRule>
  </conditionalFormatting>
  <conditionalFormatting sqref="H2:P64">
    <cfRule type="expression" dxfId="184" priority="26">
      <formula>AND(OR($I2="Addition",$I2="Omission"), H2&lt;&gt;"")</formula>
    </cfRule>
  </conditionalFormatting>
  <conditionalFormatting sqref="K2:K64">
    <cfRule type="expression" dxfId="183" priority="21">
      <formula>AND($K2&lt;&gt;"",$K2&gt;1)</formula>
    </cfRule>
  </conditionalFormatting>
  <conditionalFormatting sqref="M2:N64">
    <cfRule type="expression" dxfId="182" priority="17">
      <formula>$N2="Absent"</formula>
    </cfRule>
    <cfRule type="expression" dxfId="181" priority="18">
      <formula>$N2="NA"</formula>
    </cfRule>
    <cfRule type="expression" dxfId="180" priority="19">
      <formula>AND(OR($I2="Addition",$I2="Omission"), M2="")</formula>
    </cfRule>
    <cfRule type="expression" dxfId="179" priority="20">
      <formula>AND($I2&lt;&gt;"Addition",$I2&lt;&gt;"Omission")</formula>
    </cfRule>
  </conditionalFormatting>
  <conditionalFormatting sqref="O2:O64">
    <cfRule type="expression" dxfId="178" priority="22">
      <formula>AND(OR($I2="Addition",$I2="Omission",$I2="Substitution - Word"),RIGHT($AD2,6)&lt;&gt;"strict",$AC2&lt;&gt;"Yes")</formula>
    </cfRule>
  </conditionalFormatting>
  <conditionalFormatting sqref="Q2:S64 R2:S66">
    <cfRule type="expression" dxfId="177" priority="23">
      <formula>AND(AND(LEFT($I2,3)="Sub", RIGHT($I2,4)&lt;&gt;"Form"),$S2&lt;&gt;"")</formula>
    </cfRule>
    <cfRule type="expression" dxfId="176" priority="24">
      <formula>AND(AND(LEFT($I2,3)="Sub", RIGHT($I2,4)&lt;&gt;"Form"),$S2="")</formula>
    </cfRule>
    <cfRule type="expression" dxfId="175" priority="25">
      <formula>"&lt;&gt;AND(LEFT($J2,3)=""Sub"", RIGHT($J2,4)&lt;&gt;""Form"")"</formula>
    </cfRule>
  </conditionalFormatting>
  <conditionalFormatting sqref="R67:S68">
    <cfRule type="expression" dxfId="174" priority="62">
      <formula>AND(AND(LEFT(#REF!,3)="Sub", RIGHT(#REF!,4)&lt;&gt;"Form"),$S67&lt;&gt;"")</formula>
    </cfRule>
    <cfRule type="expression" dxfId="173" priority="63">
      <formula>AND(AND(LEFT(#REF!,3)="Sub", RIGHT(#REF!,4)&lt;&gt;"Form"),$S67="")</formula>
    </cfRule>
    <cfRule type="expression" dxfId="172" priority="64">
      <formula>"&lt;&gt;AND(LEFT($J2,3)=""Sub"", RIGHT($J2,4)&lt;&gt;""Form"")"</formula>
    </cfRule>
  </conditionalFormatting>
  <conditionalFormatting sqref="T2:T64">
    <cfRule type="expression" dxfId="171" priority="7">
      <formula>AND($V2&lt;&gt;"",OR($AC2="Yes",$AD2&lt;&gt;""))</formula>
    </cfRule>
    <cfRule type="expression" dxfId="170" priority="8">
      <formula>OR($AC2="Yes",$AD2&lt;&gt;"")</formula>
    </cfRule>
    <cfRule type="expression" dxfId="169" priority="9">
      <formula>AND($I2&lt;&gt;"",$I2&lt;&gt;"Unclear due to correction")</formula>
    </cfRule>
    <cfRule type="expression" dxfId="168" priority="12">
      <formula>OR($I2="",$I2="Unclear due to correction")</formula>
    </cfRule>
    <cfRule type="expression" dxfId="167" priority="13">
      <formula>AND($AC2&lt;&gt;"Yes",$AD2="")</formula>
    </cfRule>
  </conditionalFormatting>
  <conditionalFormatting sqref="U2:U64">
    <cfRule type="expression" dxfId="166" priority="4">
      <formula>AND($I2&lt;&gt;"",$I2&lt;&gt;"Unclear due to correction",$W2="")</formula>
    </cfRule>
    <cfRule type="expression" dxfId="165" priority="5">
      <formula>AND($I2&lt;&gt;"",$I2&lt;&gt;"Unclear due to correction")</formula>
    </cfRule>
    <cfRule type="expression" dxfId="164" priority="6">
      <formula>OR($I2="",$I2="Unclear due to correction")</formula>
    </cfRule>
  </conditionalFormatting>
  <conditionalFormatting sqref="V2:V64">
    <cfRule type="expression" dxfId="163" priority="10">
      <formula>AND($W2="Yes",$X2="")</formula>
    </cfRule>
    <cfRule type="expression" dxfId="162" priority="11">
      <formula>$W2=""</formula>
    </cfRule>
  </conditionalFormatting>
  <conditionalFormatting sqref="V2:AC64">
    <cfRule type="expression" dxfId="161" priority="15">
      <formula>AND($I2&lt;&gt;"",$I2&lt;&gt;"Unclear due to correction")</formula>
    </cfRule>
    <cfRule type="expression" dxfId="160" priority="16">
      <formula>OR($I2="",$I2="Unclear due to correction")</formula>
    </cfRule>
  </conditionalFormatting>
  <conditionalFormatting sqref="AA2:AA64">
    <cfRule type="expression" dxfId="159" priority="14">
      <formula>AND(OR($AA2&lt;&gt;"",$AB2&lt;&gt;""),$AC2="")</formula>
    </cfRule>
  </conditionalFormatting>
  <dataValidations count="1">
    <dataValidation type="list" allowBlank="1" showInputMessage="1" showErrorMessage="1" sqref="AD2:AD64" xr:uid="{DB2E3C02-BE97-40AB-B2D0-11334ADB9ECC}">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52C94151-827D-40EF-86DA-5B8A3D8CDB80}">
          <x14:formula1>
            <xm:f>'Data Regularization'!$D$2:$D$1048576</xm:f>
          </x14:formula1>
          <xm:sqref>G2:G64</xm:sqref>
        </x14:dataValidation>
        <x14:dataValidation type="list" allowBlank="1" showInputMessage="1" xr:uid="{3139A3AB-AE69-441D-BD63-001A5F09A070}">
          <x14:formula1>
            <xm:f>'Data Regularization'!$A$2:$A$1048576</xm:f>
          </x14:formula1>
          <xm:sqref>D2:D64</xm:sqref>
        </x14:dataValidation>
        <x14:dataValidation type="list" allowBlank="1" showInputMessage="1" showErrorMessage="1" errorTitle="Invalid Entry" error="Just pick &quot;yes&quot; or &quot;no&quot;!!!" xr:uid="{D155EA8E-1C2F-47C5-BDA6-4742C84A7C6C}">
          <x14:formula1>
            <xm:f>'Data Regularization'!$B$2:$B$1048576</xm:f>
          </x14:formula1>
          <xm:sqref>E2:E64</xm:sqref>
        </x14:dataValidation>
        <x14:dataValidation type="list" allowBlank="1" showInputMessage="1" showErrorMessage="1" xr:uid="{FDFD6C13-B78E-4F33-8A38-35C49C02916A}">
          <x14:formula1>
            <xm:f>'Data Regularization'!$C$2:$C$1048576</xm:f>
          </x14:formula1>
          <xm:sqref>F2:F64</xm:sqref>
        </x14:dataValidation>
        <x14:dataValidation type="list" allowBlank="1" showInputMessage="1" showErrorMessage="1" xr:uid="{02EB2592-80A6-4D37-9482-965CE3B04ED7}">
          <x14:formula1>
            <xm:f>'Data Regularization'!$E$2:$E$1048576</xm:f>
          </x14:formula1>
          <xm:sqref>K2:K64</xm:sqref>
        </x14:dataValidation>
        <x14:dataValidation type="list" allowBlank="1" showInputMessage="1" showErrorMessage="1" xr:uid="{14D2012F-3851-4261-BCF9-AA97D37945DB}">
          <x14:formula1>
            <xm:f>'Data Regularization'!$F$2:$F$1048576</xm:f>
          </x14:formula1>
          <xm:sqref>L2:L64</xm:sqref>
        </x14:dataValidation>
        <x14:dataValidation type="list" allowBlank="1" showInputMessage="1" showErrorMessage="1" xr:uid="{5D289B4D-A27F-4378-A02A-EF62FA41F253}">
          <x14:formula1>
            <xm:f>'Data Regularization'!$G$2:$G$1048576</xm:f>
          </x14:formula1>
          <xm:sqref>O2:O64</xm:sqref>
        </x14:dataValidation>
        <x14:dataValidation type="list" allowBlank="1" showInputMessage="1" showErrorMessage="1" xr:uid="{0E50FAC4-F329-4623-853C-18C025700CE3}">
          <x14:formula1>
            <xm:f>'Data Regularization'!$J$2:$J$1048576</xm:f>
          </x14:formula1>
          <xm:sqref>V2:V64</xm:sqref>
        </x14:dataValidation>
        <x14:dataValidation type="list" allowBlank="1" showInputMessage="1" showErrorMessage="1" xr:uid="{276E4FA1-D3C1-4253-9072-761C4EDE486A}">
          <x14:formula1>
            <xm:f>'Data Regularization'!$K$2:$K$1048576</xm:f>
          </x14:formula1>
          <xm:sqref>W2:W64</xm:sqref>
        </x14:dataValidation>
        <x14:dataValidation type="list" allowBlank="1" showInputMessage="1" showErrorMessage="1" xr:uid="{46EDC314-3E89-4913-8705-77FC6D7A961F}">
          <x14:formula1>
            <xm:f>'Data Regularization'!$L$2:$L$1048576</xm:f>
          </x14:formula1>
          <xm:sqref>X2:X64</xm:sqref>
        </x14:dataValidation>
        <x14:dataValidation type="list" allowBlank="1" showInputMessage="1" showErrorMessage="1" xr:uid="{30DA714A-2B3C-47E6-9813-FB2D3B88669D}">
          <x14:formula1>
            <xm:f>'Data Regularization'!$M$2:$M$1048576</xm:f>
          </x14:formula1>
          <xm:sqref>Y2:Y64</xm:sqref>
        </x14:dataValidation>
        <x14:dataValidation type="list" allowBlank="1" showInputMessage="1" showErrorMessage="1" xr:uid="{8402065D-6E03-49FA-B3DC-6416612894EA}">
          <x14:formula1>
            <xm:f>'Data Regularization'!$N$2:$N$1048576</xm:f>
          </x14:formula1>
          <xm:sqref>AA2:AA64</xm:sqref>
        </x14:dataValidation>
        <x14:dataValidation type="list" allowBlank="1" showInputMessage="1" showErrorMessage="1" xr:uid="{1B9B66BE-3D4E-4F93-9C21-46D2BBA9EB70}">
          <x14:formula1>
            <xm:f>'Data Regularization'!$O$2:$O$1048576</xm:f>
          </x14:formula1>
          <xm:sqref>AB2:AB64</xm:sqref>
        </x14:dataValidation>
        <x14:dataValidation type="list" allowBlank="1" showInputMessage="1" showErrorMessage="1" xr:uid="{EF1AD82C-1D37-46D0-892B-A6DA27CBCAA4}">
          <x14:formula1>
            <xm:f>'Data Regularization'!$P$2:$P$1048576</xm:f>
          </x14:formula1>
          <xm:sqref>AC2:AC64</xm:sqref>
        </x14:dataValidation>
        <x14:dataValidation type="list" allowBlank="1" showInputMessage="1" showErrorMessage="1" xr:uid="{51B0F82E-D0E2-40A5-A799-D74C0112488D}">
          <x14:formula1>
            <xm:f>'Data Regularization'!$H$2:$H$1048576</xm:f>
          </x14:formula1>
          <xm:sqref>T2:T64</xm:sqref>
        </x14:dataValidation>
        <x14:dataValidation type="list" allowBlank="1" showInputMessage="1" xr:uid="{B0EA0A09-8484-4709-9000-AB0B894F657E}">
          <x14:formula1>
            <xm:f>'Data Regularization'!$I$2:$I$1048576</xm:f>
          </x14:formula1>
          <xm:sqref>U2:U64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67950-7769-4646-B0BE-9F7BE30D02DF}">
  <dimension ref="A1:AF7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1" s="1" customFormat="1" ht="29">
      <c r="A1" s="1" t="s">
        <v>0</v>
      </c>
      <c r="B1" s="2" t="s">
        <v>473</v>
      </c>
      <c r="C1" s="2" t="s">
        <v>474</v>
      </c>
      <c r="D1" s="1" t="s">
        <v>531</v>
      </c>
      <c r="E1" s="1" t="s">
        <v>532</v>
      </c>
      <c r="F1" s="1" t="s">
        <v>533</v>
      </c>
      <c r="G1" s="1" t="s">
        <v>3</v>
      </c>
      <c r="I1" s="1" t="s">
        <v>534</v>
      </c>
      <c r="J1" s="1" t="s">
        <v>535</v>
      </c>
      <c r="K1" s="1" t="s">
        <v>536</v>
      </c>
      <c r="L1" s="1" t="s">
        <v>495</v>
      </c>
      <c r="M1" s="1" t="s">
        <v>537</v>
      </c>
      <c r="N1" s="6" t="s">
        <v>538</v>
      </c>
      <c r="O1" s="1" t="s">
        <v>496</v>
      </c>
      <c r="P1" s="1" t="s">
        <v>539</v>
      </c>
      <c r="Q1" s="1" t="s">
        <v>675</v>
      </c>
      <c r="R1" s="1" t="s">
        <v>540</v>
      </c>
      <c r="S1" s="1" t="s">
        <v>673</v>
      </c>
      <c r="T1" s="1" t="s">
        <v>674</v>
      </c>
      <c r="U1" s="1" t="s">
        <v>557</v>
      </c>
      <c r="V1" s="1" t="s">
        <v>558</v>
      </c>
      <c r="W1" s="1" t="s">
        <v>497</v>
      </c>
      <c r="X1" s="1" t="s">
        <v>498</v>
      </c>
      <c r="Y1" s="1" t="s">
        <v>499</v>
      </c>
      <c r="Z1" s="1" t="s">
        <v>500</v>
      </c>
      <c r="AA1" s="1" t="s">
        <v>541</v>
      </c>
      <c r="AB1" s="1" t="s">
        <v>569</v>
      </c>
      <c r="AC1" s="1" t="s">
        <v>502</v>
      </c>
      <c r="AD1" s="1" t="s">
        <v>544</v>
      </c>
      <c r="AE1" s="1" t="s">
        <v>634</v>
      </c>
    </row>
    <row r="2" spans="1:31" ht="29">
      <c r="A2" t="s">
        <v>20</v>
      </c>
      <c r="B2" s="3" t="s">
        <v>341</v>
      </c>
      <c r="C2" s="3" t="s">
        <v>342</v>
      </c>
      <c r="G2" s="5" t="s">
        <v>479</v>
      </c>
      <c r="H2" s="5"/>
      <c r="I2" s="5">
        <v>1</v>
      </c>
      <c r="J2" s="5">
        <v>1</v>
      </c>
      <c r="K2" s="5" t="s">
        <v>509</v>
      </c>
      <c r="L2" s="5" t="s">
        <v>549</v>
      </c>
      <c r="M2" s="5"/>
      <c r="N2" s="7"/>
      <c r="O2" s="5"/>
      <c r="P2" s="5">
        <v>19277</v>
      </c>
      <c r="Q2" s="5">
        <f t="shared" ref="Q2:Q25" si="0">IF(ISNUMBER(P2), (P2/$E$77)*10000, "")</f>
        <v>1547.9804063277925</v>
      </c>
      <c r="R2" s="5"/>
      <c r="S2" s="5" t="s">
        <v>604</v>
      </c>
      <c r="T2" s="5" t="s">
        <v>604</v>
      </c>
      <c r="U2" s="5" t="s">
        <v>559</v>
      </c>
      <c r="V2" s="5"/>
      <c r="W2" s="5"/>
      <c r="X2" s="5"/>
      <c r="Y2" s="5" t="s">
        <v>475</v>
      </c>
      <c r="Z2" s="5"/>
      <c r="AA2" s="5"/>
      <c r="AB2" s="5"/>
      <c r="AC2" s="5"/>
      <c r="AD2" s="5"/>
      <c r="AE2" t="s">
        <v>475</v>
      </c>
    </row>
    <row r="3" spans="1:31" ht="29">
      <c r="A3" t="s">
        <v>23</v>
      </c>
      <c r="B3" s="3" t="s">
        <v>343</v>
      </c>
      <c r="C3" s="3" t="s">
        <v>344</v>
      </c>
      <c r="G3" s="5" t="s">
        <v>479</v>
      </c>
      <c r="H3" s="5"/>
      <c r="I3" s="5">
        <v>1</v>
      </c>
      <c r="J3" s="5">
        <v>1</v>
      </c>
      <c r="K3" s="5" t="s">
        <v>509</v>
      </c>
      <c r="L3" s="5" t="s">
        <v>549</v>
      </c>
      <c r="M3" s="5"/>
      <c r="N3" s="7"/>
      <c r="O3" s="5"/>
      <c r="P3" s="5">
        <v>19277</v>
      </c>
      <c r="Q3" s="5">
        <f t="shared" si="0"/>
        <v>1547.9804063277925</v>
      </c>
      <c r="R3" s="5"/>
      <c r="S3" s="5" t="s">
        <v>604</v>
      </c>
      <c r="T3" s="5" t="s">
        <v>604</v>
      </c>
      <c r="U3" s="5" t="s">
        <v>559</v>
      </c>
      <c r="V3" s="5"/>
      <c r="W3" s="5"/>
      <c r="X3" s="5"/>
      <c r="Y3" s="5" t="s">
        <v>475</v>
      </c>
      <c r="Z3" s="5"/>
      <c r="AA3" s="5"/>
      <c r="AB3" s="5"/>
      <c r="AC3" s="5"/>
      <c r="AD3" s="5"/>
      <c r="AE3" t="s">
        <v>475</v>
      </c>
    </row>
    <row r="4" spans="1:31" ht="72.5">
      <c r="A4" t="s">
        <v>64</v>
      </c>
      <c r="B4" s="3" t="s">
        <v>356</v>
      </c>
      <c r="C4" s="3" t="s">
        <v>357</v>
      </c>
      <c r="G4" s="5" t="s">
        <v>479</v>
      </c>
      <c r="H4" s="5"/>
      <c r="I4" s="5">
        <v>4</v>
      </c>
      <c r="J4" s="5">
        <v>16</v>
      </c>
      <c r="K4" s="5"/>
      <c r="L4" s="5" t="s">
        <v>504</v>
      </c>
      <c r="M4" s="5" t="s">
        <v>564</v>
      </c>
      <c r="N4" s="7" t="s">
        <v>565</v>
      </c>
      <c r="O4" s="5"/>
      <c r="P4" s="5">
        <v>38</v>
      </c>
      <c r="Q4" s="5">
        <f t="shared" si="0"/>
        <v>3.0514735405123266</v>
      </c>
      <c r="R4" s="5"/>
      <c r="S4" s="5" t="s">
        <v>604</v>
      </c>
      <c r="T4" s="5" t="s">
        <v>604</v>
      </c>
      <c r="U4" s="5"/>
      <c r="V4" s="5"/>
      <c r="W4" s="5"/>
      <c r="X4" s="5"/>
      <c r="Y4" s="5" t="s">
        <v>475</v>
      </c>
      <c r="Z4" s="5"/>
      <c r="AA4" s="5"/>
      <c r="AB4" s="5"/>
      <c r="AC4" s="5"/>
      <c r="AD4" s="5"/>
      <c r="AE4" t="s">
        <v>475</v>
      </c>
    </row>
    <row r="5" spans="1:31" ht="29">
      <c r="A5" t="s">
        <v>92</v>
      </c>
      <c r="B5" s="3" t="s">
        <v>362</v>
      </c>
      <c r="C5" s="3" t="s">
        <v>363</v>
      </c>
      <c r="G5" s="5" t="s">
        <v>479</v>
      </c>
      <c r="H5" s="5"/>
      <c r="I5" s="5">
        <v>1</v>
      </c>
      <c r="J5" s="5">
        <v>2</v>
      </c>
      <c r="K5" s="5" t="s">
        <v>567</v>
      </c>
      <c r="L5" s="5" t="s">
        <v>549</v>
      </c>
      <c r="M5" s="5"/>
      <c r="N5" s="7"/>
      <c r="O5" s="5" t="s">
        <v>505</v>
      </c>
      <c r="P5" s="5">
        <v>273</v>
      </c>
      <c r="Q5" s="5">
        <f t="shared" si="0"/>
        <v>21.922428330522767</v>
      </c>
      <c r="R5" s="5"/>
      <c r="S5" s="5" t="s">
        <v>604</v>
      </c>
      <c r="T5" s="5" t="s">
        <v>604</v>
      </c>
      <c r="U5" s="5"/>
      <c r="V5" s="5"/>
      <c r="W5" s="5"/>
      <c r="X5" s="5"/>
      <c r="Y5" s="5" t="s">
        <v>475</v>
      </c>
      <c r="Z5" s="5"/>
      <c r="AA5" s="5"/>
      <c r="AB5" s="5"/>
      <c r="AC5" s="5"/>
      <c r="AD5" s="5"/>
      <c r="AE5" t="s">
        <v>475</v>
      </c>
    </row>
    <row r="6" spans="1:31" ht="43.5">
      <c r="A6" t="s">
        <v>150</v>
      </c>
      <c r="B6" s="3" t="s">
        <v>374</v>
      </c>
      <c r="C6" s="3" t="s">
        <v>375</v>
      </c>
      <c r="F6" t="s">
        <v>337</v>
      </c>
      <c r="G6" s="5" t="s">
        <v>479</v>
      </c>
      <c r="H6" s="5"/>
      <c r="I6" s="5">
        <v>1</v>
      </c>
      <c r="J6" s="5">
        <v>3</v>
      </c>
      <c r="K6" s="5" t="s">
        <v>509</v>
      </c>
      <c r="L6" s="5" t="s">
        <v>510</v>
      </c>
      <c r="M6" s="5"/>
      <c r="N6" s="7"/>
      <c r="O6" s="5"/>
      <c r="P6" s="5">
        <v>19277</v>
      </c>
      <c r="Q6" s="5">
        <f t="shared" si="0"/>
        <v>1547.9804063277925</v>
      </c>
      <c r="R6" s="5"/>
      <c r="S6" s="5" t="s">
        <v>604</v>
      </c>
      <c r="T6" s="5" t="s">
        <v>604</v>
      </c>
      <c r="U6" s="5" t="s">
        <v>559</v>
      </c>
      <c r="V6" s="5"/>
      <c r="W6" s="5"/>
      <c r="X6" s="5"/>
      <c r="Y6" s="5" t="s">
        <v>475</v>
      </c>
      <c r="Z6" s="5"/>
      <c r="AA6" s="5"/>
      <c r="AB6" s="5"/>
      <c r="AC6" s="5"/>
      <c r="AD6" s="5"/>
      <c r="AE6" t="s">
        <v>481</v>
      </c>
    </row>
    <row r="7" spans="1:31" ht="43.5">
      <c r="A7" t="s">
        <v>151</v>
      </c>
      <c r="B7" s="3" t="s">
        <v>376</v>
      </c>
      <c r="C7" s="3" t="s">
        <v>377</v>
      </c>
      <c r="F7" t="s">
        <v>337</v>
      </c>
      <c r="G7" s="5" t="s">
        <v>479</v>
      </c>
      <c r="H7" s="5"/>
      <c r="I7" s="5">
        <v>1</v>
      </c>
      <c r="J7" s="5">
        <v>3</v>
      </c>
      <c r="K7" s="5" t="s">
        <v>509</v>
      </c>
      <c r="L7" s="5" t="s">
        <v>510</v>
      </c>
      <c r="M7" s="5"/>
      <c r="N7" s="7"/>
      <c r="O7" s="5"/>
      <c r="P7" s="5">
        <v>19277</v>
      </c>
      <c r="Q7" s="5">
        <f t="shared" si="0"/>
        <v>1547.9804063277925</v>
      </c>
      <c r="R7" s="5"/>
      <c r="S7" s="5" t="s">
        <v>604</v>
      </c>
      <c r="T7" s="5" t="s">
        <v>604</v>
      </c>
      <c r="U7" s="5"/>
      <c r="V7" s="5"/>
      <c r="W7" s="5"/>
      <c r="X7" s="5"/>
      <c r="Y7" s="5" t="s">
        <v>475</v>
      </c>
      <c r="Z7" s="5"/>
      <c r="AA7" s="5"/>
      <c r="AB7" s="5"/>
      <c r="AC7" s="5"/>
      <c r="AD7" s="5"/>
      <c r="AE7" t="s">
        <v>481</v>
      </c>
    </row>
    <row r="8" spans="1:31" ht="174">
      <c r="A8" t="s">
        <v>182</v>
      </c>
      <c r="B8" s="3" t="s">
        <v>572</v>
      </c>
      <c r="C8" s="3" t="s">
        <v>573</v>
      </c>
      <c r="G8" s="5" t="s">
        <v>479</v>
      </c>
      <c r="H8" s="5"/>
      <c r="I8" s="5">
        <v>5</v>
      </c>
      <c r="J8" s="5">
        <v>27</v>
      </c>
      <c r="K8" s="5"/>
      <c r="L8" s="5" t="s">
        <v>504</v>
      </c>
      <c r="M8" s="5" t="s">
        <v>574</v>
      </c>
      <c r="N8" s="7" t="s">
        <v>605</v>
      </c>
      <c r="O8" s="5"/>
      <c r="P8" s="5">
        <v>38</v>
      </c>
      <c r="Q8" s="5">
        <f t="shared" si="0"/>
        <v>3.0514735405123266</v>
      </c>
      <c r="R8" s="5"/>
      <c r="S8" s="5" t="s">
        <v>604</v>
      </c>
      <c r="T8" s="5" t="s">
        <v>604</v>
      </c>
      <c r="U8" s="5"/>
      <c r="V8" s="5"/>
      <c r="W8" s="5"/>
      <c r="X8" s="5"/>
      <c r="Y8" s="5" t="s">
        <v>475</v>
      </c>
      <c r="Z8" s="5"/>
      <c r="AA8" s="5"/>
      <c r="AB8" s="5"/>
      <c r="AC8" s="5"/>
      <c r="AD8" s="5"/>
      <c r="AE8" t="s">
        <v>481</v>
      </c>
    </row>
    <row r="9" spans="1:31" ht="43.5">
      <c r="A9" t="s">
        <v>192</v>
      </c>
      <c r="B9" s="3" t="s">
        <v>389</v>
      </c>
      <c r="C9" s="3" t="s">
        <v>390</v>
      </c>
      <c r="G9" s="5" t="s">
        <v>479</v>
      </c>
      <c r="H9" s="5"/>
      <c r="I9" s="5">
        <v>1</v>
      </c>
      <c r="J9" s="5">
        <v>5</v>
      </c>
      <c r="K9" s="5" t="s">
        <v>503</v>
      </c>
      <c r="L9" s="5" t="s">
        <v>504</v>
      </c>
      <c r="M9" s="5" t="s">
        <v>551</v>
      </c>
      <c r="N9" s="7" t="s">
        <v>552</v>
      </c>
      <c r="O9" s="5"/>
      <c r="P9" s="5">
        <v>1599</v>
      </c>
      <c r="Q9" s="5">
        <f t="shared" si="0"/>
        <v>128.40279450734764</v>
      </c>
      <c r="R9" s="5"/>
      <c r="S9" s="5" t="s">
        <v>604</v>
      </c>
      <c r="T9" s="5" t="s">
        <v>604</v>
      </c>
      <c r="U9" s="5"/>
      <c r="V9" s="5"/>
      <c r="W9" s="5"/>
      <c r="X9" s="5"/>
      <c r="Y9" s="5" t="s">
        <v>475</v>
      </c>
      <c r="Z9" s="5"/>
      <c r="AA9" s="5"/>
      <c r="AB9" s="5"/>
      <c r="AC9" s="5"/>
      <c r="AD9" s="5"/>
      <c r="AE9" t="s">
        <v>481</v>
      </c>
    </row>
    <row r="10" spans="1:31" ht="116">
      <c r="A10" t="s">
        <v>197</v>
      </c>
      <c r="B10" s="3" t="s">
        <v>394</v>
      </c>
      <c r="C10" s="3" t="s">
        <v>395</v>
      </c>
      <c r="G10" s="5" t="s">
        <v>479</v>
      </c>
      <c r="H10" s="5"/>
      <c r="I10" s="5">
        <v>4</v>
      </c>
      <c r="J10" s="5">
        <v>15</v>
      </c>
      <c r="K10" s="5"/>
      <c r="L10" s="5" t="s">
        <v>504</v>
      </c>
      <c r="M10" s="5" t="s">
        <v>574</v>
      </c>
      <c r="N10" s="7" t="s">
        <v>610</v>
      </c>
      <c r="O10" s="5"/>
      <c r="P10" s="5">
        <v>63</v>
      </c>
      <c r="Q10" s="5">
        <f t="shared" si="0"/>
        <v>5.0590219224283297</v>
      </c>
      <c r="R10" s="5"/>
      <c r="S10" s="5" t="s">
        <v>604</v>
      </c>
      <c r="T10" s="5" t="s">
        <v>604</v>
      </c>
      <c r="U10" s="5"/>
      <c r="V10" s="5"/>
      <c r="W10" s="5"/>
      <c r="X10" s="5"/>
      <c r="Y10" s="5" t="s">
        <v>475</v>
      </c>
      <c r="Z10" s="5"/>
      <c r="AA10" s="5"/>
      <c r="AB10" s="5"/>
      <c r="AC10" s="5"/>
      <c r="AD10" s="5"/>
      <c r="AE10" t="s">
        <v>481</v>
      </c>
    </row>
    <row r="11" spans="1:31" ht="43.5">
      <c r="A11" t="s">
        <v>204</v>
      </c>
      <c r="B11" s="3" t="s">
        <v>400</v>
      </c>
      <c r="C11" s="3" t="s">
        <v>401</v>
      </c>
      <c r="F11" t="s">
        <v>337</v>
      </c>
      <c r="G11" s="5" t="s">
        <v>479</v>
      </c>
      <c r="H11" s="5"/>
      <c r="I11" s="5">
        <v>1</v>
      </c>
      <c r="J11" s="5">
        <v>3</v>
      </c>
      <c r="K11" s="5" t="s">
        <v>509</v>
      </c>
      <c r="L11" s="5" t="s">
        <v>510</v>
      </c>
      <c r="M11" s="5"/>
      <c r="N11" s="7"/>
      <c r="O11" s="5"/>
      <c r="P11" s="5">
        <v>19277</v>
      </c>
      <c r="Q11" s="5">
        <f t="shared" si="0"/>
        <v>1547.9804063277925</v>
      </c>
      <c r="R11" s="5"/>
      <c r="S11" s="5" t="s">
        <v>604</v>
      </c>
      <c r="T11" s="5" t="s">
        <v>604</v>
      </c>
      <c r="U11" s="5"/>
      <c r="V11" s="5"/>
      <c r="W11" s="5"/>
      <c r="X11" s="5"/>
      <c r="Y11" s="5" t="s">
        <v>475</v>
      </c>
      <c r="Z11" s="5"/>
      <c r="AA11" s="5"/>
      <c r="AB11" s="5"/>
      <c r="AC11" s="5"/>
      <c r="AD11" s="5"/>
      <c r="AE11" t="s">
        <v>481</v>
      </c>
    </row>
    <row r="12" spans="1:31" ht="72.5">
      <c r="A12" t="s">
        <v>207</v>
      </c>
      <c r="B12" s="3" t="s">
        <v>403</v>
      </c>
      <c r="C12" s="3" t="s">
        <v>404</v>
      </c>
      <c r="F12" t="s">
        <v>337</v>
      </c>
      <c r="G12" s="5" t="s">
        <v>479</v>
      </c>
      <c r="H12" s="5"/>
      <c r="I12" s="5">
        <v>2</v>
      </c>
      <c r="J12" s="5">
        <v>12</v>
      </c>
      <c r="K12" s="5"/>
      <c r="L12" s="5" t="s">
        <v>504</v>
      </c>
      <c r="M12" s="5" t="s">
        <v>564</v>
      </c>
      <c r="N12" s="7" t="s">
        <v>576</v>
      </c>
      <c r="O12" s="5"/>
      <c r="P12" s="5">
        <v>5</v>
      </c>
      <c r="Q12" s="5">
        <f t="shared" si="0"/>
        <v>0.40150967638320084</v>
      </c>
      <c r="R12" s="5"/>
      <c r="S12" s="5" t="s">
        <v>604</v>
      </c>
      <c r="T12" s="5" t="s">
        <v>604</v>
      </c>
      <c r="U12" s="5"/>
      <c r="V12" s="5"/>
      <c r="W12" s="5"/>
      <c r="X12" s="5"/>
      <c r="Y12" s="5" t="s">
        <v>475</v>
      </c>
      <c r="Z12" s="5"/>
      <c r="AA12" s="5"/>
      <c r="AB12" s="5"/>
      <c r="AC12" s="5"/>
      <c r="AD12" s="5"/>
      <c r="AE12" t="s">
        <v>481</v>
      </c>
    </row>
    <row r="13" spans="1:31" ht="72.5">
      <c r="A13" t="s">
        <v>228</v>
      </c>
      <c r="B13" s="3" t="s">
        <v>415</v>
      </c>
      <c r="C13" s="3" t="s">
        <v>416</v>
      </c>
      <c r="G13" s="5" t="s">
        <v>479</v>
      </c>
      <c r="H13" s="5"/>
      <c r="I13" s="5">
        <v>4</v>
      </c>
      <c r="J13" s="5">
        <v>17</v>
      </c>
      <c r="K13" s="5"/>
      <c r="L13" s="5" t="s">
        <v>504</v>
      </c>
      <c r="M13" s="5" t="s">
        <v>564</v>
      </c>
      <c r="N13" s="7" t="s">
        <v>565</v>
      </c>
      <c r="O13" s="5"/>
      <c r="P13" s="5">
        <v>1285</v>
      </c>
      <c r="Q13" s="5">
        <f t="shared" si="0"/>
        <v>103.18798683048261</v>
      </c>
      <c r="R13" s="5"/>
      <c r="S13" s="5" t="s">
        <v>604</v>
      </c>
      <c r="T13" s="5" t="s">
        <v>604</v>
      </c>
      <c r="U13" s="5"/>
      <c r="V13" s="5"/>
      <c r="W13" s="5"/>
      <c r="X13" s="5"/>
      <c r="Y13" s="5" t="s">
        <v>475</v>
      </c>
      <c r="Z13" s="5"/>
      <c r="AA13" s="5"/>
      <c r="AB13" s="5"/>
      <c r="AC13" s="5"/>
      <c r="AD13" s="5"/>
      <c r="AE13" t="s">
        <v>481</v>
      </c>
    </row>
    <row r="14" spans="1:31" ht="43.5">
      <c r="A14" t="s">
        <v>237</v>
      </c>
      <c r="B14" s="3" t="s">
        <v>426</v>
      </c>
      <c r="C14" s="3" t="s">
        <v>427</v>
      </c>
      <c r="G14" s="5" t="s">
        <v>476</v>
      </c>
      <c r="H14" s="5"/>
      <c r="I14" s="5">
        <v>1</v>
      </c>
      <c r="J14" s="5">
        <v>2</v>
      </c>
      <c r="K14" s="5" t="s">
        <v>527</v>
      </c>
      <c r="L14" s="5" t="s">
        <v>549</v>
      </c>
      <c r="M14" s="5"/>
      <c r="N14" s="7"/>
      <c r="O14" s="5"/>
      <c r="P14" s="5">
        <v>903</v>
      </c>
      <c r="Q14" s="5">
        <f t="shared" si="0"/>
        <v>72.512647554806065</v>
      </c>
      <c r="R14" s="5"/>
      <c r="S14" s="5" t="s">
        <v>604</v>
      </c>
      <c r="T14" s="5" t="s">
        <v>604</v>
      </c>
      <c r="U14" s="5"/>
      <c r="V14" s="5"/>
      <c r="W14" s="5"/>
      <c r="X14" s="5"/>
      <c r="Y14" s="5" t="s">
        <v>475</v>
      </c>
      <c r="Z14" s="5"/>
      <c r="AA14" s="5"/>
      <c r="AB14" s="5"/>
      <c r="AC14" s="5"/>
      <c r="AD14" s="5"/>
      <c r="AE14" t="s">
        <v>475</v>
      </c>
    </row>
    <row r="15" spans="1:31" ht="29">
      <c r="A15" t="s">
        <v>241</v>
      </c>
      <c r="B15" s="3" t="s">
        <v>428</v>
      </c>
      <c r="C15" s="3" t="s">
        <v>429</v>
      </c>
      <c r="G15" s="5" t="s">
        <v>479</v>
      </c>
      <c r="H15" s="5"/>
      <c r="I15" s="5">
        <v>1</v>
      </c>
      <c r="J15" s="5">
        <v>1</v>
      </c>
      <c r="K15" s="5" t="s">
        <v>509</v>
      </c>
      <c r="L15" s="5" t="s">
        <v>549</v>
      </c>
      <c r="M15" s="5"/>
      <c r="N15" s="7"/>
      <c r="O15" s="5"/>
      <c r="P15" s="5">
        <v>19277</v>
      </c>
      <c r="Q15" s="5">
        <f t="shared" si="0"/>
        <v>1547.9804063277925</v>
      </c>
      <c r="R15" s="5"/>
      <c r="S15" s="5" t="s">
        <v>604</v>
      </c>
      <c r="T15" s="5" t="s">
        <v>604</v>
      </c>
      <c r="U15" s="5" t="s">
        <v>559</v>
      </c>
      <c r="V15" s="5"/>
      <c r="W15" s="5"/>
      <c r="X15" s="5"/>
      <c r="Y15" s="5" t="s">
        <v>475</v>
      </c>
      <c r="Z15" s="5"/>
      <c r="AA15" s="5"/>
      <c r="AB15" s="5"/>
      <c r="AC15" s="5"/>
      <c r="AD15" s="5"/>
      <c r="AE15" t="s">
        <v>475</v>
      </c>
    </row>
    <row r="16" spans="1:31" ht="29">
      <c r="A16" t="s">
        <v>247</v>
      </c>
      <c r="B16" s="3" t="s">
        <v>430</v>
      </c>
      <c r="C16" s="3" t="s">
        <v>431</v>
      </c>
      <c r="G16" s="5" t="s">
        <v>479</v>
      </c>
      <c r="H16" s="5"/>
      <c r="I16" s="5">
        <v>1</v>
      </c>
      <c r="J16" s="5">
        <v>2</v>
      </c>
      <c r="K16" s="5" t="s">
        <v>509</v>
      </c>
      <c r="L16" s="5" t="s">
        <v>549</v>
      </c>
      <c r="M16" s="5"/>
      <c r="N16" s="7"/>
      <c r="O16" s="5"/>
      <c r="P16" s="5">
        <v>19277</v>
      </c>
      <c r="Q16" s="5">
        <f t="shared" si="0"/>
        <v>1547.9804063277925</v>
      </c>
      <c r="R16" s="5"/>
      <c r="S16" s="5" t="s">
        <v>604</v>
      </c>
      <c r="T16" s="5" t="s">
        <v>604</v>
      </c>
      <c r="U16" s="5"/>
      <c r="V16" s="5"/>
      <c r="W16" s="5"/>
      <c r="X16" s="5"/>
      <c r="Y16" s="5" t="s">
        <v>475</v>
      </c>
      <c r="Z16" s="5"/>
      <c r="AA16" s="5"/>
      <c r="AB16" s="5"/>
      <c r="AC16" s="5"/>
      <c r="AD16" s="5"/>
      <c r="AE16" t="s">
        <v>475</v>
      </c>
    </row>
    <row r="17" spans="1:32" ht="116">
      <c r="A17" t="s">
        <v>259</v>
      </c>
      <c r="B17" s="3" t="s">
        <v>434</v>
      </c>
      <c r="C17" s="3" t="s">
        <v>724</v>
      </c>
      <c r="F17" t="s">
        <v>337</v>
      </c>
      <c r="G17" s="5" t="s">
        <v>479</v>
      </c>
      <c r="H17" s="5"/>
      <c r="I17" s="5">
        <v>7</v>
      </c>
      <c r="J17" s="5">
        <v>32</v>
      </c>
      <c r="K17" s="5"/>
      <c r="L17" s="5" t="s">
        <v>504</v>
      </c>
      <c r="M17" s="5" t="s">
        <v>564</v>
      </c>
      <c r="N17" s="7" t="s">
        <v>565</v>
      </c>
      <c r="O17" s="5"/>
      <c r="P17" s="5">
        <v>6</v>
      </c>
      <c r="Q17" s="5">
        <f t="shared" si="0"/>
        <v>0.48181161165984099</v>
      </c>
      <c r="R17" s="5"/>
      <c r="S17" s="5" t="s">
        <v>604</v>
      </c>
      <c r="T17" s="5" t="s">
        <v>604</v>
      </c>
      <c r="U17" s="5"/>
      <c r="V17" s="5"/>
      <c r="W17" s="5"/>
      <c r="X17" s="5"/>
      <c r="Y17" s="5" t="s">
        <v>475</v>
      </c>
      <c r="Z17" s="5"/>
      <c r="AA17" s="5"/>
      <c r="AB17" s="5"/>
      <c r="AC17" s="5"/>
      <c r="AD17" s="5"/>
      <c r="AE17" t="s">
        <v>481</v>
      </c>
    </row>
    <row r="18" spans="1:32" ht="29">
      <c r="A18" t="s">
        <v>260</v>
      </c>
      <c r="B18" s="3" t="s">
        <v>435</v>
      </c>
      <c r="C18" s="3" t="s">
        <v>436</v>
      </c>
      <c r="G18" s="5" t="s">
        <v>479</v>
      </c>
      <c r="H18" s="5"/>
      <c r="I18" s="5">
        <v>1</v>
      </c>
      <c r="J18" s="5">
        <v>2</v>
      </c>
      <c r="K18" s="5" t="s">
        <v>527</v>
      </c>
      <c r="L18" s="5" t="s">
        <v>549</v>
      </c>
      <c r="M18" s="5"/>
      <c r="N18" s="7"/>
      <c r="O18" s="5"/>
      <c r="P18" s="5">
        <v>218</v>
      </c>
      <c r="Q18" s="5">
        <f t="shared" si="0"/>
        <v>17.505821890307555</v>
      </c>
      <c r="R18" s="5"/>
      <c r="S18" s="5" t="s">
        <v>604</v>
      </c>
      <c r="T18" s="5" t="s">
        <v>604</v>
      </c>
      <c r="U18" s="5"/>
      <c r="V18" s="5"/>
      <c r="W18" s="5"/>
      <c r="X18" s="5"/>
      <c r="Y18" s="5" t="s">
        <v>475</v>
      </c>
      <c r="Z18" s="5"/>
      <c r="AA18" s="5"/>
      <c r="AB18" s="5"/>
      <c r="AC18" s="5"/>
      <c r="AD18" s="5"/>
      <c r="AE18" t="s">
        <v>481</v>
      </c>
    </row>
    <row r="19" spans="1:32" ht="72.5">
      <c r="A19" t="s">
        <v>280</v>
      </c>
      <c r="B19" s="3" t="s">
        <v>440</v>
      </c>
      <c r="C19" s="3" t="s">
        <v>441</v>
      </c>
      <c r="G19" s="5" t="s">
        <v>479</v>
      </c>
      <c r="H19" s="5"/>
      <c r="I19" s="5">
        <v>5</v>
      </c>
      <c r="J19" s="5">
        <v>15</v>
      </c>
      <c r="K19" s="5"/>
      <c r="L19" s="5" t="s">
        <v>504</v>
      </c>
      <c r="M19" s="5" t="s">
        <v>564</v>
      </c>
      <c r="N19" s="7" t="s">
        <v>593</v>
      </c>
      <c r="O19" s="5"/>
      <c r="P19" s="5">
        <v>418</v>
      </c>
      <c r="Q19" s="5">
        <f t="shared" si="0"/>
        <v>33.566208945635587</v>
      </c>
      <c r="R19" s="5"/>
      <c r="S19" s="5" t="s">
        <v>604</v>
      </c>
      <c r="T19" s="5" t="s">
        <v>604</v>
      </c>
      <c r="U19" s="5"/>
      <c r="V19" s="5"/>
      <c r="W19" s="5"/>
      <c r="X19" s="5"/>
      <c r="Y19" s="5" t="s">
        <v>475</v>
      </c>
      <c r="Z19" s="5"/>
      <c r="AA19" s="5"/>
      <c r="AB19" s="5"/>
      <c r="AC19" s="5"/>
      <c r="AD19" s="5"/>
      <c r="AE19" t="s">
        <v>481</v>
      </c>
    </row>
    <row r="20" spans="1:32" ht="130.5">
      <c r="A20" t="s">
        <v>313</v>
      </c>
      <c r="B20" s="3" t="s">
        <v>450</v>
      </c>
      <c r="C20" s="3" t="s">
        <v>451</v>
      </c>
      <c r="G20" s="5" t="s">
        <v>479</v>
      </c>
      <c r="H20" s="5"/>
      <c r="I20" s="5">
        <v>4</v>
      </c>
      <c r="J20" s="5">
        <v>17</v>
      </c>
      <c r="K20" s="5"/>
      <c r="L20" s="5" t="s">
        <v>504</v>
      </c>
      <c r="M20" s="5" t="s">
        <v>574</v>
      </c>
      <c r="N20" s="7" t="s">
        <v>601</v>
      </c>
      <c r="O20" s="5"/>
      <c r="P20" s="5">
        <v>43</v>
      </c>
      <c r="Q20" s="5">
        <f t="shared" si="0"/>
        <v>3.452983216895527</v>
      </c>
      <c r="R20" s="5"/>
      <c r="S20" s="5" t="s">
        <v>604</v>
      </c>
      <c r="T20" s="5" t="s">
        <v>604</v>
      </c>
      <c r="U20" s="5" t="s">
        <v>559</v>
      </c>
      <c r="V20" s="5"/>
      <c r="W20" s="5"/>
      <c r="X20" s="5"/>
      <c r="Y20" s="5" t="s">
        <v>475</v>
      </c>
      <c r="Z20" s="5"/>
      <c r="AA20" s="5"/>
      <c r="AB20" s="5"/>
      <c r="AC20" s="5"/>
      <c r="AD20" s="5"/>
      <c r="AE20" t="s">
        <v>475</v>
      </c>
      <c r="AF20" t="s">
        <v>639</v>
      </c>
    </row>
    <row r="21" spans="1:32" ht="101.5">
      <c r="A21" t="s">
        <v>314</v>
      </c>
      <c r="B21" s="3" t="s">
        <v>453</v>
      </c>
      <c r="C21" s="3" t="s">
        <v>454</v>
      </c>
      <c r="G21" s="5" t="s">
        <v>479</v>
      </c>
      <c r="H21" s="5"/>
      <c r="I21" s="5">
        <v>4</v>
      </c>
      <c r="J21" s="5">
        <v>15</v>
      </c>
      <c r="K21" s="5"/>
      <c r="L21" s="5" t="s">
        <v>504</v>
      </c>
      <c r="M21" s="5" t="s">
        <v>564</v>
      </c>
      <c r="N21" s="7" t="s">
        <v>602</v>
      </c>
      <c r="O21" s="5"/>
      <c r="P21" s="5">
        <v>43</v>
      </c>
      <c r="Q21" s="5">
        <f t="shared" si="0"/>
        <v>3.452983216895527</v>
      </c>
      <c r="R21" s="5"/>
      <c r="S21" s="5" t="s">
        <v>604</v>
      </c>
      <c r="T21" s="5" t="s">
        <v>604</v>
      </c>
      <c r="U21" s="5" t="s">
        <v>559</v>
      </c>
      <c r="V21" s="5"/>
      <c r="W21" s="5"/>
      <c r="X21" s="5"/>
      <c r="Y21" s="5" t="s">
        <v>475</v>
      </c>
      <c r="Z21" s="5"/>
      <c r="AA21" s="5"/>
      <c r="AB21" s="5"/>
      <c r="AC21" s="5"/>
      <c r="AD21" s="5"/>
      <c r="AE21" t="s">
        <v>481</v>
      </c>
      <c r="AF21" t="s">
        <v>642</v>
      </c>
    </row>
    <row r="22" spans="1:32" ht="43.5">
      <c r="A22" t="s">
        <v>325</v>
      </c>
      <c r="B22" s="3" t="s">
        <v>457</v>
      </c>
      <c r="C22" s="3" t="s">
        <v>458</v>
      </c>
      <c r="G22" s="5" t="s">
        <v>479</v>
      </c>
      <c r="H22" s="5"/>
      <c r="I22" s="5">
        <v>1</v>
      </c>
      <c r="J22" s="5">
        <v>2</v>
      </c>
      <c r="K22" s="5" t="s">
        <v>509</v>
      </c>
      <c r="L22" s="5" t="s">
        <v>549</v>
      </c>
      <c r="M22" s="5"/>
      <c r="N22" s="7"/>
      <c r="O22" s="5"/>
      <c r="P22" s="5">
        <v>19277</v>
      </c>
      <c r="Q22" s="5">
        <f t="shared" si="0"/>
        <v>1547.9804063277925</v>
      </c>
      <c r="R22" s="5"/>
      <c r="S22" s="5" t="s">
        <v>604</v>
      </c>
      <c r="T22" s="5" t="s">
        <v>604</v>
      </c>
      <c r="U22" s="5" t="s">
        <v>559</v>
      </c>
      <c r="V22" s="5"/>
      <c r="W22" s="5"/>
      <c r="X22" s="5"/>
      <c r="Y22" s="5" t="s">
        <v>475</v>
      </c>
      <c r="Z22" s="5"/>
      <c r="AA22" s="5"/>
      <c r="AB22" s="5"/>
      <c r="AC22" s="5"/>
      <c r="AD22" s="5" t="s">
        <v>475</v>
      </c>
      <c r="AE22" t="s">
        <v>475</v>
      </c>
    </row>
    <row r="23" spans="1:32" ht="29">
      <c r="A23" t="s">
        <v>325</v>
      </c>
      <c r="B23" s="3" t="s">
        <v>459</v>
      </c>
      <c r="C23" s="3" t="s">
        <v>460</v>
      </c>
      <c r="G23" s="5" t="s">
        <v>476</v>
      </c>
      <c r="H23" s="5"/>
      <c r="I23" s="5">
        <v>1</v>
      </c>
      <c r="J23" s="5">
        <v>1</v>
      </c>
      <c r="K23" s="5" t="s">
        <v>503</v>
      </c>
      <c r="L23" s="5" t="s">
        <v>549</v>
      </c>
      <c r="M23" s="5"/>
      <c r="N23" s="7"/>
      <c r="O23" s="5" t="s">
        <v>505</v>
      </c>
      <c r="P23" s="5">
        <v>370</v>
      </c>
      <c r="Q23" s="5">
        <f t="shared" si="0"/>
        <v>29.711716052356859</v>
      </c>
      <c r="R23" s="5"/>
      <c r="S23" s="5" t="s">
        <v>604</v>
      </c>
      <c r="T23" s="5" t="s">
        <v>604</v>
      </c>
      <c r="U23" s="5" t="s">
        <v>559</v>
      </c>
      <c r="V23" s="5"/>
      <c r="W23" s="5"/>
      <c r="X23" s="5"/>
      <c r="Y23" s="5" t="s">
        <v>475</v>
      </c>
      <c r="Z23" s="5"/>
      <c r="AA23" s="5"/>
      <c r="AB23" s="5"/>
      <c r="AC23" s="5"/>
      <c r="AD23" s="5"/>
      <c r="AE23" t="s">
        <v>481</v>
      </c>
    </row>
    <row r="24" spans="1:32" ht="72.5">
      <c r="A24" t="s">
        <v>326</v>
      </c>
      <c r="B24" s="3" t="s">
        <v>463</v>
      </c>
      <c r="C24" s="3" t="s">
        <v>464</v>
      </c>
      <c r="G24" s="5" t="s">
        <v>479</v>
      </c>
      <c r="H24" s="5"/>
      <c r="I24" s="5">
        <v>3</v>
      </c>
      <c r="J24" s="5">
        <v>14</v>
      </c>
      <c r="K24" s="5"/>
      <c r="L24" s="5" t="s">
        <v>504</v>
      </c>
      <c r="M24" s="5" t="s">
        <v>574</v>
      </c>
      <c r="N24" s="7" t="s">
        <v>613</v>
      </c>
      <c r="O24" s="5"/>
      <c r="P24" s="5">
        <v>119</v>
      </c>
      <c r="Q24" s="5">
        <f t="shared" si="0"/>
        <v>9.5559302979201792</v>
      </c>
      <c r="R24" s="5"/>
      <c r="S24" s="5" t="s">
        <v>604</v>
      </c>
      <c r="T24" s="5" t="s">
        <v>604</v>
      </c>
      <c r="U24" s="5" t="s">
        <v>559</v>
      </c>
      <c r="V24" s="5"/>
      <c r="W24" s="5"/>
      <c r="X24" s="5"/>
      <c r="Y24" s="5" t="s">
        <v>475</v>
      </c>
      <c r="Z24" s="5"/>
      <c r="AA24" s="5"/>
      <c r="AB24" s="5"/>
      <c r="AC24" s="5"/>
      <c r="AD24" s="5" t="s">
        <v>475</v>
      </c>
      <c r="AE24" t="s">
        <v>481</v>
      </c>
      <c r="AF24" t="s">
        <v>640</v>
      </c>
    </row>
    <row r="25" spans="1:32" ht="43.5">
      <c r="A25" t="s">
        <v>331</v>
      </c>
      <c r="B25" s="3" t="s">
        <v>469</v>
      </c>
      <c r="C25" s="3" t="s">
        <v>467</v>
      </c>
      <c r="G25" s="5" t="s">
        <v>479</v>
      </c>
      <c r="H25" s="5"/>
      <c r="I25" s="5">
        <v>1</v>
      </c>
      <c r="J25" s="5">
        <v>2</v>
      </c>
      <c r="K25" s="5" t="s">
        <v>509</v>
      </c>
      <c r="L25" s="5" t="s">
        <v>549</v>
      </c>
      <c r="M25" s="5"/>
      <c r="N25" s="7"/>
      <c r="O25" s="5" t="s">
        <v>511</v>
      </c>
      <c r="P25" s="5">
        <v>19277</v>
      </c>
      <c r="Q25" s="5">
        <f t="shared" si="0"/>
        <v>1547.9804063277925</v>
      </c>
      <c r="R25" s="5"/>
      <c r="S25" s="5" t="s">
        <v>604</v>
      </c>
      <c r="T25" s="5" t="s">
        <v>604</v>
      </c>
      <c r="U25" s="5" t="s">
        <v>559</v>
      </c>
      <c r="V25" s="5"/>
      <c r="W25" s="5"/>
      <c r="X25" s="5"/>
      <c r="Y25" s="5" t="s">
        <v>475</v>
      </c>
      <c r="Z25" s="5"/>
      <c r="AA25" s="5"/>
      <c r="AB25" s="5"/>
      <c r="AC25" s="5"/>
      <c r="AD25" s="5"/>
      <c r="AE25" t="s">
        <v>475</v>
      </c>
    </row>
    <row r="26" spans="1:32">
      <c r="S26" s="5"/>
      <c r="T26" s="5"/>
    </row>
    <row r="27" spans="1:32">
      <c r="S27" s="5"/>
      <c r="T27" s="5"/>
    </row>
    <row r="28" spans="1:32">
      <c r="E28" t="s">
        <v>644</v>
      </c>
      <c r="F28">
        <f>COUNTIF(G:G,"Addition")</f>
        <v>2</v>
      </c>
      <c r="S28" s="5"/>
      <c r="T28" s="5"/>
    </row>
    <row r="29" spans="1:32">
      <c r="B29" t="s">
        <v>647</v>
      </c>
      <c r="C29" t="s">
        <v>648</v>
      </c>
      <c r="E29" t="s">
        <v>645</v>
      </c>
      <c r="F29">
        <f>COUNTIF(G:G,"Omission")</f>
        <v>22</v>
      </c>
      <c r="S29" s="5"/>
      <c r="T29" s="5"/>
    </row>
    <row r="30" spans="1:32">
      <c r="B30" t="s">
        <v>509</v>
      </c>
      <c r="C30" t="s">
        <v>503</v>
      </c>
      <c r="E30" t="s">
        <v>646</v>
      </c>
      <c r="F30">
        <f>F28/(F28+F29)</f>
        <v>8.3333333333333329E-2</v>
      </c>
      <c r="S30" s="5"/>
      <c r="T30" s="5"/>
    </row>
    <row r="31" spans="1:32">
      <c r="B31" t="s">
        <v>518</v>
      </c>
      <c r="C31" t="s">
        <v>515</v>
      </c>
      <c r="S31" s="5"/>
      <c r="T31" s="5"/>
    </row>
    <row r="32" spans="1:32">
      <c r="B32" t="s">
        <v>525</v>
      </c>
      <c r="C32" t="s">
        <v>523</v>
      </c>
      <c r="S32" s="5"/>
      <c r="T32" s="5"/>
    </row>
    <row r="33" spans="2:20">
      <c r="B33" t="s">
        <v>527</v>
      </c>
      <c r="C33" t="s">
        <v>529</v>
      </c>
      <c r="E33" t="s">
        <v>649</v>
      </c>
      <c r="F33">
        <f>COUNTIFS(G:G,"Addition", K:K,"Article")+COUNTIFS(G:G,"Addition", K:K,"Conjunction")+COUNTIFS(G:G,"Addition", K:K,"Pronoun")+COUNTIFS(G:G,"Addition", K:K,"Preposition")+COUNTIFS(G:G,"Addition", K:K,"Particle")+COUNTIFS(G:G,"Addition", K:K,"Vocative")</f>
        <v>1</v>
      </c>
      <c r="S33" s="5"/>
      <c r="T33" s="5"/>
    </row>
    <row r="34" spans="2:20">
      <c r="B34" t="s">
        <v>567</v>
      </c>
      <c r="C34" t="s">
        <v>628</v>
      </c>
      <c r="E34" t="s">
        <v>650</v>
      </c>
      <c r="F34">
        <f>COUNTIFS(G:G,"Omission", K:K,"Article")+COUNTIFS(G:G,"Omission", K:K,"Conjunction")+COUNTIFS(G:G,"Omission", K:K,"Pronoun")+COUNTIFS(G:G,"Omission", K:K,"Preposition")+COUNTIFS(G:G,"Omission", K:K,"Particle")+COUNTIFS(G:G,"Omission", K:K,"Vocative")</f>
        <v>11</v>
      </c>
      <c r="S34" s="5"/>
      <c r="T34" s="5"/>
    </row>
    <row r="35" spans="2:20">
      <c r="B35" t="s">
        <v>530</v>
      </c>
      <c r="E35" t="s">
        <v>651</v>
      </c>
      <c r="F35">
        <f>F33/(F33+F34)</f>
        <v>8.3333333333333329E-2</v>
      </c>
      <c r="S35" s="5"/>
      <c r="T35" s="5"/>
    </row>
    <row r="36" spans="2:20">
      <c r="S36" s="5"/>
      <c r="T36" s="5"/>
    </row>
    <row r="37" spans="2:20">
      <c r="S37" s="5"/>
      <c r="T37" s="5"/>
    </row>
    <row r="38" spans="2:20">
      <c r="E38" t="s">
        <v>656</v>
      </c>
      <c r="F38">
        <f>COUNTIFS(G:G,"Addition", K:K,"Adjective")+COUNTIFS(G:G,"Addition", K:K,"Adverb")+COUNTIFS(G:G,"Addition", K:K,"Noun")+COUNTIFS(G:G,"Addition", K:K,"Participle")+COUNTIFS(G:G,"Addition", K:K,"Verb")</f>
        <v>1</v>
      </c>
      <c r="S38" s="5"/>
      <c r="T38" s="5"/>
    </row>
    <row r="39" spans="2:20">
      <c r="E39" t="s">
        <v>657</v>
      </c>
      <c r="F39">
        <f>COUNTIFS(G:G,"Omission", K:K,"Adjective")+COUNTIFS(G:G,"Omission", K:K,"Adverb")+COUNTIFS(G:G,"Omission", K:K,"Noun")+COUNTIFS(G:G,"Omission", K:K,"Participle")+COUNTIFS(G:G,"Omission", K:K,"Verb")</f>
        <v>1</v>
      </c>
      <c r="S39" s="5"/>
      <c r="T39" s="5"/>
    </row>
    <row r="40" spans="2:20">
      <c r="E40" t="s">
        <v>658</v>
      </c>
      <c r="F40">
        <f>F38/(F38+F39)</f>
        <v>0.5</v>
      </c>
      <c r="S40" s="5"/>
      <c r="T40" s="5"/>
    </row>
    <row r="41" spans="2:20">
      <c r="E41" t="s">
        <v>663</v>
      </c>
      <c r="F41">
        <f>F40-F35</f>
        <v>0.41666666666666669</v>
      </c>
      <c r="S41" s="5"/>
      <c r="T41" s="5"/>
    </row>
    <row r="42" spans="2:20">
      <c r="S42" s="5"/>
      <c r="T42" s="5"/>
    </row>
    <row r="43" spans="2:20">
      <c r="S43" s="5"/>
      <c r="T43" s="5"/>
    </row>
    <row r="44" spans="2:20">
      <c r="D44" s="15" t="s">
        <v>659</v>
      </c>
      <c r="E44" s="15"/>
      <c r="F44" s="15"/>
      <c r="S44" s="5"/>
      <c r="T44" s="5"/>
    </row>
    <row r="45" spans="2:20">
      <c r="D45" t="s">
        <v>504</v>
      </c>
      <c r="E45" t="s">
        <v>660</v>
      </c>
      <c r="F45" t="s">
        <v>661</v>
      </c>
      <c r="S45" s="5"/>
      <c r="T45" s="5"/>
    </row>
    <row r="46" spans="2:20">
      <c r="C46" t="s">
        <v>653</v>
      </c>
      <c r="D46">
        <f>COUNTIFS(G:G,"Addition", L:L, "Present")</f>
        <v>0</v>
      </c>
      <c r="E46">
        <f>COUNTIFS(G:G,"Addition", L:L, "Absent")</f>
        <v>0</v>
      </c>
      <c r="F46" t="e">
        <f>D46/(D46+E46)</f>
        <v>#DIV/0!</v>
      </c>
      <c r="S46" s="5"/>
      <c r="T46" s="5"/>
    </row>
    <row r="47" spans="2:20">
      <c r="C47" t="s">
        <v>654</v>
      </c>
      <c r="D47">
        <f>COUNTIFS(G:G,"Omission", L:L, "Present")</f>
        <v>11</v>
      </c>
      <c r="E47">
        <f>COUNTIFS(G:G,"Omission", L:L, "Absent")</f>
        <v>3</v>
      </c>
      <c r="F47">
        <f>D47/(D47+E47)</f>
        <v>0.7857142857142857</v>
      </c>
      <c r="S47" s="5"/>
      <c r="T47" s="5"/>
    </row>
    <row r="48" spans="2:20">
      <c r="C48" t="s">
        <v>662</v>
      </c>
      <c r="D48">
        <f>SUM(D46+D47)</f>
        <v>11</v>
      </c>
      <c r="E48">
        <f>SUM(E46+E47)</f>
        <v>3</v>
      </c>
      <c r="F48">
        <f>D48/(D48+E48)</f>
        <v>0.7857142857142857</v>
      </c>
      <c r="S48" s="5"/>
      <c r="T48" s="5"/>
    </row>
    <row r="49" spans="3:20">
      <c r="S49" s="5"/>
      <c r="T49" s="5"/>
    </row>
    <row r="50" spans="3:20">
      <c r="S50" s="5"/>
      <c r="T50" s="5"/>
    </row>
    <row r="51" spans="3:20">
      <c r="D51" t="s">
        <v>653</v>
      </c>
      <c r="E51" t="s">
        <v>654</v>
      </c>
      <c r="F51" t="s">
        <v>664</v>
      </c>
      <c r="S51" s="5"/>
      <c r="T51" s="5"/>
    </row>
    <row r="52" spans="3:20">
      <c r="C52" t="s">
        <v>665</v>
      </c>
      <c r="D52">
        <f>COUNTIFS(G:G,"Addition", L:L, "Absent")</f>
        <v>0</v>
      </c>
      <c r="E52">
        <f>COUNTIFS(G:G,"Omission", L:L, "Absent")</f>
        <v>3</v>
      </c>
      <c r="F52">
        <f>D52/(D52+E52)</f>
        <v>0</v>
      </c>
      <c r="S52" s="5"/>
      <c r="T52" s="5"/>
    </row>
    <row r="53" spans="3:20">
      <c r="C53" t="s">
        <v>666</v>
      </c>
      <c r="D53">
        <f>COUNTIFS(G:G,"Addition", L:L, "Present")</f>
        <v>0</v>
      </c>
      <c r="E53">
        <f>COUNTIFS(G:G,"Omission", L:L, "Present")</f>
        <v>11</v>
      </c>
      <c r="F53">
        <f>D53/(D53+E53)</f>
        <v>0</v>
      </c>
      <c r="S53" s="5"/>
      <c r="T53" s="5"/>
    </row>
    <row r="54" spans="3:20">
      <c r="E54" t="s">
        <v>717</v>
      </c>
      <c r="F54">
        <f>F53-F52</f>
        <v>0</v>
      </c>
      <c r="S54" s="5"/>
      <c r="T54" s="5"/>
    </row>
    <row r="55" spans="3:20">
      <c r="S55" s="5"/>
      <c r="T55" s="5"/>
    </row>
    <row r="56" spans="3:20">
      <c r="S56" s="5"/>
      <c r="T56" s="5"/>
    </row>
    <row r="57" spans="3:20">
      <c r="D57" t="s">
        <v>653</v>
      </c>
      <c r="E57" t="s">
        <v>654</v>
      </c>
      <c r="F57" t="s">
        <v>664</v>
      </c>
      <c r="S57" s="5"/>
      <c r="T57" s="5"/>
    </row>
    <row r="58" spans="3:20">
      <c r="C58" t="s">
        <v>667</v>
      </c>
      <c r="D58">
        <f>COUNTIFS(G:G,"Addition", O:O, "")</f>
        <v>1</v>
      </c>
      <c r="E58">
        <f>COUNTIFS(G:G,"Omission", O:O, "")</f>
        <v>20</v>
      </c>
      <c r="F58">
        <f>D58/(D58+E58)</f>
        <v>4.7619047619047616E-2</v>
      </c>
      <c r="S58" s="5"/>
      <c r="T58" s="5"/>
    </row>
    <row r="59" spans="3:20">
      <c r="C59" t="s">
        <v>668</v>
      </c>
      <c r="D59">
        <f>COUNTIFS(G:G,"Addition", O:O, "Dittography")</f>
        <v>1</v>
      </c>
      <c r="E59">
        <f>COUNTIFS(G:G,"Omission", O:O, "Dittography")</f>
        <v>1</v>
      </c>
      <c r="F59">
        <f>D59/(D59+E59)</f>
        <v>0.5</v>
      </c>
      <c r="S59" s="5"/>
      <c r="T59" s="5"/>
    </row>
    <row r="60" spans="3:20">
      <c r="E60" t="s">
        <v>717</v>
      </c>
      <c r="F60">
        <f>F59-F58</f>
        <v>0.45238095238095238</v>
      </c>
      <c r="S60" s="5"/>
      <c r="T60" s="5"/>
    </row>
    <row r="61" spans="3:20">
      <c r="S61" s="5"/>
      <c r="T61" s="5"/>
    </row>
    <row r="62" spans="3:20">
      <c r="S62" s="5"/>
      <c r="T62" s="5"/>
    </row>
    <row r="63" spans="3:20">
      <c r="C63" t="s">
        <v>652</v>
      </c>
      <c r="D63" t="s">
        <v>653</v>
      </c>
      <c r="E63" t="s">
        <v>654</v>
      </c>
      <c r="F63" t="s">
        <v>664</v>
      </c>
      <c r="S63" s="5"/>
      <c r="T63" s="5"/>
    </row>
    <row r="64" spans="3:20">
      <c r="C64" s="13">
        <v>1</v>
      </c>
      <c r="D64">
        <f>COUNTIFS(G:G,"Addition", I:I, 1)</f>
        <v>2</v>
      </c>
      <c r="E64">
        <f>COUNTIFS(G:G,"Omission", I:I, 1)</f>
        <v>12</v>
      </c>
      <c r="F64">
        <f>D64/(D64+E64)</f>
        <v>0.14285714285714285</v>
      </c>
      <c r="S64" s="5"/>
      <c r="T64" s="5"/>
    </row>
    <row r="65" spans="3:20">
      <c r="C65" s="13" t="s">
        <v>669</v>
      </c>
      <c r="D65">
        <f>COUNTIFS(G:G,"Addition", I:I, "&gt;=2", I:I, "&lt;=3")</f>
        <v>0</v>
      </c>
      <c r="E65">
        <f>COUNTIFS(G:G,"Omission", I:I, "&gt;=2", I:I, "&lt;=3")</f>
        <v>2</v>
      </c>
      <c r="F65">
        <f t="shared" ref="F65:F66" si="1">D65/(D65+E65)</f>
        <v>0</v>
      </c>
      <c r="S65" s="5"/>
      <c r="T65" s="5"/>
    </row>
    <row r="66" spans="3:20">
      <c r="C66" s="13" t="s">
        <v>670</v>
      </c>
      <c r="D66">
        <f>COUNTIFS(G:G,"Addition", I:I, "&gt;=4")</f>
        <v>0</v>
      </c>
      <c r="E66">
        <f>COUNTIFS(G:G,"Omission", I:I, "&gt;=4")</f>
        <v>8</v>
      </c>
      <c r="F66">
        <f t="shared" si="1"/>
        <v>0</v>
      </c>
      <c r="S66" s="5"/>
      <c r="T66" s="5"/>
    </row>
    <row r="67" spans="3:20">
      <c r="S67" s="5"/>
      <c r="T67" s="5"/>
    </row>
    <row r="68" spans="3:20">
      <c r="S68" s="5"/>
      <c r="T68" s="5"/>
    </row>
    <row r="69" spans="3:20">
      <c r="C69" t="s">
        <v>652</v>
      </c>
      <c r="D69" t="s">
        <v>653</v>
      </c>
      <c r="E69" t="s">
        <v>654</v>
      </c>
      <c r="F69" t="s">
        <v>655</v>
      </c>
      <c r="S69" s="5"/>
      <c r="T69" s="5"/>
    </row>
    <row r="70" spans="3:20">
      <c r="C70">
        <v>1</v>
      </c>
      <c r="D70" s="13">
        <f>COUNTIFS(G:G,"Addition", I:I, C70)</f>
        <v>2</v>
      </c>
      <c r="E70">
        <f>COUNTIFS(G:G,"Omission", I:I, C70)</f>
        <v>12</v>
      </c>
      <c r="F70">
        <f>D70/(D70+E70)</f>
        <v>0.14285714285714285</v>
      </c>
      <c r="S70" s="5"/>
      <c r="T70" s="5"/>
    </row>
    <row r="71" spans="3:20">
      <c r="C71">
        <v>2</v>
      </c>
      <c r="D71" s="13">
        <f>COUNTIFS(G:G,"Addition", I:I, C71)</f>
        <v>0</v>
      </c>
      <c r="E71">
        <f>COUNTIFS(G:G,"Omission", I:I, C71)</f>
        <v>1</v>
      </c>
      <c r="F71">
        <f t="shared" ref="F71:F74" si="2">D71/(D71+E71)</f>
        <v>0</v>
      </c>
      <c r="S71" s="5"/>
      <c r="T71" s="5"/>
    </row>
    <row r="72" spans="3:20">
      <c r="C72">
        <v>3</v>
      </c>
      <c r="D72" s="13">
        <f>COUNTIFS(G:G,"Addition", I:I, C72)</f>
        <v>0</v>
      </c>
      <c r="E72">
        <f>COUNTIFS(G:G,"Omission", I:I, C72)</f>
        <v>1</v>
      </c>
      <c r="F72">
        <f t="shared" si="2"/>
        <v>0</v>
      </c>
      <c r="S72" s="5"/>
      <c r="T72" s="5"/>
    </row>
    <row r="73" spans="3:20">
      <c r="C73">
        <v>4</v>
      </c>
      <c r="D73" s="13">
        <f>COUNTIFS(G:G,"Addition", I:I, C73)</f>
        <v>0</v>
      </c>
      <c r="E73">
        <f>COUNTIFS(G:G,"Omission", I:I, C73)</f>
        <v>5</v>
      </c>
      <c r="F73">
        <f t="shared" si="2"/>
        <v>0</v>
      </c>
      <c r="S73" s="5"/>
      <c r="T73" s="5"/>
    </row>
    <row r="74" spans="3:20">
      <c r="C74" t="s">
        <v>671</v>
      </c>
      <c r="D74" s="13">
        <f>COUNTIFS(G:G,"Addition", I:I, C74)</f>
        <v>0</v>
      </c>
      <c r="E74">
        <f>COUNTIFS(G:G,"Omission", I:I, C74)</f>
        <v>3</v>
      </c>
      <c r="F74">
        <f t="shared" si="2"/>
        <v>0</v>
      </c>
      <c r="S74" s="5"/>
      <c r="T74" s="5"/>
    </row>
    <row r="75" spans="3:20">
      <c r="D75" s="13"/>
      <c r="S75" s="5"/>
      <c r="T75" s="5"/>
    </row>
    <row r="76" spans="3:20">
      <c r="S76" s="5"/>
      <c r="T76" s="5"/>
    </row>
    <row r="77" spans="3:20">
      <c r="D77" t="s">
        <v>672</v>
      </c>
      <c r="E77">
        <v>124530</v>
      </c>
      <c r="S77" s="5"/>
      <c r="T77" s="5"/>
    </row>
    <row r="78" spans="3:20">
      <c r="S78" s="5"/>
      <c r="T78" s="5"/>
    </row>
    <row r="79" spans="3:20">
      <c r="S79" s="5"/>
      <c r="T79" s="5"/>
    </row>
  </sheetData>
  <mergeCells count="1">
    <mergeCell ref="D44:F44"/>
  </mergeCells>
  <conditionalFormatting sqref="G2:G25">
    <cfRule type="expression" dxfId="158" priority="32">
      <formula>$I2&lt;&gt;""</formula>
    </cfRule>
    <cfRule type="expression" dxfId="157" priority="33">
      <formula>$I2=""</formula>
    </cfRule>
  </conditionalFormatting>
  <conditionalFormatting sqref="H2:L25 O2:P25">
    <cfRule type="expression" dxfId="156" priority="30">
      <formula>AND(OR($I2="Addition",$I2="Omission"), H2="")</formula>
    </cfRule>
    <cfRule type="expression" dxfId="155" priority="31">
      <formula>AND($I2&lt;&gt;"Addition",$I2&lt;&gt;"Omission",$I2&lt;&gt;"Substitution - Word")</formula>
    </cfRule>
  </conditionalFormatting>
  <conditionalFormatting sqref="H2:P25">
    <cfRule type="expression" dxfId="154" priority="29">
      <formula>AND(OR($I2="Addition",$I2="Omission"), H2&lt;&gt;"")</formula>
    </cfRule>
  </conditionalFormatting>
  <conditionalFormatting sqref="K2:K25">
    <cfRule type="expression" dxfId="153" priority="24">
      <formula>AND($K2&lt;&gt;"",$K2&gt;1)</formula>
    </cfRule>
  </conditionalFormatting>
  <conditionalFormatting sqref="M2:N25">
    <cfRule type="expression" dxfId="152" priority="20">
      <formula>$N2="Absent"</formula>
    </cfRule>
    <cfRule type="expression" dxfId="151" priority="21">
      <formula>$N2="NA"</formula>
    </cfRule>
    <cfRule type="expression" dxfId="150" priority="22">
      <formula>AND(OR($I2="Addition",$I2="Omission"), M2="")</formula>
    </cfRule>
    <cfRule type="expression" dxfId="149" priority="23">
      <formula>AND($I2&lt;&gt;"Addition",$I2&lt;&gt;"Omission")</formula>
    </cfRule>
  </conditionalFormatting>
  <conditionalFormatting sqref="O2:O25">
    <cfRule type="expression" dxfId="148" priority="25">
      <formula>AND(OR($I2="Addition",$I2="Omission",$I2="Substitution - Word"),RIGHT($AE2,6)&lt;&gt;"strict",$AD2&lt;&gt;"Yes")</formula>
    </cfRule>
  </conditionalFormatting>
  <conditionalFormatting sqref="Q2:Q25">
    <cfRule type="expression" dxfId="147" priority="1">
      <formula>AND(OR($I2="Addition",$I2="Omission"), Q2&lt;&gt;"")</formula>
    </cfRule>
    <cfRule type="expression" dxfId="146" priority="2">
      <formula>AND(OR($I2="Addition",$I2="Omission"), Q2="")</formula>
    </cfRule>
    <cfRule type="expression" dxfId="145" priority="3">
      <formula>AND($I2&lt;&gt;"Addition",$I2&lt;&gt;"Omission",$I2&lt;&gt;"Substitution - Word")</formula>
    </cfRule>
  </conditionalFormatting>
  <conditionalFormatting sqref="R2:T25">
    <cfRule type="expression" dxfId="144" priority="26">
      <formula>AND(AND(LEFT($I2,3)="Sub", RIGHT($I2,4)&lt;&gt;"Form"),$T2&lt;&gt;"")</formula>
    </cfRule>
    <cfRule type="expression" dxfId="143" priority="27">
      <formula>AND(AND(LEFT($I2,3)="Sub", RIGHT($I2,4)&lt;&gt;"Form"),$T2="")</formula>
    </cfRule>
    <cfRule type="expression" dxfId="142" priority="28">
      <formula>"&lt;&gt;AND(LEFT($J2,3)=""Sub"", RIGHT($J2,4)&lt;&gt;""Form"")"</formula>
    </cfRule>
  </conditionalFormatting>
  <conditionalFormatting sqref="S2:T79">
    <cfRule type="expression" dxfId="141" priority="4">
      <formula>AND(AND(LEFT($I2,3)="Sub", RIGHT($I2,4)&lt;&gt;"Form"),$T2&lt;&gt;"")</formula>
    </cfRule>
    <cfRule type="expression" dxfId="140" priority="5">
      <formula>AND(AND(LEFT($I2,3)="Sub", RIGHT($I2,4)&lt;&gt;"Form"),$T2="")</formula>
    </cfRule>
    <cfRule type="expression" dxfId="139" priority="6">
      <formula>"&lt;&gt;AND(LEFT($J2,3)=""Sub"", RIGHT($J2,4)&lt;&gt;""Form"")"</formula>
    </cfRule>
  </conditionalFormatting>
  <conditionalFormatting sqref="U2:U25">
    <cfRule type="expression" dxfId="138" priority="10">
      <formula>AND($W2&lt;&gt;"",OR($AD2="Yes",$AE2&lt;&gt;""))</formula>
    </cfRule>
    <cfRule type="expression" dxfId="137" priority="11">
      <formula>OR($AD2="Yes",$AE2&lt;&gt;"")</formula>
    </cfRule>
    <cfRule type="expression" dxfId="136" priority="12">
      <formula>AND($I2&lt;&gt;"",$I2&lt;&gt;"Unclear due to correction")</formula>
    </cfRule>
    <cfRule type="expression" dxfId="135" priority="15">
      <formula>OR($I2="",$I2="Unclear due to correction")</formula>
    </cfRule>
    <cfRule type="expression" dxfId="134" priority="16">
      <formula>AND($AD2&lt;&gt;"Yes",$AE2="")</formula>
    </cfRule>
  </conditionalFormatting>
  <conditionalFormatting sqref="V2:V25">
    <cfRule type="expression" dxfId="133" priority="7">
      <formula>AND($I2&lt;&gt;"",$I2&lt;&gt;"Unclear due to correction",$X2="")</formula>
    </cfRule>
    <cfRule type="expression" dxfId="132" priority="8">
      <formula>AND($I2&lt;&gt;"",$I2&lt;&gt;"Unclear due to correction")</formula>
    </cfRule>
    <cfRule type="expression" dxfId="131" priority="9">
      <formula>OR($I2="",$I2="Unclear due to correction")</formula>
    </cfRule>
  </conditionalFormatting>
  <conditionalFormatting sqref="W2:W25">
    <cfRule type="expression" dxfId="130" priority="13">
      <formula>AND($X2="Yes",$Y2="")</formula>
    </cfRule>
    <cfRule type="expression" dxfId="129" priority="14">
      <formula>$X2=""</formula>
    </cfRule>
  </conditionalFormatting>
  <conditionalFormatting sqref="W2:AD25">
    <cfRule type="expression" dxfId="128" priority="18">
      <formula>AND($I2&lt;&gt;"",$I2&lt;&gt;"Unclear due to correction")</formula>
    </cfRule>
    <cfRule type="expression" dxfId="127" priority="19">
      <formula>OR($I2="",$I2="Unclear due to correction")</formula>
    </cfRule>
  </conditionalFormatting>
  <conditionalFormatting sqref="AB2:AB25">
    <cfRule type="expression" dxfId="126" priority="17">
      <formula>AND(OR($AB2&lt;&gt;"",$AC2&lt;&gt;""),$AD2="")</formula>
    </cfRule>
  </conditionalFormatting>
  <dataValidations count="1">
    <dataValidation type="list" allowBlank="1" showInputMessage="1" showErrorMessage="1" sqref="AE2:AE25" xr:uid="{C3000CC9-B3C2-48A9-80EB-5DDC67BD788A}">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4333EA4F-0627-4B94-8297-0B5783FB77C3}">
          <x14:formula1>
            <xm:f>'Data Regularization'!$D$2:$D$1048576</xm:f>
          </x14:formula1>
          <xm:sqref>G2:G25</xm:sqref>
        </x14:dataValidation>
        <x14:dataValidation type="list" allowBlank="1" showInputMessage="1" showErrorMessage="1" xr:uid="{11A0245E-B793-41FC-BAD3-F6A505337DB8}">
          <x14:formula1>
            <xm:f>'Data Regularization'!$C$2:$C$1048576</xm:f>
          </x14:formula1>
          <xm:sqref>F2:F25</xm:sqref>
        </x14:dataValidation>
        <x14:dataValidation type="list" allowBlank="1" showInputMessage="1" xr:uid="{A1C2DEE4-1B3E-4422-8C96-409B4D5E05C6}">
          <x14:formula1>
            <xm:f>'Data Regularization'!$A$2:$A$1048576</xm:f>
          </x14:formula1>
          <xm:sqref>D2:D25</xm:sqref>
        </x14:dataValidation>
        <x14:dataValidation type="list" allowBlank="1" showInputMessage="1" showErrorMessage="1" errorTitle="Invalid Entry" error="Just pick &quot;yes&quot; or &quot;no&quot;!!!" xr:uid="{F770EC9F-E07C-4149-BB29-475869BAC0C3}">
          <x14:formula1>
            <xm:f>'Data Regularization'!$B$2:$B$1048576</xm:f>
          </x14:formula1>
          <xm:sqref>E2:E25</xm:sqref>
        </x14:dataValidation>
        <x14:dataValidation type="list" allowBlank="1" showInputMessage="1" showErrorMessage="1" xr:uid="{863695EE-48B6-4D6B-AAA8-B91B4A9AB666}">
          <x14:formula1>
            <xm:f>'Data Regularization'!$E$2:$E$1048576</xm:f>
          </x14:formula1>
          <xm:sqref>K2:K25</xm:sqref>
        </x14:dataValidation>
        <x14:dataValidation type="list" allowBlank="1" showInputMessage="1" showErrorMessage="1" xr:uid="{26D425D8-B474-4513-874C-86FC4AEF0082}">
          <x14:formula1>
            <xm:f>'Data Regularization'!$F$2:$F$1048576</xm:f>
          </x14:formula1>
          <xm:sqref>L2:L25</xm:sqref>
        </x14:dataValidation>
        <x14:dataValidation type="list" allowBlank="1" showInputMessage="1" showErrorMessage="1" xr:uid="{564A2F96-5839-4F18-A8FE-1F29E3E3B52B}">
          <x14:formula1>
            <xm:f>'Data Regularization'!$G$2:$G$1048576</xm:f>
          </x14:formula1>
          <xm:sqref>O2:O25</xm:sqref>
        </x14:dataValidation>
        <x14:dataValidation type="list" allowBlank="1" showInputMessage="1" showErrorMessage="1" xr:uid="{8CA3A396-2805-4983-953E-07A7A0F0F542}">
          <x14:formula1>
            <xm:f>'Data Regularization'!$J$2:$J$1048576</xm:f>
          </x14:formula1>
          <xm:sqref>W2:W25</xm:sqref>
        </x14:dataValidation>
        <x14:dataValidation type="list" allowBlank="1" showInputMessage="1" showErrorMessage="1" xr:uid="{04F9B335-6338-467A-9F10-1D779666532C}">
          <x14:formula1>
            <xm:f>'Data Regularization'!$K$2:$K$1048576</xm:f>
          </x14:formula1>
          <xm:sqref>X2:X25</xm:sqref>
        </x14:dataValidation>
        <x14:dataValidation type="list" allowBlank="1" showInputMessage="1" showErrorMessage="1" xr:uid="{98B197D6-BFAC-46C2-AA0A-F0DA633CEDED}">
          <x14:formula1>
            <xm:f>'Data Regularization'!$L$2:$L$1048576</xm:f>
          </x14:formula1>
          <xm:sqref>Y2:Y25</xm:sqref>
        </x14:dataValidation>
        <x14:dataValidation type="list" allowBlank="1" showInputMessage="1" showErrorMessage="1" xr:uid="{A0C8B847-9553-46F8-8093-0B35DB33EA84}">
          <x14:formula1>
            <xm:f>'Data Regularization'!$M$2:$M$1048576</xm:f>
          </x14:formula1>
          <xm:sqref>Z2:Z25</xm:sqref>
        </x14:dataValidation>
        <x14:dataValidation type="list" allowBlank="1" showInputMessage="1" showErrorMessage="1" xr:uid="{C93C5276-468D-4082-96FA-3F97AFA94845}">
          <x14:formula1>
            <xm:f>'Data Regularization'!$N$2:$N$1048576</xm:f>
          </x14:formula1>
          <xm:sqref>AB2:AB25</xm:sqref>
        </x14:dataValidation>
        <x14:dataValidation type="list" allowBlank="1" showInputMessage="1" showErrorMessage="1" xr:uid="{D8AB39A9-142A-42DB-AB8A-98E8E92E016D}">
          <x14:formula1>
            <xm:f>'Data Regularization'!$O$2:$O$1048576</xm:f>
          </x14:formula1>
          <xm:sqref>AC2:AC25</xm:sqref>
        </x14:dataValidation>
        <x14:dataValidation type="list" allowBlank="1" showInputMessage="1" showErrorMessage="1" xr:uid="{9233A31E-FC6C-4930-8D7A-5ED209F48CE5}">
          <x14:formula1>
            <xm:f>'Data Regularization'!$P$2:$P$1048576</xm:f>
          </x14:formula1>
          <xm:sqref>AD2:AD25</xm:sqref>
        </x14:dataValidation>
        <x14:dataValidation type="list" allowBlank="1" showInputMessage="1" showErrorMessage="1" xr:uid="{13BF787A-47E2-475E-A7B7-00FE52BE2D72}">
          <x14:formula1>
            <xm:f>'Data Regularization'!$H$2:$H$1048576</xm:f>
          </x14:formula1>
          <xm:sqref>U2:U25</xm:sqref>
        </x14:dataValidation>
        <x14:dataValidation type="list" allowBlank="1" showInputMessage="1" xr:uid="{0DA40CB8-C07E-43E1-80D4-827D91088F0C}">
          <x14:formula1>
            <xm:f>'Data Regularization'!$I$2:$I$1048576</xm:f>
          </x14:formula1>
          <xm:sqref>V2:V25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2F7A-D5E7-45DE-AFEF-41CF974DC2DA}">
  <dimension ref="A1:AE3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1" s="1" customFormat="1" ht="29">
      <c r="A1" s="1" t="s">
        <v>0</v>
      </c>
      <c r="B1" s="2" t="s">
        <v>473</v>
      </c>
      <c r="C1" s="2" t="s">
        <v>474</v>
      </c>
      <c r="D1" s="1" t="s">
        <v>531</v>
      </c>
      <c r="E1" s="1" t="s">
        <v>532</v>
      </c>
      <c r="F1" s="1" t="s">
        <v>533</v>
      </c>
      <c r="G1" s="1" t="s">
        <v>3</v>
      </c>
      <c r="I1" s="1" t="s">
        <v>534</v>
      </c>
      <c r="J1" s="1" t="s">
        <v>535</v>
      </c>
      <c r="K1" s="1" t="s">
        <v>536</v>
      </c>
      <c r="L1" s="1" t="s">
        <v>495</v>
      </c>
      <c r="M1" s="1" t="s">
        <v>537</v>
      </c>
      <c r="N1" s="6" t="s">
        <v>538</v>
      </c>
      <c r="O1" s="1" t="s">
        <v>496</v>
      </c>
      <c r="P1" s="1" t="s">
        <v>539</v>
      </c>
      <c r="Q1" s="1" t="s">
        <v>675</v>
      </c>
      <c r="R1" s="1" t="s">
        <v>540</v>
      </c>
      <c r="S1" s="1" t="s">
        <v>673</v>
      </c>
      <c r="T1" s="1" t="s">
        <v>674</v>
      </c>
      <c r="U1" s="1" t="s">
        <v>557</v>
      </c>
      <c r="V1" s="1" t="s">
        <v>558</v>
      </c>
      <c r="W1" s="1" t="s">
        <v>497</v>
      </c>
      <c r="X1" s="1" t="s">
        <v>498</v>
      </c>
      <c r="Y1" s="1" t="s">
        <v>499</v>
      </c>
      <c r="Z1" s="1" t="s">
        <v>500</v>
      </c>
      <c r="AA1" s="1" t="s">
        <v>541</v>
      </c>
      <c r="AB1" s="1" t="s">
        <v>569</v>
      </c>
      <c r="AC1" s="1" t="s">
        <v>502</v>
      </c>
      <c r="AD1" s="1" t="s">
        <v>544</v>
      </c>
      <c r="AE1" s="1" t="s">
        <v>634</v>
      </c>
    </row>
    <row r="2" spans="1:31" ht="29">
      <c r="A2" t="s">
        <v>20</v>
      </c>
      <c r="B2" s="3" t="s">
        <v>341</v>
      </c>
      <c r="C2" s="3" t="s">
        <v>342</v>
      </c>
      <c r="G2" s="5" t="s">
        <v>479</v>
      </c>
      <c r="H2" s="5"/>
      <c r="I2" s="5">
        <v>1</v>
      </c>
      <c r="J2" s="5">
        <v>1</v>
      </c>
      <c r="K2" s="5" t="s">
        <v>509</v>
      </c>
      <c r="L2" s="5" t="s">
        <v>549</v>
      </c>
      <c r="M2" s="5"/>
      <c r="N2" s="7"/>
      <c r="O2" s="5"/>
      <c r="P2" s="5">
        <v>19277</v>
      </c>
      <c r="Q2" s="5">
        <v>1547.9804063277925</v>
      </c>
      <c r="R2" s="5"/>
      <c r="S2" s="5" t="s">
        <v>604</v>
      </c>
      <c r="T2" s="5" t="s">
        <v>604</v>
      </c>
      <c r="U2" s="5" t="s">
        <v>559</v>
      </c>
      <c r="V2" s="5"/>
      <c r="W2" s="5"/>
      <c r="X2" s="5"/>
      <c r="Y2" s="5" t="s">
        <v>475</v>
      </c>
      <c r="Z2" s="5"/>
      <c r="AA2" s="5"/>
      <c r="AB2" s="5"/>
      <c r="AC2" s="5"/>
      <c r="AD2" s="5"/>
      <c r="AE2" t="s">
        <v>475</v>
      </c>
    </row>
    <row r="3" spans="1:31" ht="29">
      <c r="A3" t="s">
        <v>23</v>
      </c>
      <c r="B3" s="3" t="s">
        <v>343</v>
      </c>
      <c r="C3" s="3" t="s">
        <v>344</v>
      </c>
      <c r="G3" s="5" t="s">
        <v>479</v>
      </c>
      <c r="H3" s="5"/>
      <c r="I3" s="5">
        <v>1</v>
      </c>
      <c r="J3" s="5">
        <v>1</v>
      </c>
      <c r="K3" s="5" t="s">
        <v>509</v>
      </c>
      <c r="L3" s="5" t="s">
        <v>549</v>
      </c>
      <c r="M3" s="5"/>
      <c r="N3" s="7"/>
      <c r="O3" s="5"/>
      <c r="P3" s="5">
        <v>19277</v>
      </c>
      <c r="Q3" s="5">
        <v>1547.9804063277925</v>
      </c>
      <c r="R3" s="5"/>
      <c r="S3" s="5" t="s">
        <v>604</v>
      </c>
      <c r="T3" s="5" t="s">
        <v>604</v>
      </c>
      <c r="U3" s="5" t="s">
        <v>559</v>
      </c>
      <c r="V3" s="5"/>
      <c r="W3" s="5"/>
      <c r="X3" s="5"/>
      <c r="Y3" s="5" t="s">
        <v>475</v>
      </c>
      <c r="Z3" s="5"/>
      <c r="AA3" s="5"/>
      <c r="AB3" s="5"/>
      <c r="AC3" s="5"/>
      <c r="AD3" s="5"/>
      <c r="AE3" t="s">
        <v>475</v>
      </c>
    </row>
    <row r="4" spans="1:31" ht="29">
      <c r="A4" t="s">
        <v>92</v>
      </c>
      <c r="B4" s="3" t="s">
        <v>362</v>
      </c>
      <c r="C4" s="3" t="s">
        <v>363</v>
      </c>
      <c r="G4" s="5" t="s">
        <v>479</v>
      </c>
      <c r="H4" s="5"/>
      <c r="I4" s="5">
        <v>1</v>
      </c>
      <c r="J4" s="5">
        <v>2</v>
      </c>
      <c r="K4" s="5" t="s">
        <v>567</v>
      </c>
      <c r="L4" s="5" t="s">
        <v>549</v>
      </c>
      <c r="M4" s="5"/>
      <c r="N4" s="7"/>
      <c r="O4" s="5" t="s">
        <v>505</v>
      </c>
      <c r="P4" s="5">
        <v>273</v>
      </c>
      <c r="Q4" s="5">
        <v>21.922428330522767</v>
      </c>
      <c r="R4" s="5"/>
      <c r="S4" s="5" t="s">
        <v>604</v>
      </c>
      <c r="T4" s="5" t="s">
        <v>604</v>
      </c>
      <c r="U4" s="5"/>
      <c r="V4" s="5"/>
      <c r="W4" s="5"/>
      <c r="X4" s="5"/>
      <c r="Y4" s="5" t="s">
        <v>475</v>
      </c>
      <c r="Z4" s="5"/>
      <c r="AA4" s="5"/>
      <c r="AB4" s="5"/>
      <c r="AC4" s="5"/>
      <c r="AD4" s="5"/>
      <c r="AE4" t="s">
        <v>475</v>
      </c>
    </row>
    <row r="5" spans="1:31" ht="43.5">
      <c r="A5" t="s">
        <v>150</v>
      </c>
      <c r="B5" s="3" t="s">
        <v>374</v>
      </c>
      <c r="C5" s="3" t="s">
        <v>375</v>
      </c>
      <c r="F5" t="s">
        <v>337</v>
      </c>
      <c r="G5" s="5" t="s">
        <v>479</v>
      </c>
      <c r="H5" s="5"/>
      <c r="I5" s="5">
        <v>1</v>
      </c>
      <c r="J5" s="5">
        <v>3</v>
      </c>
      <c r="K5" s="5" t="s">
        <v>509</v>
      </c>
      <c r="L5" s="5" t="s">
        <v>510</v>
      </c>
      <c r="M5" s="5"/>
      <c r="N5" s="7"/>
      <c r="O5" s="5"/>
      <c r="P5" s="5">
        <v>19277</v>
      </c>
      <c r="Q5" s="5">
        <v>1547.9804063277925</v>
      </c>
      <c r="R5" s="5"/>
      <c r="S5" s="5" t="s">
        <v>604</v>
      </c>
      <c r="T5" s="5" t="s">
        <v>604</v>
      </c>
      <c r="U5" s="5" t="s">
        <v>559</v>
      </c>
      <c r="V5" s="5"/>
      <c r="W5" s="5"/>
      <c r="X5" s="5"/>
      <c r="Y5" s="5" t="s">
        <v>475</v>
      </c>
      <c r="Z5" s="5"/>
      <c r="AA5" s="5"/>
      <c r="AB5" s="5"/>
      <c r="AC5" s="5"/>
      <c r="AD5" s="5"/>
      <c r="AE5" t="s">
        <v>481</v>
      </c>
    </row>
    <row r="6" spans="1:31" ht="43.5">
      <c r="A6" t="s">
        <v>151</v>
      </c>
      <c r="B6" s="3" t="s">
        <v>376</v>
      </c>
      <c r="C6" s="3" t="s">
        <v>377</v>
      </c>
      <c r="F6" t="s">
        <v>337</v>
      </c>
      <c r="G6" s="5" t="s">
        <v>479</v>
      </c>
      <c r="H6" s="5"/>
      <c r="I6" s="5">
        <v>1</v>
      </c>
      <c r="J6" s="5">
        <v>3</v>
      </c>
      <c r="K6" s="5" t="s">
        <v>509</v>
      </c>
      <c r="L6" s="5" t="s">
        <v>510</v>
      </c>
      <c r="M6" s="5"/>
      <c r="N6" s="7"/>
      <c r="O6" s="5"/>
      <c r="P6" s="5">
        <v>19277</v>
      </c>
      <c r="Q6" s="5">
        <v>1547.9804063277925</v>
      </c>
      <c r="R6" s="5"/>
      <c r="S6" s="5" t="s">
        <v>604</v>
      </c>
      <c r="T6" s="5" t="s">
        <v>604</v>
      </c>
      <c r="U6" s="5"/>
      <c r="V6" s="5"/>
      <c r="W6" s="5"/>
      <c r="X6" s="5"/>
      <c r="Y6" s="5" t="s">
        <v>475</v>
      </c>
      <c r="Z6" s="5"/>
      <c r="AA6" s="5"/>
      <c r="AB6" s="5"/>
      <c r="AC6" s="5"/>
      <c r="AD6" s="5"/>
      <c r="AE6" t="s">
        <v>481</v>
      </c>
    </row>
    <row r="7" spans="1:31" ht="43.5">
      <c r="A7" t="s">
        <v>204</v>
      </c>
      <c r="B7" s="3" t="s">
        <v>400</v>
      </c>
      <c r="C7" s="3" t="s">
        <v>401</v>
      </c>
      <c r="F7" t="s">
        <v>337</v>
      </c>
      <c r="G7" s="5" t="s">
        <v>479</v>
      </c>
      <c r="H7" s="5"/>
      <c r="I7" s="5">
        <v>1</v>
      </c>
      <c r="J7" s="5">
        <v>3</v>
      </c>
      <c r="K7" s="5" t="s">
        <v>509</v>
      </c>
      <c r="L7" s="5" t="s">
        <v>510</v>
      </c>
      <c r="M7" s="5"/>
      <c r="N7" s="7"/>
      <c r="O7" s="5"/>
      <c r="P7" s="5">
        <v>19277</v>
      </c>
      <c r="Q7" s="5">
        <v>1547.9804063277925</v>
      </c>
      <c r="R7" s="5"/>
      <c r="S7" s="5" t="s">
        <v>604</v>
      </c>
      <c r="T7" s="5" t="s">
        <v>604</v>
      </c>
      <c r="U7" s="5"/>
      <c r="V7" s="5"/>
      <c r="W7" s="5"/>
      <c r="X7" s="5"/>
      <c r="Y7" s="5" t="s">
        <v>475</v>
      </c>
      <c r="Z7" s="5"/>
      <c r="AA7" s="5"/>
      <c r="AB7" s="5"/>
      <c r="AC7" s="5"/>
      <c r="AD7" s="5"/>
      <c r="AE7" t="s">
        <v>481</v>
      </c>
    </row>
    <row r="8" spans="1:31" ht="43.5">
      <c r="A8" t="s">
        <v>237</v>
      </c>
      <c r="B8" s="3" t="s">
        <v>426</v>
      </c>
      <c r="C8" s="3" t="s">
        <v>427</v>
      </c>
      <c r="G8" s="5" t="s">
        <v>476</v>
      </c>
      <c r="H8" s="5"/>
      <c r="I8" s="5">
        <v>1</v>
      </c>
      <c r="J8" s="5">
        <v>2</v>
      </c>
      <c r="K8" s="5" t="s">
        <v>527</v>
      </c>
      <c r="L8" s="5" t="s">
        <v>549</v>
      </c>
      <c r="M8" s="5"/>
      <c r="N8" s="7"/>
      <c r="O8" s="5"/>
      <c r="P8" s="5">
        <v>903</v>
      </c>
      <c r="Q8" s="5">
        <v>72.512647554806065</v>
      </c>
      <c r="R8" s="5"/>
      <c r="S8" s="5" t="s">
        <v>604</v>
      </c>
      <c r="T8" s="5" t="s">
        <v>604</v>
      </c>
      <c r="U8" s="5"/>
      <c r="V8" s="5"/>
      <c r="W8" s="5"/>
      <c r="X8" s="5"/>
      <c r="Y8" s="5" t="s">
        <v>475</v>
      </c>
      <c r="Z8" s="5"/>
      <c r="AA8" s="5"/>
      <c r="AB8" s="5"/>
      <c r="AC8" s="5"/>
      <c r="AD8" s="5"/>
      <c r="AE8" t="s">
        <v>475</v>
      </c>
    </row>
    <row r="9" spans="1:31" ht="29">
      <c r="A9" t="s">
        <v>241</v>
      </c>
      <c r="B9" s="3" t="s">
        <v>428</v>
      </c>
      <c r="C9" s="3" t="s">
        <v>429</v>
      </c>
      <c r="G9" s="5" t="s">
        <v>479</v>
      </c>
      <c r="H9" s="5"/>
      <c r="I9" s="5">
        <v>1</v>
      </c>
      <c r="J9" s="5">
        <v>1</v>
      </c>
      <c r="K9" s="5" t="s">
        <v>509</v>
      </c>
      <c r="L9" s="5" t="s">
        <v>549</v>
      </c>
      <c r="M9" s="5"/>
      <c r="N9" s="7"/>
      <c r="O9" s="5"/>
      <c r="P9" s="5">
        <v>19277</v>
      </c>
      <c r="Q9" s="5">
        <v>1547.9804063277925</v>
      </c>
      <c r="R9" s="5"/>
      <c r="S9" s="5" t="s">
        <v>604</v>
      </c>
      <c r="T9" s="5" t="s">
        <v>604</v>
      </c>
      <c r="U9" s="5" t="s">
        <v>559</v>
      </c>
      <c r="V9" s="5"/>
      <c r="W9" s="5"/>
      <c r="X9" s="5"/>
      <c r="Y9" s="5" t="s">
        <v>475</v>
      </c>
      <c r="Z9" s="5"/>
      <c r="AA9" s="5"/>
      <c r="AB9" s="5"/>
      <c r="AC9" s="5"/>
      <c r="AD9" s="5"/>
      <c r="AE9" t="s">
        <v>475</v>
      </c>
    </row>
    <row r="10" spans="1:31" ht="29">
      <c r="A10" t="s">
        <v>247</v>
      </c>
      <c r="B10" s="3" t="s">
        <v>430</v>
      </c>
      <c r="C10" s="3" t="s">
        <v>431</v>
      </c>
      <c r="G10" s="5" t="s">
        <v>479</v>
      </c>
      <c r="H10" s="5"/>
      <c r="I10" s="5">
        <v>1</v>
      </c>
      <c r="J10" s="5">
        <v>2</v>
      </c>
      <c r="K10" s="5" t="s">
        <v>509</v>
      </c>
      <c r="L10" s="5" t="s">
        <v>549</v>
      </c>
      <c r="M10" s="5"/>
      <c r="N10" s="7"/>
      <c r="O10" s="5"/>
      <c r="P10" s="5">
        <v>19277</v>
      </c>
      <c r="Q10" s="5">
        <v>1547.9804063277925</v>
      </c>
      <c r="R10" s="5"/>
      <c r="S10" s="5" t="s">
        <v>604</v>
      </c>
      <c r="T10" s="5" t="s">
        <v>604</v>
      </c>
      <c r="U10" s="5"/>
      <c r="V10" s="5"/>
      <c r="W10" s="5"/>
      <c r="X10" s="5"/>
      <c r="Y10" s="5" t="s">
        <v>475</v>
      </c>
      <c r="Z10" s="5"/>
      <c r="AA10" s="5"/>
      <c r="AB10" s="5"/>
      <c r="AC10" s="5"/>
      <c r="AD10" s="5"/>
      <c r="AE10" t="s">
        <v>475</v>
      </c>
    </row>
    <row r="11" spans="1:31" ht="29">
      <c r="A11" t="s">
        <v>260</v>
      </c>
      <c r="B11" s="3" t="s">
        <v>435</v>
      </c>
      <c r="C11" s="3" t="s">
        <v>436</v>
      </c>
      <c r="G11" s="5" t="s">
        <v>479</v>
      </c>
      <c r="H11" s="5"/>
      <c r="I11" s="5">
        <v>1</v>
      </c>
      <c r="J11" s="5">
        <v>2</v>
      </c>
      <c r="K11" s="5" t="s">
        <v>527</v>
      </c>
      <c r="L11" s="5" t="s">
        <v>549</v>
      </c>
      <c r="M11" s="5"/>
      <c r="N11" s="7"/>
      <c r="O11" s="5"/>
      <c r="P11" s="5">
        <v>218</v>
      </c>
      <c r="Q11" s="5">
        <v>17.505821890307555</v>
      </c>
      <c r="R11" s="5"/>
      <c r="S11" s="5" t="s">
        <v>604</v>
      </c>
      <c r="T11" s="5" t="s">
        <v>604</v>
      </c>
      <c r="U11" s="5"/>
      <c r="V11" s="5"/>
      <c r="W11" s="5"/>
      <c r="X11" s="5"/>
      <c r="Y11" s="5" t="s">
        <v>475</v>
      </c>
      <c r="Z11" s="5"/>
      <c r="AA11" s="5"/>
      <c r="AB11" s="5"/>
      <c r="AC11" s="5"/>
      <c r="AD11" s="5"/>
      <c r="AE11" t="s">
        <v>481</v>
      </c>
    </row>
    <row r="12" spans="1:31" ht="43.5">
      <c r="A12" t="s">
        <v>325</v>
      </c>
      <c r="B12" s="3" t="s">
        <v>457</v>
      </c>
      <c r="C12" s="3" t="s">
        <v>458</v>
      </c>
      <c r="G12" s="5" t="s">
        <v>479</v>
      </c>
      <c r="H12" s="5"/>
      <c r="I12" s="5">
        <v>1</v>
      </c>
      <c r="J12" s="5">
        <v>2</v>
      </c>
      <c r="K12" s="5" t="s">
        <v>509</v>
      </c>
      <c r="L12" s="5" t="s">
        <v>549</v>
      </c>
      <c r="M12" s="5"/>
      <c r="N12" s="7"/>
      <c r="O12" s="5"/>
      <c r="P12" s="5">
        <v>19277</v>
      </c>
      <c r="Q12" s="5">
        <v>1547.9804063277925</v>
      </c>
      <c r="R12" s="5"/>
      <c r="S12" s="5" t="s">
        <v>604</v>
      </c>
      <c r="T12" s="5" t="s">
        <v>604</v>
      </c>
      <c r="U12" s="5" t="s">
        <v>559</v>
      </c>
      <c r="V12" s="5"/>
      <c r="W12" s="5"/>
      <c r="X12" s="5"/>
      <c r="Y12" s="5" t="s">
        <v>475</v>
      </c>
      <c r="Z12" s="5"/>
      <c r="AA12" s="5"/>
      <c r="AB12" s="5"/>
      <c r="AC12" s="5"/>
      <c r="AD12" s="5" t="s">
        <v>475</v>
      </c>
      <c r="AE12" t="s">
        <v>475</v>
      </c>
    </row>
    <row r="13" spans="1:31" ht="43.5">
      <c r="A13" t="s">
        <v>331</v>
      </c>
      <c r="B13" s="3" t="s">
        <v>469</v>
      </c>
      <c r="C13" s="3" t="s">
        <v>467</v>
      </c>
      <c r="G13" s="5" t="s">
        <v>479</v>
      </c>
      <c r="H13" s="5"/>
      <c r="I13" s="5">
        <v>1</v>
      </c>
      <c r="J13" s="5">
        <v>2</v>
      </c>
      <c r="K13" s="5" t="s">
        <v>509</v>
      </c>
      <c r="L13" s="5" t="s">
        <v>549</v>
      </c>
      <c r="M13" s="5"/>
      <c r="N13" s="7"/>
      <c r="O13" s="5" t="s">
        <v>511</v>
      </c>
      <c r="P13" s="5">
        <v>19277</v>
      </c>
      <c r="Q13" s="5">
        <v>1547.9804063277925</v>
      </c>
      <c r="R13" s="5"/>
      <c r="S13" s="5" t="s">
        <v>604</v>
      </c>
      <c r="T13" s="5" t="s">
        <v>604</v>
      </c>
      <c r="U13" s="5" t="s">
        <v>559</v>
      </c>
      <c r="V13" s="5"/>
      <c r="W13" s="5"/>
      <c r="X13" s="5"/>
      <c r="Y13" s="5" t="s">
        <v>475</v>
      </c>
      <c r="Z13" s="5"/>
      <c r="AA13" s="5"/>
      <c r="AB13" s="5"/>
      <c r="AC13" s="5"/>
      <c r="AD13" s="5"/>
      <c r="AE13" t="s">
        <v>475</v>
      </c>
    </row>
    <row r="16" spans="1:31">
      <c r="D16" t="s">
        <v>672</v>
      </c>
      <c r="E16">
        <v>124530</v>
      </c>
    </row>
    <row r="17" spans="4:6">
      <c r="D17" t="s">
        <v>686</v>
      </c>
      <c r="E17">
        <f>MEDIAN(Q:Q)</f>
        <v>1547.9804063277925</v>
      </c>
    </row>
    <row r="20" spans="4:6">
      <c r="D20" t="s">
        <v>687</v>
      </c>
      <c r="E20">
        <f>COUNTIFS(G:G, "Addition", Q:Q, "&gt;=" &amp; $E$17)</f>
        <v>0</v>
      </c>
    </row>
    <row r="21" spans="4:6">
      <c r="D21" t="s">
        <v>688</v>
      </c>
      <c r="E21">
        <f>COUNTIFS(G:G, "Omission", Q:Q, "&gt;=" &amp; $E$17)</f>
        <v>9</v>
      </c>
    </row>
    <row r="22" spans="4:6">
      <c r="D22" t="s">
        <v>689</v>
      </c>
      <c r="E22">
        <f>E20/(E20+E21)</f>
        <v>0</v>
      </c>
    </row>
    <row r="23" spans="4:6">
      <c r="D23" t="s">
        <v>690</v>
      </c>
      <c r="E23">
        <f>COUNTIFS(G:G, "Addition", Q:Q, "&lt;" &amp; $E$17)</f>
        <v>1</v>
      </c>
      <c r="F23" t="s">
        <v>693</v>
      </c>
    </row>
    <row r="24" spans="4:6">
      <c r="D24" t="s">
        <v>691</v>
      </c>
      <c r="E24">
        <f>COUNTIFS(G:G, "Omission", Q:Q, "&lt;" &amp; $E$17)</f>
        <v>2</v>
      </c>
    </row>
    <row r="25" spans="4:6">
      <c r="D25" t="s">
        <v>692</v>
      </c>
      <c r="E25">
        <f>E23/(E23+E24)</f>
        <v>0.33333333333333331</v>
      </c>
    </row>
    <row r="28" spans="4:6">
      <c r="D28" t="s">
        <v>694</v>
      </c>
      <c r="E28">
        <f>COUNTIFS(G:G, "Addition", K:K, "Article")</f>
        <v>0</v>
      </c>
    </row>
    <row r="29" spans="4:6">
      <c r="D29" t="s">
        <v>695</v>
      </c>
      <c r="E29">
        <f>COUNTIFS(G:G, "Omission", K:K, "Article")</f>
        <v>9</v>
      </c>
    </row>
    <row r="30" spans="4:6">
      <c r="D30" t="s">
        <v>696</v>
      </c>
      <c r="E30">
        <f>COUNTIFS(G:G, "Addition", K:K, "Article")/(COUNTIFS(G:G, "Addition", K:K, "Article") + COUNTIFS(G:G, "Omission", K:K, "Article"))</f>
        <v>0</v>
      </c>
    </row>
  </sheetData>
  <conditionalFormatting sqref="G2:G13">
    <cfRule type="expression" dxfId="125" priority="32">
      <formula>$I2&lt;&gt;""</formula>
    </cfRule>
    <cfRule type="expression" dxfId="124" priority="33">
      <formula>$I2=""</formula>
    </cfRule>
  </conditionalFormatting>
  <conditionalFormatting sqref="H2:L13 O2:P13">
    <cfRule type="expression" dxfId="123" priority="30">
      <formula>AND(OR($I2="Addition",$I2="Omission"), H2="")</formula>
    </cfRule>
    <cfRule type="expression" dxfId="122" priority="31">
      <formula>AND($I2&lt;&gt;"Addition",$I2&lt;&gt;"Omission",$I2&lt;&gt;"Substitution - Word")</formula>
    </cfRule>
  </conditionalFormatting>
  <conditionalFormatting sqref="H2:P13">
    <cfRule type="expression" dxfId="121" priority="29">
      <formula>AND(OR($I2="Addition",$I2="Omission"), H2&lt;&gt;"")</formula>
    </cfRule>
  </conditionalFormatting>
  <conditionalFormatting sqref="K2:K13">
    <cfRule type="expression" dxfId="120" priority="24">
      <formula>AND($K2&lt;&gt;"",$K2&gt;1)</formula>
    </cfRule>
  </conditionalFormatting>
  <conditionalFormatting sqref="M2:N13">
    <cfRule type="expression" dxfId="119" priority="20">
      <formula>$N2="Absent"</formula>
    </cfRule>
    <cfRule type="expression" dxfId="118" priority="21">
      <formula>$N2="NA"</formula>
    </cfRule>
    <cfRule type="expression" dxfId="117" priority="22">
      <formula>AND(OR($I2="Addition",$I2="Omission"), M2="")</formula>
    </cfRule>
    <cfRule type="expression" dxfId="116" priority="23">
      <formula>AND($I2&lt;&gt;"Addition",$I2&lt;&gt;"Omission")</formula>
    </cfRule>
  </conditionalFormatting>
  <conditionalFormatting sqref="O2:O13">
    <cfRule type="expression" dxfId="115" priority="25">
      <formula>AND(OR($I2="Addition",$I2="Omission",$I2="Substitution - Word"),RIGHT($AE2,6)&lt;&gt;"strict",$AD2&lt;&gt;"Yes")</formula>
    </cfRule>
  </conditionalFormatting>
  <conditionalFormatting sqref="Q2:Q13">
    <cfRule type="expression" dxfId="114" priority="1">
      <formula>AND(OR($I2="Addition",$I2="Omission"), Q2&lt;&gt;"")</formula>
    </cfRule>
    <cfRule type="expression" dxfId="113" priority="2">
      <formula>AND(OR($I2="Addition",$I2="Omission"), Q2="")</formula>
    </cfRule>
    <cfRule type="expression" dxfId="112" priority="3">
      <formula>AND($I2&lt;&gt;"Addition",$I2&lt;&gt;"Omission",$I2&lt;&gt;"Substitution - Word")</formula>
    </cfRule>
  </conditionalFormatting>
  <conditionalFormatting sqref="R2:T13">
    <cfRule type="expression" dxfId="111" priority="26">
      <formula>AND(AND(LEFT($I2,3)="Sub", RIGHT($I2,4)&lt;&gt;"Form"),$T2&lt;&gt;"")</formula>
    </cfRule>
    <cfRule type="expression" dxfId="110" priority="27">
      <formula>AND(AND(LEFT($I2,3)="Sub", RIGHT($I2,4)&lt;&gt;"Form"),$T2="")</formula>
    </cfRule>
    <cfRule type="expression" dxfId="109" priority="28">
      <formula>"&lt;&gt;AND(LEFT($J2,3)=""Sub"", RIGHT($J2,4)&lt;&gt;""Form"")"</formula>
    </cfRule>
  </conditionalFormatting>
  <conditionalFormatting sqref="S2:T13">
    <cfRule type="expression" dxfId="108" priority="4">
      <formula>AND(AND(LEFT($I2,3)="Sub", RIGHT($I2,4)&lt;&gt;"Form"),$T2&lt;&gt;"")</formula>
    </cfRule>
    <cfRule type="expression" dxfId="107" priority="5">
      <formula>AND(AND(LEFT($I2,3)="Sub", RIGHT($I2,4)&lt;&gt;"Form"),$T2="")</formula>
    </cfRule>
    <cfRule type="expression" dxfId="106" priority="6">
      <formula>"&lt;&gt;AND(LEFT($J2,3)=""Sub"", RIGHT($J2,4)&lt;&gt;""Form"")"</formula>
    </cfRule>
  </conditionalFormatting>
  <conditionalFormatting sqref="U2:U13">
    <cfRule type="expression" dxfId="105" priority="10">
      <formula>AND($W2&lt;&gt;"",OR($AD2="Yes",$AE2&lt;&gt;""))</formula>
    </cfRule>
    <cfRule type="expression" dxfId="104" priority="11">
      <formula>OR($AD2="Yes",$AE2&lt;&gt;"")</formula>
    </cfRule>
    <cfRule type="expression" dxfId="103" priority="12">
      <formula>AND($I2&lt;&gt;"",$I2&lt;&gt;"Unclear due to correction")</formula>
    </cfRule>
    <cfRule type="expression" dxfId="102" priority="15">
      <formula>OR($I2="",$I2="Unclear due to correction")</formula>
    </cfRule>
    <cfRule type="expression" dxfId="101" priority="16">
      <formula>AND($AD2&lt;&gt;"Yes",$AE2="")</formula>
    </cfRule>
  </conditionalFormatting>
  <conditionalFormatting sqref="V2:V13">
    <cfRule type="expression" dxfId="100" priority="7">
      <formula>AND($I2&lt;&gt;"",$I2&lt;&gt;"Unclear due to correction",$X2="")</formula>
    </cfRule>
    <cfRule type="expression" dxfId="99" priority="8">
      <formula>AND($I2&lt;&gt;"",$I2&lt;&gt;"Unclear due to correction")</formula>
    </cfRule>
    <cfRule type="expression" dxfId="98" priority="9">
      <formula>OR($I2="",$I2="Unclear due to correction")</formula>
    </cfRule>
  </conditionalFormatting>
  <conditionalFormatting sqref="W2:W13">
    <cfRule type="expression" dxfId="97" priority="13">
      <formula>AND($X2="Yes",$Y2="")</formula>
    </cfRule>
    <cfRule type="expression" dxfId="96" priority="14">
      <formula>$X2=""</formula>
    </cfRule>
  </conditionalFormatting>
  <conditionalFormatting sqref="W2:AD13">
    <cfRule type="expression" dxfId="95" priority="18">
      <formula>AND($I2&lt;&gt;"",$I2&lt;&gt;"Unclear due to correction")</formula>
    </cfRule>
    <cfRule type="expression" dxfId="94" priority="19">
      <formula>OR($I2="",$I2="Unclear due to correction")</formula>
    </cfRule>
  </conditionalFormatting>
  <conditionalFormatting sqref="AB2:AB13">
    <cfRule type="expression" dxfId="93" priority="17">
      <formula>AND(OR($AB2&lt;&gt;"",$AC2&lt;&gt;""),$AD2="")</formula>
    </cfRule>
  </conditionalFormatting>
  <dataValidations count="1">
    <dataValidation type="list" allowBlank="1" showInputMessage="1" showErrorMessage="1" sqref="AE2:AE13" xr:uid="{49060CC0-A6BA-463E-8019-400EC40F6E91}">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xr:uid="{BA005DD2-2201-45EB-B2D0-B082B138AA29}">
          <x14:formula1>
            <xm:f>'Data Regularization'!$I$2:$I$1048576</xm:f>
          </x14:formula1>
          <xm:sqref>V2:V13</xm:sqref>
        </x14:dataValidation>
        <x14:dataValidation type="list" allowBlank="1" showInputMessage="1" showErrorMessage="1" xr:uid="{EABC05FF-F326-422A-8966-DE8E1F0F0952}">
          <x14:formula1>
            <xm:f>'Data Regularization'!$H$2:$H$1048576</xm:f>
          </x14:formula1>
          <xm:sqref>U2:U13</xm:sqref>
        </x14:dataValidation>
        <x14:dataValidation type="list" allowBlank="1" showInputMessage="1" showErrorMessage="1" xr:uid="{C9C8470B-A00B-4409-B059-55160C8C6A64}">
          <x14:formula1>
            <xm:f>'Data Regularization'!$P$2:$P$1048576</xm:f>
          </x14:formula1>
          <xm:sqref>AD2:AD13</xm:sqref>
        </x14:dataValidation>
        <x14:dataValidation type="list" allowBlank="1" showInputMessage="1" showErrorMessage="1" xr:uid="{7EDB16C1-D16C-453B-ABF1-025859FE6BB9}">
          <x14:formula1>
            <xm:f>'Data Regularization'!$O$2:$O$1048576</xm:f>
          </x14:formula1>
          <xm:sqref>AC2:AC13</xm:sqref>
        </x14:dataValidation>
        <x14:dataValidation type="list" allowBlank="1" showInputMessage="1" showErrorMessage="1" xr:uid="{FD29CCB0-373F-43C9-8170-F48E496C5BF0}">
          <x14:formula1>
            <xm:f>'Data Regularization'!$N$2:$N$1048576</xm:f>
          </x14:formula1>
          <xm:sqref>AB2:AB13</xm:sqref>
        </x14:dataValidation>
        <x14:dataValidation type="list" allowBlank="1" showInputMessage="1" showErrorMessage="1" xr:uid="{73FD491A-8FB1-431A-8994-67D12FC978FB}">
          <x14:formula1>
            <xm:f>'Data Regularization'!$M$2:$M$1048576</xm:f>
          </x14:formula1>
          <xm:sqref>Z2:Z13</xm:sqref>
        </x14:dataValidation>
        <x14:dataValidation type="list" allowBlank="1" showInputMessage="1" showErrorMessage="1" xr:uid="{ADFE6369-5B67-4599-977A-28B349A2D4A4}">
          <x14:formula1>
            <xm:f>'Data Regularization'!$L$2:$L$1048576</xm:f>
          </x14:formula1>
          <xm:sqref>Y2:Y13</xm:sqref>
        </x14:dataValidation>
        <x14:dataValidation type="list" allowBlank="1" showInputMessage="1" showErrorMessage="1" xr:uid="{44E63D03-7ACF-46D7-A095-04DDFC4D9C84}">
          <x14:formula1>
            <xm:f>'Data Regularization'!$K$2:$K$1048576</xm:f>
          </x14:formula1>
          <xm:sqref>X2:X13</xm:sqref>
        </x14:dataValidation>
        <x14:dataValidation type="list" allowBlank="1" showInputMessage="1" showErrorMessage="1" xr:uid="{42CFE370-997E-40DF-B0E5-016879F249A4}">
          <x14:formula1>
            <xm:f>'Data Regularization'!$J$2:$J$1048576</xm:f>
          </x14:formula1>
          <xm:sqref>W2:W13</xm:sqref>
        </x14:dataValidation>
        <x14:dataValidation type="list" allowBlank="1" showInputMessage="1" showErrorMessage="1" xr:uid="{009F872F-2471-404B-8DE6-420C13724F59}">
          <x14:formula1>
            <xm:f>'Data Regularization'!$G$2:$G$1048576</xm:f>
          </x14:formula1>
          <xm:sqref>O2:O13</xm:sqref>
        </x14:dataValidation>
        <x14:dataValidation type="list" allowBlank="1" showInputMessage="1" showErrorMessage="1" xr:uid="{6F493F90-C9F0-4725-AAFB-9AF378B9B655}">
          <x14:formula1>
            <xm:f>'Data Regularization'!$F$2:$F$1048576</xm:f>
          </x14:formula1>
          <xm:sqref>L2:L13</xm:sqref>
        </x14:dataValidation>
        <x14:dataValidation type="list" allowBlank="1" showInputMessage="1" showErrorMessage="1" xr:uid="{25E26129-9211-4A0A-824B-D9B4EEB753BE}">
          <x14:formula1>
            <xm:f>'Data Regularization'!$E$2:$E$1048576</xm:f>
          </x14:formula1>
          <xm:sqref>K2:K13</xm:sqref>
        </x14:dataValidation>
        <x14:dataValidation type="list" allowBlank="1" showInputMessage="1" showErrorMessage="1" errorTitle="Invalid Entry" error="Just pick &quot;yes&quot; or &quot;no&quot;!!!" xr:uid="{87FE033A-2430-40DC-A570-F209C9992637}">
          <x14:formula1>
            <xm:f>'Data Regularization'!$B$2:$B$1048576</xm:f>
          </x14:formula1>
          <xm:sqref>E2:E13</xm:sqref>
        </x14:dataValidation>
        <x14:dataValidation type="list" allowBlank="1" showInputMessage="1" xr:uid="{2BF26BD5-2E72-4B32-8D16-A76B726E1907}">
          <x14:formula1>
            <xm:f>'Data Regularization'!$A$2:$A$1048576</xm:f>
          </x14:formula1>
          <xm:sqref>D2:D13</xm:sqref>
        </x14:dataValidation>
        <x14:dataValidation type="list" allowBlank="1" showInputMessage="1" showErrorMessage="1" xr:uid="{2A807D60-F30D-40C8-BCCE-0710B8CA4183}">
          <x14:formula1>
            <xm:f>'Data Regularization'!$C$2:$C$1048576</xm:f>
          </x14:formula1>
          <xm:sqref>F2:F13</xm:sqref>
        </x14:dataValidation>
        <x14:dataValidation type="list" allowBlank="1" showInputMessage="1" showErrorMessage="1" xr:uid="{25E4AEA5-288F-420F-8130-E09AEA71F732}">
          <x14:formula1>
            <xm:f>'Data Regularization'!$D$2:$D$1048576</xm:f>
          </x14:formula1>
          <xm:sqref>G2:G13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E1C86-2825-434C-B658-2337373273F4}">
  <dimension ref="A1:AE16"/>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1" s="1" customFormat="1" ht="29">
      <c r="A1" s="1" t="s">
        <v>0</v>
      </c>
      <c r="B1" s="2" t="s">
        <v>473</v>
      </c>
      <c r="C1" s="2" t="s">
        <v>474</v>
      </c>
      <c r="D1" s="1" t="s">
        <v>531</v>
      </c>
      <c r="E1" s="1" t="s">
        <v>532</v>
      </c>
      <c r="F1" s="1" t="s">
        <v>533</v>
      </c>
      <c r="G1" s="1" t="s">
        <v>3</v>
      </c>
      <c r="I1" s="1" t="s">
        <v>534</v>
      </c>
      <c r="J1" s="1" t="s">
        <v>535</v>
      </c>
      <c r="K1" s="1" t="s">
        <v>536</v>
      </c>
      <c r="L1" s="1" t="s">
        <v>495</v>
      </c>
      <c r="M1" s="1" t="s">
        <v>537</v>
      </c>
      <c r="N1" s="6" t="s">
        <v>538</v>
      </c>
      <c r="O1" s="1" t="s">
        <v>496</v>
      </c>
      <c r="P1" s="1" t="s">
        <v>539</v>
      </c>
      <c r="Q1" s="1" t="s">
        <v>675</v>
      </c>
      <c r="R1" s="1" t="s">
        <v>540</v>
      </c>
      <c r="S1" s="1" t="s">
        <v>673</v>
      </c>
      <c r="T1" s="1" t="s">
        <v>674</v>
      </c>
      <c r="U1" s="1" t="s">
        <v>557</v>
      </c>
      <c r="V1" s="1" t="s">
        <v>558</v>
      </c>
      <c r="W1" s="1" t="s">
        <v>497</v>
      </c>
      <c r="X1" s="1" t="s">
        <v>498</v>
      </c>
      <c r="Y1" s="1" t="s">
        <v>499</v>
      </c>
      <c r="Z1" s="1" t="s">
        <v>500</v>
      </c>
      <c r="AA1" s="1" t="s">
        <v>541</v>
      </c>
      <c r="AB1" s="1" t="s">
        <v>569</v>
      </c>
      <c r="AC1" s="1" t="s">
        <v>502</v>
      </c>
      <c r="AD1" s="1" t="s">
        <v>544</v>
      </c>
      <c r="AE1" s="1" t="s">
        <v>634</v>
      </c>
    </row>
    <row r="2" spans="1:31" ht="43.5">
      <c r="A2" t="s">
        <v>192</v>
      </c>
      <c r="B2" s="3" t="s">
        <v>389</v>
      </c>
      <c r="C2" s="3" t="s">
        <v>390</v>
      </c>
      <c r="G2" s="5" t="s">
        <v>479</v>
      </c>
      <c r="H2" s="5"/>
      <c r="I2" s="5">
        <v>1</v>
      </c>
      <c r="J2" s="5">
        <v>5</v>
      </c>
      <c r="K2" s="5" t="s">
        <v>503</v>
      </c>
      <c r="L2" s="5" t="s">
        <v>504</v>
      </c>
      <c r="M2" s="5" t="s">
        <v>551</v>
      </c>
      <c r="N2" s="7" t="s">
        <v>552</v>
      </c>
      <c r="O2" s="5"/>
      <c r="P2" s="5">
        <v>1599</v>
      </c>
      <c r="Q2" s="5">
        <v>128.40279450734764</v>
      </c>
      <c r="R2" s="5"/>
      <c r="S2" s="5" t="s">
        <v>604</v>
      </c>
      <c r="T2" s="5" t="s">
        <v>604</v>
      </c>
      <c r="U2" s="5"/>
      <c r="V2" s="5"/>
      <c r="W2" s="5"/>
      <c r="X2" s="5"/>
      <c r="Y2" s="5" t="s">
        <v>475</v>
      </c>
      <c r="Z2" s="5"/>
      <c r="AA2" s="5"/>
      <c r="AB2" s="5"/>
      <c r="AC2" s="5"/>
      <c r="AD2" s="5"/>
      <c r="AE2" t="s">
        <v>481</v>
      </c>
    </row>
    <row r="3" spans="1:31" ht="29">
      <c r="A3" t="s">
        <v>325</v>
      </c>
      <c r="B3" s="3" t="s">
        <v>459</v>
      </c>
      <c r="C3" s="3" t="s">
        <v>460</v>
      </c>
      <c r="G3" s="5" t="s">
        <v>476</v>
      </c>
      <c r="H3" s="5"/>
      <c r="I3" s="5">
        <v>1</v>
      </c>
      <c r="J3" s="5">
        <v>1</v>
      </c>
      <c r="K3" s="5" t="s">
        <v>503</v>
      </c>
      <c r="L3" s="5" t="s">
        <v>549</v>
      </c>
      <c r="M3" s="5"/>
      <c r="N3" s="7"/>
      <c r="O3" s="5" t="s">
        <v>505</v>
      </c>
      <c r="P3" s="5">
        <v>370</v>
      </c>
      <c r="Q3" s="5">
        <v>29.711716052356859</v>
      </c>
      <c r="R3" s="5"/>
      <c r="S3" s="5" t="s">
        <v>604</v>
      </c>
      <c r="T3" s="5" t="s">
        <v>604</v>
      </c>
      <c r="U3" s="5" t="s">
        <v>559</v>
      </c>
      <c r="V3" s="5"/>
      <c r="W3" s="5"/>
      <c r="X3" s="5"/>
      <c r="Y3" s="5" t="s">
        <v>475</v>
      </c>
      <c r="Z3" s="5"/>
      <c r="AA3" s="5"/>
      <c r="AB3" s="5"/>
      <c r="AC3" s="5"/>
      <c r="AD3" s="5"/>
      <c r="AE3" t="s">
        <v>481</v>
      </c>
    </row>
    <row r="6" spans="1:31">
      <c r="D6" t="s">
        <v>672</v>
      </c>
      <c r="E6">
        <v>124530</v>
      </c>
    </row>
    <row r="7" spans="1:31">
      <c r="D7" t="s">
        <v>686</v>
      </c>
      <c r="E7">
        <f>MEDIAN(Q:Q)</f>
        <v>79.057255279852242</v>
      </c>
    </row>
    <row r="10" spans="1:31">
      <c r="D10" t="s">
        <v>687</v>
      </c>
      <c r="E10">
        <f>COUNTIFS(G:G, "Addition", Q:Q, "&gt;=" &amp; $E$7)</f>
        <v>0</v>
      </c>
      <c r="F10" t="s">
        <v>693</v>
      </c>
    </row>
    <row r="11" spans="1:31">
      <c r="D11" t="s">
        <v>688</v>
      </c>
      <c r="E11">
        <f>COUNTIFS(G:G, "Omission", Q:Q, "&gt;=" &amp; $E$7)</f>
        <v>1</v>
      </c>
    </row>
    <row r="12" spans="1:31">
      <c r="D12" t="s">
        <v>689</v>
      </c>
      <c r="E12">
        <f>E10/(E10+E11)</f>
        <v>0</v>
      </c>
    </row>
    <row r="13" spans="1:31">
      <c r="D13" t="s">
        <v>690</v>
      </c>
      <c r="E13">
        <f>COUNTIFS(G:G, "Addition", Q:Q, "&lt;" &amp; $E$7)</f>
        <v>1</v>
      </c>
    </row>
    <row r="14" spans="1:31">
      <c r="D14" t="s">
        <v>691</v>
      </c>
      <c r="E14">
        <f>COUNTIFS(G:G, "Omission", Q:Q, "&lt;" &amp; $E$7)</f>
        <v>0</v>
      </c>
    </row>
    <row r="15" spans="1:31">
      <c r="D15" t="s">
        <v>692</v>
      </c>
      <c r="E15">
        <f>E13/(E13+E14)</f>
        <v>1</v>
      </c>
    </row>
    <row r="16" spans="1:31">
      <c r="D16" t="s">
        <v>697</v>
      </c>
      <c r="E16">
        <f>E12-E15</f>
        <v>-1</v>
      </c>
    </row>
  </sheetData>
  <conditionalFormatting sqref="G2:G3">
    <cfRule type="expression" dxfId="92" priority="32">
      <formula>$I2&lt;&gt;""</formula>
    </cfRule>
    <cfRule type="expression" dxfId="91" priority="33">
      <formula>$I2=""</formula>
    </cfRule>
  </conditionalFormatting>
  <conditionalFormatting sqref="H2:L3 O2:P3">
    <cfRule type="expression" dxfId="90" priority="30">
      <formula>AND(OR($I2="Addition",$I2="Omission"), H2="")</formula>
    </cfRule>
    <cfRule type="expression" dxfId="89" priority="31">
      <formula>AND($I2&lt;&gt;"Addition",$I2&lt;&gt;"Omission",$I2&lt;&gt;"Substitution - Word")</formula>
    </cfRule>
  </conditionalFormatting>
  <conditionalFormatting sqref="H2:P3">
    <cfRule type="expression" dxfId="88" priority="29">
      <formula>AND(OR($I2="Addition",$I2="Omission"), H2&lt;&gt;"")</formula>
    </cfRule>
  </conditionalFormatting>
  <conditionalFormatting sqref="K2:K3">
    <cfRule type="expression" dxfId="87" priority="24">
      <formula>AND($K2&lt;&gt;"",$K2&gt;1)</formula>
    </cfRule>
  </conditionalFormatting>
  <conditionalFormatting sqref="M2:N3">
    <cfRule type="expression" dxfId="86" priority="20">
      <formula>$N2="Absent"</formula>
    </cfRule>
    <cfRule type="expression" dxfId="85" priority="21">
      <formula>$N2="NA"</formula>
    </cfRule>
    <cfRule type="expression" dxfId="84" priority="22">
      <formula>AND(OR($I2="Addition",$I2="Omission"), M2="")</formula>
    </cfRule>
    <cfRule type="expression" dxfId="83" priority="23">
      <formula>AND($I2&lt;&gt;"Addition",$I2&lt;&gt;"Omission")</formula>
    </cfRule>
  </conditionalFormatting>
  <conditionalFormatting sqref="O2:O3">
    <cfRule type="expression" dxfId="82" priority="25">
      <formula>AND(OR($I2="Addition",$I2="Omission",$I2="Substitution - Word"),RIGHT($AE2,6)&lt;&gt;"strict",$AD2&lt;&gt;"Yes")</formula>
    </cfRule>
  </conditionalFormatting>
  <conditionalFormatting sqref="Q2:Q3">
    <cfRule type="expression" dxfId="81" priority="1">
      <formula>AND(OR($I2="Addition",$I2="Omission"), Q2&lt;&gt;"")</formula>
    </cfRule>
    <cfRule type="expression" dxfId="80" priority="2">
      <formula>AND(OR($I2="Addition",$I2="Omission"), Q2="")</formula>
    </cfRule>
    <cfRule type="expression" dxfId="79" priority="3">
      <formula>AND($I2&lt;&gt;"Addition",$I2&lt;&gt;"Omission",$I2&lt;&gt;"Substitution - Word")</formula>
    </cfRule>
  </conditionalFormatting>
  <conditionalFormatting sqref="R2:T3">
    <cfRule type="expression" dxfId="78" priority="26">
      <formula>AND(AND(LEFT($I2,3)="Sub", RIGHT($I2,4)&lt;&gt;"Form"),$T2&lt;&gt;"")</formula>
    </cfRule>
    <cfRule type="expression" dxfId="77" priority="27">
      <formula>AND(AND(LEFT($I2,3)="Sub", RIGHT($I2,4)&lt;&gt;"Form"),$T2="")</formula>
    </cfRule>
    <cfRule type="expression" dxfId="76" priority="28">
      <formula>"&lt;&gt;AND(LEFT($J2,3)=""Sub"", RIGHT($J2,4)&lt;&gt;""Form"")"</formula>
    </cfRule>
  </conditionalFormatting>
  <conditionalFormatting sqref="S2:T3">
    <cfRule type="expression" dxfId="75" priority="4">
      <formula>AND(AND(LEFT($I2,3)="Sub", RIGHT($I2,4)&lt;&gt;"Form"),$T2&lt;&gt;"")</formula>
    </cfRule>
    <cfRule type="expression" dxfId="74" priority="5">
      <formula>AND(AND(LEFT($I2,3)="Sub", RIGHT($I2,4)&lt;&gt;"Form"),$T2="")</formula>
    </cfRule>
    <cfRule type="expression" dxfId="73" priority="6">
      <formula>"&lt;&gt;AND(LEFT($J2,3)=""Sub"", RIGHT($J2,4)&lt;&gt;""Form"")"</formula>
    </cfRule>
  </conditionalFormatting>
  <conditionalFormatting sqref="U2:U3">
    <cfRule type="expression" dxfId="72" priority="10">
      <formula>AND($W2&lt;&gt;"",OR($AD2="Yes",$AE2&lt;&gt;""))</formula>
    </cfRule>
    <cfRule type="expression" dxfId="71" priority="11">
      <formula>OR($AD2="Yes",$AE2&lt;&gt;"")</formula>
    </cfRule>
    <cfRule type="expression" dxfId="70" priority="12">
      <formula>AND($I2&lt;&gt;"",$I2&lt;&gt;"Unclear due to correction")</formula>
    </cfRule>
    <cfRule type="expression" dxfId="69" priority="15">
      <formula>OR($I2="",$I2="Unclear due to correction")</formula>
    </cfRule>
    <cfRule type="expression" dxfId="68" priority="16">
      <formula>AND($AD2&lt;&gt;"Yes",$AE2="")</formula>
    </cfRule>
  </conditionalFormatting>
  <conditionalFormatting sqref="V2:V3">
    <cfRule type="expression" dxfId="67" priority="7">
      <formula>AND($I2&lt;&gt;"",$I2&lt;&gt;"Unclear due to correction",$X2="")</formula>
    </cfRule>
    <cfRule type="expression" dxfId="66" priority="8">
      <formula>AND($I2&lt;&gt;"",$I2&lt;&gt;"Unclear due to correction")</formula>
    </cfRule>
    <cfRule type="expression" dxfId="65" priority="9">
      <formula>OR($I2="",$I2="Unclear due to correction")</formula>
    </cfRule>
  </conditionalFormatting>
  <conditionalFormatting sqref="W2:W3">
    <cfRule type="expression" dxfId="64" priority="13">
      <formula>AND($X2="Yes",$Y2="")</formula>
    </cfRule>
    <cfRule type="expression" dxfId="63" priority="14">
      <formula>$X2=""</formula>
    </cfRule>
  </conditionalFormatting>
  <conditionalFormatting sqref="W2:AD3">
    <cfRule type="expression" dxfId="62" priority="18">
      <formula>AND($I2&lt;&gt;"",$I2&lt;&gt;"Unclear due to correction")</formula>
    </cfRule>
    <cfRule type="expression" dxfId="61" priority="19">
      <formula>OR($I2="",$I2="Unclear due to correction")</formula>
    </cfRule>
  </conditionalFormatting>
  <conditionalFormatting sqref="AB2:AB3">
    <cfRule type="expression" dxfId="60" priority="17">
      <formula>AND(OR($AB2&lt;&gt;"",$AC2&lt;&gt;""),$AD2="")</formula>
    </cfRule>
  </conditionalFormatting>
  <dataValidations count="1">
    <dataValidation type="list" allowBlank="1" showInputMessage="1" showErrorMessage="1" sqref="AE2:AE3" xr:uid="{47B8DD0A-78F0-461E-A9F2-D7547973957F}">
      <formula1>"Yes, 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6">
        <x14:dataValidation type="list" allowBlank="1" showInputMessage="1" xr:uid="{BEB85DE5-36FA-4A5E-A1FD-4EC0E4BD7D77}">
          <x14:formula1>
            <xm:f>'Data Regularization'!$I$2:$I$1048576</xm:f>
          </x14:formula1>
          <xm:sqref>V2:V3</xm:sqref>
        </x14:dataValidation>
        <x14:dataValidation type="list" allowBlank="1" showInputMessage="1" showErrorMessage="1" xr:uid="{BB9A1ADE-4981-4DA4-A3F8-1CF6C26104FA}">
          <x14:formula1>
            <xm:f>'Data Regularization'!$H$2:$H$1048576</xm:f>
          </x14:formula1>
          <xm:sqref>U2:U3</xm:sqref>
        </x14:dataValidation>
        <x14:dataValidation type="list" allowBlank="1" showInputMessage="1" showErrorMessage="1" xr:uid="{E4CB0715-561B-44BC-9A0B-13089FB83404}">
          <x14:formula1>
            <xm:f>'Data Regularization'!$P$2:$P$1048576</xm:f>
          </x14:formula1>
          <xm:sqref>AD2:AD3</xm:sqref>
        </x14:dataValidation>
        <x14:dataValidation type="list" allowBlank="1" showInputMessage="1" showErrorMessage="1" xr:uid="{57FF3631-9ECE-40D8-A4E0-26CADEC9AD77}">
          <x14:formula1>
            <xm:f>'Data Regularization'!$O$2:$O$1048576</xm:f>
          </x14:formula1>
          <xm:sqref>AC2:AC3</xm:sqref>
        </x14:dataValidation>
        <x14:dataValidation type="list" allowBlank="1" showInputMessage="1" showErrorMessage="1" xr:uid="{DB5F3466-80C2-4F6A-8AA5-0C569A148EE0}">
          <x14:formula1>
            <xm:f>'Data Regularization'!$N$2:$N$1048576</xm:f>
          </x14:formula1>
          <xm:sqref>AB2:AB3</xm:sqref>
        </x14:dataValidation>
        <x14:dataValidation type="list" allowBlank="1" showInputMessage="1" showErrorMessage="1" xr:uid="{1F776C2A-EA67-46D1-BB12-B942B3C02D6A}">
          <x14:formula1>
            <xm:f>'Data Regularization'!$M$2:$M$1048576</xm:f>
          </x14:formula1>
          <xm:sqref>Z2:Z3</xm:sqref>
        </x14:dataValidation>
        <x14:dataValidation type="list" allowBlank="1" showInputMessage="1" showErrorMessage="1" xr:uid="{80B1F92E-6F06-4A65-9149-B93061FFED63}">
          <x14:formula1>
            <xm:f>'Data Regularization'!$L$2:$L$1048576</xm:f>
          </x14:formula1>
          <xm:sqref>Y2:Y3</xm:sqref>
        </x14:dataValidation>
        <x14:dataValidation type="list" allowBlank="1" showInputMessage="1" showErrorMessage="1" xr:uid="{EE3D3E36-4E91-48E1-83F0-A6F05626B816}">
          <x14:formula1>
            <xm:f>'Data Regularization'!$K$2:$K$1048576</xm:f>
          </x14:formula1>
          <xm:sqref>X2:X3</xm:sqref>
        </x14:dataValidation>
        <x14:dataValidation type="list" allowBlank="1" showInputMessage="1" showErrorMessage="1" xr:uid="{5C0637A6-F3A2-44FE-8EE6-4D3A2131FBB6}">
          <x14:formula1>
            <xm:f>'Data Regularization'!$J$2:$J$1048576</xm:f>
          </x14:formula1>
          <xm:sqref>W2:W3</xm:sqref>
        </x14:dataValidation>
        <x14:dataValidation type="list" allowBlank="1" showInputMessage="1" showErrorMessage="1" xr:uid="{4C925180-DC12-406D-BA9A-033154DB7E3E}">
          <x14:formula1>
            <xm:f>'Data Regularization'!$G$2:$G$1048576</xm:f>
          </x14:formula1>
          <xm:sqref>O2:O3</xm:sqref>
        </x14:dataValidation>
        <x14:dataValidation type="list" allowBlank="1" showInputMessage="1" showErrorMessage="1" xr:uid="{5B922D70-36C3-43A5-BDA1-3F3D074A4E38}">
          <x14:formula1>
            <xm:f>'Data Regularization'!$F$2:$F$1048576</xm:f>
          </x14:formula1>
          <xm:sqref>L2:L3</xm:sqref>
        </x14:dataValidation>
        <x14:dataValidation type="list" allowBlank="1" showInputMessage="1" showErrorMessage="1" xr:uid="{A4164082-6450-45D7-A555-FE00AC8EB6F7}">
          <x14:formula1>
            <xm:f>'Data Regularization'!$E$2:$E$1048576</xm:f>
          </x14:formula1>
          <xm:sqref>K2:K3</xm:sqref>
        </x14:dataValidation>
        <x14:dataValidation type="list" allowBlank="1" showInputMessage="1" showErrorMessage="1" errorTitle="Invalid Entry" error="Just pick &quot;yes&quot; or &quot;no&quot;!!!" xr:uid="{EE7FFC54-E2DB-4441-9ACA-5AD929FAF1B1}">
          <x14:formula1>
            <xm:f>'Data Regularization'!$B$2:$B$1048576</xm:f>
          </x14:formula1>
          <xm:sqref>E2:E3</xm:sqref>
        </x14:dataValidation>
        <x14:dataValidation type="list" allowBlank="1" showInputMessage="1" xr:uid="{67DF4E69-5A00-4D63-8F71-81DB6F7D62D6}">
          <x14:formula1>
            <xm:f>'Data Regularization'!$A$2:$A$1048576</xm:f>
          </x14:formula1>
          <xm:sqref>D2:D3</xm:sqref>
        </x14:dataValidation>
        <x14:dataValidation type="list" allowBlank="1" showInputMessage="1" showErrorMessage="1" xr:uid="{5F9F75C9-BDCE-4107-ACFC-FD7753D327F7}">
          <x14:formula1>
            <xm:f>'Data Regularization'!$C$2:$C$1048576</xm:f>
          </x14:formula1>
          <xm:sqref>F2:F3</xm:sqref>
        </x14:dataValidation>
        <x14:dataValidation type="list" allowBlank="1" showInputMessage="1" showErrorMessage="1" xr:uid="{F45F586C-6A4A-410D-B826-FFFEE6C9FE89}">
          <x14:formula1>
            <xm:f>'Data Regularization'!$D$2:$D$1048576</xm:f>
          </x14:formula1>
          <xm:sqref>G2:G3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A45A-E43E-47A0-B666-B632BE5EB374}">
  <dimension ref="A1:AH34"/>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4" s="1" customFormat="1" ht="29">
      <c r="A1" s="1" t="s">
        <v>0</v>
      </c>
      <c r="B1" s="2" t="s">
        <v>473</v>
      </c>
      <c r="C1" s="2" t="s">
        <v>474</v>
      </c>
      <c r="D1" s="1" t="s">
        <v>531</v>
      </c>
      <c r="E1" s="1" t="s">
        <v>532</v>
      </c>
      <c r="F1" s="1" t="s">
        <v>533</v>
      </c>
      <c r="G1" s="1" t="s">
        <v>3</v>
      </c>
      <c r="I1" s="1" t="s">
        <v>534</v>
      </c>
      <c r="J1" s="1" t="s">
        <v>535</v>
      </c>
      <c r="K1" s="1" t="s">
        <v>536</v>
      </c>
      <c r="L1" s="1" t="s">
        <v>495</v>
      </c>
      <c r="M1" s="1" t="s">
        <v>537</v>
      </c>
      <c r="N1" s="6" t="s">
        <v>538</v>
      </c>
      <c r="O1" s="1" t="s">
        <v>496</v>
      </c>
      <c r="P1" s="1" t="s">
        <v>539</v>
      </c>
      <c r="Q1" s="1" t="s">
        <v>540</v>
      </c>
      <c r="R1" s="1" t="s">
        <v>673</v>
      </c>
      <c r="S1" s="1" t="s">
        <v>674</v>
      </c>
      <c r="T1" s="1" t="s">
        <v>676</v>
      </c>
      <c r="U1" s="1" t="s">
        <v>677</v>
      </c>
      <c r="V1" s="1" t="s">
        <v>678</v>
      </c>
      <c r="W1" s="1" t="s">
        <v>557</v>
      </c>
      <c r="X1" s="1" t="s">
        <v>558</v>
      </c>
      <c r="Y1" s="1" t="s">
        <v>497</v>
      </c>
      <c r="Z1" s="1" t="s">
        <v>498</v>
      </c>
      <c r="AA1" s="1" t="s">
        <v>499</v>
      </c>
      <c r="AB1" s="1" t="s">
        <v>500</v>
      </c>
      <c r="AC1" s="1" t="s">
        <v>541</v>
      </c>
      <c r="AD1" s="1" t="s">
        <v>569</v>
      </c>
      <c r="AE1" s="1" t="s">
        <v>502</v>
      </c>
      <c r="AF1" s="1" t="s">
        <v>544</v>
      </c>
      <c r="AG1" s="1" t="s">
        <v>634</v>
      </c>
    </row>
    <row r="2" spans="1:34" ht="29">
      <c r="A2" t="s">
        <v>33</v>
      </c>
      <c r="B2" s="3" t="s">
        <v>554</v>
      </c>
      <c r="C2" s="3" t="s">
        <v>555</v>
      </c>
      <c r="G2" s="5" t="s">
        <v>545</v>
      </c>
      <c r="H2" s="5"/>
      <c r="I2" s="5"/>
      <c r="J2" s="5"/>
      <c r="K2" s="5"/>
      <c r="L2" s="5"/>
      <c r="M2" s="5"/>
      <c r="N2" s="7"/>
      <c r="O2" s="5"/>
      <c r="P2" s="5"/>
      <c r="Q2" s="5">
        <v>216</v>
      </c>
      <c r="R2" s="5">
        <v>1204</v>
      </c>
      <c r="S2" s="5">
        <v>1420</v>
      </c>
      <c r="T2" s="14">
        <f>IF(ISNUMBER(R2), (R2/$E$18)*10000, "")</f>
        <v>96.683530073074763</v>
      </c>
      <c r="U2" s="14">
        <f>IF(ISNUMBER(S2), (S2/$E$18)*10000, "")</f>
        <v>114.02874809282903</v>
      </c>
      <c r="V2" s="14">
        <f>IF(ISNUMBER(Q2), U2-T2, "")</f>
        <v>17.34521801975427</v>
      </c>
      <c r="W2" s="5"/>
      <c r="X2" s="5"/>
      <c r="Y2" s="5"/>
      <c r="Z2" s="5"/>
      <c r="AA2" s="5" t="s">
        <v>475</v>
      </c>
      <c r="AB2" s="5"/>
      <c r="AC2" s="5"/>
      <c r="AD2" s="5"/>
      <c r="AE2" s="5"/>
      <c r="AF2" s="5"/>
      <c r="AG2" t="s">
        <v>475</v>
      </c>
    </row>
    <row r="3" spans="1:34" ht="29">
      <c r="A3" t="s">
        <v>80</v>
      </c>
      <c r="B3" s="3" t="s">
        <v>81</v>
      </c>
      <c r="C3" s="3" t="s">
        <v>82</v>
      </c>
      <c r="G3" s="5" t="s">
        <v>545</v>
      </c>
      <c r="H3" s="5"/>
      <c r="I3" s="5"/>
      <c r="J3" s="5"/>
      <c r="K3" s="5"/>
      <c r="L3" s="5"/>
      <c r="M3" s="5"/>
      <c r="N3" s="7"/>
      <c r="O3" s="5"/>
      <c r="P3" s="5"/>
      <c r="Q3" s="5">
        <v>71</v>
      </c>
      <c r="R3" s="5">
        <v>4</v>
      </c>
      <c r="S3" s="5">
        <v>75</v>
      </c>
      <c r="T3" s="14">
        <f t="shared" ref="T3:T15" si="0">IF(ISNUMBER(R3), (R3/$E$18)*10000, "")</f>
        <v>0.3212077411065607</v>
      </c>
      <c r="U3" s="14">
        <f t="shared" ref="U3:U15" si="1">IF(ISNUMBER(S3), (S3/$E$18)*10000, "")</f>
        <v>6.0226451457480117</v>
      </c>
      <c r="V3" s="14">
        <f t="shared" ref="V3:V15" si="2">IF(ISNUMBER(Q3), U3-T3, "")</f>
        <v>5.7014374046414513</v>
      </c>
      <c r="W3" s="5"/>
      <c r="X3" s="5"/>
      <c r="Y3" s="5"/>
      <c r="Z3" s="5"/>
      <c r="AA3" s="5" t="s">
        <v>475</v>
      </c>
      <c r="AB3" s="5"/>
      <c r="AC3" s="5"/>
      <c r="AD3" s="5"/>
      <c r="AE3" s="5"/>
      <c r="AF3" s="5"/>
      <c r="AG3" t="s">
        <v>475</v>
      </c>
      <c r="AH3" t="s">
        <v>636</v>
      </c>
    </row>
    <row r="4" spans="1:34" ht="29">
      <c r="A4" t="s">
        <v>122</v>
      </c>
      <c r="B4" s="3" t="s">
        <v>123</v>
      </c>
      <c r="C4" s="3" t="s">
        <v>124</v>
      </c>
      <c r="G4" s="5" t="s">
        <v>545</v>
      </c>
      <c r="H4" s="5"/>
      <c r="I4" s="5"/>
      <c r="J4" s="5"/>
      <c r="K4" s="5"/>
      <c r="L4" s="5"/>
      <c r="M4" s="5"/>
      <c r="N4" s="7"/>
      <c r="O4" s="5"/>
      <c r="P4" s="5"/>
      <c r="Q4" s="5">
        <v>-2</v>
      </c>
      <c r="R4" s="5">
        <v>2</v>
      </c>
      <c r="S4" s="5">
        <v>0</v>
      </c>
      <c r="T4" s="14">
        <f t="shared" si="0"/>
        <v>0.16060387055328035</v>
      </c>
      <c r="U4" s="14">
        <f t="shared" si="1"/>
        <v>0</v>
      </c>
      <c r="V4" s="14">
        <f t="shared" si="2"/>
        <v>-0.16060387055328035</v>
      </c>
      <c r="W4" s="5"/>
      <c r="X4" s="5"/>
      <c r="Y4" s="5"/>
      <c r="Z4" s="5"/>
      <c r="AA4" s="5" t="s">
        <v>475</v>
      </c>
      <c r="AB4" s="5"/>
      <c r="AC4" s="5"/>
      <c r="AD4" s="5"/>
      <c r="AE4" s="5"/>
      <c r="AF4" s="5"/>
      <c r="AG4" t="s">
        <v>481</v>
      </c>
    </row>
    <row r="5" spans="1:34">
      <c r="A5" t="s">
        <v>154</v>
      </c>
      <c r="B5" s="3" t="s">
        <v>155</v>
      </c>
      <c r="C5" s="3" t="s">
        <v>156</v>
      </c>
      <c r="G5" s="5" t="s">
        <v>545</v>
      </c>
      <c r="H5" s="5"/>
      <c r="I5" s="5"/>
      <c r="J5" s="5"/>
      <c r="K5" s="5"/>
      <c r="L5" s="5"/>
      <c r="M5" s="5"/>
      <c r="N5" s="7"/>
      <c r="O5" s="5"/>
      <c r="P5" s="5"/>
      <c r="Q5" s="5">
        <v>-40</v>
      </c>
      <c r="R5" s="5">
        <v>40</v>
      </c>
      <c r="S5" s="5">
        <v>0</v>
      </c>
      <c r="T5" s="14">
        <f t="shared" si="0"/>
        <v>3.2120774110656067</v>
      </c>
      <c r="U5" s="14">
        <f t="shared" si="1"/>
        <v>0</v>
      </c>
      <c r="V5" s="14">
        <f t="shared" si="2"/>
        <v>-3.2120774110656067</v>
      </c>
      <c r="W5" s="5"/>
      <c r="X5" s="5"/>
      <c r="Y5" s="5"/>
      <c r="Z5" s="5"/>
      <c r="AA5" s="5" t="s">
        <v>475</v>
      </c>
      <c r="AB5" s="5"/>
      <c r="AC5" s="5"/>
      <c r="AD5" s="5"/>
      <c r="AE5" s="5"/>
      <c r="AF5" s="5"/>
      <c r="AG5" t="s">
        <v>481</v>
      </c>
    </row>
    <row r="6" spans="1:34" ht="29">
      <c r="A6" t="s">
        <v>166</v>
      </c>
      <c r="B6" s="3" t="s">
        <v>379</v>
      </c>
      <c r="C6" s="3" t="s">
        <v>380</v>
      </c>
      <c r="G6" s="5" t="s">
        <v>545</v>
      </c>
      <c r="H6" s="5"/>
      <c r="I6" s="5"/>
      <c r="J6" s="5"/>
      <c r="K6" s="5"/>
      <c r="L6" s="5"/>
      <c r="M6" s="5"/>
      <c r="N6" s="7"/>
      <c r="O6" s="5"/>
      <c r="P6" s="5"/>
      <c r="Q6" s="5">
        <v>-1155</v>
      </c>
      <c r="R6" s="5">
        <v>1712</v>
      </c>
      <c r="S6" s="5">
        <v>557</v>
      </c>
      <c r="T6" s="14">
        <f t="shared" si="0"/>
        <v>137.47691319360797</v>
      </c>
      <c r="U6" s="14">
        <f t="shared" si="1"/>
        <v>44.728177949088568</v>
      </c>
      <c r="V6" s="14">
        <f t="shared" si="2"/>
        <v>-92.748735244519395</v>
      </c>
      <c r="W6" s="5"/>
      <c r="X6" s="5"/>
      <c r="Y6" s="5"/>
      <c r="Z6" s="5"/>
      <c r="AA6" s="5" t="s">
        <v>475</v>
      </c>
      <c r="AB6" s="5"/>
      <c r="AC6" s="5"/>
      <c r="AD6" s="5"/>
      <c r="AE6" s="5"/>
      <c r="AF6" s="5"/>
      <c r="AG6" t="s">
        <v>481</v>
      </c>
    </row>
    <row r="7" spans="1:34" ht="29">
      <c r="A7" t="s">
        <v>171</v>
      </c>
      <c r="B7" s="3" t="s">
        <v>172</v>
      </c>
      <c r="C7" s="3" t="s">
        <v>173</v>
      </c>
      <c r="G7" s="5" t="s">
        <v>545</v>
      </c>
      <c r="H7" s="5"/>
      <c r="I7" s="5"/>
      <c r="J7" s="5"/>
      <c r="K7" s="5"/>
      <c r="L7" s="5"/>
      <c r="M7" s="5"/>
      <c r="N7" s="7"/>
      <c r="O7" s="5"/>
      <c r="P7" s="5"/>
      <c r="Q7" s="5">
        <v>-38</v>
      </c>
      <c r="R7" s="5">
        <v>38</v>
      </c>
      <c r="S7" s="5">
        <v>0</v>
      </c>
      <c r="T7" s="14">
        <f t="shared" si="0"/>
        <v>3.0514735405123266</v>
      </c>
      <c r="U7" s="14">
        <f t="shared" si="1"/>
        <v>0</v>
      </c>
      <c r="V7" s="14">
        <f t="shared" si="2"/>
        <v>-3.0514735405123266</v>
      </c>
      <c r="W7" s="5"/>
      <c r="X7" s="5"/>
      <c r="Y7" s="5"/>
      <c r="Z7" s="5"/>
      <c r="AA7" s="5" t="s">
        <v>475</v>
      </c>
      <c r="AB7" s="5"/>
      <c r="AC7" s="5"/>
      <c r="AD7" s="5"/>
      <c r="AE7" s="5"/>
      <c r="AF7" s="5"/>
      <c r="AG7" t="s">
        <v>481</v>
      </c>
    </row>
    <row r="8" spans="1:34" ht="58">
      <c r="A8" t="s">
        <v>212</v>
      </c>
      <c r="B8" s="3" t="s">
        <v>577</v>
      </c>
      <c r="C8" s="3" t="s">
        <v>578</v>
      </c>
      <c r="G8" s="5" t="s">
        <v>545</v>
      </c>
      <c r="H8" s="5"/>
      <c r="I8" s="5"/>
      <c r="J8" s="5"/>
      <c r="K8" s="5"/>
      <c r="L8" s="5"/>
      <c r="M8" s="5"/>
      <c r="N8" s="7"/>
      <c r="O8" s="5"/>
      <c r="P8" s="5"/>
      <c r="Q8" s="5">
        <v>-13267</v>
      </c>
      <c r="R8" s="5">
        <v>19277</v>
      </c>
      <c r="S8" s="5">
        <v>6010</v>
      </c>
      <c r="T8" s="14">
        <f t="shared" si="0"/>
        <v>1547.9804063277925</v>
      </c>
      <c r="U8" s="14">
        <f t="shared" si="1"/>
        <v>482.61463101260739</v>
      </c>
      <c r="V8" s="14">
        <f t="shared" si="2"/>
        <v>-1065.3657753151851</v>
      </c>
      <c r="W8" s="5"/>
      <c r="X8" s="5"/>
      <c r="Y8" s="5"/>
      <c r="Z8" s="5"/>
      <c r="AA8" s="5" t="s">
        <v>475</v>
      </c>
      <c r="AB8" s="5"/>
      <c r="AC8" s="5"/>
      <c r="AD8" s="5"/>
      <c r="AE8" s="5"/>
      <c r="AF8" s="5"/>
      <c r="AG8" t="s">
        <v>475</v>
      </c>
      <c r="AH8" t="s">
        <v>637</v>
      </c>
    </row>
    <row r="9" spans="1:34" ht="58">
      <c r="A9" t="s">
        <v>212</v>
      </c>
      <c r="B9" s="3" t="s">
        <v>722</v>
      </c>
      <c r="C9" s="3" t="s">
        <v>579</v>
      </c>
      <c r="G9" s="5" t="s">
        <v>545</v>
      </c>
      <c r="H9" s="5"/>
      <c r="I9" s="5"/>
      <c r="J9" s="5"/>
      <c r="K9" s="5"/>
      <c r="L9" s="5"/>
      <c r="M9" s="5"/>
      <c r="N9" s="7"/>
      <c r="O9" s="5"/>
      <c r="P9" s="5"/>
      <c r="Q9" s="5">
        <v>-13267</v>
      </c>
      <c r="R9" s="5">
        <v>19277</v>
      </c>
      <c r="S9" s="5">
        <v>6010</v>
      </c>
      <c r="T9" s="14">
        <f t="shared" si="0"/>
        <v>1547.9804063277925</v>
      </c>
      <c r="U9" s="14">
        <f t="shared" si="1"/>
        <v>482.61463101260739</v>
      </c>
      <c r="V9" s="14">
        <f t="shared" si="2"/>
        <v>-1065.3657753151851</v>
      </c>
      <c r="W9" s="5"/>
      <c r="X9" s="5"/>
      <c r="Y9" s="5"/>
      <c r="Z9" s="5"/>
      <c r="AA9" s="5" t="s">
        <v>475</v>
      </c>
      <c r="AB9" s="5"/>
      <c r="AC9" s="5"/>
      <c r="AD9" s="5"/>
      <c r="AE9" s="5"/>
      <c r="AF9" s="5"/>
      <c r="AG9" t="s">
        <v>475</v>
      </c>
    </row>
    <row r="10" spans="1:34" ht="72.5">
      <c r="A10" t="s">
        <v>229</v>
      </c>
      <c r="B10" s="3" t="s">
        <v>583</v>
      </c>
      <c r="C10" s="3" t="s">
        <v>584</v>
      </c>
      <c r="F10" t="s">
        <v>337</v>
      </c>
      <c r="G10" s="5" t="s">
        <v>545</v>
      </c>
      <c r="H10" s="5"/>
      <c r="I10" s="5"/>
      <c r="J10" s="5"/>
      <c r="K10" s="5"/>
      <c r="L10" s="5"/>
      <c r="M10" s="5"/>
      <c r="N10" s="7"/>
      <c r="O10" s="5"/>
      <c r="P10" s="5"/>
      <c r="Q10" s="5">
        <v>-13267</v>
      </c>
      <c r="R10" s="5">
        <v>19277</v>
      </c>
      <c r="S10" s="5">
        <v>6010</v>
      </c>
      <c r="T10" s="14">
        <f t="shared" si="0"/>
        <v>1547.9804063277925</v>
      </c>
      <c r="U10" s="14">
        <f t="shared" si="1"/>
        <v>482.61463101260739</v>
      </c>
      <c r="V10" s="14">
        <f t="shared" si="2"/>
        <v>-1065.3657753151851</v>
      </c>
      <c r="W10" s="5"/>
      <c r="X10" s="5"/>
      <c r="Y10" s="5"/>
      <c r="Z10" s="5"/>
      <c r="AA10" s="5" t="s">
        <v>475</v>
      </c>
      <c r="AB10" s="5"/>
      <c r="AC10" s="5"/>
      <c r="AD10" s="5"/>
      <c r="AE10" s="5"/>
      <c r="AF10" s="5"/>
      <c r="AG10" t="s">
        <v>481</v>
      </c>
    </row>
    <row r="11" spans="1:34">
      <c r="A11" t="s">
        <v>288</v>
      </c>
      <c r="B11" s="3" t="s">
        <v>444</v>
      </c>
      <c r="C11" s="3" t="s">
        <v>445</v>
      </c>
      <c r="G11" s="5" t="s">
        <v>545</v>
      </c>
      <c r="H11" s="5"/>
      <c r="I11" s="5"/>
      <c r="J11" s="5"/>
      <c r="K11" s="5"/>
      <c r="L11" s="5"/>
      <c r="M11" s="5"/>
      <c r="N11" s="7"/>
      <c r="O11" s="5"/>
      <c r="P11" s="5"/>
      <c r="Q11" s="5">
        <v>-1312</v>
      </c>
      <c r="R11" s="5">
        <v>2215</v>
      </c>
      <c r="S11" s="5">
        <v>903</v>
      </c>
      <c r="T11" s="14">
        <f t="shared" si="0"/>
        <v>177.86878663775798</v>
      </c>
      <c r="U11" s="14">
        <f t="shared" si="1"/>
        <v>72.512647554806065</v>
      </c>
      <c r="V11" s="14">
        <f t="shared" si="2"/>
        <v>-105.35613908295191</v>
      </c>
      <c r="W11" s="5"/>
      <c r="X11" s="5"/>
      <c r="Y11" s="5"/>
      <c r="Z11" s="5" t="s">
        <v>512</v>
      </c>
      <c r="AA11" s="5" t="s">
        <v>475</v>
      </c>
      <c r="AB11" s="5"/>
      <c r="AC11" s="5"/>
      <c r="AD11" s="5"/>
      <c r="AE11" s="5"/>
      <c r="AF11" s="5"/>
      <c r="AG11" t="s">
        <v>475</v>
      </c>
    </row>
    <row r="12" spans="1:34">
      <c r="A12" t="s">
        <v>299</v>
      </c>
      <c r="B12" s="3" t="s">
        <v>300</v>
      </c>
      <c r="C12" s="3" t="s">
        <v>448</v>
      </c>
      <c r="G12" s="5" t="s">
        <v>545</v>
      </c>
      <c r="H12" s="5"/>
      <c r="I12" s="5"/>
      <c r="J12" s="5"/>
      <c r="K12" s="5"/>
      <c r="L12" s="5"/>
      <c r="M12" s="5"/>
      <c r="N12" s="7"/>
      <c r="O12" s="5"/>
      <c r="P12" s="5"/>
      <c r="Q12" s="5">
        <v>0</v>
      </c>
      <c r="R12" s="5">
        <v>0</v>
      </c>
      <c r="S12" s="5">
        <v>0</v>
      </c>
      <c r="T12" s="14">
        <f t="shared" si="0"/>
        <v>0</v>
      </c>
      <c r="U12" s="14">
        <f t="shared" si="1"/>
        <v>0</v>
      </c>
      <c r="V12" s="14">
        <f t="shared" si="2"/>
        <v>0</v>
      </c>
      <c r="W12" s="5"/>
      <c r="X12" s="5"/>
      <c r="Y12" s="5"/>
      <c r="Z12" s="5"/>
      <c r="AA12" s="5" t="s">
        <v>475</v>
      </c>
      <c r="AB12" s="5"/>
      <c r="AC12" s="5"/>
      <c r="AD12" s="5"/>
      <c r="AE12" s="5"/>
      <c r="AF12" s="5"/>
      <c r="AG12" t="s">
        <v>481</v>
      </c>
    </row>
    <row r="13" spans="1:34">
      <c r="A13" t="s">
        <v>309</v>
      </c>
      <c r="B13" s="3" t="s">
        <v>600</v>
      </c>
      <c r="C13" s="3" t="s">
        <v>599</v>
      </c>
      <c r="G13" s="5" t="s">
        <v>545</v>
      </c>
      <c r="H13" s="5"/>
      <c r="I13" s="5"/>
      <c r="J13" s="5"/>
      <c r="K13" s="5"/>
      <c r="L13" s="5"/>
      <c r="M13" s="5"/>
      <c r="N13" s="7"/>
      <c r="O13" s="5"/>
      <c r="P13" s="5"/>
      <c r="Q13" s="5">
        <v>-198</v>
      </c>
      <c r="R13" s="5">
        <v>240</v>
      </c>
      <c r="S13" s="5">
        <v>42</v>
      </c>
      <c r="T13" s="14">
        <f t="shared" si="0"/>
        <v>19.27246446639364</v>
      </c>
      <c r="U13" s="14">
        <f t="shared" si="1"/>
        <v>3.3726812816188869</v>
      </c>
      <c r="V13" s="14">
        <f t="shared" si="2"/>
        <v>-15.899783184774753</v>
      </c>
      <c r="W13" s="5" t="s">
        <v>559</v>
      </c>
      <c r="X13" s="5"/>
      <c r="Y13" s="5"/>
      <c r="Z13" s="5"/>
      <c r="AA13" s="5" t="s">
        <v>475</v>
      </c>
      <c r="AB13" s="5"/>
      <c r="AC13" s="5"/>
      <c r="AD13" s="5"/>
      <c r="AE13" s="5"/>
      <c r="AF13" s="5"/>
      <c r="AG13" t="s">
        <v>481</v>
      </c>
    </row>
    <row r="14" spans="1:34" ht="29">
      <c r="A14" t="s">
        <v>325</v>
      </c>
      <c r="B14" s="3" t="s">
        <v>461</v>
      </c>
      <c r="C14" s="3" t="s">
        <v>462</v>
      </c>
      <c r="G14" s="5" t="s">
        <v>545</v>
      </c>
      <c r="H14" s="5"/>
      <c r="I14" s="5"/>
      <c r="J14" s="5"/>
      <c r="K14" s="5"/>
      <c r="L14" s="5"/>
      <c r="M14" s="5"/>
      <c r="N14" s="7"/>
      <c r="O14" s="5" t="s">
        <v>511</v>
      </c>
      <c r="P14" s="5"/>
      <c r="Q14" s="5">
        <v>30</v>
      </c>
      <c r="R14" s="5">
        <v>47</v>
      </c>
      <c r="S14" s="5">
        <v>77</v>
      </c>
      <c r="T14" s="14">
        <f t="shared" si="0"/>
        <v>3.7741909580020878</v>
      </c>
      <c r="U14" s="14">
        <f t="shared" si="1"/>
        <v>6.1832490163012928</v>
      </c>
      <c r="V14" s="14">
        <f t="shared" si="2"/>
        <v>2.4090580582992049</v>
      </c>
      <c r="W14" s="5" t="s">
        <v>559</v>
      </c>
      <c r="X14" s="5"/>
      <c r="Y14" s="5"/>
      <c r="Z14" s="5"/>
      <c r="AA14" s="5" t="s">
        <v>475</v>
      </c>
      <c r="AB14" s="5"/>
      <c r="AC14" s="5"/>
      <c r="AD14" s="5"/>
      <c r="AE14" s="5"/>
      <c r="AF14" s="5"/>
      <c r="AG14" t="s">
        <v>481</v>
      </c>
    </row>
    <row r="15" spans="1:34" ht="43.5">
      <c r="A15" t="s">
        <v>331</v>
      </c>
      <c r="B15" s="3" t="s">
        <v>470</v>
      </c>
      <c r="C15" s="3" t="s">
        <v>471</v>
      </c>
      <c r="G15" s="5" t="s">
        <v>545</v>
      </c>
      <c r="H15" s="5"/>
      <c r="I15" s="5"/>
      <c r="J15" s="5"/>
      <c r="K15" s="5"/>
      <c r="L15" s="5"/>
      <c r="M15" s="5"/>
      <c r="N15" s="7"/>
      <c r="O15" s="5" t="s">
        <v>511</v>
      </c>
      <c r="P15" s="5"/>
      <c r="Q15" s="5">
        <v>-32</v>
      </c>
      <c r="R15" s="5">
        <v>44</v>
      </c>
      <c r="S15" s="5">
        <v>12</v>
      </c>
      <c r="T15" s="14">
        <f t="shared" si="0"/>
        <v>3.5332851521721675</v>
      </c>
      <c r="U15" s="14">
        <f t="shared" si="1"/>
        <v>0.96362322331968198</v>
      </c>
      <c r="V15" s="14">
        <f t="shared" si="2"/>
        <v>-2.5696619288524856</v>
      </c>
      <c r="W15" s="5"/>
      <c r="X15" s="5"/>
      <c r="Y15" s="5"/>
      <c r="Z15" s="5"/>
      <c r="AA15" s="5" t="s">
        <v>475</v>
      </c>
      <c r="AB15" s="5"/>
      <c r="AC15" s="5"/>
      <c r="AD15" s="5"/>
      <c r="AE15" s="5"/>
      <c r="AF15" s="5"/>
      <c r="AG15" t="s">
        <v>481</v>
      </c>
    </row>
    <row r="18" spans="4:5">
      <c r="D18" t="s">
        <v>672</v>
      </c>
      <c r="E18">
        <v>124530</v>
      </c>
    </row>
    <row r="21" spans="4:5">
      <c r="D21" t="s">
        <v>679</v>
      </c>
      <c r="E21">
        <f>COUNTIF(Q:Q, "&gt;0")</f>
        <v>3</v>
      </c>
    </row>
    <row r="22" spans="4:5">
      <c r="D22" t="s">
        <v>680</v>
      </c>
      <c r="E22">
        <f>COUNTIF(Q:Q, "&lt;0")</f>
        <v>10</v>
      </c>
    </row>
    <row r="23" spans="4:5">
      <c r="D23" t="s">
        <v>681</v>
      </c>
      <c r="E23">
        <f>_xlfn.BINOM.DIST(MIN(E21,E22),(E21+E22),0.5,TRUE)*2</f>
        <v>9.2285156250000028E-2</v>
      </c>
    </row>
    <row r="25" spans="4:5">
      <c r="D25" t="s">
        <v>682</v>
      </c>
      <c r="E25">
        <f>AVERAGE(Q:Q)</f>
        <v>-3018.6428571428573</v>
      </c>
    </row>
    <row r="26" spans="4:5">
      <c r="D26" t="s">
        <v>683</v>
      </c>
      <c r="E26">
        <f>_xlfn.STDEV.S(Q:Q)</f>
        <v>5572.0472912999867</v>
      </c>
    </row>
    <row r="29" spans="4:5">
      <c r="D29" t="s">
        <v>684</v>
      </c>
      <c r="E29">
        <f>AVERAGE(V:V)</f>
        <v>-242.40286333757786</v>
      </c>
    </row>
    <row r="30" spans="4:5">
      <c r="D30" t="s">
        <v>685</v>
      </c>
      <c r="E30">
        <f>_xlfn.STDEV.S(V:V)</f>
        <v>447.44618094434969</v>
      </c>
    </row>
    <row r="33" spans="4:5">
      <c r="D33" t="s">
        <v>698</v>
      </c>
      <c r="E33">
        <f>COUNT(V:V)</f>
        <v>14</v>
      </c>
    </row>
    <row r="34" spans="4:5">
      <c r="D34" t="s">
        <v>699</v>
      </c>
      <c r="E34">
        <f>_xlfn.STDEV.P(V:V)</f>
        <v>431.1699286279042</v>
      </c>
    </row>
  </sheetData>
  <conditionalFormatting sqref="G2:G15">
    <cfRule type="expression" dxfId="59" priority="32">
      <formula>$I2&lt;&gt;""</formula>
    </cfRule>
    <cfRule type="expression" dxfId="58" priority="33">
      <formula>$I2=""</formula>
    </cfRule>
  </conditionalFormatting>
  <conditionalFormatting sqref="H2:L15 O2:P15">
    <cfRule type="expression" dxfId="57" priority="30">
      <formula>AND(OR($I2="Addition",$I2="Omission"), H2="")</formula>
    </cfRule>
    <cfRule type="expression" dxfId="56" priority="31">
      <formula>AND($I2&lt;&gt;"Addition",$I2&lt;&gt;"Omission",$I2&lt;&gt;"Substitution - Word")</formula>
    </cfRule>
  </conditionalFormatting>
  <conditionalFormatting sqref="H2:P15">
    <cfRule type="expression" dxfId="55" priority="29">
      <formula>AND(OR($I2="Addition",$I2="Omission"), H2&lt;&gt;"")</formula>
    </cfRule>
  </conditionalFormatting>
  <conditionalFormatting sqref="K2:K15">
    <cfRule type="expression" dxfId="54" priority="24">
      <formula>AND($K2&lt;&gt;"",$K2&gt;1)</formula>
    </cfRule>
  </conditionalFormatting>
  <conditionalFormatting sqref="M2:N15">
    <cfRule type="expression" dxfId="53" priority="20">
      <formula>$N2="Absent"</formula>
    </cfRule>
    <cfRule type="expression" dxfId="52" priority="21">
      <formula>$N2="NA"</formula>
    </cfRule>
    <cfRule type="expression" dxfId="51" priority="22">
      <formula>AND(OR($I2="Addition",$I2="Omission"), M2="")</formula>
    </cfRule>
    <cfRule type="expression" dxfId="50" priority="23">
      <formula>AND($I2&lt;&gt;"Addition",$I2&lt;&gt;"Omission")</formula>
    </cfRule>
  </conditionalFormatting>
  <conditionalFormatting sqref="O2:O15">
    <cfRule type="expression" dxfId="49" priority="25">
      <formula>AND(OR($I2="Addition",$I2="Omission",$I2="Substitution - Word"),RIGHT($AG2,6)&lt;&gt;"strict",$AF2&lt;&gt;"Yes")</formula>
    </cfRule>
  </conditionalFormatting>
  <conditionalFormatting sqref="Q2:S15">
    <cfRule type="expression" dxfId="48" priority="26">
      <formula>AND(AND(LEFT($I2,3)="Sub", RIGHT($I2,4)&lt;&gt;"Form"),$S2&lt;&gt;"")</formula>
    </cfRule>
    <cfRule type="expression" dxfId="47" priority="27">
      <formula>AND(AND(LEFT($I2,3)="Sub", RIGHT($I2,4)&lt;&gt;"Form"),$S2="")</formula>
    </cfRule>
    <cfRule type="expression" dxfId="46" priority="28">
      <formula>"&lt;&gt;AND(LEFT($J2,3)=""Sub"", RIGHT($J2,4)&lt;&gt;""Form"")"</formula>
    </cfRule>
  </conditionalFormatting>
  <conditionalFormatting sqref="R2:V15">
    <cfRule type="expression" dxfId="45" priority="1">
      <formula>AND(AND(LEFT($I2,3)="Sub", RIGHT($I2,4)&lt;&gt;"Form"),$S2&lt;&gt;"")</formula>
    </cfRule>
    <cfRule type="expression" dxfId="44" priority="2">
      <formula>AND(AND(LEFT($I2,3)="Sub", RIGHT($I2,4)&lt;&gt;"Form"),$S2="")</formula>
    </cfRule>
    <cfRule type="expression" dxfId="43" priority="3">
      <formula>"&lt;&gt;AND(LEFT($J2,3)=""Sub"", RIGHT($J2,4)&lt;&gt;""Form"")"</formula>
    </cfRule>
  </conditionalFormatting>
  <conditionalFormatting sqref="W2:W15">
    <cfRule type="expression" dxfId="42" priority="10">
      <formula>AND($Y2&lt;&gt;"",OR($AF2="Yes",$AG2&lt;&gt;""))</formula>
    </cfRule>
    <cfRule type="expression" dxfId="41" priority="11">
      <formula>OR($AF2="Yes",$AG2&lt;&gt;"")</formula>
    </cfRule>
    <cfRule type="expression" dxfId="40" priority="12">
      <formula>AND($I2&lt;&gt;"",$I2&lt;&gt;"Unclear due to correction")</formula>
    </cfRule>
    <cfRule type="expression" dxfId="39" priority="15">
      <formula>OR($I2="",$I2="Unclear due to correction")</formula>
    </cfRule>
    <cfRule type="expression" dxfId="38" priority="16">
      <formula>AND($AF2&lt;&gt;"Yes",$AG2="")</formula>
    </cfRule>
  </conditionalFormatting>
  <conditionalFormatting sqref="X2:X15">
    <cfRule type="expression" dxfId="37" priority="7">
      <formula>AND($I2&lt;&gt;"",$I2&lt;&gt;"Unclear due to correction",$Z2="")</formula>
    </cfRule>
    <cfRule type="expression" dxfId="36" priority="8">
      <formula>AND($I2&lt;&gt;"",$I2&lt;&gt;"Unclear due to correction")</formula>
    </cfRule>
    <cfRule type="expression" dxfId="35" priority="9">
      <formula>OR($I2="",$I2="Unclear due to correction")</formula>
    </cfRule>
  </conditionalFormatting>
  <conditionalFormatting sqref="Y2:Y15">
    <cfRule type="expression" dxfId="34" priority="13">
      <formula>AND($Z2="Yes",$AA2="")</formula>
    </cfRule>
    <cfRule type="expression" dxfId="33" priority="14">
      <formula>$Z2=""</formula>
    </cfRule>
  </conditionalFormatting>
  <conditionalFormatting sqref="Y2:AF15">
    <cfRule type="expression" dxfId="32" priority="18">
      <formula>AND($I2&lt;&gt;"",$I2&lt;&gt;"Unclear due to correction")</formula>
    </cfRule>
    <cfRule type="expression" dxfId="31" priority="19">
      <formula>OR($I2="",$I2="Unclear due to correction")</formula>
    </cfRule>
  </conditionalFormatting>
  <conditionalFormatting sqref="AD2:AD15">
    <cfRule type="expression" dxfId="30" priority="17">
      <formula>AND(OR($AD2&lt;&gt;"",$AE2&lt;&gt;""),$AF2="")</formula>
    </cfRule>
  </conditionalFormatting>
  <dataValidations count="1">
    <dataValidation type="list" allowBlank="1" showInputMessage="1" showErrorMessage="1" sqref="AG2:AG15" xr:uid="{3BBE2743-B22E-4C88-A7D8-10CD0A926426}">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8088353B-0E7F-42E0-918F-EC7A9317233D}">
          <x14:formula1>
            <xm:f>'Data Regularization'!$D$2:$D$1048576</xm:f>
          </x14:formula1>
          <xm:sqref>G2:G15</xm:sqref>
        </x14:dataValidation>
        <x14:dataValidation type="list" allowBlank="1" showInputMessage="1" showErrorMessage="1" xr:uid="{B8C6B757-FC20-4BE8-879F-D86BA62D83DF}">
          <x14:formula1>
            <xm:f>'Data Regularization'!$C$2:$C$1048576</xm:f>
          </x14:formula1>
          <xm:sqref>F2:F15</xm:sqref>
        </x14:dataValidation>
        <x14:dataValidation type="list" allowBlank="1" showInputMessage="1" xr:uid="{CA203D52-9569-4821-ABF2-77C1C0A47B13}">
          <x14:formula1>
            <xm:f>'Data Regularization'!$A$2:$A$1048576</xm:f>
          </x14:formula1>
          <xm:sqref>D2:D15</xm:sqref>
        </x14:dataValidation>
        <x14:dataValidation type="list" allowBlank="1" showInputMessage="1" showErrorMessage="1" errorTitle="Invalid Entry" error="Just pick &quot;yes&quot; or &quot;no&quot;!!!" xr:uid="{7A7C5DA2-178E-4831-9F8F-7348B0B0495E}">
          <x14:formula1>
            <xm:f>'Data Regularization'!$B$2:$B$1048576</xm:f>
          </x14:formula1>
          <xm:sqref>E2:E15</xm:sqref>
        </x14:dataValidation>
        <x14:dataValidation type="list" allowBlank="1" showInputMessage="1" showErrorMessage="1" xr:uid="{D252BB3B-D6F2-4B81-AB14-F190469E15B0}">
          <x14:formula1>
            <xm:f>'Data Regularization'!$E$2:$E$1048576</xm:f>
          </x14:formula1>
          <xm:sqref>K2:K15</xm:sqref>
        </x14:dataValidation>
        <x14:dataValidation type="list" allowBlank="1" showInputMessage="1" showErrorMessage="1" xr:uid="{43E93972-5BC5-42CF-8403-5EA9766C6970}">
          <x14:formula1>
            <xm:f>'Data Regularization'!$F$2:$F$1048576</xm:f>
          </x14:formula1>
          <xm:sqref>L2:L15</xm:sqref>
        </x14:dataValidation>
        <x14:dataValidation type="list" allowBlank="1" showInputMessage="1" showErrorMessage="1" xr:uid="{17679DD8-9DA7-4B68-A7FF-6DE1076512EF}">
          <x14:formula1>
            <xm:f>'Data Regularization'!$G$2:$G$1048576</xm:f>
          </x14:formula1>
          <xm:sqref>O2:O15</xm:sqref>
        </x14:dataValidation>
        <x14:dataValidation type="list" allowBlank="1" showInputMessage="1" showErrorMessage="1" xr:uid="{03BC9159-3475-42FA-801F-1F413D0C6162}">
          <x14:formula1>
            <xm:f>'Data Regularization'!$J$2:$J$1048576</xm:f>
          </x14:formula1>
          <xm:sqref>Y2:Y15</xm:sqref>
        </x14:dataValidation>
        <x14:dataValidation type="list" allowBlank="1" showInputMessage="1" showErrorMessage="1" xr:uid="{5AE88BE0-EB5C-4CD3-9CD8-1DBFC1567DE2}">
          <x14:formula1>
            <xm:f>'Data Regularization'!$K$2:$K$1048576</xm:f>
          </x14:formula1>
          <xm:sqref>Z2:Z15</xm:sqref>
        </x14:dataValidation>
        <x14:dataValidation type="list" allowBlank="1" showInputMessage="1" showErrorMessage="1" xr:uid="{6F060AAD-17CE-4AD2-9EC3-3345E3CFF2F8}">
          <x14:formula1>
            <xm:f>'Data Regularization'!$L$2:$L$1048576</xm:f>
          </x14:formula1>
          <xm:sqref>AA2:AA15</xm:sqref>
        </x14:dataValidation>
        <x14:dataValidation type="list" allowBlank="1" showInputMessage="1" showErrorMessage="1" xr:uid="{08D6BA09-0F5B-4C1F-ABE3-D1481E499FD7}">
          <x14:formula1>
            <xm:f>'Data Regularization'!$M$2:$M$1048576</xm:f>
          </x14:formula1>
          <xm:sqref>AB2:AB15</xm:sqref>
        </x14:dataValidation>
        <x14:dataValidation type="list" allowBlank="1" showInputMessage="1" showErrorMessage="1" xr:uid="{384C6567-E5C3-4B65-87DB-791DF8AF623E}">
          <x14:formula1>
            <xm:f>'Data Regularization'!$N$2:$N$1048576</xm:f>
          </x14:formula1>
          <xm:sqref>AD2:AD15</xm:sqref>
        </x14:dataValidation>
        <x14:dataValidation type="list" allowBlank="1" showInputMessage="1" showErrorMessage="1" xr:uid="{9FE69611-E110-4C5D-A22A-4646BBBAA1C9}">
          <x14:formula1>
            <xm:f>'Data Regularization'!$O$2:$O$1048576</xm:f>
          </x14:formula1>
          <xm:sqref>AE2:AE15</xm:sqref>
        </x14:dataValidation>
        <x14:dataValidation type="list" allowBlank="1" showInputMessage="1" showErrorMessage="1" xr:uid="{07048DFC-5092-4ADE-8DE3-74C51B54B726}">
          <x14:formula1>
            <xm:f>'Data Regularization'!$P$2:$P$1048576</xm:f>
          </x14:formula1>
          <xm:sqref>AF2:AF15</xm:sqref>
        </x14:dataValidation>
        <x14:dataValidation type="list" allowBlank="1" showInputMessage="1" showErrorMessage="1" xr:uid="{98CD6DCF-D621-409B-96E0-58041EB7A739}">
          <x14:formula1>
            <xm:f>'Data Regularization'!$H$2:$H$1048576</xm:f>
          </x14:formula1>
          <xm:sqref>W2:W15</xm:sqref>
        </x14:dataValidation>
        <x14:dataValidation type="list" allowBlank="1" showInputMessage="1" xr:uid="{D24AFA59-5595-4946-8D01-2B3E792304B1}">
          <x14:formula1>
            <xm:f>'Data Regularization'!$I$2:$I$1048576</xm:f>
          </x14:formula1>
          <xm:sqref>X2:X15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7D06-E459-49AE-87EA-7CDF8EA56F7F}">
  <dimension ref="A1:AF2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2" s="1" customFormat="1" ht="29">
      <c r="A1" s="1" t="s">
        <v>0</v>
      </c>
      <c r="B1" s="2" t="s">
        <v>473</v>
      </c>
      <c r="C1" s="2" t="s">
        <v>474</v>
      </c>
      <c r="D1" s="1" t="s">
        <v>531</v>
      </c>
      <c r="E1" s="1" t="s">
        <v>532</v>
      </c>
      <c r="F1" s="1" t="s">
        <v>533</v>
      </c>
      <c r="G1" s="1" t="s">
        <v>5</v>
      </c>
      <c r="H1" s="1" t="s">
        <v>3</v>
      </c>
      <c r="J1" s="1" t="s">
        <v>534</v>
      </c>
      <c r="K1" s="1" t="s">
        <v>535</v>
      </c>
      <c r="L1" s="1" t="s">
        <v>536</v>
      </c>
      <c r="M1" s="1" t="s">
        <v>495</v>
      </c>
      <c r="N1" s="1" t="s">
        <v>537</v>
      </c>
      <c r="O1" s="6" t="s">
        <v>538</v>
      </c>
      <c r="P1" s="1" t="s">
        <v>496</v>
      </c>
      <c r="Q1" s="1" t="s">
        <v>539</v>
      </c>
      <c r="R1" s="1" t="s">
        <v>540</v>
      </c>
      <c r="S1" s="1" t="s">
        <v>673</v>
      </c>
      <c r="T1" s="1" t="s">
        <v>674</v>
      </c>
      <c r="U1" s="1" t="s">
        <v>557</v>
      </c>
      <c r="V1" s="1" t="s">
        <v>558</v>
      </c>
      <c r="W1" s="1" t="s">
        <v>497</v>
      </c>
      <c r="X1" s="1" t="s">
        <v>498</v>
      </c>
      <c r="Y1" s="1" t="s">
        <v>499</v>
      </c>
      <c r="Z1" s="1" t="s">
        <v>500</v>
      </c>
      <c r="AA1" s="1" t="s">
        <v>541</v>
      </c>
      <c r="AB1" s="1" t="s">
        <v>569</v>
      </c>
      <c r="AC1" s="1" t="s">
        <v>502</v>
      </c>
      <c r="AD1" s="1" t="s">
        <v>544</v>
      </c>
      <c r="AE1" s="1" t="s">
        <v>634</v>
      </c>
    </row>
    <row r="2" spans="1:32" ht="29">
      <c r="A2" t="s">
        <v>20</v>
      </c>
      <c r="B2" s="3" t="s">
        <v>341</v>
      </c>
      <c r="C2" s="3" t="s">
        <v>342</v>
      </c>
      <c r="G2" t="s">
        <v>614</v>
      </c>
      <c r="H2" s="5" t="s">
        <v>479</v>
      </c>
      <c r="I2" s="5"/>
      <c r="J2" s="5">
        <v>1</v>
      </c>
      <c r="K2" s="5">
        <v>1</v>
      </c>
      <c r="L2" s="5" t="s">
        <v>509</v>
      </c>
      <c r="M2" s="5" t="s">
        <v>549</v>
      </c>
      <c r="N2" s="5"/>
      <c r="O2" s="7"/>
      <c r="P2" s="5"/>
      <c r="Q2" s="5">
        <v>19277</v>
      </c>
      <c r="R2" s="5"/>
      <c r="S2" s="5" t="s">
        <v>604</v>
      </c>
      <c r="T2" s="5" t="s">
        <v>604</v>
      </c>
      <c r="U2" s="5" t="s">
        <v>559</v>
      </c>
      <c r="V2" s="5"/>
      <c r="W2" s="5"/>
      <c r="X2" s="5"/>
      <c r="Y2" s="5" t="s">
        <v>475</v>
      </c>
      <c r="Z2" s="5"/>
      <c r="AA2" s="5"/>
      <c r="AB2" s="5"/>
      <c r="AC2" s="5"/>
      <c r="AD2" s="5"/>
      <c r="AE2" t="s">
        <v>475</v>
      </c>
    </row>
    <row r="3" spans="1:32" ht="29">
      <c r="A3" t="s">
        <v>23</v>
      </c>
      <c r="B3" s="3" t="s">
        <v>343</v>
      </c>
      <c r="C3" s="3" t="s">
        <v>344</v>
      </c>
      <c r="G3" t="s">
        <v>614</v>
      </c>
      <c r="H3" s="5" t="s">
        <v>479</v>
      </c>
      <c r="I3" s="5"/>
      <c r="J3" s="5">
        <v>1</v>
      </c>
      <c r="K3" s="5">
        <v>1</v>
      </c>
      <c r="L3" s="5" t="s">
        <v>509</v>
      </c>
      <c r="M3" s="5" t="s">
        <v>549</v>
      </c>
      <c r="N3" s="5"/>
      <c r="O3" s="7"/>
      <c r="P3" s="5"/>
      <c r="Q3" s="5">
        <v>19277</v>
      </c>
      <c r="R3" s="5"/>
      <c r="S3" s="5" t="s">
        <v>604</v>
      </c>
      <c r="T3" s="5" t="s">
        <v>604</v>
      </c>
      <c r="U3" s="5" t="s">
        <v>559</v>
      </c>
      <c r="V3" s="5"/>
      <c r="W3" s="5"/>
      <c r="X3" s="5"/>
      <c r="Y3" s="5" t="s">
        <v>475</v>
      </c>
      <c r="Z3" s="5"/>
      <c r="AA3" s="5"/>
      <c r="AB3" s="5"/>
      <c r="AC3" s="5"/>
      <c r="AD3" s="5"/>
      <c r="AE3" t="s">
        <v>475</v>
      </c>
    </row>
    <row r="4" spans="1:32">
      <c r="A4" t="s">
        <v>106</v>
      </c>
      <c r="B4" s="3" t="s">
        <v>107</v>
      </c>
      <c r="C4" s="3" t="s">
        <v>108</v>
      </c>
      <c r="G4" t="s">
        <v>615</v>
      </c>
      <c r="H4" s="5" t="s">
        <v>546</v>
      </c>
      <c r="I4" s="5"/>
      <c r="J4" s="5"/>
      <c r="K4" s="5"/>
      <c r="L4" s="5"/>
      <c r="M4" s="5"/>
      <c r="N4" s="5"/>
      <c r="O4" s="7"/>
      <c r="P4" s="5"/>
      <c r="Q4" s="5"/>
      <c r="R4" s="5"/>
      <c r="S4" s="5" t="s">
        <v>604</v>
      </c>
      <c r="T4" s="5" t="s">
        <v>604</v>
      </c>
      <c r="U4" s="5" t="s">
        <v>559</v>
      </c>
      <c r="V4" s="5"/>
      <c r="W4" s="5"/>
      <c r="X4" s="5"/>
      <c r="Y4" s="5" t="s">
        <v>475</v>
      </c>
      <c r="Z4" s="5"/>
      <c r="AA4" s="5"/>
      <c r="AB4" s="5"/>
      <c r="AC4" s="5"/>
      <c r="AD4" s="5"/>
      <c r="AE4" t="s">
        <v>475</v>
      </c>
    </row>
    <row r="5" spans="1:32">
      <c r="A5" t="s">
        <v>119</v>
      </c>
      <c r="B5" s="3" t="s">
        <v>107</v>
      </c>
      <c r="C5" s="3" t="s">
        <v>108</v>
      </c>
      <c r="G5" t="s">
        <v>616</v>
      </c>
      <c r="H5" s="5" t="s">
        <v>546</v>
      </c>
      <c r="I5" s="5"/>
      <c r="J5" s="5"/>
      <c r="K5" s="5"/>
      <c r="L5" s="5"/>
      <c r="M5" s="5"/>
      <c r="N5" s="5"/>
      <c r="O5" s="7"/>
      <c r="P5" s="5"/>
      <c r="Q5" s="5"/>
      <c r="R5" s="5"/>
      <c r="S5" s="5" t="s">
        <v>604</v>
      </c>
      <c r="T5" s="5" t="s">
        <v>604</v>
      </c>
      <c r="U5" s="5" t="s">
        <v>559</v>
      </c>
      <c r="V5" s="5"/>
      <c r="W5" s="5"/>
      <c r="X5" s="5"/>
      <c r="Y5" s="5" t="s">
        <v>475</v>
      </c>
      <c r="Z5" s="5"/>
      <c r="AA5" s="5"/>
      <c r="AB5" s="5"/>
      <c r="AC5" s="5"/>
      <c r="AD5" s="5"/>
      <c r="AE5" t="s">
        <v>475</v>
      </c>
    </row>
    <row r="6" spans="1:32" ht="29">
      <c r="A6" t="s">
        <v>139</v>
      </c>
      <c r="B6" s="3" t="s">
        <v>100</v>
      </c>
      <c r="C6" s="3" t="s">
        <v>140</v>
      </c>
      <c r="G6" t="s">
        <v>617</v>
      </c>
      <c r="H6" s="5" t="s">
        <v>546</v>
      </c>
      <c r="I6" s="5"/>
      <c r="J6" s="5"/>
      <c r="K6" s="5"/>
      <c r="L6" s="5"/>
      <c r="M6" s="5"/>
      <c r="N6" s="5"/>
      <c r="O6" s="7"/>
      <c r="P6" s="5"/>
      <c r="Q6" s="5"/>
      <c r="R6" s="5"/>
      <c r="S6" s="5" t="s">
        <v>604</v>
      </c>
      <c r="T6" s="5" t="s">
        <v>604</v>
      </c>
      <c r="U6" s="5" t="s">
        <v>559</v>
      </c>
      <c r="V6" s="5"/>
      <c r="W6" s="5"/>
      <c r="X6" s="5"/>
      <c r="Y6" s="5" t="s">
        <v>475</v>
      </c>
      <c r="Z6" s="5"/>
      <c r="AA6" s="5"/>
      <c r="AB6" s="5"/>
      <c r="AC6" s="5"/>
      <c r="AD6" s="5"/>
      <c r="AE6" t="s">
        <v>475</v>
      </c>
    </row>
    <row r="7" spans="1:32" ht="43.5">
      <c r="A7" t="s">
        <v>150</v>
      </c>
      <c r="B7" s="3" t="s">
        <v>374</v>
      </c>
      <c r="C7" s="3" t="s">
        <v>375</v>
      </c>
      <c r="F7" t="s">
        <v>337</v>
      </c>
      <c r="G7" t="s">
        <v>619</v>
      </c>
      <c r="H7" s="5" t="s">
        <v>479</v>
      </c>
      <c r="I7" s="5"/>
      <c r="J7" s="5">
        <v>1</v>
      </c>
      <c r="K7" s="5">
        <v>3</v>
      </c>
      <c r="L7" s="5" t="s">
        <v>509</v>
      </c>
      <c r="M7" s="5" t="s">
        <v>510</v>
      </c>
      <c r="N7" s="5"/>
      <c r="O7" s="7"/>
      <c r="P7" s="5"/>
      <c r="Q7" s="5">
        <v>19277</v>
      </c>
      <c r="R7" s="5"/>
      <c r="S7" s="5" t="s">
        <v>604</v>
      </c>
      <c r="T7" s="5" t="s">
        <v>604</v>
      </c>
      <c r="U7" s="5" t="s">
        <v>559</v>
      </c>
      <c r="V7" s="5"/>
      <c r="W7" s="5"/>
      <c r="X7" s="5"/>
      <c r="Y7" s="5" t="s">
        <v>475</v>
      </c>
      <c r="Z7" s="5"/>
      <c r="AA7" s="5"/>
      <c r="AB7" s="5"/>
      <c r="AC7" s="5"/>
      <c r="AD7" s="5"/>
      <c r="AE7" t="s">
        <v>481</v>
      </c>
    </row>
    <row r="8" spans="1:32" ht="29">
      <c r="A8" t="s">
        <v>197</v>
      </c>
      <c r="B8" s="3" t="s">
        <v>392</v>
      </c>
      <c r="C8" s="3" t="s">
        <v>393</v>
      </c>
      <c r="G8" t="s">
        <v>620</v>
      </c>
      <c r="H8" s="5" t="s">
        <v>546</v>
      </c>
      <c r="I8" s="5"/>
      <c r="J8" s="5"/>
      <c r="K8" s="5"/>
      <c r="L8" s="5"/>
      <c r="M8" s="5"/>
      <c r="N8" s="5"/>
      <c r="O8" s="7"/>
      <c r="P8" s="5"/>
      <c r="Q8" s="5"/>
      <c r="R8" s="5"/>
      <c r="S8" s="5" t="s">
        <v>604</v>
      </c>
      <c r="T8" s="5" t="s">
        <v>604</v>
      </c>
      <c r="U8" s="5" t="s">
        <v>559</v>
      </c>
      <c r="V8" s="5"/>
      <c r="W8" s="5"/>
      <c r="X8" s="5"/>
      <c r="Y8" s="5" t="s">
        <v>475</v>
      </c>
      <c r="Z8" s="5"/>
      <c r="AA8" s="5"/>
      <c r="AB8" s="5"/>
      <c r="AC8" s="5"/>
      <c r="AD8" s="5"/>
      <c r="AE8" t="s">
        <v>475</v>
      </c>
    </row>
    <row r="9" spans="1:32" ht="29">
      <c r="A9" t="s">
        <v>241</v>
      </c>
      <c r="B9" s="3" t="s">
        <v>428</v>
      </c>
      <c r="C9" s="3" t="s">
        <v>429</v>
      </c>
      <c r="G9" t="s">
        <v>622</v>
      </c>
      <c r="H9" s="5" t="s">
        <v>479</v>
      </c>
      <c r="I9" s="5"/>
      <c r="J9" s="5">
        <v>1</v>
      </c>
      <c r="K9" s="5">
        <v>1</v>
      </c>
      <c r="L9" s="5" t="s">
        <v>509</v>
      </c>
      <c r="M9" s="5" t="s">
        <v>549</v>
      </c>
      <c r="N9" s="5"/>
      <c r="O9" s="7"/>
      <c r="P9" s="5"/>
      <c r="Q9" s="5">
        <v>19277</v>
      </c>
      <c r="R9" s="5"/>
      <c r="S9" s="5" t="s">
        <v>604</v>
      </c>
      <c r="T9" s="5" t="s">
        <v>604</v>
      </c>
      <c r="U9" s="5" t="s">
        <v>559</v>
      </c>
      <c r="V9" s="5"/>
      <c r="W9" s="5"/>
      <c r="X9" s="5"/>
      <c r="Y9" s="5" t="s">
        <v>475</v>
      </c>
      <c r="Z9" s="5"/>
      <c r="AA9" s="5"/>
      <c r="AB9" s="5"/>
      <c r="AC9" s="5"/>
      <c r="AD9" s="5"/>
      <c r="AE9" t="s">
        <v>475</v>
      </c>
    </row>
    <row r="10" spans="1:32">
      <c r="A10" t="s">
        <v>309</v>
      </c>
      <c r="B10" s="3" t="s">
        <v>600</v>
      </c>
      <c r="C10" s="3" t="s">
        <v>599</v>
      </c>
      <c r="G10" t="s">
        <v>625</v>
      </c>
      <c r="H10" s="5" t="s">
        <v>545</v>
      </c>
      <c r="I10" s="5"/>
      <c r="J10" s="5"/>
      <c r="K10" s="5"/>
      <c r="L10" s="5"/>
      <c r="M10" s="5"/>
      <c r="N10" s="5"/>
      <c r="O10" s="7"/>
      <c r="P10" s="5"/>
      <c r="Q10" s="5"/>
      <c r="R10" s="5">
        <v>-198</v>
      </c>
      <c r="S10" s="5">
        <v>240</v>
      </c>
      <c r="T10" s="5">
        <v>42</v>
      </c>
      <c r="U10" s="5" t="s">
        <v>559</v>
      </c>
      <c r="V10" s="5"/>
      <c r="W10" s="5"/>
      <c r="X10" s="5"/>
      <c r="Y10" s="5" t="s">
        <v>475</v>
      </c>
      <c r="Z10" s="5"/>
      <c r="AA10" s="5"/>
      <c r="AB10" s="5"/>
      <c r="AC10" s="5"/>
      <c r="AD10" s="5"/>
      <c r="AE10" t="s">
        <v>481</v>
      </c>
    </row>
    <row r="11" spans="1:32" ht="130.5">
      <c r="A11" t="s">
        <v>313</v>
      </c>
      <c r="B11" s="3" t="s">
        <v>450</v>
      </c>
      <c r="C11" s="3" t="s">
        <v>451</v>
      </c>
      <c r="G11" t="s">
        <v>626</v>
      </c>
      <c r="H11" s="5" t="s">
        <v>479</v>
      </c>
      <c r="I11" s="5"/>
      <c r="J11" s="5">
        <v>4</v>
      </c>
      <c r="K11" s="5">
        <v>17</v>
      </c>
      <c r="L11" s="5"/>
      <c r="M11" s="5" t="s">
        <v>504</v>
      </c>
      <c r="N11" s="5" t="s">
        <v>574</v>
      </c>
      <c r="O11" s="7" t="s">
        <v>601</v>
      </c>
      <c r="P11" s="5"/>
      <c r="Q11" s="5">
        <v>43</v>
      </c>
      <c r="R11" s="5"/>
      <c r="S11" s="5" t="s">
        <v>604</v>
      </c>
      <c r="T11" s="5" t="s">
        <v>604</v>
      </c>
      <c r="U11" s="5" t="s">
        <v>559</v>
      </c>
      <c r="V11" s="5"/>
      <c r="W11" s="5"/>
      <c r="X11" s="5"/>
      <c r="Y11" s="5" t="s">
        <v>475</v>
      </c>
      <c r="Z11" s="5"/>
      <c r="AA11" s="5"/>
      <c r="AB11" s="5"/>
      <c r="AC11" s="5"/>
      <c r="AD11" s="5"/>
      <c r="AE11" t="s">
        <v>475</v>
      </c>
      <c r="AF11" t="s">
        <v>639</v>
      </c>
    </row>
    <row r="12" spans="1:32" ht="101.5">
      <c r="A12" t="s">
        <v>314</v>
      </c>
      <c r="B12" s="3" t="s">
        <v>453</v>
      </c>
      <c r="C12" s="3" t="s">
        <v>454</v>
      </c>
      <c r="G12" t="s">
        <v>627</v>
      </c>
      <c r="H12" s="5" t="s">
        <v>479</v>
      </c>
      <c r="I12" s="5"/>
      <c r="J12" s="5">
        <v>4</v>
      </c>
      <c r="K12" s="5">
        <v>15</v>
      </c>
      <c r="L12" s="5"/>
      <c r="M12" s="5" t="s">
        <v>504</v>
      </c>
      <c r="N12" s="5" t="s">
        <v>564</v>
      </c>
      <c r="O12" s="7" t="s">
        <v>602</v>
      </c>
      <c r="P12" s="5"/>
      <c r="Q12" s="5">
        <v>43</v>
      </c>
      <c r="R12" s="5"/>
      <c r="S12" s="5" t="s">
        <v>604</v>
      </c>
      <c r="T12" s="5" t="s">
        <v>604</v>
      </c>
      <c r="U12" s="5" t="s">
        <v>559</v>
      </c>
      <c r="V12" s="5"/>
      <c r="W12" s="5"/>
      <c r="X12" s="5"/>
      <c r="Y12" s="5" t="s">
        <v>475</v>
      </c>
      <c r="Z12" s="5"/>
      <c r="AA12" s="5"/>
      <c r="AB12" s="5"/>
      <c r="AC12" s="5"/>
      <c r="AD12" s="5"/>
      <c r="AE12" t="s">
        <v>481</v>
      </c>
      <c r="AF12" t="s">
        <v>642</v>
      </c>
    </row>
    <row r="13" spans="1:32" ht="43.5">
      <c r="A13" t="s">
        <v>325</v>
      </c>
      <c r="B13" s="3" t="s">
        <v>457</v>
      </c>
      <c r="C13" s="3" t="s">
        <v>458</v>
      </c>
      <c r="G13" t="s">
        <v>729</v>
      </c>
      <c r="H13" s="5" t="s">
        <v>479</v>
      </c>
      <c r="I13" s="5"/>
      <c r="J13" s="5">
        <v>1</v>
      </c>
      <c r="K13" s="5">
        <v>2</v>
      </c>
      <c r="L13" s="5" t="s">
        <v>509</v>
      </c>
      <c r="M13" s="5" t="s">
        <v>549</v>
      </c>
      <c r="N13" s="5"/>
      <c r="O13" s="7"/>
      <c r="P13" s="5"/>
      <c r="Q13" s="5">
        <v>19277</v>
      </c>
      <c r="R13" s="5"/>
      <c r="S13" s="5" t="s">
        <v>604</v>
      </c>
      <c r="T13" s="5" t="s">
        <v>604</v>
      </c>
      <c r="U13" s="5" t="s">
        <v>559</v>
      </c>
      <c r="V13" s="5"/>
      <c r="W13" s="5"/>
      <c r="X13" s="5"/>
      <c r="Y13" s="5" t="s">
        <v>475</v>
      </c>
      <c r="Z13" s="5"/>
      <c r="AA13" s="5"/>
      <c r="AB13" s="5"/>
      <c r="AC13" s="5"/>
      <c r="AD13" s="5" t="s">
        <v>475</v>
      </c>
      <c r="AE13" t="s">
        <v>475</v>
      </c>
    </row>
    <row r="14" spans="1:32" ht="29">
      <c r="A14" t="s">
        <v>325</v>
      </c>
      <c r="B14" s="3" t="s">
        <v>459</v>
      </c>
      <c r="C14" s="3" t="s">
        <v>460</v>
      </c>
      <c r="G14" t="s">
        <v>730</v>
      </c>
      <c r="H14" s="5" t="s">
        <v>476</v>
      </c>
      <c r="I14" s="5"/>
      <c r="J14" s="5">
        <v>1</v>
      </c>
      <c r="K14" s="5">
        <v>1</v>
      </c>
      <c r="L14" s="5" t="s">
        <v>503</v>
      </c>
      <c r="M14" s="5" t="s">
        <v>549</v>
      </c>
      <c r="N14" s="5"/>
      <c r="O14" s="7"/>
      <c r="P14" s="5" t="s">
        <v>505</v>
      </c>
      <c r="Q14" s="5">
        <v>370</v>
      </c>
      <c r="R14" s="5"/>
      <c r="S14" s="5" t="s">
        <v>604</v>
      </c>
      <c r="T14" s="5" t="s">
        <v>604</v>
      </c>
      <c r="U14" s="5" t="s">
        <v>559</v>
      </c>
      <c r="V14" s="5"/>
      <c r="W14" s="5"/>
      <c r="X14" s="5"/>
      <c r="Y14" s="5" t="s">
        <v>475</v>
      </c>
      <c r="Z14" s="5"/>
      <c r="AA14" s="5"/>
      <c r="AB14" s="5"/>
      <c r="AC14" s="5"/>
      <c r="AD14" s="5"/>
      <c r="AE14" t="s">
        <v>481</v>
      </c>
    </row>
    <row r="15" spans="1:32" ht="29">
      <c r="A15" t="s">
        <v>325</v>
      </c>
      <c r="B15" s="3" t="s">
        <v>461</v>
      </c>
      <c r="C15" s="3" t="s">
        <v>462</v>
      </c>
      <c r="G15" t="s">
        <v>731</v>
      </c>
      <c r="H15" s="5" t="s">
        <v>545</v>
      </c>
      <c r="I15" s="5"/>
      <c r="J15" s="5"/>
      <c r="K15" s="5"/>
      <c r="L15" s="5"/>
      <c r="M15" s="5"/>
      <c r="N15" s="5"/>
      <c r="O15" s="7"/>
      <c r="P15" s="5" t="s">
        <v>511</v>
      </c>
      <c r="Q15" s="5"/>
      <c r="R15" s="5">
        <v>30</v>
      </c>
      <c r="S15" s="5">
        <v>47</v>
      </c>
      <c r="T15" s="5">
        <v>77</v>
      </c>
      <c r="U15" s="5" t="s">
        <v>559</v>
      </c>
      <c r="V15" s="5"/>
      <c r="W15" s="5"/>
      <c r="X15" s="5"/>
      <c r="Y15" s="5" t="s">
        <v>475</v>
      </c>
      <c r="Z15" s="5"/>
      <c r="AA15" s="5"/>
      <c r="AB15" s="5"/>
      <c r="AC15" s="5"/>
      <c r="AD15" s="5"/>
      <c r="AE15" t="s">
        <v>481</v>
      </c>
    </row>
    <row r="16" spans="1:32" ht="72.5">
      <c r="A16" t="s">
        <v>326</v>
      </c>
      <c r="B16" s="3" t="s">
        <v>463</v>
      </c>
      <c r="C16" s="3" t="s">
        <v>464</v>
      </c>
      <c r="G16" t="s">
        <v>732</v>
      </c>
      <c r="H16" s="5" t="s">
        <v>479</v>
      </c>
      <c r="I16" s="5"/>
      <c r="J16" s="5">
        <v>3</v>
      </c>
      <c r="K16" s="5">
        <v>14</v>
      </c>
      <c r="L16" s="5"/>
      <c r="M16" s="5" t="s">
        <v>504</v>
      </c>
      <c r="N16" s="5" t="s">
        <v>574</v>
      </c>
      <c r="O16" s="7" t="s">
        <v>613</v>
      </c>
      <c r="P16" s="5"/>
      <c r="Q16" s="5">
        <v>119</v>
      </c>
      <c r="R16" s="5"/>
      <c r="S16" s="5" t="s">
        <v>604</v>
      </c>
      <c r="T16" s="5" t="s">
        <v>604</v>
      </c>
      <c r="U16" s="5" t="s">
        <v>559</v>
      </c>
      <c r="V16" s="5"/>
      <c r="W16" s="5"/>
      <c r="X16" s="5"/>
      <c r="Y16" s="5" t="s">
        <v>475</v>
      </c>
      <c r="Z16" s="5"/>
      <c r="AA16" s="5"/>
      <c r="AB16" s="5"/>
      <c r="AC16" s="5"/>
      <c r="AD16" s="5" t="s">
        <v>475</v>
      </c>
      <c r="AE16" t="s">
        <v>481</v>
      </c>
      <c r="AF16" t="s">
        <v>640</v>
      </c>
    </row>
    <row r="17" spans="1:31" ht="43.5">
      <c r="A17" t="s">
        <v>331</v>
      </c>
      <c r="B17" s="3" t="s">
        <v>469</v>
      </c>
      <c r="C17" s="3" t="s">
        <v>467</v>
      </c>
      <c r="G17" t="s">
        <v>735</v>
      </c>
      <c r="H17" s="5" t="s">
        <v>479</v>
      </c>
      <c r="I17" s="5"/>
      <c r="J17" s="5">
        <v>1</v>
      </c>
      <c r="K17" s="5">
        <v>2</v>
      </c>
      <c r="L17" s="5" t="s">
        <v>509</v>
      </c>
      <c r="M17" s="5" t="s">
        <v>549</v>
      </c>
      <c r="N17" s="5"/>
      <c r="O17" s="7"/>
      <c r="P17" s="5" t="s">
        <v>511</v>
      </c>
      <c r="Q17" s="5">
        <v>19277</v>
      </c>
      <c r="R17" s="5"/>
      <c r="S17" s="5" t="s">
        <v>604</v>
      </c>
      <c r="T17" s="5" t="s">
        <v>604</v>
      </c>
      <c r="U17" s="5" t="s">
        <v>559</v>
      </c>
      <c r="V17" s="5"/>
      <c r="W17" s="5"/>
      <c r="X17" s="5"/>
      <c r="Y17" s="5" t="s">
        <v>475</v>
      </c>
      <c r="Z17" s="5"/>
      <c r="AA17" s="5"/>
      <c r="AB17" s="5"/>
      <c r="AC17" s="5"/>
      <c r="AD17" s="5"/>
      <c r="AE17" t="s">
        <v>475</v>
      </c>
    </row>
    <row r="20" spans="1:31">
      <c r="D20" t="s">
        <v>700</v>
      </c>
      <c r="E20">
        <f>COUNTIF(U:U, "Harmonizing")</f>
        <v>0</v>
      </c>
    </row>
    <row r="21" spans="1:31">
      <c r="D21" t="s">
        <v>701</v>
      </c>
      <c r="E21">
        <f>COUNTIF(U:U, "Disharmonizing")</f>
        <v>16</v>
      </c>
    </row>
    <row r="22" spans="1:31">
      <c r="D22" t="s">
        <v>702</v>
      </c>
      <c r="E22">
        <f>E20/(E20+E21)</f>
        <v>0</v>
      </c>
    </row>
  </sheetData>
  <conditionalFormatting sqref="H2:H17">
    <cfRule type="expression" dxfId="29" priority="29">
      <formula>$J2&lt;&gt;""</formula>
    </cfRule>
    <cfRule type="expression" dxfId="28" priority="30">
      <formula>$J2=""</formula>
    </cfRule>
  </conditionalFormatting>
  <conditionalFormatting sqref="I2:M17 P2:Q17">
    <cfRule type="expression" dxfId="27" priority="27">
      <formula>AND(OR($J2="Addition",$J2="Omission"), I2="")</formula>
    </cfRule>
    <cfRule type="expression" dxfId="26" priority="28">
      <formula>AND($J2&lt;&gt;"Addition",$J2&lt;&gt;"Omission",$J2&lt;&gt;"Substitution - Word")</formula>
    </cfRule>
  </conditionalFormatting>
  <conditionalFormatting sqref="I2:Q17">
    <cfRule type="expression" dxfId="25" priority="26">
      <formula>AND(OR($J2="Addition",$J2="Omission"), I2&lt;&gt;"")</formula>
    </cfRule>
  </conditionalFormatting>
  <conditionalFormatting sqref="L2:L17">
    <cfRule type="expression" dxfId="24" priority="21">
      <formula>AND($L2&lt;&gt;"",$L2&gt;1)</formula>
    </cfRule>
  </conditionalFormatting>
  <conditionalFormatting sqref="N2:O17">
    <cfRule type="expression" dxfId="23" priority="17">
      <formula>$O2="Absent"</formula>
    </cfRule>
    <cfRule type="expression" dxfId="22" priority="18">
      <formula>$O2="NA"</formula>
    </cfRule>
    <cfRule type="expression" dxfId="21" priority="19">
      <formula>AND(OR($J2="Addition",$J2="Omission"), N2="")</formula>
    </cfRule>
    <cfRule type="expression" dxfId="20" priority="20">
      <formula>AND($J2&lt;&gt;"Addition",$J2&lt;&gt;"Omission")</formula>
    </cfRule>
  </conditionalFormatting>
  <conditionalFormatting sqref="P2:P17">
    <cfRule type="expression" dxfId="19" priority="22">
      <formula>AND(OR($J2="Addition",$J2="Omission",$J2="Substitution - Word"),RIGHT($AE2,6)&lt;&gt;"strict",$AD2&lt;&gt;"Yes")</formula>
    </cfRule>
  </conditionalFormatting>
  <conditionalFormatting sqref="R2:T17">
    <cfRule type="expression" dxfId="18" priority="23">
      <formula>AND(AND(LEFT($J2,3)="Sub", RIGHT($J2,4)&lt;&gt;"Form"),$T2&lt;&gt;"")</formula>
    </cfRule>
    <cfRule type="expression" dxfId="17" priority="24">
      <formula>AND(AND(LEFT($J2,3)="Sub", RIGHT($J2,4)&lt;&gt;"Form"),$T2="")</formula>
    </cfRule>
    <cfRule type="expression" dxfId="16" priority="25">
      <formula>"&lt;&gt;AND(LEFT($J2,3)=""Sub"", RIGHT($J2,4)&lt;&gt;""Form"")"</formula>
    </cfRule>
  </conditionalFormatting>
  <conditionalFormatting sqref="S2:T17">
    <cfRule type="expression" dxfId="15" priority="1">
      <formula>AND(AND(LEFT($J2,3)="Sub", RIGHT($J2,4)&lt;&gt;"Form"),$T2&lt;&gt;"")</formula>
    </cfRule>
    <cfRule type="expression" dxfId="14" priority="2">
      <formula>AND(AND(LEFT($J2,3)="Sub", RIGHT($J2,4)&lt;&gt;"Form"),$T2="")</formula>
    </cfRule>
    <cfRule type="expression" dxfId="13" priority="3">
      <formula>"&lt;&gt;AND(LEFT($J2,3)=""Sub"", RIGHT($J2,4)&lt;&gt;""Form"")"</formula>
    </cfRule>
  </conditionalFormatting>
  <conditionalFormatting sqref="U2:U17">
    <cfRule type="expression" dxfId="12" priority="7">
      <formula>AND($W2&lt;&gt;"",OR($AD2="Yes",$AE2&lt;&gt;""))</formula>
    </cfRule>
    <cfRule type="expression" dxfId="11" priority="8">
      <formula>OR($AD2="Yes",$AE2&lt;&gt;"")</formula>
    </cfRule>
    <cfRule type="expression" dxfId="10" priority="9">
      <formula>AND($J2&lt;&gt;"",$J2&lt;&gt;"Unclear due to correction")</formula>
    </cfRule>
    <cfRule type="expression" dxfId="9" priority="12">
      <formula>OR($J2="",$J2="Unclear due to correction")</formula>
    </cfRule>
    <cfRule type="expression" dxfId="8" priority="13">
      <formula>AND($AD2&lt;&gt;"Yes",$AE2="")</formula>
    </cfRule>
  </conditionalFormatting>
  <conditionalFormatting sqref="V2:V17">
    <cfRule type="expression" dxfId="7" priority="4">
      <formula>AND($J2&lt;&gt;"",$J2&lt;&gt;"Unclear due to correction",$X2="")</formula>
    </cfRule>
    <cfRule type="expression" dxfId="6" priority="5">
      <formula>AND($J2&lt;&gt;"",$J2&lt;&gt;"Unclear due to correction")</formula>
    </cfRule>
    <cfRule type="expression" dxfId="5" priority="6">
      <formula>OR($J2="",$J2="Unclear due to correction")</formula>
    </cfRule>
  </conditionalFormatting>
  <conditionalFormatting sqref="W2:W17">
    <cfRule type="expression" dxfId="4" priority="10">
      <formula>AND($X2="Yes",$Y2="")</formula>
    </cfRule>
    <cfRule type="expression" dxfId="3" priority="11">
      <formula>$X2=""</formula>
    </cfRule>
  </conditionalFormatting>
  <conditionalFormatting sqref="W2:AD17">
    <cfRule type="expression" dxfId="2" priority="15">
      <formula>AND($J2&lt;&gt;"",$J2&lt;&gt;"Unclear due to correction")</formula>
    </cfRule>
    <cfRule type="expression" dxfId="1" priority="16">
      <formula>OR($J2="",$J2="Unclear due to correction")</formula>
    </cfRule>
  </conditionalFormatting>
  <conditionalFormatting sqref="AB2:AB17">
    <cfRule type="expression" dxfId="0" priority="14">
      <formula>AND(OR($AB2&lt;&gt;"",$AC2&lt;&gt;""),$AD2="")</formula>
    </cfRule>
  </conditionalFormatting>
  <dataValidations count="1">
    <dataValidation type="list" allowBlank="1" showInputMessage="1" showErrorMessage="1" sqref="AE2:AE17" xr:uid="{92A51B07-67FE-4A0E-A375-07B4D97B4627}">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5FB75010-4FCA-4320-AD4C-7F042FD4D6EB}">
          <x14:formula1>
            <xm:f>'Data Regularization'!$D$2:$D$1048576</xm:f>
          </x14:formula1>
          <xm:sqref>H2:H17</xm:sqref>
        </x14:dataValidation>
        <x14:dataValidation type="list" allowBlank="1" showInputMessage="1" showErrorMessage="1" xr:uid="{B8E581F1-394C-4A91-A36C-9A5B4DE66276}">
          <x14:formula1>
            <xm:f>'Data Regularization'!$C$2:$C$1048576</xm:f>
          </x14:formula1>
          <xm:sqref>F2:F17</xm:sqref>
        </x14:dataValidation>
        <x14:dataValidation type="list" allowBlank="1" showInputMessage="1" xr:uid="{5B123D06-C1C0-4BE5-B7A2-F08BA152565A}">
          <x14:formula1>
            <xm:f>'Data Regularization'!$A$2:$A$1048576</xm:f>
          </x14:formula1>
          <xm:sqref>D2:D17</xm:sqref>
        </x14:dataValidation>
        <x14:dataValidation type="list" allowBlank="1" showInputMessage="1" showErrorMessage="1" errorTitle="Invalid Entry" error="Just pick &quot;yes&quot; or &quot;no&quot;!!!" xr:uid="{32F550F3-778F-44E4-AED0-AB136BB8E9D3}">
          <x14:formula1>
            <xm:f>'Data Regularization'!$B$2:$B$1048576</xm:f>
          </x14:formula1>
          <xm:sqref>E2:E17</xm:sqref>
        </x14:dataValidation>
        <x14:dataValidation type="list" allowBlank="1" showInputMessage="1" showErrorMessage="1" xr:uid="{B9B352F0-EE44-47A8-92D6-66EFA984A522}">
          <x14:formula1>
            <xm:f>'Data Regularization'!$E$2:$E$1048576</xm:f>
          </x14:formula1>
          <xm:sqref>L2:L17</xm:sqref>
        </x14:dataValidation>
        <x14:dataValidation type="list" allowBlank="1" showInputMessage="1" showErrorMessage="1" xr:uid="{8CEB19C7-D189-44BB-BB60-D7E64485472A}">
          <x14:formula1>
            <xm:f>'Data Regularization'!$F$2:$F$1048576</xm:f>
          </x14:formula1>
          <xm:sqref>M2:M17</xm:sqref>
        </x14:dataValidation>
        <x14:dataValidation type="list" allowBlank="1" showInputMessage="1" showErrorMessage="1" xr:uid="{70045B5F-E47C-405F-A775-F6297E3169F8}">
          <x14:formula1>
            <xm:f>'Data Regularization'!$G$2:$G$1048576</xm:f>
          </x14:formula1>
          <xm:sqref>P2:P17</xm:sqref>
        </x14:dataValidation>
        <x14:dataValidation type="list" allowBlank="1" showInputMessage="1" showErrorMessage="1" xr:uid="{325ED70B-C71E-44AE-ACB0-7CBC2A62CC68}">
          <x14:formula1>
            <xm:f>'Data Regularization'!$J$2:$J$1048576</xm:f>
          </x14:formula1>
          <xm:sqref>W2:W17</xm:sqref>
        </x14:dataValidation>
        <x14:dataValidation type="list" allowBlank="1" showInputMessage="1" showErrorMessage="1" xr:uid="{3E52EC3F-BAF3-432C-80B7-E7CF91F212F2}">
          <x14:formula1>
            <xm:f>'Data Regularization'!$K$2:$K$1048576</xm:f>
          </x14:formula1>
          <xm:sqref>X2:X17</xm:sqref>
        </x14:dataValidation>
        <x14:dataValidation type="list" allowBlank="1" showInputMessage="1" showErrorMessage="1" xr:uid="{CA7A5B91-E753-43AA-BCD2-EDBCB8C0F3B8}">
          <x14:formula1>
            <xm:f>'Data Regularization'!$L$2:$L$1048576</xm:f>
          </x14:formula1>
          <xm:sqref>Y2:Y17</xm:sqref>
        </x14:dataValidation>
        <x14:dataValidation type="list" allowBlank="1" showInputMessage="1" showErrorMessage="1" xr:uid="{3978224F-2A31-4BC1-BBC5-77FA18F8E70F}">
          <x14:formula1>
            <xm:f>'Data Regularization'!$M$2:$M$1048576</xm:f>
          </x14:formula1>
          <xm:sqref>Z2:Z17</xm:sqref>
        </x14:dataValidation>
        <x14:dataValidation type="list" allowBlank="1" showInputMessage="1" showErrorMessage="1" xr:uid="{243A7FAA-70D3-4652-A277-5D7DA63CC7ED}">
          <x14:formula1>
            <xm:f>'Data Regularization'!$N$2:$N$1048576</xm:f>
          </x14:formula1>
          <xm:sqref>AB2:AB17</xm:sqref>
        </x14:dataValidation>
        <x14:dataValidation type="list" allowBlank="1" showInputMessage="1" showErrorMessage="1" xr:uid="{B07FBFEB-EF24-4A8C-97B9-E0EE015143E1}">
          <x14:formula1>
            <xm:f>'Data Regularization'!$O$2:$O$1048576</xm:f>
          </x14:formula1>
          <xm:sqref>AC2:AC17</xm:sqref>
        </x14:dataValidation>
        <x14:dataValidation type="list" allowBlank="1" showInputMessage="1" showErrorMessage="1" xr:uid="{B8EACD91-9495-427C-9233-444D9FD09925}">
          <x14:formula1>
            <xm:f>'Data Regularization'!$P$2:$P$1048576</xm:f>
          </x14:formula1>
          <xm:sqref>AD2:AD17</xm:sqref>
        </x14:dataValidation>
        <x14:dataValidation type="list" allowBlank="1" showInputMessage="1" showErrorMessage="1" xr:uid="{32E98D23-6881-4F09-9F55-E7FE3AB41CE6}">
          <x14:formula1>
            <xm:f>'Data Regularization'!$H$2:$H$1048576</xm:f>
          </x14:formula1>
          <xm:sqref>U2:U17</xm:sqref>
        </x14:dataValidation>
        <x14:dataValidation type="list" allowBlank="1" showInputMessage="1" xr:uid="{1EBD6FBA-5C7A-431C-B190-346B7D0C5C00}">
          <x14:formula1>
            <xm:f>'Data Regularization'!$I$2:$I$1048576</xm:f>
          </x14:formula1>
          <xm:sqref>V2:V17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FE2C6-8472-4A82-96D5-DC054A72C8D8}">
  <dimension ref="A1:B6"/>
  <sheetViews>
    <sheetView workbookViewId="0">
      <selection activeCell="B6" sqref="B6"/>
    </sheetView>
  </sheetViews>
  <sheetFormatPr defaultRowHeight="14.5"/>
  <cols>
    <col min="1" max="1" width="24.54296875" bestFit="1" customWidth="1"/>
  </cols>
  <sheetData>
    <row r="1" spans="1:2">
      <c r="A1" t="s">
        <v>703</v>
      </c>
      <c r="B1">
        <v>5861</v>
      </c>
    </row>
    <row r="2" spans="1:2">
      <c r="A2" t="s">
        <v>704</v>
      </c>
      <c r="B2">
        <f>COUNTA('Unfiltered Data'!A:A) - 1</f>
        <v>187</v>
      </c>
    </row>
    <row r="3" spans="1:2">
      <c r="A3" t="s">
        <v>705</v>
      </c>
      <c r="B3">
        <f>COUNTA('Gen-filters'!A:A) - 1</f>
        <v>63</v>
      </c>
    </row>
    <row r="5" spans="1:2">
      <c r="A5" t="s">
        <v>706</v>
      </c>
      <c r="B5">
        <f>(B2/B1)*1000</f>
        <v>31.905818119774782</v>
      </c>
    </row>
    <row r="6" spans="1:2">
      <c r="A6" t="s">
        <v>707</v>
      </c>
      <c r="B6">
        <f>(B3/B1)*1000</f>
        <v>10.749018938747653</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AA31-50ED-4FEC-85BC-AE7036E946F2}">
  <dimension ref="A1:D11"/>
  <sheetViews>
    <sheetView workbookViewId="0">
      <selection activeCell="D9" sqref="D9:D11"/>
    </sheetView>
  </sheetViews>
  <sheetFormatPr defaultRowHeight="14.5"/>
  <sheetData>
    <row r="1" spans="1:4">
      <c r="A1" t="s">
        <v>709</v>
      </c>
    </row>
    <row r="2" spans="1:4">
      <c r="A2" t="s">
        <v>475</v>
      </c>
      <c r="B2">
        <f>COUNTIF('Unfiltered Data'!G:G, "Yes")</f>
        <v>14</v>
      </c>
    </row>
    <row r="3" spans="1:4">
      <c r="A3" t="s">
        <v>481</v>
      </c>
      <c r="B3">
        <f>COUNTIF('Unfiltered Data'!G:G, "No")</f>
        <v>0</v>
      </c>
    </row>
    <row r="4" spans="1:4">
      <c r="A4" t="s">
        <v>710</v>
      </c>
      <c r="B4">
        <f>B2/SUM(B2:B3)</f>
        <v>1</v>
      </c>
    </row>
    <row r="7" spans="1:4">
      <c r="A7" t="s">
        <v>711</v>
      </c>
    </row>
    <row r="8" spans="1:4">
      <c r="B8" t="s">
        <v>712</v>
      </c>
      <c r="C8" t="s">
        <v>713</v>
      </c>
      <c r="D8" t="s">
        <v>714</v>
      </c>
    </row>
    <row r="9" spans="1:4">
      <c r="A9" t="s">
        <v>475</v>
      </c>
      <c r="B9">
        <f>COUNTIF('Unfiltered Data'!H:H, "Yes")</f>
        <v>20</v>
      </c>
      <c r="C9">
        <f>B10/'Gen-Error-Rates'!$B$2</f>
        <v>1.06951871657754E-2</v>
      </c>
      <c r="D9">
        <f>B9/SUM($B$9:$B$11)</f>
        <v>0.86956521739130432</v>
      </c>
    </row>
    <row r="10" spans="1:4">
      <c r="A10" t="s">
        <v>715</v>
      </c>
      <c r="B10">
        <f>COUNTIF('Unfiltered Data'!H:H, "Yes, partially")</f>
        <v>2</v>
      </c>
      <c r="C10">
        <f>B11/'Gen-Error-Rates'!$B$2</f>
        <v>5.3475935828877002E-3</v>
      </c>
      <c r="D10">
        <f t="shared" ref="D10:D11" si="0">B10/SUM($B$9:$B$11)</f>
        <v>8.6956521739130432E-2</v>
      </c>
    </row>
    <row r="11" spans="1:4">
      <c r="A11" t="s">
        <v>716</v>
      </c>
      <c r="B11">
        <f>COUNTIF('Unfiltered Data'!H:H, "Yes, to another error")</f>
        <v>1</v>
      </c>
      <c r="C11">
        <f>B12/'Gen-Error-Rates'!$B$2</f>
        <v>0</v>
      </c>
      <c r="D11">
        <f t="shared" si="0"/>
        <v>4.3478260869565216E-2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Unfiltered Data</vt:lpstr>
      <vt:lpstr>Gen-filters</vt:lpstr>
      <vt:lpstr>AddOmits</vt:lpstr>
      <vt:lpstr>WF_AO_LM</vt:lpstr>
      <vt:lpstr>WF_AO_HM</vt:lpstr>
      <vt:lpstr>WF_SUB</vt:lpstr>
      <vt:lpstr>Harmonization</vt:lpstr>
      <vt:lpstr>Gen-Error-Rates</vt:lpstr>
      <vt:lpstr>Corrections</vt:lpstr>
      <vt:lpstr>Data Regularization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Wilken</dc:creator>
  <cp:lastModifiedBy>Jonathan Wilken</cp:lastModifiedBy>
  <dcterms:created xsi:type="dcterms:W3CDTF">2022-11-18T18:06:54Z</dcterms:created>
  <dcterms:modified xsi:type="dcterms:W3CDTF">2025-10-23T17:00:47Z</dcterms:modified>
</cp:coreProperties>
</file>